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0732\"/>
    </mc:Choice>
  </mc:AlternateContent>
  <xr:revisionPtr revIDLastSave="0" documentId="13_ncr:1_{A13C39CA-6C5D-4FB3-8BF3-7BD20ED41550}" xr6:coauthVersionLast="41" xr6:coauthVersionMax="41" xr10:uidLastSave="{00000000-0000-0000-0000-000000000000}"/>
  <bookViews>
    <workbookView xWindow="-120" yWindow="-120" windowWidth="29040" windowHeight="15840" tabRatio="870" activeTab="9"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5" i="22" l="1"/>
  <c r="C15" i="23"/>
  <c r="U62" i="30" l="1"/>
  <c r="T62" i="30"/>
  <c r="S62" i="30"/>
  <c r="R62" i="30"/>
  <c r="Q62" i="30"/>
  <c r="P62" i="30"/>
  <c r="O62" i="30"/>
  <c r="N62" i="30"/>
  <c r="M62" i="30"/>
  <c r="L62" i="30"/>
  <c r="K62" i="30"/>
  <c r="J62" i="30"/>
  <c r="I62" i="30"/>
  <c r="H62" i="30"/>
  <c r="G62" i="30"/>
  <c r="F62" i="30"/>
  <c r="E62" i="30"/>
  <c r="D62" i="30"/>
  <c r="C62" i="30"/>
  <c r="B62" i="30"/>
  <c r="G55" i="30"/>
  <c r="E55" i="30"/>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C46" i="30"/>
  <c r="U45" i="30"/>
  <c r="T45" i="30"/>
  <c r="S45" i="30"/>
  <c r="R45" i="30"/>
  <c r="Q45" i="30"/>
  <c r="P45" i="30"/>
  <c r="O45" i="30"/>
  <c r="N45" i="30"/>
  <c r="M45" i="30"/>
  <c r="L45" i="30"/>
  <c r="K45" i="30"/>
  <c r="J45" i="30"/>
  <c r="I45" i="30"/>
  <c r="H45" i="30"/>
  <c r="G45" i="30"/>
  <c r="F45" i="30"/>
  <c r="E45" i="30"/>
  <c r="Q22" i="30" s="1"/>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T31" i="30"/>
  <c r="S31" i="30"/>
  <c r="R31" i="30"/>
  <c r="Q31" i="30"/>
  <c r="P31" i="30"/>
  <c r="O31" i="30"/>
  <c r="N31" i="30"/>
  <c r="M31" i="30"/>
  <c r="L31" i="30"/>
  <c r="K31" i="30"/>
  <c r="J31" i="30"/>
  <c r="I31" i="30"/>
  <c r="H31" i="30"/>
  <c r="G31" i="30"/>
  <c r="F31" i="30"/>
  <c r="E31" i="30"/>
  <c r="C22" i="30" s="1"/>
  <c r="D31" i="30"/>
  <c r="C18" i="30" s="1"/>
  <c r="C31" i="30"/>
  <c r="V24" i="30"/>
  <c r="U24" i="30"/>
  <c r="T24" i="30"/>
  <c r="S24" i="30"/>
  <c r="R24" i="30"/>
  <c r="Q24" i="30"/>
  <c r="P24" i="30"/>
  <c r="O24" i="30"/>
  <c r="N24" i="30"/>
  <c r="V22" i="30"/>
  <c r="U22" i="30"/>
  <c r="S22" i="30"/>
  <c r="O22" i="30"/>
  <c r="N22" i="30"/>
  <c r="G22" i="30"/>
  <c r="E22" i="30"/>
  <c r="V20" i="30"/>
  <c r="U20" i="30"/>
  <c r="T20" i="30"/>
  <c r="S20" i="30"/>
  <c r="R20" i="30"/>
  <c r="Q20" i="30"/>
  <c r="P20" i="30"/>
  <c r="O20" i="30"/>
  <c r="N20" i="30"/>
  <c r="V18" i="30"/>
  <c r="R18" i="30"/>
  <c r="Q18" i="30"/>
  <c r="P18" i="30"/>
  <c r="J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59" i="30" s="1"/>
  <c r="U14" i="30"/>
  <c r="T59" i="30" s="1"/>
  <c r="T14" i="30"/>
  <c r="S59" i="30" s="1"/>
  <c r="S14" i="30"/>
  <c r="R59" i="30" s="1"/>
  <c r="R14" i="30"/>
  <c r="Q59" i="30" s="1"/>
  <c r="Q14" i="30"/>
  <c r="P14" i="30"/>
  <c r="O14" i="30"/>
  <c r="O21" i="30" s="1"/>
  <c r="N14" i="30"/>
  <c r="M59" i="30" s="1"/>
  <c r="M14" i="30"/>
  <c r="L59" i="30" s="1"/>
  <c r="L14" i="30"/>
  <c r="K59" i="30" s="1"/>
  <c r="K14" i="30"/>
  <c r="J59" i="30" s="1"/>
  <c r="J14" i="30"/>
  <c r="I59" i="30" s="1"/>
  <c r="I14" i="30"/>
  <c r="H59" i="30" s="1"/>
  <c r="H14" i="30"/>
  <c r="G14" i="30"/>
  <c r="G21" i="30" s="1"/>
  <c r="F14" i="30"/>
  <c r="E59" i="30" s="1"/>
  <c r="E14" i="30"/>
  <c r="D59" i="30" s="1"/>
  <c r="D14" i="30"/>
  <c r="C59" i="30" s="1"/>
  <c r="C14" i="30"/>
  <c r="B59" i="30" s="1"/>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c r="U63" i="29" s="1"/>
  <c r="D55" i="29"/>
  <c r="U50" i="29"/>
  <c r="T50" i="29"/>
  <c r="S50" i="29"/>
  <c r="R50" i="29"/>
  <c r="Q50" i="29"/>
  <c r="P50" i="29"/>
  <c r="O50" i="29"/>
  <c r="N50" i="29"/>
  <c r="M50" i="29"/>
  <c r="L50" i="29"/>
  <c r="K50" i="29"/>
  <c r="J50" i="29"/>
  <c r="I50" i="29"/>
  <c r="H50" i="29"/>
  <c r="G50" i="29"/>
  <c r="F50" i="29"/>
  <c r="E50" i="29"/>
  <c r="D50" i="29"/>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C43" i="29"/>
  <c r="U42" i="29"/>
  <c r="T42" i="29"/>
  <c r="S42" i="29"/>
  <c r="R42" i="29"/>
  <c r="Q42" i="29"/>
  <c r="P42" i="29"/>
  <c r="O42" i="29"/>
  <c r="N42" i="29"/>
  <c r="M42" i="29"/>
  <c r="L42" i="29"/>
  <c r="K42" i="29"/>
  <c r="J42" i="29"/>
  <c r="I42" i="29"/>
  <c r="H42" i="29"/>
  <c r="G42" i="29"/>
  <c r="F42" i="29"/>
  <c r="E42" i="29"/>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32" i="29"/>
  <c r="D18" i="29" s="1"/>
  <c r="C32" i="29"/>
  <c r="U31" i="29"/>
  <c r="T31" i="29"/>
  <c r="S31" i="29"/>
  <c r="R31" i="29"/>
  <c r="Q31" i="29"/>
  <c r="P31" i="29"/>
  <c r="O31" i="29"/>
  <c r="N31" i="29"/>
  <c r="M31" i="29"/>
  <c r="L31" i="29"/>
  <c r="K31" i="29"/>
  <c r="J31" i="29"/>
  <c r="I31" i="29"/>
  <c r="H31" i="29"/>
  <c r="G31" i="29"/>
  <c r="F31" i="29"/>
  <c r="E31" i="29"/>
  <c r="C22" i="29" s="1"/>
  <c r="D31" i="29"/>
  <c r="C18" i="29" s="1"/>
  <c r="C31" i="29"/>
  <c r="V24" i="29"/>
  <c r="U24" i="29"/>
  <c r="T24" i="29"/>
  <c r="S24" i="29"/>
  <c r="R24" i="29"/>
  <c r="Q24" i="29"/>
  <c r="P24" i="29"/>
  <c r="O24" i="29"/>
  <c r="N24" i="29"/>
  <c r="V22" i="29"/>
  <c r="R22" i="29"/>
  <c r="N22" i="29"/>
  <c r="L22" i="29"/>
  <c r="J22" i="29"/>
  <c r="D22" i="29"/>
  <c r="V20" i="29"/>
  <c r="U20" i="29"/>
  <c r="T20" i="29"/>
  <c r="S20" i="29"/>
  <c r="R20" i="29"/>
  <c r="Q20" i="29"/>
  <c r="P20" i="29"/>
  <c r="O20" i="29"/>
  <c r="N20" i="29"/>
  <c r="V18" i="29"/>
  <c r="R18" i="29"/>
  <c r="O18" i="29"/>
  <c r="J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59" i="29" s="1"/>
  <c r="U14" i="29"/>
  <c r="T59" i="29" s="1"/>
  <c r="T14" i="29"/>
  <c r="S59" i="29" s="1"/>
  <c r="S14" i="29"/>
  <c r="R59" i="29" s="1"/>
  <c r="R14" i="29"/>
  <c r="Q59" i="29" s="1"/>
  <c r="Q14" i="29"/>
  <c r="Q21" i="29" s="1"/>
  <c r="P14" i="29"/>
  <c r="O14" i="29"/>
  <c r="N14" i="29"/>
  <c r="M59" i="29" s="1"/>
  <c r="M14" i="29"/>
  <c r="L59" i="29" s="1"/>
  <c r="L14" i="29"/>
  <c r="K59" i="29" s="1"/>
  <c r="K14" i="29"/>
  <c r="J59" i="29" s="1"/>
  <c r="J14" i="29"/>
  <c r="I59" i="29" s="1"/>
  <c r="I14" i="29"/>
  <c r="I21" i="29" s="1"/>
  <c r="H14" i="29"/>
  <c r="G14" i="29"/>
  <c r="F14" i="29"/>
  <c r="E59" i="29" s="1"/>
  <c r="E14" i="29"/>
  <c r="D59" i="29" s="1"/>
  <c r="D14" i="29"/>
  <c r="C59" i="29" s="1"/>
  <c r="C14" i="29"/>
  <c r="B59" i="29" s="1"/>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C40" i="28"/>
  <c r="U39" i="28"/>
  <c r="T39" i="28"/>
  <c r="S39" i="28"/>
  <c r="R39" i="28"/>
  <c r="Q39" i="28"/>
  <c r="P39" i="28"/>
  <c r="O39" i="28"/>
  <c r="N39" i="28"/>
  <c r="M39" i="28"/>
  <c r="L39" i="28"/>
  <c r="K39" i="28"/>
  <c r="J39" i="28"/>
  <c r="I39" i="28"/>
  <c r="H39" i="28"/>
  <c r="G39" i="28"/>
  <c r="F39" i="28"/>
  <c r="E39" i="28"/>
  <c r="D39" i="28"/>
  <c r="C39" i="28"/>
  <c r="U38" i="28"/>
  <c r="T38" i="28"/>
  <c r="S38" i="28"/>
  <c r="R38" i="28"/>
  <c r="Q38" i="28"/>
  <c r="P38" i="28"/>
  <c r="O38" i="28"/>
  <c r="N38" i="28"/>
  <c r="M38" i="28"/>
  <c r="L38" i="28"/>
  <c r="K38" i="28"/>
  <c r="J38" i="28"/>
  <c r="I38" i="28"/>
  <c r="H38" i="28"/>
  <c r="G38" i="28"/>
  <c r="F38" i="28"/>
  <c r="E38" i="28"/>
  <c r="J22" i="28" s="1"/>
  <c r="D38" i="28"/>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N24" i="28"/>
  <c r="S22" i="28"/>
  <c r="Q22" i="28"/>
  <c r="O22" i="28"/>
  <c r="K22" i="28"/>
  <c r="V20" i="28"/>
  <c r="U20" i="28"/>
  <c r="T20" i="28"/>
  <c r="S20" i="28"/>
  <c r="R20" i="28"/>
  <c r="Q20" i="28"/>
  <c r="P20" i="28"/>
  <c r="O20" i="28"/>
  <c r="N20" i="28"/>
  <c r="V18" i="28"/>
  <c r="T18" i="28"/>
  <c r="R18" i="28"/>
  <c r="O18" i="28"/>
  <c r="N18" i="28"/>
  <c r="L18" i="28"/>
  <c r="K18" i="28"/>
  <c r="J18" i="28"/>
  <c r="F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V22" i="27" s="1"/>
  <c r="D50" i="27"/>
  <c r="C50" i="27"/>
  <c r="U49" i="27"/>
  <c r="T49" i="27"/>
  <c r="S49" i="27"/>
  <c r="R49" i="27"/>
  <c r="Q49" i="27"/>
  <c r="P49" i="27"/>
  <c r="O49" i="27"/>
  <c r="N49" i="27"/>
  <c r="M49" i="27"/>
  <c r="L49" i="27"/>
  <c r="K49" i="27"/>
  <c r="J49" i="27"/>
  <c r="I49" i="27"/>
  <c r="H49" i="27"/>
  <c r="G49" i="27"/>
  <c r="F49" i="27"/>
  <c r="E49" i="27"/>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N24" i="27"/>
  <c r="U22" i="27"/>
  <c r="S22" i="27"/>
  <c r="K22" i="27"/>
  <c r="I22" i="27"/>
  <c r="V20" i="27"/>
  <c r="U20" i="27"/>
  <c r="T20" i="27"/>
  <c r="S20" i="27"/>
  <c r="R20" i="27"/>
  <c r="Q20" i="27"/>
  <c r="P20" i="27"/>
  <c r="O20" i="27"/>
  <c r="N20" i="27"/>
  <c r="V18" i="27"/>
  <c r="S18" i="27"/>
  <c r="R18" i="27"/>
  <c r="P18" i="27"/>
  <c r="N18" i="27"/>
  <c r="J18" i="27"/>
  <c r="H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3" i="26"/>
  <c r="N63" i="26"/>
  <c r="M63" i="26"/>
  <c r="F63" i="26"/>
  <c r="U62" i="26"/>
  <c r="T62" i="26"/>
  <c r="S62" i="26"/>
  <c r="R62" i="26"/>
  <c r="Q62" i="26"/>
  <c r="P62" i="26"/>
  <c r="O62" i="26"/>
  <c r="N62" i="26"/>
  <c r="M62" i="26"/>
  <c r="L62" i="26"/>
  <c r="K62" i="26"/>
  <c r="J62" i="26"/>
  <c r="I62" i="26"/>
  <c r="H62" i="26"/>
  <c r="G62" i="26"/>
  <c r="F62" i="26"/>
  <c r="E62" i="26"/>
  <c r="E63" i="26" s="1"/>
  <c r="D62" i="26"/>
  <c r="C62" i="26"/>
  <c r="B62" i="26"/>
  <c r="G55" i="26"/>
  <c r="E55" i="26"/>
  <c r="T63"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D42" i="26"/>
  <c r="N18" i="26" s="1"/>
  <c r="C42" i="26"/>
  <c r="U41" i="26"/>
  <c r="T41" i="26"/>
  <c r="S41" i="26"/>
  <c r="R41" i="26"/>
  <c r="Q41" i="26"/>
  <c r="P41" i="26"/>
  <c r="O41" i="26"/>
  <c r="N41" i="26"/>
  <c r="M41" i="26"/>
  <c r="L41" i="26"/>
  <c r="K41" i="26"/>
  <c r="J41" i="26"/>
  <c r="I41" i="26"/>
  <c r="H41" i="26"/>
  <c r="G41" i="26"/>
  <c r="F41" i="26"/>
  <c r="E41" i="26"/>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T31" i="26"/>
  <c r="S31" i="26"/>
  <c r="R31" i="26"/>
  <c r="Q31" i="26"/>
  <c r="P31" i="26"/>
  <c r="O31" i="26"/>
  <c r="N31" i="26"/>
  <c r="M31" i="26"/>
  <c r="L31" i="26"/>
  <c r="K31" i="26"/>
  <c r="J31" i="26"/>
  <c r="I31" i="26"/>
  <c r="H31" i="26"/>
  <c r="G31" i="26"/>
  <c r="F31" i="26"/>
  <c r="E31" i="26"/>
  <c r="C22" i="26" s="1"/>
  <c r="D31" i="26"/>
  <c r="C18" i="26" s="1"/>
  <c r="C31" i="26"/>
  <c r="V24" i="26"/>
  <c r="U24" i="26"/>
  <c r="T24" i="26"/>
  <c r="S24" i="26"/>
  <c r="R24" i="26"/>
  <c r="Q24" i="26"/>
  <c r="P24" i="26"/>
  <c r="O24" i="26"/>
  <c r="N24" i="26"/>
  <c r="U22" i="26"/>
  <c r="N22" i="26"/>
  <c r="M22" i="26"/>
  <c r="I22" i="26"/>
  <c r="G22" i="26"/>
  <c r="F22" i="26"/>
  <c r="V20" i="26"/>
  <c r="U20" i="26"/>
  <c r="T20" i="26"/>
  <c r="S20" i="26"/>
  <c r="R20" i="26"/>
  <c r="Q20" i="26"/>
  <c r="P20" i="26"/>
  <c r="O20" i="26"/>
  <c r="N20" i="26"/>
  <c r="T18" i="26"/>
  <c r="S18" i="26"/>
  <c r="P18" i="26"/>
  <c r="O18" i="26"/>
  <c r="L18" i="26"/>
  <c r="I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59" i="26" s="1"/>
  <c r="U14" i="26"/>
  <c r="T59" i="26" s="1"/>
  <c r="T14" i="26"/>
  <c r="S59" i="26" s="1"/>
  <c r="S14" i="26"/>
  <c r="R59" i="26" s="1"/>
  <c r="R14" i="26"/>
  <c r="Q58" i="26" s="1"/>
  <c r="Q61" i="26" s="1"/>
  <c r="Q14" i="26"/>
  <c r="P59" i="26" s="1"/>
  <c r="P14" i="26"/>
  <c r="O14" i="26"/>
  <c r="N14" i="26"/>
  <c r="M59" i="26" s="1"/>
  <c r="M14" i="26"/>
  <c r="L59" i="26" s="1"/>
  <c r="L14" i="26"/>
  <c r="K59" i="26" s="1"/>
  <c r="K14" i="26"/>
  <c r="J59" i="26" s="1"/>
  <c r="J14" i="26"/>
  <c r="I58" i="26" s="1"/>
  <c r="I61" i="26" s="1"/>
  <c r="I14" i="26"/>
  <c r="H59" i="26" s="1"/>
  <c r="H14" i="26"/>
  <c r="G14" i="26"/>
  <c r="F14" i="26"/>
  <c r="E59" i="26" s="1"/>
  <c r="E14" i="26"/>
  <c r="D59" i="26" s="1"/>
  <c r="D14" i="26"/>
  <c r="C59" i="26" s="1"/>
  <c r="C14" i="26"/>
  <c r="B59" i="26" s="1"/>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N63" i="24"/>
  <c r="U62" i="24"/>
  <c r="T62" i="24"/>
  <c r="S62" i="24"/>
  <c r="R62" i="24"/>
  <c r="Q62" i="24"/>
  <c r="P62" i="24"/>
  <c r="O62" i="24"/>
  <c r="N62" i="24"/>
  <c r="M62" i="24"/>
  <c r="L62" i="24"/>
  <c r="K62" i="24"/>
  <c r="J62" i="24"/>
  <c r="I62" i="24"/>
  <c r="H62" i="24"/>
  <c r="G62" i="24"/>
  <c r="F62" i="24"/>
  <c r="F63" i="24" s="1"/>
  <c r="E62" i="24"/>
  <c r="D62" i="24"/>
  <c r="C62" i="24"/>
  <c r="B62" i="24"/>
  <c r="G55" i="24"/>
  <c r="E55" i="24"/>
  <c r="U63"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C48" i="24"/>
  <c r="U47" i="24"/>
  <c r="T47" i="24"/>
  <c r="S47" i="24"/>
  <c r="R47" i="24"/>
  <c r="Q47" i="24"/>
  <c r="P47" i="24"/>
  <c r="O47" i="24"/>
  <c r="N47" i="24"/>
  <c r="M47" i="24"/>
  <c r="L47" i="24"/>
  <c r="K47" i="24"/>
  <c r="J47" i="24"/>
  <c r="I47" i="24"/>
  <c r="H47" i="24"/>
  <c r="G47" i="24"/>
  <c r="F47" i="24"/>
  <c r="E47" i="24"/>
  <c r="D47" i="24"/>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C40" i="24"/>
  <c r="U39" i="24"/>
  <c r="T39" i="24"/>
  <c r="S39" i="24"/>
  <c r="R39" i="24"/>
  <c r="Q39" i="24"/>
  <c r="P39" i="24"/>
  <c r="O39" i="24"/>
  <c r="N39" i="24"/>
  <c r="M39" i="24"/>
  <c r="L39" i="24"/>
  <c r="K39" i="24"/>
  <c r="J39" i="24"/>
  <c r="I39" i="24"/>
  <c r="H39" i="24"/>
  <c r="G39" i="24"/>
  <c r="F39" i="24"/>
  <c r="E39" i="24"/>
  <c r="K22" i="24" s="1"/>
  <c r="D39" i="24"/>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C32" i="24"/>
  <c r="U31" i="24"/>
  <c r="T31" i="24"/>
  <c r="S31" i="24"/>
  <c r="R31" i="24"/>
  <c r="Q31" i="24"/>
  <c r="P31" i="24"/>
  <c r="O31" i="24"/>
  <c r="N31" i="24"/>
  <c r="M31" i="24"/>
  <c r="L31" i="24"/>
  <c r="K31" i="24"/>
  <c r="J31" i="24"/>
  <c r="I31" i="24"/>
  <c r="H31" i="24"/>
  <c r="G31" i="24"/>
  <c r="F31" i="24"/>
  <c r="E31" i="24"/>
  <c r="C22" i="24" s="1"/>
  <c r="D31" i="24"/>
  <c r="C18" i="24" s="1"/>
  <c r="C31" i="24"/>
  <c r="V24" i="24"/>
  <c r="U24" i="24"/>
  <c r="T24" i="24"/>
  <c r="S24" i="24"/>
  <c r="R24" i="24"/>
  <c r="Q24" i="24"/>
  <c r="P24" i="24"/>
  <c r="O24" i="24"/>
  <c r="N24" i="24"/>
  <c r="U22" i="24"/>
  <c r="S22" i="24"/>
  <c r="Q22" i="24"/>
  <c r="V20" i="24"/>
  <c r="U20" i="24"/>
  <c r="T20" i="24"/>
  <c r="S20" i="24"/>
  <c r="R20" i="24"/>
  <c r="Q20" i="24"/>
  <c r="P20" i="24"/>
  <c r="O20" i="24"/>
  <c r="N20" i="24"/>
  <c r="U18" i="24"/>
  <c r="T18" i="24"/>
  <c r="S18" i="24"/>
  <c r="Q18" i="24"/>
  <c r="P18" i="24"/>
  <c r="O18" i="24"/>
  <c r="M18" i="24"/>
  <c r="L18" i="24"/>
  <c r="K18" i="24"/>
  <c r="H18" i="24"/>
  <c r="G18" i="24"/>
  <c r="E18" i="24"/>
  <c r="D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59" i="24" s="1"/>
  <c r="U14" i="24"/>
  <c r="T59" i="24" s="1"/>
  <c r="T14" i="24"/>
  <c r="S59" i="24" s="1"/>
  <c r="S14" i="24"/>
  <c r="R59" i="24" s="1"/>
  <c r="R14" i="24"/>
  <c r="Q59" i="24" s="1"/>
  <c r="Q14" i="24"/>
  <c r="P14" i="24"/>
  <c r="O14" i="24"/>
  <c r="N14" i="24"/>
  <c r="M59" i="24" s="1"/>
  <c r="M14" i="24"/>
  <c r="L59" i="24" s="1"/>
  <c r="L14" i="24"/>
  <c r="K59" i="24" s="1"/>
  <c r="K14" i="24"/>
  <c r="J59" i="24" s="1"/>
  <c r="J14" i="24"/>
  <c r="I59" i="24" s="1"/>
  <c r="I14" i="24"/>
  <c r="H14" i="24"/>
  <c r="H21" i="24" s="1"/>
  <c r="G14" i="24"/>
  <c r="F14" i="24"/>
  <c r="E59" i="24" s="1"/>
  <c r="E14" i="24"/>
  <c r="D59" i="24" s="1"/>
  <c r="D14" i="24"/>
  <c r="C59" i="24" s="1"/>
  <c r="C14" i="24"/>
  <c r="B59" i="24" s="1"/>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D34" i="23"/>
  <c r="F18" i="23" s="1"/>
  <c r="C34" i="23"/>
  <c r="U33" i="23"/>
  <c r="T33" i="23"/>
  <c r="S33" i="23"/>
  <c r="R33" i="23"/>
  <c r="Q33" i="23"/>
  <c r="P33" i="23"/>
  <c r="O33" i="23"/>
  <c r="N33" i="23"/>
  <c r="M33" i="23"/>
  <c r="L33" i="23"/>
  <c r="K33" i="23"/>
  <c r="J33" i="23"/>
  <c r="I33" i="23"/>
  <c r="H33" i="23"/>
  <c r="G33" i="23"/>
  <c r="F33" i="23"/>
  <c r="E33" i="23"/>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T31" i="23"/>
  <c r="S31" i="23"/>
  <c r="R31" i="23"/>
  <c r="Q31" i="23"/>
  <c r="P31" i="23"/>
  <c r="O31" i="23"/>
  <c r="N31" i="23"/>
  <c r="M31" i="23"/>
  <c r="L31" i="23"/>
  <c r="K31" i="23"/>
  <c r="J31" i="23"/>
  <c r="I31" i="23"/>
  <c r="H31" i="23"/>
  <c r="G31" i="23"/>
  <c r="F31" i="23"/>
  <c r="E31" i="23"/>
  <c r="C22" i="23" s="1"/>
  <c r="D31" i="23"/>
  <c r="C18" i="23" s="1"/>
  <c r="C31" i="23"/>
  <c r="V24" i="23"/>
  <c r="U24" i="23"/>
  <c r="T24" i="23"/>
  <c r="S24" i="23"/>
  <c r="R24" i="23"/>
  <c r="Q24" i="23"/>
  <c r="P24" i="23"/>
  <c r="O24" i="23"/>
  <c r="N24" i="23"/>
  <c r="U22" i="23"/>
  <c r="S22" i="23"/>
  <c r="N22" i="23"/>
  <c r="M22" i="23"/>
  <c r="I22" i="23"/>
  <c r="F22" i="23"/>
  <c r="E22" i="23"/>
  <c r="V20" i="23"/>
  <c r="U20" i="23"/>
  <c r="T20" i="23"/>
  <c r="S20" i="23"/>
  <c r="R20" i="23"/>
  <c r="Q20" i="23"/>
  <c r="P20" i="23"/>
  <c r="O20" i="23"/>
  <c r="N20" i="23"/>
  <c r="R18" i="23"/>
  <c r="Q18" i="23"/>
  <c r="P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59" i="23" s="1"/>
  <c r="U14" i="23"/>
  <c r="T59" i="23" s="1"/>
  <c r="T14" i="23"/>
  <c r="S59" i="23" s="1"/>
  <c r="S14" i="23"/>
  <c r="R59" i="23" s="1"/>
  <c r="R14" i="23"/>
  <c r="Q59" i="23" s="1"/>
  <c r="Q14" i="23"/>
  <c r="P59" i="23" s="1"/>
  <c r="P14" i="23"/>
  <c r="O14" i="23"/>
  <c r="O21" i="23" s="1"/>
  <c r="N14" i="23"/>
  <c r="M59" i="23" s="1"/>
  <c r="M14" i="23"/>
  <c r="L59" i="23" s="1"/>
  <c r="L14" i="23"/>
  <c r="K59" i="23" s="1"/>
  <c r="K14" i="23"/>
  <c r="J59" i="23" s="1"/>
  <c r="J14" i="23"/>
  <c r="I59" i="23" s="1"/>
  <c r="I14" i="23"/>
  <c r="H59" i="23" s="1"/>
  <c r="H14" i="23"/>
  <c r="G14" i="23"/>
  <c r="G21" i="23" s="1"/>
  <c r="F14" i="23"/>
  <c r="E59" i="23" s="1"/>
  <c r="E14" i="23"/>
  <c r="D59" i="23" s="1"/>
  <c r="D14" i="23"/>
  <c r="C59" i="23" s="1"/>
  <c r="C14" i="23"/>
  <c r="B59" i="23" s="1"/>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C43" i="22"/>
  <c r="U42" i="22"/>
  <c r="T42" i="22"/>
  <c r="S42" i="22"/>
  <c r="R42" i="22"/>
  <c r="Q42" i="22"/>
  <c r="P42" i="22"/>
  <c r="O42" i="22"/>
  <c r="N42" i="22"/>
  <c r="M42" i="22"/>
  <c r="L42" i="22"/>
  <c r="K42" i="22"/>
  <c r="J42" i="22"/>
  <c r="I42" i="22"/>
  <c r="H42" i="22"/>
  <c r="G42" i="22"/>
  <c r="F42" i="22"/>
  <c r="E42" i="22"/>
  <c r="N22" i="22" s="1"/>
  <c r="D42" i="22"/>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T31" i="22"/>
  <c r="S31" i="22"/>
  <c r="R31" i="22"/>
  <c r="Q31" i="22"/>
  <c r="P31" i="22"/>
  <c r="O31" i="22"/>
  <c r="N31" i="22"/>
  <c r="M31" i="22"/>
  <c r="L31" i="22"/>
  <c r="K31" i="22"/>
  <c r="J31" i="22"/>
  <c r="I31" i="22"/>
  <c r="H31" i="22"/>
  <c r="G31" i="22"/>
  <c r="F31" i="22"/>
  <c r="E31" i="22"/>
  <c r="D31" i="22"/>
  <c r="C31" i="22"/>
  <c r="V24" i="22"/>
  <c r="U24" i="22"/>
  <c r="T24" i="22"/>
  <c r="S24" i="22"/>
  <c r="R24" i="22"/>
  <c r="Q24" i="22"/>
  <c r="P24" i="22"/>
  <c r="O24" i="22"/>
  <c r="N24" i="22"/>
  <c r="S22" i="22"/>
  <c r="V20" i="22"/>
  <c r="U20" i="22"/>
  <c r="T20" i="22"/>
  <c r="S20" i="22"/>
  <c r="R20" i="22"/>
  <c r="Q20" i="22"/>
  <c r="P20" i="22"/>
  <c r="O20" i="22"/>
  <c r="N20" i="22"/>
  <c r="U18" i="22"/>
  <c r="S18" i="22"/>
  <c r="O18" i="22"/>
  <c r="N18" i="22"/>
  <c r="M18" i="22"/>
  <c r="K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59" i="22" s="1"/>
  <c r="U14" i="22"/>
  <c r="T59" i="22" s="1"/>
  <c r="T14" i="22"/>
  <c r="S59" i="22" s="1"/>
  <c r="S14" i="22"/>
  <c r="R59" i="22" s="1"/>
  <c r="R14" i="22"/>
  <c r="Q59" i="22" s="1"/>
  <c r="Q14" i="22"/>
  <c r="P59" i="22" s="1"/>
  <c r="P14" i="22"/>
  <c r="O59" i="22" s="1"/>
  <c r="O14" i="22"/>
  <c r="N14" i="22"/>
  <c r="M59" i="22" s="1"/>
  <c r="M14" i="22"/>
  <c r="L59" i="22" s="1"/>
  <c r="L14" i="22"/>
  <c r="K59" i="22" s="1"/>
  <c r="K14" i="22"/>
  <c r="J59" i="22" s="1"/>
  <c r="J14" i="22"/>
  <c r="I59" i="22" s="1"/>
  <c r="I14" i="22"/>
  <c r="H59" i="22" s="1"/>
  <c r="H14" i="22"/>
  <c r="G59" i="22" s="1"/>
  <c r="G14" i="22"/>
  <c r="F14" i="22"/>
  <c r="E59" i="22" s="1"/>
  <c r="E14" i="22"/>
  <c r="D59" i="22" s="1"/>
  <c r="D14" i="22"/>
  <c r="C59" i="22" s="1"/>
  <c r="C14" i="22"/>
  <c r="B59" i="22" s="1"/>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G8" i="21"/>
  <c r="A35" i="21" s="1"/>
  <c r="H8" i="21"/>
  <c r="A36" i="21" s="1"/>
  <c r="I8" i="21"/>
  <c r="H57" i="21" s="1"/>
  <c r="J8" i="21"/>
  <c r="I57" i="21" s="1"/>
  <c r="K8" i="21"/>
  <c r="A39" i="21" s="1"/>
  <c r="L8" i="21"/>
  <c r="A40" i="21" s="1"/>
  <c r="M8" i="21"/>
  <c r="L57" i="21" s="1"/>
  <c r="N8" i="2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U62" i="21"/>
  <c r="T62" i="21"/>
  <c r="S62" i="21"/>
  <c r="R62" i="21"/>
  <c r="Q62" i="21"/>
  <c r="P62" i="21"/>
  <c r="O62" i="21"/>
  <c r="N62" i="21"/>
  <c r="M62" i="21"/>
  <c r="L62" i="21"/>
  <c r="K62" i="21"/>
  <c r="J62" i="21"/>
  <c r="I62" i="21"/>
  <c r="H62" i="21"/>
  <c r="G62" i="21"/>
  <c r="F62" i="21"/>
  <c r="F63" i="21" s="1"/>
  <c r="E62" i="21"/>
  <c r="D62" i="21"/>
  <c r="C62" i="21"/>
  <c r="B62" i="21"/>
  <c r="U60" i="21"/>
  <c r="P60" i="21"/>
  <c r="O60" i="21"/>
  <c r="H60" i="21"/>
  <c r="G60" i="21"/>
  <c r="L59" i="21"/>
  <c r="D59" i="21"/>
  <c r="N58" i="21"/>
  <c r="N61" i="21" s="1"/>
  <c r="U57" i="21"/>
  <c r="M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V18" i="21" s="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N20" i="21"/>
  <c r="F17" i="21"/>
  <c r="C18" i="22" l="1"/>
  <c r="C22" i="22"/>
  <c r="G23" i="23"/>
  <c r="G24" i="23" s="1"/>
  <c r="O23" i="23"/>
  <c r="F57" i="21"/>
  <c r="L21" i="21"/>
  <c r="S58" i="21"/>
  <c r="S61" i="21" s="1"/>
  <c r="C58" i="21"/>
  <c r="C61" i="21" s="1"/>
  <c r="I17" i="21"/>
  <c r="T21" i="21"/>
  <c r="L17" i="21"/>
  <c r="G21" i="22"/>
  <c r="G23" i="22" s="1"/>
  <c r="G24" i="22" s="1"/>
  <c r="O21" i="22"/>
  <c r="D17" i="21"/>
  <c r="K58" i="21"/>
  <c r="K61" i="21" s="1"/>
  <c r="J21" i="24"/>
  <c r="R17" i="24"/>
  <c r="R19" i="24" s="1"/>
  <c r="I21" i="27"/>
  <c r="Q21" i="27"/>
  <c r="U21" i="21"/>
  <c r="U23" i="21" s="1"/>
  <c r="U24" i="21" s="1"/>
  <c r="T17" i="21"/>
  <c r="R58" i="21"/>
  <c r="R61" i="21" s="1"/>
  <c r="S21" i="21"/>
  <c r="S23" i="21" s="1"/>
  <c r="S24" i="21" s="1"/>
  <c r="S17" i="21"/>
  <c r="P21" i="24"/>
  <c r="O57" i="21"/>
  <c r="O21" i="21"/>
  <c r="O23" i="21" s="1"/>
  <c r="O24" i="21" s="1"/>
  <c r="A43" i="21"/>
  <c r="M21" i="21"/>
  <c r="J58" i="21"/>
  <c r="J61" i="21" s="1"/>
  <c r="K21" i="21"/>
  <c r="G21" i="21"/>
  <c r="E17" i="21"/>
  <c r="E19" i="21" s="1"/>
  <c r="E20" i="21" s="1"/>
  <c r="R21" i="22"/>
  <c r="R23" i="22" s="1"/>
  <c r="G17" i="21"/>
  <c r="G21" i="26"/>
  <c r="G23" i="26" s="1"/>
  <c r="G24" i="26" s="1"/>
  <c r="O21" i="26"/>
  <c r="D58" i="29"/>
  <c r="D61" i="29" s="1"/>
  <c r="D64" i="29" s="1"/>
  <c r="J17" i="21"/>
  <c r="V17" i="23"/>
  <c r="H21" i="26"/>
  <c r="H23" i="26" s="1"/>
  <c r="H24" i="26" s="1"/>
  <c r="P21" i="26"/>
  <c r="P23" i="26" s="1"/>
  <c r="G21" i="27"/>
  <c r="O21" i="27"/>
  <c r="O23" i="27" s="1"/>
  <c r="D58" i="30"/>
  <c r="D61" i="30" s="1"/>
  <c r="L58" i="30"/>
  <c r="L61" i="30" s="1"/>
  <c r="L64" i="30" s="1"/>
  <c r="R58" i="23"/>
  <c r="R61" i="23" s="1"/>
  <c r="R64" i="23" s="1"/>
  <c r="H21" i="27"/>
  <c r="P21" i="27"/>
  <c r="H21" i="28"/>
  <c r="H23" i="28" s="1"/>
  <c r="H24" i="28" s="1"/>
  <c r="P21" i="28"/>
  <c r="G21" i="29"/>
  <c r="G23" i="29" s="1"/>
  <c r="G24" i="29" s="1"/>
  <c r="O17" i="21"/>
  <c r="R17" i="21"/>
  <c r="D19" i="21"/>
  <c r="D20" i="21" s="1"/>
  <c r="J58" i="22"/>
  <c r="J61" i="22" s="1"/>
  <c r="J58" i="26"/>
  <c r="J61" i="26" s="1"/>
  <c r="J21" i="23"/>
  <c r="J23" i="23" s="1"/>
  <c r="J24" i="23" s="1"/>
  <c r="R17" i="23"/>
  <c r="R19" i="23" s="1"/>
  <c r="J58" i="27"/>
  <c r="J61" i="27" s="1"/>
  <c r="J64" i="27" s="1"/>
  <c r="R58" i="27"/>
  <c r="R61" i="27" s="1"/>
  <c r="R64" i="27" s="1"/>
  <c r="R58" i="28"/>
  <c r="R61" i="28" s="1"/>
  <c r="R64" i="28" s="1"/>
  <c r="H21" i="21"/>
  <c r="H23" i="21" s="1"/>
  <c r="H24" i="21" s="1"/>
  <c r="F58" i="22"/>
  <c r="F61" i="22" s="1"/>
  <c r="N58" i="22"/>
  <c r="N61" i="22" s="1"/>
  <c r="F58" i="23"/>
  <c r="F61" i="23" s="1"/>
  <c r="N58" i="23"/>
  <c r="N61" i="23" s="1"/>
  <c r="D17" i="27"/>
  <c r="D19" i="27" s="1"/>
  <c r="D20" i="27" s="1"/>
  <c r="L21" i="27"/>
  <c r="L23" i="27" s="1"/>
  <c r="L24" i="27" s="1"/>
  <c r="T21" i="27"/>
  <c r="H57" i="29"/>
  <c r="J21" i="30"/>
  <c r="R21" i="30"/>
  <c r="R23" i="30" s="1"/>
  <c r="P58" i="21"/>
  <c r="P61" i="21" s="1"/>
  <c r="H58" i="21"/>
  <c r="H61" i="21" s="1"/>
  <c r="N59" i="23"/>
  <c r="N64" i="23" s="1"/>
  <c r="R58" i="26"/>
  <c r="R61" i="26" s="1"/>
  <c r="R64" i="26" s="1"/>
  <c r="R57" i="21"/>
  <c r="H58" i="22"/>
  <c r="H61" i="22" s="1"/>
  <c r="H64" i="22" s="1"/>
  <c r="P58" i="22"/>
  <c r="P61" i="22" s="1"/>
  <c r="P64" i="22" s="1"/>
  <c r="F59" i="22"/>
  <c r="K58" i="29"/>
  <c r="K61" i="29" s="1"/>
  <c r="K64" i="29" s="1"/>
  <c r="H21" i="30"/>
  <c r="P21" i="30"/>
  <c r="P23" i="30" s="1"/>
  <c r="F17" i="23"/>
  <c r="F19" i="23" s="1"/>
  <c r="F20" i="23" s="1"/>
  <c r="N17" i="23"/>
  <c r="I58" i="23"/>
  <c r="I61" i="23" s="1"/>
  <c r="I64" i="23" s="1"/>
  <c r="Q58" i="23"/>
  <c r="Q61" i="23" s="1"/>
  <c r="Q64" i="23" s="1"/>
  <c r="L58" i="29"/>
  <c r="L61" i="29" s="1"/>
  <c r="L64" i="29" s="1"/>
  <c r="T58" i="29"/>
  <c r="T61" i="29" s="1"/>
  <c r="I21" i="30"/>
  <c r="I23" i="30" s="1"/>
  <c r="I24" i="30" s="1"/>
  <c r="Q21" i="30"/>
  <c r="Q23" i="30" s="1"/>
  <c r="E21" i="30"/>
  <c r="E23" i="30" s="1"/>
  <c r="E24" i="30" s="1"/>
  <c r="M21" i="30"/>
  <c r="M23" i="30" s="1"/>
  <c r="M24" i="30" s="1"/>
  <c r="U21" i="30"/>
  <c r="U23" i="30" s="1"/>
  <c r="J58" i="28"/>
  <c r="J61" i="28" s="1"/>
  <c r="J64" i="28" s="1"/>
  <c r="R58" i="22"/>
  <c r="R61" i="22" s="1"/>
  <c r="R64" i="22" s="1"/>
  <c r="J58" i="23"/>
  <c r="J61" i="23" s="1"/>
  <c r="J58" i="24"/>
  <c r="J61" i="24" s="1"/>
  <c r="R58" i="24"/>
  <c r="R61" i="24" s="1"/>
  <c r="R64" i="24" s="1"/>
  <c r="F57" i="24"/>
  <c r="R21" i="26"/>
  <c r="T58" i="30"/>
  <c r="T61" i="30" s="1"/>
  <c r="T64" i="30" s="1"/>
  <c r="C58" i="23"/>
  <c r="C61" i="23" s="1"/>
  <c r="C64" i="23" s="1"/>
  <c r="K58" i="23"/>
  <c r="K61" i="23" s="1"/>
  <c r="K64" i="23" s="1"/>
  <c r="S58" i="23"/>
  <c r="S61" i="23" s="1"/>
  <c r="F58" i="26"/>
  <c r="F61" i="26" s="1"/>
  <c r="D58" i="27"/>
  <c r="D61" i="27" s="1"/>
  <c r="D64" i="27" s="1"/>
  <c r="L58" i="27"/>
  <c r="L61" i="27" s="1"/>
  <c r="L64" i="27" s="1"/>
  <c r="T58" i="27"/>
  <c r="T61" i="27" s="1"/>
  <c r="T64" i="27" s="1"/>
  <c r="O21" i="29"/>
  <c r="J58" i="30"/>
  <c r="J61" i="30" s="1"/>
  <c r="J64" i="30" s="1"/>
  <c r="R58" i="30"/>
  <c r="R61" i="30" s="1"/>
  <c r="R64" i="30" s="1"/>
  <c r="P57" i="30"/>
  <c r="J57" i="21"/>
  <c r="H59" i="21"/>
  <c r="H64" i="21" s="1"/>
  <c r="Q21" i="22"/>
  <c r="Q23" i="22" s="1"/>
  <c r="I17" i="24"/>
  <c r="I19" i="24" s="1"/>
  <c r="I20" i="24" s="1"/>
  <c r="Q17" i="24"/>
  <c r="Q19" i="24" s="1"/>
  <c r="J17" i="27"/>
  <c r="J19" i="27" s="1"/>
  <c r="J20" i="27" s="1"/>
  <c r="R21" i="27"/>
  <c r="R23" i="27" s="1"/>
  <c r="O64" i="21"/>
  <c r="E58" i="27"/>
  <c r="E61" i="27" s="1"/>
  <c r="E64" i="27" s="1"/>
  <c r="M58" i="27"/>
  <c r="M61" i="27" s="1"/>
  <c r="M64" i="27" s="1"/>
  <c r="U58" i="27"/>
  <c r="U61" i="27" s="1"/>
  <c r="U64" i="27" s="1"/>
  <c r="U65" i="27" s="1"/>
  <c r="I58" i="29"/>
  <c r="I61" i="29" s="1"/>
  <c r="I64" i="29" s="1"/>
  <c r="Q58" i="29"/>
  <c r="Q61" i="29" s="1"/>
  <c r="Q64" i="29" s="1"/>
  <c r="F58" i="30"/>
  <c r="F61" i="30" s="1"/>
  <c r="N58" i="30"/>
  <c r="N61" i="30" s="1"/>
  <c r="P21" i="21"/>
  <c r="G59" i="21"/>
  <c r="G64" i="21" s="1"/>
  <c r="G58" i="22"/>
  <c r="G61" i="22" s="1"/>
  <c r="G64" i="22" s="1"/>
  <c r="O58" i="22"/>
  <c r="O61" i="22" s="1"/>
  <c r="O64" i="22" s="1"/>
  <c r="F59" i="23"/>
  <c r="F64" i="23" s="1"/>
  <c r="C58" i="24"/>
  <c r="C61" i="24" s="1"/>
  <c r="C64" i="24" s="1"/>
  <c r="K58" i="24"/>
  <c r="K61" i="24" s="1"/>
  <c r="K64" i="24" s="1"/>
  <c r="S58" i="24"/>
  <c r="S61" i="24" s="1"/>
  <c r="S64" i="24" s="1"/>
  <c r="N57" i="24"/>
  <c r="G58" i="26"/>
  <c r="G61" i="26" s="1"/>
  <c r="O58" i="26"/>
  <c r="O61" i="26" s="1"/>
  <c r="F58" i="27"/>
  <c r="F61" i="27" s="1"/>
  <c r="N58" i="27"/>
  <c r="N61" i="27" s="1"/>
  <c r="C58" i="28"/>
  <c r="C61" i="28" s="1"/>
  <c r="C64" i="28" s="1"/>
  <c r="K58" i="28"/>
  <c r="K61" i="28" s="1"/>
  <c r="K64" i="28" s="1"/>
  <c r="S58" i="28"/>
  <c r="S61" i="28" s="1"/>
  <c r="S64" i="28" s="1"/>
  <c r="J58" i="29"/>
  <c r="J61" i="29" s="1"/>
  <c r="J64" i="29" s="1"/>
  <c r="R58" i="29"/>
  <c r="R61" i="29" s="1"/>
  <c r="R64" i="29" s="1"/>
  <c r="P57" i="29"/>
  <c r="D21" i="30"/>
  <c r="L21" i="30"/>
  <c r="L23" i="30" s="1"/>
  <c r="L24" i="30" s="1"/>
  <c r="T21" i="30"/>
  <c r="T23" i="30" s="1"/>
  <c r="G58" i="30"/>
  <c r="G61" i="30" s="1"/>
  <c r="O58" i="30"/>
  <c r="O61" i="30" s="1"/>
  <c r="Q57" i="30"/>
  <c r="E21" i="21"/>
  <c r="E23" i="21" s="1"/>
  <c r="E24" i="21" s="1"/>
  <c r="A36" i="22"/>
  <c r="G58" i="27"/>
  <c r="G61" i="27" s="1"/>
  <c r="T58" i="28"/>
  <c r="T61" i="28" s="1"/>
  <c r="C58" i="29"/>
  <c r="C61" i="29" s="1"/>
  <c r="C64" i="29" s="1"/>
  <c r="H58" i="30"/>
  <c r="H61" i="30" s="1"/>
  <c r="N59" i="30"/>
  <c r="K17" i="21"/>
  <c r="K19" i="21" s="1"/>
  <c r="K20" i="21" s="1"/>
  <c r="Q57" i="21"/>
  <c r="B58" i="21"/>
  <c r="B61" i="21" s="1"/>
  <c r="B64" i="21" s="1"/>
  <c r="I58" i="22"/>
  <c r="I61" i="22" s="1"/>
  <c r="I64" i="22" s="1"/>
  <c r="Q58" i="22"/>
  <c r="Q61" i="22" s="1"/>
  <c r="Q64" i="22" s="1"/>
  <c r="I21" i="23"/>
  <c r="I23" i="23" s="1"/>
  <c r="I24" i="23" s="1"/>
  <c r="Q21" i="23"/>
  <c r="Q23" i="23" s="1"/>
  <c r="D58" i="23"/>
  <c r="D61" i="23" s="1"/>
  <c r="D64" i="23" s="1"/>
  <c r="L58" i="23"/>
  <c r="L61" i="23" s="1"/>
  <c r="L64" i="23" s="1"/>
  <c r="T58" i="23"/>
  <c r="T61" i="23" s="1"/>
  <c r="T64" i="23" s="1"/>
  <c r="E58" i="24"/>
  <c r="E61" i="24" s="1"/>
  <c r="M58" i="24"/>
  <c r="M61" i="24" s="1"/>
  <c r="U58" i="24"/>
  <c r="U61" i="24" s="1"/>
  <c r="U64" i="24" s="1"/>
  <c r="U65" i="24" s="1"/>
  <c r="N59" i="26"/>
  <c r="H58" i="27"/>
  <c r="H61" i="27" s="1"/>
  <c r="P58" i="27"/>
  <c r="P61" i="27" s="1"/>
  <c r="F57" i="27"/>
  <c r="J21" i="28"/>
  <c r="J23" i="28" s="1"/>
  <c r="J24" i="28" s="1"/>
  <c r="R21" i="28"/>
  <c r="E58" i="28"/>
  <c r="E61" i="28" s="1"/>
  <c r="E64" i="28" s="1"/>
  <c r="M58" i="28"/>
  <c r="M61" i="28" s="1"/>
  <c r="M64" i="28" s="1"/>
  <c r="U58" i="28"/>
  <c r="U61" i="28" s="1"/>
  <c r="U64" i="28" s="1"/>
  <c r="U65" i="28" s="1"/>
  <c r="T64" i="29"/>
  <c r="I58" i="30"/>
  <c r="I61" i="30" s="1"/>
  <c r="Q58" i="30"/>
  <c r="Q61" i="30" s="1"/>
  <c r="Q64" i="30" s="1"/>
  <c r="Q65" i="30" s="1"/>
  <c r="P59" i="30"/>
  <c r="J64" i="23"/>
  <c r="L58" i="24"/>
  <c r="L61" i="24" s="1"/>
  <c r="L64" i="24" s="1"/>
  <c r="P58" i="26"/>
  <c r="P61" i="26" s="1"/>
  <c r="F59" i="26"/>
  <c r="O58" i="27"/>
  <c r="O61" i="27" s="1"/>
  <c r="U17" i="21"/>
  <c r="U19" i="21" s="1"/>
  <c r="V17" i="21"/>
  <c r="V19" i="21" s="1"/>
  <c r="A38" i="21"/>
  <c r="F57" i="22"/>
  <c r="N59" i="22"/>
  <c r="E58" i="23"/>
  <c r="E61" i="23" s="1"/>
  <c r="E64" i="23" s="1"/>
  <c r="M58" i="23"/>
  <c r="M61" i="23" s="1"/>
  <c r="M64" i="23" s="1"/>
  <c r="U58" i="23"/>
  <c r="U61" i="23" s="1"/>
  <c r="U64" i="23" s="1"/>
  <c r="N19" i="23"/>
  <c r="V19" i="23"/>
  <c r="G21" i="24"/>
  <c r="G23" i="24" s="1"/>
  <c r="G24" i="24" s="1"/>
  <c r="O21" i="24"/>
  <c r="O23" i="24" s="1"/>
  <c r="F58" i="24"/>
  <c r="F61" i="24" s="1"/>
  <c r="N58" i="24"/>
  <c r="N61" i="24" s="1"/>
  <c r="F59" i="24"/>
  <c r="F64" i="24" s="1"/>
  <c r="F65" i="24" s="1"/>
  <c r="J64" i="26"/>
  <c r="I58" i="27"/>
  <c r="I61" i="27" s="1"/>
  <c r="Q58" i="27"/>
  <c r="Q61" i="27" s="1"/>
  <c r="Q64" i="27" s="1"/>
  <c r="H57" i="27"/>
  <c r="F59" i="27"/>
  <c r="G21" i="28"/>
  <c r="G23" i="28" s="1"/>
  <c r="G24" i="28" s="1"/>
  <c r="O21" i="28"/>
  <c r="O23" i="28" s="1"/>
  <c r="F58" i="28"/>
  <c r="F61" i="28" s="1"/>
  <c r="F64" i="28" s="1"/>
  <c r="F65" i="28" s="1"/>
  <c r="N58" i="28"/>
  <c r="N61" i="28" s="1"/>
  <c r="E58" i="29"/>
  <c r="E61" i="29" s="1"/>
  <c r="E64" i="29" s="1"/>
  <c r="M58" i="29"/>
  <c r="M61" i="29" s="1"/>
  <c r="U58" i="29"/>
  <c r="U61" i="29" s="1"/>
  <c r="U64" i="29" s="1"/>
  <c r="U65" i="29" s="1"/>
  <c r="F57" i="30"/>
  <c r="N58" i="26"/>
  <c r="N61" i="26" s="1"/>
  <c r="T58" i="24"/>
  <c r="T61" i="24" s="1"/>
  <c r="T64" i="24" s="1"/>
  <c r="H58" i="26"/>
  <c r="H61" i="26" s="1"/>
  <c r="L58" i="28"/>
  <c r="L61" i="28" s="1"/>
  <c r="S58" i="29"/>
  <c r="S61" i="29" s="1"/>
  <c r="S64" i="29" s="1"/>
  <c r="P17" i="21"/>
  <c r="P19" i="21" s="1"/>
  <c r="H17" i="21"/>
  <c r="H21" i="22"/>
  <c r="H23" i="22" s="1"/>
  <c r="H24" i="22" s="1"/>
  <c r="P21" i="22"/>
  <c r="P23" i="22" s="1"/>
  <c r="C58" i="22"/>
  <c r="C61" i="22" s="1"/>
  <c r="C64" i="22" s="1"/>
  <c r="K58" i="22"/>
  <c r="K61" i="22" s="1"/>
  <c r="K64" i="22" s="1"/>
  <c r="S58" i="22"/>
  <c r="S61" i="22" s="1"/>
  <c r="S64" i="22" s="1"/>
  <c r="F57" i="23"/>
  <c r="D21" i="24"/>
  <c r="D23" i="24" s="1"/>
  <c r="D24" i="24" s="1"/>
  <c r="L21" i="24"/>
  <c r="L23" i="24" s="1"/>
  <c r="L24" i="24" s="1"/>
  <c r="T21" i="24"/>
  <c r="T23" i="24" s="1"/>
  <c r="G58" i="24"/>
  <c r="G61" i="24" s="1"/>
  <c r="O58" i="24"/>
  <c r="O61" i="24" s="1"/>
  <c r="N59" i="24"/>
  <c r="C58" i="26"/>
  <c r="C61" i="26" s="1"/>
  <c r="C64" i="26" s="1"/>
  <c r="K58" i="26"/>
  <c r="K61" i="26" s="1"/>
  <c r="K64" i="26" s="1"/>
  <c r="S58" i="26"/>
  <c r="S61" i="26" s="1"/>
  <c r="H23" i="27"/>
  <c r="H24" i="27" s="1"/>
  <c r="P23" i="27"/>
  <c r="N57" i="27"/>
  <c r="H59" i="27"/>
  <c r="G58" i="28"/>
  <c r="G61" i="28" s="1"/>
  <c r="O58" i="28"/>
  <c r="O61" i="28" s="1"/>
  <c r="R23" i="28"/>
  <c r="F57" i="28"/>
  <c r="F58" i="29"/>
  <c r="F61" i="29" s="1"/>
  <c r="N58" i="29"/>
  <c r="N61" i="29" s="1"/>
  <c r="H59" i="29"/>
  <c r="C58" i="30"/>
  <c r="C61" i="30" s="1"/>
  <c r="C64" i="30" s="1"/>
  <c r="K58" i="30"/>
  <c r="K61" i="30" s="1"/>
  <c r="K64" i="30" s="1"/>
  <c r="S58" i="30"/>
  <c r="S61" i="30" s="1"/>
  <c r="S64" i="30" s="1"/>
  <c r="H57" i="30"/>
  <c r="F19" i="21"/>
  <c r="F20" i="21" s="1"/>
  <c r="J64" i="24"/>
  <c r="D58" i="24"/>
  <c r="D61" i="24" s="1"/>
  <c r="D64" i="24" s="1"/>
  <c r="D58" i="28"/>
  <c r="D61" i="28" s="1"/>
  <c r="D64" i="28" s="1"/>
  <c r="P58" i="30"/>
  <c r="P61" i="30" s="1"/>
  <c r="N17" i="21"/>
  <c r="Q58" i="21"/>
  <c r="Q61" i="21" s="1"/>
  <c r="I58" i="21"/>
  <c r="I61" i="21" s="1"/>
  <c r="I64" i="21" s="1"/>
  <c r="I21" i="22"/>
  <c r="I23" i="22" s="1"/>
  <c r="I24" i="22" s="1"/>
  <c r="D58" i="22"/>
  <c r="D61" i="22" s="1"/>
  <c r="D64" i="22" s="1"/>
  <c r="L58" i="22"/>
  <c r="L61" i="22" s="1"/>
  <c r="T58" i="22"/>
  <c r="T61" i="22" s="1"/>
  <c r="T64" i="22" s="1"/>
  <c r="A37" i="22"/>
  <c r="N57" i="22"/>
  <c r="G58" i="23"/>
  <c r="G61" i="23" s="1"/>
  <c r="O58" i="23"/>
  <c r="O61" i="23" s="1"/>
  <c r="N57" i="23"/>
  <c r="I21" i="24"/>
  <c r="I23" i="24" s="1"/>
  <c r="I24" i="24" s="1"/>
  <c r="Q21" i="24"/>
  <c r="Q23" i="24" s="1"/>
  <c r="H58" i="24"/>
  <c r="H61" i="24" s="1"/>
  <c r="P58" i="24"/>
  <c r="P61" i="24" s="1"/>
  <c r="I21" i="26"/>
  <c r="I23" i="26" s="1"/>
  <c r="I24" i="26" s="1"/>
  <c r="Q21" i="26"/>
  <c r="Q23" i="26" s="1"/>
  <c r="D58" i="26"/>
  <c r="D61" i="26" s="1"/>
  <c r="L58" i="26"/>
  <c r="L61" i="26" s="1"/>
  <c r="T58" i="26"/>
  <c r="T61" i="26" s="1"/>
  <c r="T64" i="26" s="1"/>
  <c r="T65" i="26" s="1"/>
  <c r="F57" i="26"/>
  <c r="C58" i="27"/>
  <c r="C61" i="27" s="1"/>
  <c r="C64" i="27" s="1"/>
  <c r="K58" i="27"/>
  <c r="K61" i="27" s="1"/>
  <c r="S58" i="27"/>
  <c r="S61" i="27" s="1"/>
  <c r="S64" i="27" s="1"/>
  <c r="S65" i="27" s="1"/>
  <c r="P57" i="27"/>
  <c r="N59" i="27"/>
  <c r="I21" i="28"/>
  <c r="I23" i="28" s="1"/>
  <c r="I24" i="28" s="1"/>
  <c r="Q21" i="28"/>
  <c r="Q23" i="28" s="1"/>
  <c r="H58" i="28"/>
  <c r="H61" i="28" s="1"/>
  <c r="P58" i="28"/>
  <c r="P61" i="28" s="1"/>
  <c r="N57" i="28"/>
  <c r="H21" i="29"/>
  <c r="H23" i="29" s="1"/>
  <c r="H24" i="29" s="1"/>
  <c r="P21" i="29"/>
  <c r="D21" i="29"/>
  <c r="D23" i="29" s="1"/>
  <c r="D24" i="29" s="1"/>
  <c r="L21" i="29"/>
  <c r="L23" i="29" s="1"/>
  <c r="L24" i="29" s="1"/>
  <c r="T21" i="29"/>
  <c r="T23" i="29" s="1"/>
  <c r="G58" i="29"/>
  <c r="G61" i="29" s="1"/>
  <c r="O58" i="29"/>
  <c r="O61" i="29" s="1"/>
  <c r="P59" i="29"/>
  <c r="D64" i="30"/>
  <c r="D65" i="30" s="1"/>
  <c r="I57" i="30"/>
  <c r="M17" i="21"/>
  <c r="M19" i="21" s="1"/>
  <c r="M20" i="21" s="1"/>
  <c r="G57" i="21"/>
  <c r="J17" i="22"/>
  <c r="J19" i="22" s="1"/>
  <c r="J20" i="22" s="1"/>
  <c r="E58" i="22"/>
  <c r="E61" i="22" s="1"/>
  <c r="E64" i="22" s="1"/>
  <c r="M58" i="22"/>
  <c r="M61" i="22" s="1"/>
  <c r="M64" i="22" s="1"/>
  <c r="U58" i="22"/>
  <c r="U61" i="22" s="1"/>
  <c r="U64" i="22" s="1"/>
  <c r="A45" i="22"/>
  <c r="O57" i="22"/>
  <c r="H21" i="23"/>
  <c r="H23" i="23" s="1"/>
  <c r="H24" i="23" s="1"/>
  <c r="P21" i="23"/>
  <c r="H58" i="23"/>
  <c r="H61" i="23" s="1"/>
  <c r="H64" i="23" s="1"/>
  <c r="P58" i="23"/>
  <c r="P61" i="23" s="1"/>
  <c r="P64" i="23" s="1"/>
  <c r="I58" i="24"/>
  <c r="I61" i="24" s="1"/>
  <c r="I64" i="24" s="1"/>
  <c r="Q58" i="24"/>
  <c r="Q61" i="24" s="1"/>
  <c r="Q64" i="24" s="1"/>
  <c r="J21" i="26"/>
  <c r="E58" i="26"/>
  <c r="E61" i="26" s="1"/>
  <c r="M58" i="26"/>
  <c r="M61" i="26" s="1"/>
  <c r="M64" i="26" s="1"/>
  <c r="M65" i="26" s="1"/>
  <c r="U58" i="26"/>
  <c r="U61" i="26" s="1"/>
  <c r="N57" i="26"/>
  <c r="G23" i="27"/>
  <c r="G24" i="27" s="1"/>
  <c r="P59" i="27"/>
  <c r="P64" i="27" s="1"/>
  <c r="I58" i="28"/>
  <c r="I61" i="28" s="1"/>
  <c r="I64" i="28" s="1"/>
  <c r="Q58" i="28"/>
  <c r="Q61" i="28" s="1"/>
  <c r="Q64" i="28" s="1"/>
  <c r="P23" i="28"/>
  <c r="H58" i="29"/>
  <c r="H61" i="29" s="1"/>
  <c r="H64" i="29" s="1"/>
  <c r="P58" i="29"/>
  <c r="P61" i="29" s="1"/>
  <c r="P23" i="29"/>
  <c r="E58" i="30"/>
  <c r="E61" i="30" s="1"/>
  <c r="E64" i="30" s="1"/>
  <c r="M58" i="30"/>
  <c r="M61" i="30" s="1"/>
  <c r="M64" i="30" s="1"/>
  <c r="U58" i="30"/>
  <c r="U61" i="30" s="1"/>
  <c r="U64" i="30" s="1"/>
  <c r="U65" i="30" s="1"/>
  <c r="N57" i="30"/>
  <c r="F59" i="30"/>
  <c r="F64" i="30" s="1"/>
  <c r="B58" i="30"/>
  <c r="B61" i="30" s="1"/>
  <c r="B64" i="30" s="1"/>
  <c r="B58" i="24"/>
  <c r="B61" i="24" s="1"/>
  <c r="B64" i="24" s="1"/>
  <c r="B58" i="26"/>
  <c r="B61" i="26" s="1"/>
  <c r="B64" i="26" s="1"/>
  <c r="B58" i="27"/>
  <c r="B61" i="27" s="1"/>
  <c r="B64" i="27" s="1"/>
  <c r="B58" i="23"/>
  <c r="B61" i="23" s="1"/>
  <c r="B64" i="23" s="1"/>
  <c r="B58" i="28"/>
  <c r="B61" i="28" s="1"/>
  <c r="B64" i="28" s="1"/>
  <c r="C21" i="21"/>
  <c r="C23" i="21" s="1"/>
  <c r="C24" i="21" s="1"/>
  <c r="B58" i="22"/>
  <c r="B61" i="22" s="1"/>
  <c r="B64" i="22" s="1"/>
  <c r="B58" i="29"/>
  <c r="B61" i="29" s="1"/>
  <c r="B64" i="29" s="1"/>
  <c r="C17" i="21"/>
  <c r="C19" i="21" s="1"/>
  <c r="C20" i="21" s="1"/>
  <c r="H64" i="30"/>
  <c r="D23" i="30"/>
  <c r="D24" i="30" s="1"/>
  <c r="I64" i="30"/>
  <c r="O23" i="30"/>
  <c r="J23" i="30"/>
  <c r="J24" i="30" s="1"/>
  <c r="H23" i="30"/>
  <c r="H24" i="30" s="1"/>
  <c r="G23" i="30"/>
  <c r="G24" i="30" s="1"/>
  <c r="J17" i="30"/>
  <c r="J19" i="30" s="1"/>
  <c r="J20" i="30" s="1"/>
  <c r="R17" i="30"/>
  <c r="R19" i="30" s="1"/>
  <c r="F63" i="30"/>
  <c r="N63" i="30"/>
  <c r="C17" i="30"/>
  <c r="C19" i="30" s="1"/>
  <c r="C20" i="30" s="1"/>
  <c r="K17" i="30"/>
  <c r="K19" i="30" s="1"/>
  <c r="K20" i="30" s="1"/>
  <c r="S17" i="30"/>
  <c r="S19" i="30" s="1"/>
  <c r="C21" i="30"/>
  <c r="C23" i="30" s="1"/>
  <c r="C24" i="30" s="1"/>
  <c r="K21" i="30"/>
  <c r="K23" i="30" s="1"/>
  <c r="K24" i="30" s="1"/>
  <c r="S21" i="30"/>
  <c r="S23" i="30" s="1"/>
  <c r="A31" i="30"/>
  <c r="A33" i="30"/>
  <c r="A39" i="30"/>
  <c r="A41" i="30"/>
  <c r="A47" i="30"/>
  <c r="A49" i="30"/>
  <c r="G57" i="30"/>
  <c r="O57" i="30"/>
  <c r="G59" i="30"/>
  <c r="G64" i="30" s="1"/>
  <c r="O59" i="30"/>
  <c r="G63" i="30"/>
  <c r="O63" i="30"/>
  <c r="D17" i="30"/>
  <c r="D19" i="30" s="1"/>
  <c r="D20" i="30" s="1"/>
  <c r="P63" i="30"/>
  <c r="I63" i="30"/>
  <c r="Q63" i="30"/>
  <c r="T17" i="30"/>
  <c r="T19" i="30" s="1"/>
  <c r="E17" i="30"/>
  <c r="E19" i="30" s="1"/>
  <c r="E20" i="30" s="1"/>
  <c r="F17" i="30"/>
  <c r="F19" i="30" s="1"/>
  <c r="F20" i="30" s="1"/>
  <c r="N17" i="30"/>
  <c r="N19" i="30" s="1"/>
  <c r="V17" i="30"/>
  <c r="V19" i="30" s="1"/>
  <c r="F21" i="30"/>
  <c r="F23" i="30" s="1"/>
  <c r="F24" i="30" s="1"/>
  <c r="N21" i="30"/>
  <c r="N23" i="30" s="1"/>
  <c r="V21" i="30"/>
  <c r="V23" i="30" s="1"/>
  <c r="B63" i="30"/>
  <c r="J63" i="30"/>
  <c r="R63" i="30"/>
  <c r="M17" i="30"/>
  <c r="M19" i="30" s="1"/>
  <c r="M20" i="30" s="1"/>
  <c r="G17" i="30"/>
  <c r="G19" i="30" s="1"/>
  <c r="G20" i="30" s="1"/>
  <c r="O17" i="30"/>
  <c r="O19" i="30" s="1"/>
  <c r="A32" i="30"/>
  <c r="A34" i="30"/>
  <c r="A40" i="30"/>
  <c r="A42" i="30"/>
  <c r="A48" i="30"/>
  <c r="A50" i="30"/>
  <c r="C63" i="30"/>
  <c r="K63" i="30"/>
  <c r="S63" i="30"/>
  <c r="L17" i="30"/>
  <c r="L19" i="30" s="1"/>
  <c r="L20" i="30" s="1"/>
  <c r="H17" i="30"/>
  <c r="H19" i="30" s="1"/>
  <c r="H20" i="30" s="1"/>
  <c r="P17" i="30"/>
  <c r="P19" i="30" s="1"/>
  <c r="D63" i="30"/>
  <c r="L63" i="30"/>
  <c r="T63" i="30"/>
  <c r="H63" i="30"/>
  <c r="U17" i="30"/>
  <c r="U19" i="30" s="1"/>
  <c r="I17" i="30"/>
  <c r="I19" i="30" s="1"/>
  <c r="I20" i="30" s="1"/>
  <c r="Q17" i="30"/>
  <c r="Q19" i="30" s="1"/>
  <c r="E63" i="30"/>
  <c r="M63" i="30"/>
  <c r="I23" i="29"/>
  <c r="I24" i="29" s="1"/>
  <c r="Q23" i="29"/>
  <c r="M64" i="29"/>
  <c r="O23" i="29"/>
  <c r="T17" i="29"/>
  <c r="T19" i="29" s="1"/>
  <c r="P63" i="29"/>
  <c r="J17" i="29"/>
  <c r="J19" i="29" s="1"/>
  <c r="J20" i="29" s="1"/>
  <c r="R17" i="29"/>
  <c r="R19" i="29" s="1"/>
  <c r="J21" i="29"/>
  <c r="J23" i="29" s="1"/>
  <c r="J24" i="29" s="1"/>
  <c r="R21" i="29"/>
  <c r="R23" i="29" s="1"/>
  <c r="F57" i="29"/>
  <c r="N57" i="29"/>
  <c r="F59" i="29"/>
  <c r="N59" i="29"/>
  <c r="F63" i="29"/>
  <c r="N63" i="29"/>
  <c r="H63" i="29"/>
  <c r="C17" i="29"/>
  <c r="C19" i="29" s="1"/>
  <c r="C20" i="29" s="1"/>
  <c r="K17" i="29"/>
  <c r="K19" i="29" s="1"/>
  <c r="K20" i="29" s="1"/>
  <c r="S17" i="29"/>
  <c r="S19" i="29" s="1"/>
  <c r="C21" i="29"/>
  <c r="C23" i="29" s="1"/>
  <c r="C24" i="29" s="1"/>
  <c r="K21" i="29"/>
  <c r="K23" i="29" s="1"/>
  <c r="K24" i="29" s="1"/>
  <c r="S21" i="29"/>
  <c r="S23" i="29" s="1"/>
  <c r="A31" i="29"/>
  <c r="A33" i="29"/>
  <c r="A39" i="29"/>
  <c r="A41" i="29"/>
  <c r="A47" i="29"/>
  <c r="A49" i="29"/>
  <c r="G57" i="29"/>
  <c r="O57" i="29"/>
  <c r="G59" i="29"/>
  <c r="O59" i="29"/>
  <c r="G63" i="29"/>
  <c r="O63" i="29"/>
  <c r="D17" i="29"/>
  <c r="D19" i="29" s="1"/>
  <c r="D20" i="29" s="1"/>
  <c r="E17" i="29"/>
  <c r="E19" i="29" s="1"/>
  <c r="E20" i="29" s="1"/>
  <c r="M17" i="29"/>
  <c r="M19" i="29" s="1"/>
  <c r="M20" i="29" s="1"/>
  <c r="U17" i="29"/>
  <c r="U19" i="29" s="1"/>
  <c r="E21" i="29"/>
  <c r="E23" i="29" s="1"/>
  <c r="E24" i="29" s="1"/>
  <c r="M21" i="29"/>
  <c r="M23" i="29" s="1"/>
  <c r="M24" i="29" s="1"/>
  <c r="U21" i="29"/>
  <c r="U23" i="29" s="1"/>
  <c r="I57" i="29"/>
  <c r="Q57" i="29"/>
  <c r="I63" i="29"/>
  <c r="Q63" i="29"/>
  <c r="F17" i="29"/>
  <c r="F19" i="29" s="1"/>
  <c r="F20" i="29" s="1"/>
  <c r="N17" i="29"/>
  <c r="N19" i="29" s="1"/>
  <c r="V17" i="29"/>
  <c r="V19" i="29" s="1"/>
  <c r="F21" i="29"/>
  <c r="F23" i="29" s="1"/>
  <c r="F24" i="29" s="1"/>
  <c r="N21" i="29"/>
  <c r="N23" i="29" s="1"/>
  <c r="V21" i="29"/>
  <c r="V23" i="29" s="1"/>
  <c r="B63" i="29"/>
  <c r="J63" i="29"/>
  <c r="R63" i="29"/>
  <c r="L17" i="29"/>
  <c r="L19" i="29" s="1"/>
  <c r="L20" i="29" s="1"/>
  <c r="G17" i="29"/>
  <c r="G19" i="29" s="1"/>
  <c r="G20" i="29" s="1"/>
  <c r="O17" i="29"/>
  <c r="O19" i="29" s="1"/>
  <c r="A32" i="29"/>
  <c r="A34" i="29"/>
  <c r="A40" i="29"/>
  <c r="A42" i="29"/>
  <c r="A48" i="29"/>
  <c r="A50" i="29"/>
  <c r="C63" i="29"/>
  <c r="K63" i="29"/>
  <c r="S63" i="29"/>
  <c r="H17" i="29"/>
  <c r="H19" i="29" s="1"/>
  <c r="H20" i="29" s="1"/>
  <c r="P17" i="29"/>
  <c r="P19" i="29" s="1"/>
  <c r="D63" i="29"/>
  <c r="L63" i="29"/>
  <c r="T63" i="29"/>
  <c r="I17" i="29"/>
  <c r="I19" i="29" s="1"/>
  <c r="I20" i="29" s="1"/>
  <c r="Q17" i="29"/>
  <c r="Q19" i="29" s="1"/>
  <c r="E63" i="29"/>
  <c r="M63" i="29"/>
  <c r="L64" i="28"/>
  <c r="T64" i="28"/>
  <c r="N64" i="28"/>
  <c r="N65" i="28" s="1"/>
  <c r="J17" i="28"/>
  <c r="J19" i="28" s="1"/>
  <c r="J20" i="28" s="1"/>
  <c r="C17" i="28"/>
  <c r="C19" i="28" s="1"/>
  <c r="C20" i="28" s="1"/>
  <c r="K17" i="28"/>
  <c r="K19" i="28" s="1"/>
  <c r="K20" i="28" s="1"/>
  <c r="S17" i="28"/>
  <c r="S19" i="28" s="1"/>
  <c r="C21" i="28"/>
  <c r="C23" i="28" s="1"/>
  <c r="C24" i="28" s="1"/>
  <c r="K21" i="28"/>
  <c r="K23" i="28" s="1"/>
  <c r="K24" i="28" s="1"/>
  <c r="S21" i="28"/>
  <c r="S23" i="28" s="1"/>
  <c r="A31" i="28"/>
  <c r="A33" i="28"/>
  <c r="A37" i="28"/>
  <c r="A39" i="28"/>
  <c r="A41" i="28"/>
  <c r="A45" i="28"/>
  <c r="A47" i="28"/>
  <c r="A49" i="28"/>
  <c r="G57" i="28"/>
  <c r="O57" i="28"/>
  <c r="G59" i="28"/>
  <c r="O59" i="28"/>
  <c r="G63" i="28"/>
  <c r="O63" i="28"/>
  <c r="D17" i="28"/>
  <c r="D19" i="28" s="1"/>
  <c r="D20" i="28" s="1"/>
  <c r="L17" i="28"/>
  <c r="L19" i="28" s="1"/>
  <c r="L20" i="28" s="1"/>
  <c r="T17" i="28"/>
  <c r="T19" i="28" s="1"/>
  <c r="D21" i="28"/>
  <c r="D23" i="28" s="1"/>
  <c r="D24" i="28" s="1"/>
  <c r="L21" i="28"/>
  <c r="L23" i="28" s="1"/>
  <c r="L24" i="28" s="1"/>
  <c r="T21" i="28"/>
  <c r="T23" i="28" s="1"/>
  <c r="H59" i="28"/>
  <c r="H64" i="28" s="1"/>
  <c r="P59" i="28"/>
  <c r="P64" i="28" s="1"/>
  <c r="H63" i="28"/>
  <c r="P63" i="28"/>
  <c r="E17" i="28"/>
  <c r="E19" i="28" s="1"/>
  <c r="E20" i="28" s="1"/>
  <c r="M17" i="28"/>
  <c r="M19" i="28" s="1"/>
  <c r="M20" i="28" s="1"/>
  <c r="U17" i="28"/>
  <c r="U19" i="28" s="1"/>
  <c r="E21" i="28"/>
  <c r="E23" i="28" s="1"/>
  <c r="E24" i="28" s="1"/>
  <c r="M21" i="28"/>
  <c r="M23" i="28" s="1"/>
  <c r="M24" i="28" s="1"/>
  <c r="U21" i="28"/>
  <c r="U23" i="28" s="1"/>
  <c r="I57" i="28"/>
  <c r="Q57" i="28"/>
  <c r="I63" i="28"/>
  <c r="Q63" i="28"/>
  <c r="R17" i="28"/>
  <c r="R19" i="28" s="1"/>
  <c r="F17" i="28"/>
  <c r="F19" i="28" s="1"/>
  <c r="F20" i="28" s="1"/>
  <c r="N17" i="28"/>
  <c r="N19" i="28" s="1"/>
  <c r="V17" i="28"/>
  <c r="V19" i="28" s="1"/>
  <c r="F21" i="28"/>
  <c r="F23" i="28" s="1"/>
  <c r="F24" i="28" s="1"/>
  <c r="N21" i="28"/>
  <c r="N23" i="28" s="1"/>
  <c r="V21" i="28"/>
  <c r="V23"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I20" i="28" s="1"/>
  <c r="Q17" i="28"/>
  <c r="Q19" i="28" s="1"/>
  <c r="E63" i="28"/>
  <c r="M63" i="28"/>
  <c r="K64" i="27"/>
  <c r="Q23" i="27"/>
  <c r="I23" i="27"/>
  <c r="I24" i="27" s="1"/>
  <c r="T23" i="27"/>
  <c r="I64" i="27"/>
  <c r="R17" i="27"/>
  <c r="R19" i="27" s="1"/>
  <c r="J21" i="27"/>
  <c r="J23" i="27" s="1"/>
  <c r="J24" i="27" s="1"/>
  <c r="F63" i="27"/>
  <c r="N63" i="27"/>
  <c r="C17" i="27"/>
  <c r="C19" i="27" s="1"/>
  <c r="C20" i="27" s="1"/>
  <c r="K17" i="27"/>
  <c r="K19" i="27" s="1"/>
  <c r="K20" i="27" s="1"/>
  <c r="S17" i="27"/>
  <c r="S19" i="27" s="1"/>
  <c r="C21" i="27"/>
  <c r="C23" i="27" s="1"/>
  <c r="C24" i="27" s="1"/>
  <c r="K21" i="27"/>
  <c r="K23" i="27" s="1"/>
  <c r="K24"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I57" i="27"/>
  <c r="Q57" i="27"/>
  <c r="I63" i="27"/>
  <c r="Q63" i="27"/>
  <c r="F17" i="27"/>
  <c r="F19" i="27" s="1"/>
  <c r="F20" i="27" s="1"/>
  <c r="N17" i="27"/>
  <c r="N19" i="27" s="1"/>
  <c r="V17" i="27"/>
  <c r="V19" i="27" s="1"/>
  <c r="F21" i="27"/>
  <c r="F23" i="27" s="1"/>
  <c r="F24" i="27" s="1"/>
  <c r="N21" i="27"/>
  <c r="N23" i="27" s="1"/>
  <c r="V21" i="27"/>
  <c r="V23" i="27" s="1"/>
  <c r="B63" i="27"/>
  <c r="J63" i="27"/>
  <c r="R63" i="27"/>
  <c r="G17" i="27"/>
  <c r="G19" i="27" s="1"/>
  <c r="G20" i="27" s="1"/>
  <c r="O17" i="27"/>
  <c r="O19" i="27" s="1"/>
  <c r="A32" i="27"/>
  <c r="A34" i="27"/>
  <c r="A40" i="27"/>
  <c r="A42" i="27"/>
  <c r="A48" i="27"/>
  <c r="A50" i="27"/>
  <c r="C63" i="27"/>
  <c r="K63" i="27"/>
  <c r="S63" i="27"/>
  <c r="L17" i="27"/>
  <c r="L19" i="27" s="1"/>
  <c r="L20" i="27" s="1"/>
  <c r="H17" i="27"/>
  <c r="H19" i="27" s="1"/>
  <c r="H20" i="27" s="1"/>
  <c r="P17" i="27"/>
  <c r="P19" i="27" s="1"/>
  <c r="D63" i="27"/>
  <c r="L63" i="27"/>
  <c r="T63" i="27"/>
  <c r="H63" i="27"/>
  <c r="I17" i="27"/>
  <c r="I19" i="27" s="1"/>
  <c r="I20" i="27" s="1"/>
  <c r="Q17" i="27"/>
  <c r="Q19" i="27" s="1"/>
  <c r="E63" i="27"/>
  <c r="M63" i="27"/>
  <c r="S64" i="26"/>
  <c r="D64" i="26"/>
  <c r="L64" i="26"/>
  <c r="F64" i="26"/>
  <c r="F65" i="26" s="1"/>
  <c r="E64" i="26"/>
  <c r="E65" i="26" s="1"/>
  <c r="U64" i="26"/>
  <c r="U65" i="26" s="1"/>
  <c r="O23" i="26"/>
  <c r="J23" i="26"/>
  <c r="J24" i="26" s="1"/>
  <c r="R23" i="26"/>
  <c r="H64" i="26"/>
  <c r="P64" i="26"/>
  <c r="R17" i="26"/>
  <c r="R19" i="26" s="1"/>
  <c r="C17" i="26"/>
  <c r="C19" i="26" s="1"/>
  <c r="C20" i="26" s="1"/>
  <c r="K17" i="26"/>
  <c r="K19" i="26" s="1"/>
  <c r="K20" i="26" s="1"/>
  <c r="S17" i="26"/>
  <c r="S19" i="26" s="1"/>
  <c r="C21" i="26"/>
  <c r="C23" i="26" s="1"/>
  <c r="C24" i="26" s="1"/>
  <c r="K21" i="26"/>
  <c r="K23" i="26" s="1"/>
  <c r="K24" i="26" s="1"/>
  <c r="S21" i="26"/>
  <c r="S23" i="26" s="1"/>
  <c r="A31" i="26"/>
  <c r="A33" i="26"/>
  <c r="A37" i="26"/>
  <c r="A39" i="26"/>
  <c r="A41" i="26"/>
  <c r="A45" i="26"/>
  <c r="A47" i="26"/>
  <c r="A49" i="26"/>
  <c r="G57" i="26"/>
  <c r="O57" i="26"/>
  <c r="G59" i="26"/>
  <c r="O59" i="26"/>
  <c r="G63" i="26"/>
  <c r="O63" i="26"/>
  <c r="D17" i="26"/>
  <c r="D19" i="26" s="1"/>
  <c r="D20" i="26" s="1"/>
  <c r="L17" i="26"/>
  <c r="L19" i="26" s="1"/>
  <c r="L20" i="26" s="1"/>
  <c r="T17" i="26"/>
  <c r="T19" i="26" s="1"/>
  <c r="D21" i="26"/>
  <c r="D23" i="26" s="1"/>
  <c r="D24" i="26" s="1"/>
  <c r="L21" i="26"/>
  <c r="L23" i="26" s="1"/>
  <c r="L24" i="26" s="1"/>
  <c r="T21" i="26"/>
  <c r="T23" i="26" s="1"/>
  <c r="H63" i="26"/>
  <c r="P63" i="26"/>
  <c r="E17" i="26"/>
  <c r="E19" i="26" s="1"/>
  <c r="E20" i="26" s="1"/>
  <c r="M17" i="26"/>
  <c r="M19" i="26" s="1"/>
  <c r="M20" i="26" s="1"/>
  <c r="U17" i="26"/>
  <c r="U19" i="26" s="1"/>
  <c r="E21" i="26"/>
  <c r="E23" i="26" s="1"/>
  <c r="E24" i="26" s="1"/>
  <c r="M21" i="26"/>
  <c r="M23" i="26" s="1"/>
  <c r="M24" i="26" s="1"/>
  <c r="U21" i="26"/>
  <c r="U23" i="26" s="1"/>
  <c r="I57" i="26"/>
  <c r="Q57" i="26"/>
  <c r="I59" i="26"/>
  <c r="I64" i="26" s="1"/>
  <c r="Q59" i="26"/>
  <c r="Q64" i="26" s="1"/>
  <c r="I63" i="26"/>
  <c r="Q63" i="26"/>
  <c r="J17" i="26"/>
  <c r="J19" i="26" s="1"/>
  <c r="J20" i="26" s="1"/>
  <c r="F17" i="26"/>
  <c r="F19" i="26" s="1"/>
  <c r="F20" i="26" s="1"/>
  <c r="N17" i="26"/>
  <c r="N19" i="26" s="1"/>
  <c r="V17" i="26"/>
  <c r="V19" i="26" s="1"/>
  <c r="F21" i="26"/>
  <c r="F23" i="26" s="1"/>
  <c r="F24" i="26" s="1"/>
  <c r="N21" i="26"/>
  <c r="N23" i="26" s="1"/>
  <c r="V21" i="26"/>
  <c r="V23" i="26" s="1"/>
  <c r="B63" i="26"/>
  <c r="J63" i="26"/>
  <c r="R63" i="26"/>
  <c r="G17" i="26"/>
  <c r="G19" i="26" s="1"/>
  <c r="G20" i="26" s="1"/>
  <c r="O17" i="26"/>
  <c r="O19" i="26" s="1"/>
  <c r="A32" i="26"/>
  <c r="A34" i="26"/>
  <c r="A40" i="26"/>
  <c r="A42" i="26"/>
  <c r="A48" i="26"/>
  <c r="A50" i="26"/>
  <c r="C63" i="26"/>
  <c r="K63" i="26"/>
  <c r="S63" i="26"/>
  <c r="H17" i="26"/>
  <c r="H19" i="26" s="1"/>
  <c r="H20" i="26" s="1"/>
  <c r="P17" i="26"/>
  <c r="P19" i="26" s="1"/>
  <c r="D63" i="26"/>
  <c r="L63" i="26"/>
  <c r="I17" i="26"/>
  <c r="I19" i="26" s="1"/>
  <c r="I20" i="26" s="1"/>
  <c r="Q17" i="26"/>
  <c r="Q19" i="26" s="1"/>
  <c r="E64" i="24"/>
  <c r="M64" i="24"/>
  <c r="J23" i="24"/>
  <c r="J24" i="24" s="1"/>
  <c r="H23" i="24"/>
  <c r="H24" i="24" s="1"/>
  <c r="P23" i="24"/>
  <c r="J17" i="24"/>
  <c r="J19" i="24" s="1"/>
  <c r="J20" i="24" s="1"/>
  <c r="C17" i="24"/>
  <c r="C19" i="24" s="1"/>
  <c r="C20" i="24" s="1"/>
  <c r="K17" i="24"/>
  <c r="K19" i="24" s="1"/>
  <c r="K20" i="24" s="1"/>
  <c r="S17" i="24"/>
  <c r="S19" i="24" s="1"/>
  <c r="C21" i="24"/>
  <c r="C23" i="24" s="1"/>
  <c r="C24" i="24" s="1"/>
  <c r="K21" i="24"/>
  <c r="K23" i="24" s="1"/>
  <c r="K24" i="24" s="1"/>
  <c r="S21" i="24"/>
  <c r="S23" i="24" s="1"/>
  <c r="A31" i="24"/>
  <c r="A33" i="24"/>
  <c r="A37" i="24"/>
  <c r="A39" i="24"/>
  <c r="A41" i="24"/>
  <c r="A45" i="24"/>
  <c r="A47" i="24"/>
  <c r="A49" i="24"/>
  <c r="G57" i="24"/>
  <c r="O57" i="24"/>
  <c r="G59" i="24"/>
  <c r="O59" i="24"/>
  <c r="O64" i="24" s="1"/>
  <c r="G63" i="24"/>
  <c r="O63" i="24"/>
  <c r="D17" i="24"/>
  <c r="D19" i="24" s="1"/>
  <c r="D20" i="24" s="1"/>
  <c r="L17" i="24"/>
  <c r="L19" i="24" s="1"/>
  <c r="L20" i="24" s="1"/>
  <c r="T17" i="24"/>
  <c r="T19" i="24" s="1"/>
  <c r="H59" i="24"/>
  <c r="H64" i="24" s="1"/>
  <c r="P59" i="24"/>
  <c r="P64" i="24" s="1"/>
  <c r="H63" i="24"/>
  <c r="P63" i="24"/>
  <c r="E17" i="24"/>
  <c r="E19" i="24" s="1"/>
  <c r="E20" i="24" s="1"/>
  <c r="M17" i="24"/>
  <c r="M19" i="24" s="1"/>
  <c r="M20" i="24" s="1"/>
  <c r="U17" i="24"/>
  <c r="U19" i="24" s="1"/>
  <c r="E21" i="24"/>
  <c r="E23" i="24" s="1"/>
  <c r="E24" i="24" s="1"/>
  <c r="M21" i="24"/>
  <c r="M23" i="24" s="1"/>
  <c r="M24" i="24" s="1"/>
  <c r="U21" i="24"/>
  <c r="U23" i="24" s="1"/>
  <c r="I57" i="24"/>
  <c r="Q57" i="24"/>
  <c r="I63" i="24"/>
  <c r="Q63" i="24"/>
  <c r="F17" i="24"/>
  <c r="F19" i="24" s="1"/>
  <c r="F20" i="24" s="1"/>
  <c r="N17" i="24"/>
  <c r="N19" i="24" s="1"/>
  <c r="V17" i="24"/>
  <c r="V19" i="24" s="1"/>
  <c r="F21" i="24"/>
  <c r="F23" i="24" s="1"/>
  <c r="F24" i="24" s="1"/>
  <c r="N21" i="24"/>
  <c r="N23" i="24" s="1"/>
  <c r="V21" i="24"/>
  <c r="V23" i="24" s="1"/>
  <c r="B63" i="24"/>
  <c r="J63" i="24"/>
  <c r="R63" i="24"/>
  <c r="G17" i="24"/>
  <c r="G19" i="24" s="1"/>
  <c r="G20" i="24" s="1"/>
  <c r="O17" i="24"/>
  <c r="O19" i="24" s="1"/>
  <c r="A32" i="24"/>
  <c r="A34" i="24"/>
  <c r="A40" i="24"/>
  <c r="A42" i="24"/>
  <c r="A48" i="24"/>
  <c r="A50" i="24"/>
  <c r="C63" i="24"/>
  <c r="K63" i="24"/>
  <c r="S63" i="24"/>
  <c r="R21" i="24"/>
  <c r="R23" i="24" s="1"/>
  <c r="H17" i="24"/>
  <c r="H19" i="24" s="1"/>
  <c r="H20" i="24" s="1"/>
  <c r="P17" i="24"/>
  <c r="P19"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S64" i="23"/>
  <c r="R21" i="23"/>
  <c r="R23" i="23" s="1"/>
  <c r="C17" i="23"/>
  <c r="C19" i="23" s="1"/>
  <c r="C20" i="23" s="1"/>
  <c r="K17" i="23"/>
  <c r="K19" i="23" s="1"/>
  <c r="K20" i="23" s="1"/>
  <c r="S17" i="23"/>
  <c r="S19" i="23" s="1"/>
  <c r="C21" i="23"/>
  <c r="C23" i="23" s="1"/>
  <c r="C24" i="23" s="1"/>
  <c r="K21" i="23"/>
  <c r="K23" i="23" s="1"/>
  <c r="K24" i="23" s="1"/>
  <c r="S21" i="23"/>
  <c r="S23" i="23" s="1"/>
  <c r="A31" i="23"/>
  <c r="A33" i="23"/>
  <c r="A37" i="23"/>
  <c r="A39" i="23"/>
  <c r="A41" i="23"/>
  <c r="A45" i="23"/>
  <c r="A47" i="23"/>
  <c r="A49" i="23"/>
  <c r="G57" i="23"/>
  <c r="O57" i="23"/>
  <c r="G59" i="23"/>
  <c r="O59" i="23"/>
  <c r="J17" i="23"/>
  <c r="J19" i="23" s="1"/>
  <c r="J20" i="23" s="1"/>
  <c r="D17" i="23"/>
  <c r="D19" i="23" s="1"/>
  <c r="D20" i="23" s="1"/>
  <c r="L17" i="23"/>
  <c r="L19" i="23" s="1"/>
  <c r="L20" i="23" s="1"/>
  <c r="T17" i="23"/>
  <c r="T19" i="23" s="1"/>
  <c r="D21" i="23"/>
  <c r="D23" i="23" s="1"/>
  <c r="D24" i="23" s="1"/>
  <c r="L21" i="23"/>
  <c r="L23" i="23" s="1"/>
  <c r="L24" i="23" s="1"/>
  <c r="T21" i="23"/>
  <c r="T23" i="23" s="1"/>
  <c r="E17" i="23"/>
  <c r="E19" i="23" s="1"/>
  <c r="E20" i="23" s="1"/>
  <c r="M17" i="23"/>
  <c r="M19" i="23" s="1"/>
  <c r="M20" i="23" s="1"/>
  <c r="U17" i="23"/>
  <c r="U19" i="23" s="1"/>
  <c r="E21" i="23"/>
  <c r="E23" i="23" s="1"/>
  <c r="E24" i="23" s="1"/>
  <c r="M21" i="23"/>
  <c r="M23" i="23" s="1"/>
  <c r="M24" i="23" s="1"/>
  <c r="U21" i="23"/>
  <c r="U23" i="23" s="1"/>
  <c r="I57" i="23"/>
  <c r="Q57" i="23"/>
  <c r="F21" i="23"/>
  <c r="F23" i="23" s="1"/>
  <c r="F24" i="23" s="1"/>
  <c r="N21" i="23"/>
  <c r="N23" i="23" s="1"/>
  <c r="V21" i="23"/>
  <c r="V23" i="23" s="1"/>
  <c r="G17" i="23"/>
  <c r="G19" i="23" s="1"/>
  <c r="G20" i="23" s="1"/>
  <c r="O17" i="23"/>
  <c r="O19" i="23" s="1"/>
  <c r="A32" i="23"/>
  <c r="A34" i="23"/>
  <c r="A40" i="23"/>
  <c r="A42" i="23"/>
  <c r="A48" i="23"/>
  <c r="A50" i="23"/>
  <c r="H17" i="23"/>
  <c r="H19" i="23" s="1"/>
  <c r="H20" i="23" s="1"/>
  <c r="P17" i="23"/>
  <c r="P19" i="23" s="1"/>
  <c r="I17" i="23"/>
  <c r="I19" i="23" s="1"/>
  <c r="I20" i="23" s="1"/>
  <c r="Q17" i="23"/>
  <c r="Q19" i="23" s="1"/>
  <c r="J64" i="22"/>
  <c r="O23" i="22"/>
  <c r="L64" i="22"/>
  <c r="U63" i="22"/>
  <c r="M63" i="22"/>
  <c r="E63" i="22"/>
  <c r="F63" i="22"/>
  <c r="T63" i="22"/>
  <c r="L63" i="22"/>
  <c r="D63" i="22"/>
  <c r="S63" i="22"/>
  <c r="K63" i="22"/>
  <c r="C63" i="22"/>
  <c r="N63" i="22"/>
  <c r="R63" i="22"/>
  <c r="J63" i="22"/>
  <c r="B63" i="22"/>
  <c r="Q63" i="22"/>
  <c r="I63" i="22"/>
  <c r="P63" i="22"/>
  <c r="H63" i="22"/>
  <c r="O63" i="22"/>
  <c r="G63" i="22"/>
  <c r="N64" i="22"/>
  <c r="N65" i="22" s="1"/>
  <c r="S17" i="22"/>
  <c r="S19" i="22" s="1"/>
  <c r="C21" i="22"/>
  <c r="R17" i="22"/>
  <c r="R19" i="22" s="1"/>
  <c r="S21" i="22"/>
  <c r="S23" i="22" s="1"/>
  <c r="D17" i="22"/>
  <c r="D19" i="22" s="1"/>
  <c r="D20" i="22" s="1"/>
  <c r="L17" i="22"/>
  <c r="L19" i="22" s="1"/>
  <c r="L20" i="22" s="1"/>
  <c r="T17" i="22"/>
  <c r="T19" i="22" s="1"/>
  <c r="D21" i="22"/>
  <c r="D23" i="22" s="1"/>
  <c r="D24" i="22" s="1"/>
  <c r="L21" i="22"/>
  <c r="L23" i="22" s="1"/>
  <c r="L24" i="22" s="1"/>
  <c r="T21" i="22"/>
  <c r="T23" i="22" s="1"/>
  <c r="J21" i="22"/>
  <c r="J23" i="22" s="1"/>
  <c r="J24" i="22" s="1"/>
  <c r="C17" i="22"/>
  <c r="C19" i="22" s="1"/>
  <c r="C20" i="22" s="1"/>
  <c r="K21" i="22"/>
  <c r="K23" i="22" s="1"/>
  <c r="K24" i="22" s="1"/>
  <c r="A31" i="22"/>
  <c r="A33" i="22"/>
  <c r="A41" i="22"/>
  <c r="A47" i="22"/>
  <c r="E17" i="22"/>
  <c r="E19" i="22" s="1"/>
  <c r="E20" i="22" s="1"/>
  <c r="M17" i="22"/>
  <c r="M19" i="22" s="1"/>
  <c r="M20" i="22" s="1"/>
  <c r="U17" i="22"/>
  <c r="U19" i="22" s="1"/>
  <c r="E21" i="22"/>
  <c r="E23" i="22" s="1"/>
  <c r="E24" i="22" s="1"/>
  <c r="M21" i="22"/>
  <c r="M23" i="22" s="1"/>
  <c r="M24" i="22" s="1"/>
  <c r="U21" i="22"/>
  <c r="U23" i="22" s="1"/>
  <c r="I57" i="22"/>
  <c r="Q57" i="22"/>
  <c r="K17" i="22"/>
  <c r="K19" i="22" s="1"/>
  <c r="K20" i="22" s="1"/>
  <c r="A39" i="22"/>
  <c r="A49" i="22"/>
  <c r="F17" i="22"/>
  <c r="F19" i="22" s="1"/>
  <c r="F20" i="22" s="1"/>
  <c r="N17" i="22"/>
  <c r="N19" i="22" s="1"/>
  <c r="V17" i="22"/>
  <c r="V19" i="22" s="1"/>
  <c r="F21" i="22"/>
  <c r="F23" i="22" s="1"/>
  <c r="F24" i="22" s="1"/>
  <c r="N21" i="22"/>
  <c r="N23" i="22" s="1"/>
  <c r="V21" i="22"/>
  <c r="V23" i="22" s="1"/>
  <c r="G17" i="22"/>
  <c r="G19" i="22" s="1"/>
  <c r="G20" i="22" s="1"/>
  <c r="O17" i="22"/>
  <c r="O19" i="22" s="1"/>
  <c r="A32" i="22"/>
  <c r="A34" i="22"/>
  <c r="A40" i="22"/>
  <c r="A42" i="22"/>
  <c r="A48" i="22"/>
  <c r="A50" i="22"/>
  <c r="H17" i="22"/>
  <c r="H19" i="22" s="1"/>
  <c r="H20" i="22" s="1"/>
  <c r="P17" i="22"/>
  <c r="P19" i="22" s="1"/>
  <c r="I17" i="22"/>
  <c r="I19" i="22" s="1"/>
  <c r="I20" i="22" s="1"/>
  <c r="Q17" i="22"/>
  <c r="Q19" i="22" s="1"/>
  <c r="P64" i="21"/>
  <c r="N64" i="21"/>
  <c r="N65" i="21" s="1"/>
  <c r="F64" i="21"/>
  <c r="F65" i="21" s="1"/>
  <c r="N19" i="2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G19" i="21"/>
  <c r="G20" i="21" s="1"/>
  <c r="Q17" i="21"/>
  <c r="Q19" i="21" s="1"/>
  <c r="J21" i="21"/>
  <c r="J23" i="21" s="1"/>
  <c r="J24" i="21" s="1"/>
  <c r="R21" i="21"/>
  <c r="R23" i="21" s="1"/>
  <c r="R24" i="21" s="1"/>
  <c r="I19" i="21"/>
  <c r="I20" i="21" s="1"/>
  <c r="J19" i="21"/>
  <c r="J20" i="21" s="1"/>
  <c r="L19" i="21"/>
  <c r="L20" i="21" s="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5" i="27" l="1"/>
  <c r="C23" i="22"/>
  <c r="C24" i="22" s="1"/>
  <c r="H64" i="27"/>
  <c r="G64" i="24"/>
  <c r="G65" i="24" s="1"/>
  <c r="G64" i="28"/>
  <c r="G65" i="28" s="1"/>
  <c r="T65" i="29"/>
  <c r="P65" i="22"/>
  <c r="O64" i="27"/>
  <c r="O65" i="27" s="1"/>
  <c r="O64" i="28"/>
  <c r="N64" i="27"/>
  <c r="N65" i="27" s="1"/>
  <c r="N64" i="30"/>
  <c r="N65" i="30" s="1"/>
  <c r="L65" i="30"/>
  <c r="J65" i="28"/>
  <c r="H65" i="27"/>
  <c r="G64" i="26"/>
  <c r="G65" i="26" s="1"/>
  <c r="G64" i="29"/>
  <c r="G65" i="29" s="1"/>
  <c r="F64" i="22"/>
  <c r="F65" i="22" s="1"/>
  <c r="D65" i="29"/>
  <c r="O64" i="26"/>
  <c r="O65" i="26" s="1"/>
  <c r="K65" i="23"/>
  <c r="R65" i="22"/>
  <c r="I65" i="21"/>
  <c r="L65" i="22"/>
  <c r="O65" i="28"/>
  <c r="T65" i="24"/>
  <c r="U65" i="23"/>
  <c r="P64" i="30"/>
  <c r="P65" i="30" s="1"/>
  <c r="C65" i="23"/>
  <c r="J65" i="22"/>
  <c r="H65" i="29"/>
  <c r="P65" i="23"/>
  <c r="E65" i="22"/>
  <c r="T65" i="23"/>
  <c r="Q65" i="21"/>
  <c r="P65" i="21"/>
  <c r="K65" i="27"/>
  <c r="G64" i="23"/>
  <c r="G65" i="23" s="1"/>
  <c r="Q65" i="24"/>
  <c r="K65" i="26"/>
  <c r="R65" i="27"/>
  <c r="C65" i="27"/>
  <c r="H65" i="23"/>
  <c r="O65" i="24"/>
  <c r="J65" i="27"/>
  <c r="G64" i="27"/>
  <c r="G65" i="27" s="1"/>
  <c r="G65" i="30"/>
  <c r="J65" i="30"/>
  <c r="F64" i="27"/>
  <c r="F65" i="27" s="1"/>
  <c r="G65" i="21"/>
  <c r="J65" i="21"/>
  <c r="T65" i="27"/>
  <c r="L65" i="29"/>
  <c r="Q65" i="22"/>
  <c r="F65" i="23"/>
  <c r="J65" i="26"/>
  <c r="E65" i="21"/>
  <c r="M65" i="23"/>
  <c r="C65" i="22"/>
  <c r="T65" i="21"/>
  <c r="S65" i="23"/>
  <c r="H65" i="30"/>
  <c r="E65" i="30"/>
  <c r="S65" i="24"/>
  <c r="L65" i="21"/>
  <c r="D65" i="22"/>
  <c r="R65" i="23"/>
  <c r="S65" i="26"/>
  <c r="L65" i="28"/>
  <c r="L65" i="26"/>
  <c r="T65" i="30"/>
  <c r="C65" i="29"/>
  <c r="H65" i="22"/>
  <c r="R65" i="28"/>
  <c r="N64" i="26"/>
  <c r="N65" i="26" s="1"/>
  <c r="O64" i="29"/>
  <c r="O65" i="29" s="1"/>
  <c r="P64" i="29"/>
  <c r="P65" i="29" s="1"/>
  <c r="S64" i="1"/>
  <c r="R65" i="26"/>
  <c r="D65" i="27"/>
  <c r="N64" i="29"/>
  <c r="N65" i="29" s="1"/>
  <c r="R65" i="30"/>
  <c r="D65" i="23"/>
  <c r="F65" i="30"/>
  <c r="L65" i="23"/>
  <c r="O65" i="22"/>
  <c r="R64" i="1"/>
  <c r="J65" i="23"/>
  <c r="Q64" i="1"/>
  <c r="U64" i="1"/>
  <c r="P64" i="1"/>
  <c r="C65" i="24"/>
  <c r="E65" i="27"/>
  <c r="J65" i="24"/>
  <c r="Q65" i="29"/>
  <c r="C65" i="28"/>
  <c r="F64" i="29"/>
  <c r="F65" i="29" s="1"/>
  <c r="G65" i="22"/>
  <c r="O64" i="23"/>
  <c r="O65" i="23" s="1"/>
  <c r="O64" i="30"/>
  <c r="N64" i="24"/>
  <c r="N65" i="24" s="1"/>
  <c r="B65" i="23"/>
  <c r="B65" i="27"/>
  <c r="B65" i="28"/>
  <c r="B65" i="30"/>
  <c r="B65" i="26"/>
  <c r="B65" i="22"/>
  <c r="B65" i="24"/>
  <c r="O65" i="30"/>
  <c r="S65" i="30"/>
  <c r="M65" i="30"/>
  <c r="K65" i="30"/>
  <c r="C65" i="30"/>
  <c r="I65" i="30"/>
  <c r="E65" i="29"/>
  <c r="R65" i="29"/>
  <c r="J65" i="29"/>
  <c r="M65" i="29"/>
  <c r="I65" i="29"/>
  <c r="S65" i="29"/>
  <c r="B65" i="29"/>
  <c r="K65" i="29"/>
  <c r="T65" i="28"/>
  <c r="E65" i="28"/>
  <c r="D65" i="28"/>
  <c r="M65" i="28"/>
  <c r="P65" i="28"/>
  <c r="Q65" i="28"/>
  <c r="H65" i="28"/>
  <c r="I65" i="28"/>
  <c r="S65" i="28"/>
  <c r="K65" i="28"/>
  <c r="Q65" i="27"/>
  <c r="I65" i="27"/>
  <c r="M65" i="27"/>
  <c r="P65" i="27"/>
  <c r="Q65" i="26"/>
  <c r="P65" i="26"/>
  <c r="C65" i="26"/>
  <c r="I65" i="26"/>
  <c r="H65" i="26"/>
  <c r="D65" i="26"/>
  <c r="H65" i="24"/>
  <c r="L65" i="24"/>
  <c r="R65" i="24"/>
  <c r="I65" i="24"/>
  <c r="P65" i="24"/>
  <c r="D65" i="24"/>
  <c r="K65" i="24"/>
  <c r="M65" i="24"/>
  <c r="E65" i="24"/>
  <c r="Q65" i="23"/>
  <c r="I65" i="23"/>
  <c r="N65" i="23"/>
  <c r="E65" i="23"/>
  <c r="I65" i="22"/>
  <c r="U65" i="22"/>
  <c r="M65" i="22"/>
  <c r="S65" i="22"/>
  <c r="K65" i="22"/>
  <c r="T65" i="22"/>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<sst xmlns="http://schemas.openxmlformats.org/spreadsheetml/2006/main" count="2198" uniqueCount="169">
  <si>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</si>
  <si>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</si>
  <si>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</si>
  <si>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</si>
  <si>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</si>
  <si>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</si>
  <si>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</si>
  <si>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</si>
  <si>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</si>
  <si>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</si>
  <si>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</si>
  <si>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</si>
  <si>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</si>
  <si>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</si>
  <si>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</si>
  <si>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</si>
  <si>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</si>
  <si>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</si>
  <si>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</si>
  <si>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</si>
  <si>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</si>
  <si>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</si>
  <si>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</si>
  <si>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</si>
  <si>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</si>
  <si>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</si>
  <si>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</si>
  <si>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</si>
  <si>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</si>
  <si>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</si>
  <si>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</si>
  <si>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</si>
  <si>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</si>
  <si>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</si>
  <si>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</si>
  <si>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</si>
  <si>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</si>
  <si>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</si>
  <si>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</si>
  <si>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</si>
  <si>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</si>
  <si>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</si>
  <si>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</si>
  <si>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</si>
  <si>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</si>
  <si>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</si>
  <si>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</si>
  <si>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</si>
  <si>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</si>
  <si>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</si>
  <si>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</si>
  <si>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</si>
  <si>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</si>
  <si>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</si>
  <si>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</si>
  <si>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</si>
  <si>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</si>
  <si>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</si>
  <si>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</si>
  <si>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</si>
  <si>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</si>
  <si>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</si>
  <si>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</si>
  <si>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</si>
  <si>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</si>
  <si>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</si>
  <si>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</si>
  <si>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</si>
  <si>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</si>
  <si>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</si>
  <si>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</si>
  <si>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</si>
  <si>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</si>
  <si>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</si>
  <si>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</si>
  <si>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</si>
  <si>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</si>
  <si>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</si>
  <si>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</si>
  <si>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</si>
  <si>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</si>
  <si>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</si>
  <si>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</si>
  <si>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</si>
  <si>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</si>
  <si>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</si>
  <si>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</si>
  <si>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</si>
  <si>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</si>
  <si>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</si>
  <si>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</si>
  <si>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</si>
  <si>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</si>
  <si>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</si>
  <si>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</si>
  <si>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</si>
  <si>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</si>
  <si>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</si>
  <si>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</si>
  <si>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</si>
  <si>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</si>
  <si>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</si>
  <si>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</si>
  <si>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</si>
  <si>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</si>
  <si>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</si>
  <si>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</si>
  <si>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</si>
  <si>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</si>
  <si>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</si>
  <si>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</si>
  <si>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</si>
  <si>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</si>
  <si>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</si>
  <si>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</si>
  <si>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</si>
  <si>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</si>
  <si>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</si>
  <si>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</si>
  <si>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</si>
  <si>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</si>
  <si>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</si>
  <si>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</si>
  <si>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</si>
  <si>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</si>
  <si>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</si>
  <si>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</si>
  <si>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</si>
  <si>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</si>
  <si>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</si>
  <si>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</si>
  <si>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</si>
  <si>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</si>
  <si>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</si>
  <si>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</si>
  <si>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</si>
  <si>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</si>
  <si>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</si>
  <si>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</si>
  <si>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</si>
  <si>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</si>
  <si>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</si>
  <si>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</si>
  <si>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</si>
  <si>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</si>
  <si>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</si>
  <si>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</si>
  <si>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</si>
  <si>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</si>
  <si>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</si>
  <si>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</si>
  <si>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</si>
  <si>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Moderate</t>
  </si>
  <si>
    <t>PAN-010732</t>
  </si>
  <si>
    <t>GP3792SK</t>
  </si>
  <si>
    <t>ByProduct Recovery Ltd</t>
  </si>
  <si>
    <t>Cefn Naw Clawdd, Dolgellau, Gwynedd, LL40 2SG</t>
  </si>
  <si>
    <t>Sion Sleep</t>
  </si>
  <si>
    <t>19 09 02</t>
  </si>
  <si>
    <t>DCWW Cilfor</t>
  </si>
  <si>
    <t>DCWW Bala</t>
  </si>
  <si>
    <t>DCWW Garregglwyd</t>
  </si>
  <si>
    <t>DCWW Llyn Conwy</t>
  </si>
  <si>
    <t>DCWW Pen y Cefn</t>
  </si>
  <si>
    <t>DCWW Penybont</t>
  </si>
  <si>
    <t>DCWW Dolbenmaen</t>
  </si>
  <si>
    <t>DCWW Eithin Fynydd</t>
  </si>
  <si>
    <t xml:space="preserve">DCWW Gwastodgoed </t>
  </si>
  <si>
    <t>DCWW Rhiwgoch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</si>
</sst>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39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61" dataDxfId="359" headerRowBorderDxfId="360" tableBorderDxfId="358" totalsRowBorderDxfId="357">
  <autoFilter ref="AI1:AN26" xr:uid="{F8B5EC87-3095-445A-A980-2CFAA0A7B9A2}"/>
  <sortState xmlns:xlrd2="http://schemas.microsoft.com/office/spreadsheetml/2017/richdata2" ref="AI2:AL25">
    <sortCondition ref="AL1:AL25"/>
  </sortState>
  <tableColumns count="6">
    <tableColumn id="1" xr3:uid="{360F44E4-7249-415F-8D5E-41D249F9A162}" name="Crop" dataDxfId="356"/>
    <tableColumn id="2" xr3:uid="{55E07717-B4EC-4E8A-B9A9-34F3CF85E32D}" name="P Offtake" dataDxfId="355"/>
    <tableColumn id="3" xr3:uid="{7B25FA52-8104-4FE3-AED4-B53CBFDF89B2}" name="K Offtake" dataDxfId="354"/>
    <tableColumn id="4" xr3:uid="{0DBAE461-2D09-43C8-9342-3980D552AE4D}" name="Order" dataDxfId="353"/>
    <tableColumn id="5" xr3:uid="{52CACE7B-0CBA-46FC-9F24-02CBD6100239}" name="Lime pH requirement" dataDxfId="352"/>
    <tableColumn id="6" xr3:uid="{F1432630-9B16-4266-8147-CE754A715307}" name="Column1" dataDxfId="35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7E96A84B-948F-445F-BD6E-30CC8E6E6DD1}" name="Crop" dataDxfId="317"/>
    <tableColumn id="2" xr3:uid="{12657DDB-F680-47DE-ABB1-8675D5F91E41}" name="P Offtake" dataDxfId="316"/>
    <tableColumn id="3" xr3:uid="{DEB99109-D325-4F98-8A71-E70C03433437}" name="K Offtake" dataDxfId="315"/>
    <tableColumn id="4" xr3:uid="{E96A561F-7E7F-4FB3-97AA-0B35D8C8E93A}" name="Order" dataDxfId="314"/>
    <tableColumn id="5" xr3:uid="{181DD475-0A71-4C52-AF1A-8BFF46F5A827}" name="Lime pH requirement" dataDxfId="313"/>
    <tableColumn id="6" xr3:uid="{AC3FA7E8-D76B-43A3-B715-04446DFF63C6}" name="Column1" dataDxfId="31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83" dataDxfId="281" headerRowBorderDxfId="282" tableBorderDxfId="280" totalsRowBorderDxfId="279">
  <autoFilter ref="AI1:AN26" xr:uid="{F8B5EC87-3095-445A-A980-2CFAA0A7B9A2}"/>
  <sortState xmlns:xlrd2="http://schemas.microsoft.com/office/spreadsheetml/2017/richdata2" ref="AI2:AL25">
    <sortCondition ref="AL1:AL25"/>
  </sortState>
  <tableColumns count="6">
    <tableColumn id="1" xr3:uid="{06008BA1-A1E9-4286-B67A-352533C06A26}" name="Crop" dataDxfId="278"/>
    <tableColumn id="2" xr3:uid="{2AEB5EEB-C9D1-41DC-913E-953A33D1A4AF}" name="P Offtake" dataDxfId="277"/>
    <tableColumn id="3" xr3:uid="{8FA16A0B-1017-4CEE-862E-0A8CBD8EB3D3}" name="K Offtake" dataDxfId="276"/>
    <tableColumn id="4" xr3:uid="{E7A3B8CD-4036-47F4-B818-C3F22E80C749}" name="Order" dataDxfId="275"/>
    <tableColumn id="5" xr3:uid="{8F3EBD84-7904-4559-9B5C-63088B792C98}" name="Lime pH requirement" dataDxfId="274"/>
    <tableColumn id="6" xr3:uid="{A21DD95A-C955-4510-9114-E3F1CB645370}" name="Column1" dataDxfId="273"/>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44" dataDxfId="242" headerRowBorderDxfId="243" tableBorderDxfId="241" totalsRowBorderDxfId="240">
  <autoFilter ref="AI1:AN26" xr:uid="{F8B5EC87-3095-445A-A980-2CFAA0A7B9A2}"/>
  <sortState xmlns:xlrd2="http://schemas.microsoft.com/office/spreadsheetml/2017/richdata2" ref="AI2:AL25">
    <sortCondition ref="AL1:AL25"/>
  </sortState>
  <tableColumns count="6">
    <tableColumn id="1" xr3:uid="{11579FCC-3D9F-49AD-888D-5D79B801F6AE}" name="Crop" dataDxfId="239"/>
    <tableColumn id="2" xr3:uid="{05C08116-56D5-4CC6-A649-B06AF891B931}" name="P Offtake" dataDxfId="238"/>
    <tableColumn id="3" xr3:uid="{59CDE959-192B-4757-9203-A0F691CF0F96}" name="K Offtake" dataDxfId="237"/>
    <tableColumn id="4" xr3:uid="{9FB8E4F7-B91F-4CE0-AF39-D4895D0ECF2F}" name="Order" dataDxfId="236"/>
    <tableColumn id="5" xr3:uid="{688FF2A4-D7C6-4425-A915-A9ADD700A9EE}" name="Lime pH requirement" dataDxfId="235"/>
    <tableColumn id="6" xr3:uid="{05FC5CFF-3D81-4B5F-87C7-2364076F2714}" name="Column1" dataDxfId="23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05" dataDxfId="203" headerRowBorderDxfId="204" tableBorderDxfId="202" totalsRowBorderDxfId="201">
  <autoFilter ref="AI1:AN26" xr:uid="{F8B5EC87-3095-445A-A980-2CFAA0A7B9A2}"/>
  <sortState xmlns:xlrd2="http://schemas.microsoft.com/office/spreadsheetml/2017/richdata2" ref="AI2:AL25">
    <sortCondition ref="AL1:AL25"/>
  </sortState>
  <tableColumns count="6">
    <tableColumn id="1" xr3:uid="{973D7FFB-D248-4199-9B2E-B3C6CC09D382}" name="Crop" dataDxfId="200"/>
    <tableColumn id="2" xr3:uid="{7F2A3986-EC86-4CF9-BD10-791170BA6682}" name="P Offtake" dataDxfId="199"/>
    <tableColumn id="3" xr3:uid="{D6129C35-9DC6-42E5-AE3F-EA3A083168E6}" name="K Offtake" dataDxfId="198"/>
    <tableColumn id="4" xr3:uid="{C1CC42B5-564A-4DE7-B817-B7D686FE9A11}" name="Order" dataDxfId="197"/>
    <tableColumn id="5" xr3:uid="{620F3ABD-564C-411A-8DEA-CE1A34F9FC36}" name="Lime pH requirement" dataDxfId="196"/>
    <tableColumn id="6" xr3:uid="{76C9BC4F-4FF3-4AFB-8E7B-16DC0CC3E97C}" name="Column1" dataDxfId="19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66" dataDxfId="164" headerRowBorderDxfId="165" tableBorderDxfId="163" totalsRowBorderDxfId="162">
  <autoFilter ref="AI1:AN26" xr:uid="{F8B5EC87-3095-445A-A980-2CFAA0A7B9A2}"/>
  <sortState xmlns:xlrd2="http://schemas.microsoft.com/office/spreadsheetml/2017/richdata2" ref="AI2:AL25">
    <sortCondition ref="AL1:AL25"/>
  </sortState>
  <tableColumns count="6">
    <tableColumn id="1" xr3:uid="{D13A12FC-EAE6-4280-A219-C2622262E5F4}" name="Crop" dataDxfId="161"/>
    <tableColumn id="2" xr3:uid="{FD06C4A3-4B75-490D-88CF-232C7DC3EFC6}" name="P Offtake" dataDxfId="160"/>
    <tableColumn id="3" xr3:uid="{B043BEFF-10D4-4840-989B-BB13A502ECDF}" name="K Offtake" dataDxfId="159"/>
    <tableColumn id="4" xr3:uid="{48481FDC-5D20-466C-B554-D45886EA366A}" name="Order" dataDxfId="158"/>
    <tableColumn id="5" xr3:uid="{9E0852D2-9D0D-44AB-98B7-FBA51F331ACF}" name="Lime pH requirement" dataDxfId="157"/>
    <tableColumn id="6" xr3:uid="{29F9C4A5-6854-4F37-8BD1-0DD9B6024A55}" name="Column1" dataDxfId="15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27" dataDxfId="125" headerRowBorderDxfId="126" tableBorderDxfId="124" totalsRowBorderDxfId="123">
  <autoFilter ref="AI1:AN26" xr:uid="{F8B5EC87-3095-445A-A980-2CFAA0A7B9A2}"/>
  <sortState xmlns:xlrd2="http://schemas.microsoft.com/office/spreadsheetml/2017/richdata2" ref="AI2:AL25">
    <sortCondition ref="AL1:AL25"/>
  </sortState>
  <tableColumns count="6">
    <tableColumn id="1" xr3:uid="{1B554ED3-7AAF-4192-827C-B071945474B8}" name="Crop" dataDxfId="122"/>
    <tableColumn id="2" xr3:uid="{35F435E0-8D8E-44D1-84BD-C2FF51C3F944}" name="P Offtake" dataDxfId="121"/>
    <tableColumn id="3" xr3:uid="{38465C9D-AA8F-443A-80F5-96D1F6258317}" name="K Offtake" dataDxfId="120"/>
    <tableColumn id="4" xr3:uid="{E0C0E6AF-5628-4BC3-9625-81A87B93D279}" name="Order" dataDxfId="119"/>
    <tableColumn id="5" xr3:uid="{ACDE1D9A-7F94-4404-BDDC-1235C32C758F}" name="Lime pH requirement" dataDxfId="118"/>
    <tableColumn id="6" xr3:uid="{B093C9DF-C4CF-4906-9658-89F446EB9C12}" name="Column1" dataDxfId="11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88" dataDxfId="86" headerRowBorderDxfId="87" tableBorderDxfId="85" totalsRowBorderDxfId="84">
  <autoFilter ref="AI1:AN26" xr:uid="{F8B5EC87-3095-445A-A980-2CFAA0A7B9A2}"/>
  <sortState xmlns:xlrd2="http://schemas.microsoft.com/office/spreadsheetml/2017/richdata2" ref="AI2:AL25">
    <sortCondition ref="AL1:AL25"/>
  </sortState>
  <tableColumns count="6">
    <tableColumn id="1" xr3:uid="{C4B2E6E9-5990-417D-9E04-7933BDF1FC69}" name="Crop" dataDxfId="83"/>
    <tableColumn id="2" xr3:uid="{E74EF8D0-6C68-49B8-AE52-40C276CA5FC9}" name="P Offtake" dataDxfId="82"/>
    <tableColumn id="3" xr3:uid="{9E0A7857-36E3-482D-B4B2-65B90760417F}" name="K Offtake" dataDxfId="81"/>
    <tableColumn id="4" xr3:uid="{A78867D2-7566-4070-AF99-15EE4CEB1699}" name="Order" dataDxfId="80"/>
    <tableColumn id="5" xr3:uid="{240FD5FA-5659-468E-8544-C93086800EC9}" name="Lime pH requirement" dataDxfId="79"/>
    <tableColumn id="6" xr3:uid="{D5C8E9C3-9076-473B-AE62-DA32692BAABC}" name="Column1" dataDxfId="78"/>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82F1A1D2-F5AA-4D76-98E8-3C18592FB8CF}" name="Crop" dataDxfId="44"/>
    <tableColumn id="2" xr3:uid="{17F60BEE-3BBA-4198-AA21-518EC4696EB6}" name="P Offtake" dataDxfId="43"/>
    <tableColumn id="3" xr3:uid="{95D820EB-2583-433A-A070-6E8356E186E7}" name="K Offtake" dataDxfId="42"/>
    <tableColumn id="4" xr3:uid="{F3AE1839-F59F-4A70-B11A-A32E3FDD1A00}" name="Order" dataDxfId="41"/>
    <tableColumn id="5" xr3:uid="{C52880C5-B266-4CF0-9A11-778ABC47F9F0}" name="Lime pH requirement" dataDxfId="40"/>
    <tableColumn id="6" xr3:uid="{233F7657-9414-44B1-9E43-A91A69CB97ED}" name="Column1" dataDxfId="3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Normal="100" workbookViewId="0">
      <selection activeCell="B32" sqref="B32: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153</v>
      </c>
      <c r="D1" s="105"/>
      <c r="E1" s="37" t="s">
        <v>45</v>
      </c>
      <c r="F1" s="35">
        <v>30.8</v>
      </c>
      <c r="G1" s="106" t="s">
        <v>43</v>
      </c>
      <c r="H1" s="107"/>
      <c r="I1" s="35">
        <v>6.5</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154</v>
      </c>
      <c r="D2" s="103"/>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155</v>
      </c>
      <c r="D3" s="103"/>
      <c r="E3" s="37" t="s">
        <v>105</v>
      </c>
      <c r="F3" s="45" t="s">
        <v>78</v>
      </c>
      <c r="G3" s="110" t="s">
        <v>108</v>
      </c>
      <c r="H3" s="110"/>
      <c r="I3" s="35"/>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156</v>
      </c>
      <c r="D4" s="105"/>
      <c r="E4" s="38" t="s">
        <v>1</v>
      </c>
      <c r="F4" s="100" t="s">
        <v>160</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157</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1416</v>
      </c>
      <c r="D8" s="23">
        <v>9846</v>
      </c>
      <c r="E8" s="23">
        <v>865</v>
      </c>
      <c r="F8" s="23">
        <v>9678</v>
      </c>
      <c r="G8" s="23">
        <v>1285</v>
      </c>
      <c r="H8" s="23">
        <v>2488</v>
      </c>
      <c r="I8" s="23">
        <v>9216</v>
      </c>
      <c r="J8" s="23">
        <v>1113</v>
      </c>
      <c r="K8" s="23">
        <v>2585</v>
      </c>
      <c r="L8" s="23">
        <v>264</v>
      </c>
      <c r="M8" s="23">
        <v>6854</v>
      </c>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152</v>
      </c>
      <c r="D9" s="23" t="s">
        <v>152</v>
      </c>
      <c r="E9" s="23" t="s">
        <v>152</v>
      </c>
      <c r="F9" s="23" t="s">
        <v>152</v>
      </c>
      <c r="G9" s="23" t="s">
        <v>152</v>
      </c>
      <c r="H9" s="23" t="s">
        <v>152</v>
      </c>
      <c r="I9" s="23" t="s">
        <v>152</v>
      </c>
      <c r="J9" s="23" t="s">
        <v>152</v>
      </c>
      <c r="K9" s="23" t="s">
        <v>152</v>
      </c>
      <c r="L9" s="23" t="s">
        <v>152</v>
      </c>
      <c r="M9" s="23" t="s">
        <v>152</v>
      </c>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6.3</v>
      </c>
      <c r="D10" s="23">
        <v>6.2</v>
      </c>
      <c r="E10" s="23">
        <v>6.6</v>
      </c>
      <c r="F10" s="23">
        <v>6.6</v>
      </c>
      <c r="G10" s="23">
        <v>6.5</v>
      </c>
      <c r="H10" s="23">
        <v>6.1</v>
      </c>
      <c r="I10" s="23">
        <v>6.5</v>
      </c>
      <c r="J10" s="23">
        <v>6.3</v>
      </c>
      <c r="K10" s="23">
        <v>6.9</v>
      </c>
      <c r="L10" s="23">
        <v>6.6</v>
      </c>
      <c r="M10" s="23">
        <v>6.6</v>
      </c>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2</v>
      </c>
      <c r="D11" s="23">
        <v>2</v>
      </c>
      <c r="E11" s="23">
        <v>3</v>
      </c>
      <c r="F11" s="23">
        <v>2</v>
      </c>
      <c r="G11" s="23">
        <v>2</v>
      </c>
      <c r="H11" s="23">
        <v>3</v>
      </c>
      <c r="I11" s="23">
        <v>3</v>
      </c>
      <c r="J11" s="23">
        <v>3</v>
      </c>
      <c r="K11" s="23">
        <v>2</v>
      </c>
      <c r="L11" s="23">
        <v>2</v>
      </c>
      <c r="M11" s="23">
        <v>2</v>
      </c>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1</v>
      </c>
      <c r="D12" s="23">
        <v>1</v>
      </c>
      <c r="E12" s="23">
        <v>1</v>
      </c>
      <c r="F12" s="23">
        <v>1</v>
      </c>
      <c r="G12" s="23">
        <v>0</v>
      </c>
      <c r="H12" s="23">
        <v>0</v>
      </c>
      <c r="I12" s="23">
        <v>1</v>
      </c>
      <c r="J12" s="23">
        <v>1</v>
      </c>
      <c r="K12" s="23">
        <v>1</v>
      </c>
      <c r="L12" s="23">
        <v>1</v>
      </c>
      <c r="M12" s="23">
        <v>1</v>
      </c>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4</v>
      </c>
      <c r="D13" s="23">
        <v>4</v>
      </c>
      <c r="E13" s="23">
        <v>4</v>
      </c>
      <c r="F13" s="23">
        <v>4</v>
      </c>
      <c r="G13" s="23">
        <v>4</v>
      </c>
      <c r="H13" s="23">
        <v>4</v>
      </c>
      <c r="I13" s="23">
        <v>4</v>
      </c>
      <c r="J13" s="23">
        <v>4</v>
      </c>
      <c r="K13" s="23">
        <v>5</v>
      </c>
      <c r="L13" s="23">
        <v>5</v>
      </c>
      <c r="M13" s="23">
        <v>4</v>
      </c>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111</v>
      </c>
      <c r="I14" s="36" t="s">
        <v>111</v>
      </c>
      <c r="J14" s="36" t="s">
        <v>111</v>
      </c>
      <c r="K14" s="36" t="s">
        <v>111</v>
      </c>
      <c r="L14" s="36" t="s">
        <v>111</v>
      </c>
      <c r="M14" s="36" t="s">
        <v>111</v>
      </c>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47</v>
      </c>
      <c r="D15" s="23">
        <v>47</v>
      </c>
      <c r="E15" s="23">
        <v>47</v>
      </c>
      <c r="F15" s="23">
        <v>47</v>
      </c>
      <c r="G15" s="23">
        <v>47</v>
      </c>
      <c r="H15" s="23">
        <v>47</v>
      </c>
      <c r="I15" s="23">
        <v>47</v>
      </c>
      <c r="J15" s="23">
        <v>47</v>
      </c>
      <c r="K15" s="23">
        <v>47</v>
      </c>
      <c r="L15" s="23">
        <v>47</v>
      </c>
      <c r="M15" s="23">
        <v>47</v>
      </c>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12.3434498</v>
      </c>
      <c r="D18" s="24">
        <f>$D32</f>
        <v>12.3434498</v>
      </c>
      <c r="E18" s="24">
        <f>$D33</f>
        <v>12.3434498</v>
      </c>
      <c r="F18" s="24">
        <f>$D34</f>
        <v>12.3434498</v>
      </c>
      <c r="G18" s="24">
        <f>$D35</f>
        <v>12.3434498</v>
      </c>
      <c r="H18" s="24">
        <f>$D36</f>
        <v>12.3434498</v>
      </c>
      <c r="I18" s="24">
        <f>$D37</f>
        <v>12.3434498</v>
      </c>
      <c r="J18" s="24">
        <f>$D38</f>
        <v>12.3434498</v>
      </c>
      <c r="K18" s="24">
        <f>$D39</f>
        <v>12.3434498</v>
      </c>
      <c r="L18" s="24">
        <f>$D40</f>
        <v>12.3434498</v>
      </c>
      <c r="M18" s="24">
        <f>$D41</f>
        <v>12.3434498</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-67.55655019999999</v>
      </c>
      <c r="D19" s="24">
        <f t="shared" ref="D19:V19" si="1">D18-D17</f>
        <v>-67.55655019999999</v>
      </c>
      <c r="E19" s="24">
        <f t="shared" si="1"/>
        <v>-67.55655019999999</v>
      </c>
      <c r="F19" s="24">
        <f t="shared" si="1"/>
        <v>-67.55655019999999</v>
      </c>
      <c r="G19" s="24">
        <f t="shared" si="1"/>
        <v>-67.55655019999999</v>
      </c>
      <c r="H19" s="24">
        <f t="shared" si="1"/>
        <v>-67.55655019999999</v>
      </c>
      <c r="I19" s="24">
        <f t="shared" si="1"/>
        <v>-67.55655019999999</v>
      </c>
      <c r="J19" s="24">
        <f t="shared" si="1"/>
        <v>-67.55655019999999</v>
      </c>
      <c r="K19" s="24">
        <f t="shared" si="1"/>
        <v>-67.55655019999999</v>
      </c>
      <c r="L19" s="24">
        <f t="shared" si="1"/>
        <v>-67.55655019999999</v>
      </c>
      <c r="M19" s="24">
        <f t="shared" si="1"/>
        <v>-67.55655019999999</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0.89371837499999984</v>
      </c>
      <c r="D22" s="24">
        <f>$E32</f>
        <v>0.89371837499999984</v>
      </c>
      <c r="E22" s="24">
        <f>$E33</f>
        <v>0.89371837499999984</v>
      </c>
      <c r="F22" s="24">
        <f>$E34</f>
        <v>0.89371837499999984</v>
      </c>
      <c r="G22" s="24">
        <f>$E35</f>
        <v>0.89371837499999984</v>
      </c>
      <c r="H22" s="24">
        <f>$E36</f>
        <v>0.89371837499999984</v>
      </c>
      <c r="I22" s="24">
        <f>$E37</f>
        <v>0.89371837499999984</v>
      </c>
      <c r="J22" s="24">
        <f>$E38</f>
        <v>0.89371837499999984</v>
      </c>
      <c r="K22" s="24">
        <f>$E39</f>
        <v>0.89371837499999984</v>
      </c>
      <c r="L22" s="24">
        <f>$E40</f>
        <v>0.89371837499999984</v>
      </c>
      <c r="M22" s="24">
        <f>$E41</f>
        <v>0.89371837499999984</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-281.10628162500001</v>
      </c>
      <c r="D23" s="24">
        <f t="shared" ref="D23:V23" si="3">D22-D21</f>
        <v>-281.10628162500001</v>
      </c>
      <c r="E23" s="24">
        <f t="shared" si="3"/>
        <v>-281.10628162500001</v>
      </c>
      <c r="F23" s="24">
        <f t="shared" si="3"/>
        <v>-281.10628162500001</v>
      </c>
      <c r="G23" s="24">
        <f t="shared" si="3"/>
        <v>-281.10628162500001</v>
      </c>
      <c r="H23" s="24">
        <f t="shared" si="3"/>
        <v>-281.10628162500001</v>
      </c>
      <c r="I23" s="24">
        <f t="shared" si="3"/>
        <v>-281.10628162500001</v>
      </c>
      <c r="J23" s="24">
        <f t="shared" si="3"/>
        <v>-281.10628162500001</v>
      </c>
      <c r="K23" s="24">
        <f t="shared" si="3"/>
        <v>-281.10628162500001</v>
      </c>
      <c r="L23" s="24">
        <f t="shared" si="3"/>
        <v>-281.10628162500001</v>
      </c>
      <c r="M23" s="24">
        <f t="shared" si="3"/>
        <v>-281.10628162500001</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3.41</v>
      </c>
      <c r="C28" s="23">
        <v>1.07</v>
      </c>
      <c r="D28" s="23">
        <v>6.3200000000000006E-2</v>
      </c>
      <c r="E28" s="23">
        <v>8.6999999999999994E-3</v>
      </c>
      <c r="F28" s="23">
        <v>1420</v>
      </c>
      <c r="G28" s="23">
        <v>19.7</v>
      </c>
      <c r="H28" s="23">
        <v>305</v>
      </c>
      <c r="I28" s="23">
        <v>3.82</v>
      </c>
      <c r="J28" s="23">
        <v>0.52</v>
      </c>
      <c r="K28" s="30">
        <v>0.59</v>
      </c>
      <c r="L28" s="23">
        <v>2.5299999999999998</v>
      </c>
      <c r="M28" s="23">
        <v>7.56</v>
      </c>
      <c r="N28" s="23">
        <v>188000</v>
      </c>
      <c r="O28" s="23">
        <v>2980</v>
      </c>
      <c r="P28" s="23"/>
      <c r="Q28" s="23">
        <v>6550</v>
      </c>
      <c r="R28" s="23"/>
      <c r="S28" s="23">
        <v>14.9</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91.217500000000001</v>
      </c>
      <c r="D31" s="2">
        <f>(IF(D$27="%w/w SAR",((D$28*10)*$B31),IF(D$27="%w/w DM",(((D$28*10)*($B$28/100))*$B31),IF(D$27="kg/t SAR",(D$28*$B31),IF(D$27="kg/t DM",((D$28*($B$28/100))*$B31),IF(D$27="mg/kg SAR",((D$28*0.001)*$B31),IF(D$27="mg/kg DM",(((D$28*0.001)*($B$28/100))*$B31),"0")))))))*2.291</f>
        <v>12.3434498</v>
      </c>
      <c r="E31" s="2">
        <f>(IF(E$27="%w/w SAR",((E$28*10)*$B31),IF(E$27="%w/w DM",(((E$28*10)*($B$28/100))*$B31),IF(E$27="kg/t SAR",(E$28*$B31),IF(E$27="kg/t DM",((E$28*($B$28/100))*$B31),IF(E$27="mg/kg SAR",((E$28*0.001)*$B31),IF(E$27="mg/kg DM",(((E$28*0.001)*($B$28/100))*$B31),"0")))))))*1.205</f>
        <v>0.89371837499999984</v>
      </c>
      <c r="F31" s="2">
        <f>(IF(F$27="%w/w SAR",((F$28*10)*$B31),IF(F$27="%w/w DM",(((F$28*10)*($B$28/100))*$B31),IF(F$27="kg/t SAR",(F$28*$B31),IF(F$27="kg/t DM",((F$28*($B$28/100))*$B31),IF(F$27="mg/kg SAR",((F$28*0.001)*$B31),IF(F$27="mg/kg DM",(((F$28*0.001)*($B$28/100))*$B31),"0")))))))*1.658</f>
        <v>20.070918999999996</v>
      </c>
      <c r="G31" s="2">
        <f t="shared" ref="G31:P31" si="5">IF(G$27="%w/w SAR",((G$28*10)*$B31),IF(G$27="%w/w DM",(((G$28*10)*($B$28/100))*$B31),IF(G$27="kg/t SAR",(G$28*$B31),IF(G$27="kg/t DM",((G$28*($B$28/100))*$B31),IF(G$27="mg/kg SAR",((G$28*0.001)*$B31),IF(G$27="mg/kg DM",(((G$28*0.001)*($B$28/100))*$B31),0))))))</f>
        <v>0.16794249999999997</v>
      </c>
      <c r="H31" s="2">
        <f t="shared" si="5"/>
        <v>2.6001249999999998</v>
      </c>
      <c r="I31" s="2">
        <f t="shared" si="5"/>
        <v>3.2565499999999997E-2</v>
      </c>
      <c r="J31" s="2">
        <f t="shared" si="5"/>
        <v>4.4330000000000003E-3</v>
      </c>
      <c r="K31" s="2">
        <f t="shared" si="5"/>
        <v>5.0297500000000004E-3</v>
      </c>
      <c r="L31" s="2">
        <f t="shared" si="5"/>
        <v>2.1568249999999997E-2</v>
      </c>
      <c r="M31" s="2">
        <f t="shared" si="5"/>
        <v>6.4448999999999992E-2</v>
      </c>
      <c r="N31" s="2">
        <f t="shared" si="5"/>
        <v>1602.7</v>
      </c>
      <c r="O31" s="2">
        <f t="shared" si="5"/>
        <v>25.404499999999999</v>
      </c>
      <c r="P31" s="2">
        <f t="shared" si="5"/>
        <v>0</v>
      </c>
      <c r="Q31" s="2">
        <f>(IF(Q$27="%w/w SAR",((Q$28*10)*$B31),IF(Q$27="%w/w DM",(((Q$28*10)*($B$28/100))*$B31),IF(Q$27="kg/t SAR",(Q$28*$B31),IF(Q$27="kg/t DM",((Q$28*($B$28/100))*$B31),IF(Q$27="mg/kg SAR",((Q$28*0.001)*$B31),IF(Q$27="mg/kg DM",(((Q$28*0.001)*($B$28/100))*$B31),0)))))))*2.5</f>
        <v>139.59687499999998</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0.12702250000000001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91.217500000000001</v>
      </c>
      <c r="D32" s="2">
        <f t="shared" ref="D32:D50" si="7">(IF(D$27="%w/w SAR",((D$28*10)*$B32),IF(D$27="%w/w DM",(((D$28*10)*($B$28/100))*$B32),IF(D$27="kg/t SAR",(D$28*$B32),IF(D$27="kg/t DM",((D$28*($B$28/100))*$B32),IF(D$27="mg/kg SAR",((D$28*0.001)*$B32),IF(D$27="mg/kg DM",(((D$28*0.001)*($B$28/100))*$B32),"0")))))))*2.291</f>
        <v>12.3434498</v>
      </c>
      <c r="E32" s="2">
        <f t="shared" ref="E32:E50" si="8">(IF(E$27="%w/w SAR",((E$28*10)*$B32),IF(E$27="%w/w DM",(((E$28*10)*($B$28/100))*$B32),IF(E$27="kg/t SAR",(E$28*$B32),IF(E$27="kg/t DM",((E$28*($B$28/100))*$B32),IF(E$27="mg/kg SAR",((E$28*0.001)*$B32),IF(E$27="mg/kg DM",(((E$28*0.001)*($B$28/100))*$B32),"0")))))))*1.205</f>
        <v>0.89371837499999984</v>
      </c>
      <c r="F32" s="2">
        <f t="shared" ref="F32:F50" si="9">(IF(F$27="%w/w SAR",((F$28*10)*$B32),IF(F$27="%w/w DM",(((F$28*10)*($B$28/100))*$B32),IF(F$27="kg/t SAR",(F$28*$B32),IF(F$27="kg/t DM",((F$28*($B$28/100))*$B32),IF(F$27="mg/kg SAR",((F$28*0.001)*$B32),IF(F$27="mg/kg DM",(((F$28*0.001)*($B$28/100))*$B32),"0")))))))*1.658</f>
        <v>20.070918999999996</v>
      </c>
      <c r="G32" s="2">
        <f t="shared" ref="G32:P50" si="10">IF(G$27="%w/w SAR",((G$28*10)*$B32),IF(G$27="%w/w DM",(((G$28*10)*($B$28/100))*$B32),IF(G$27="kg/t SAR",(G$28*$B32),IF(G$27="kg/t DM",((G$28*($B$28/100))*$B32),IF(G$27="mg/kg SAR",((G$28*0.001)*$B32),IF(G$27="mg/kg DM",(((G$28*0.001)*($B$28/100))*$B32),0))))))</f>
        <v>0.16794249999999997</v>
      </c>
      <c r="H32" s="2">
        <f t="shared" si="10"/>
        <v>2.6001249999999998</v>
      </c>
      <c r="I32" s="2">
        <f t="shared" si="10"/>
        <v>3.2565499999999997E-2</v>
      </c>
      <c r="J32" s="2">
        <f t="shared" si="10"/>
        <v>4.4330000000000003E-3</v>
      </c>
      <c r="K32" s="2">
        <f t="shared" si="10"/>
        <v>5.0297500000000004E-3</v>
      </c>
      <c r="L32" s="2">
        <f t="shared" si="10"/>
        <v>2.1568249999999997E-2</v>
      </c>
      <c r="M32" s="2">
        <f t="shared" si="10"/>
        <v>6.4448999999999992E-2</v>
      </c>
      <c r="N32" s="2">
        <f t="shared" si="10"/>
        <v>1602.7</v>
      </c>
      <c r="O32" s="2">
        <f t="shared" si="10"/>
        <v>25.404499999999999</v>
      </c>
      <c r="P32" s="2">
        <f t="shared" si="10"/>
        <v>0</v>
      </c>
      <c r="Q32" s="2">
        <f t="shared" ref="Q32:Q50" si="11">(IF(Q$27="%w/w SAR",((Q$28*10)*$B32),IF(Q$27="%w/w DM",(((Q$28*10)*($B$28/100))*$B32),IF(Q$27="kg/t SAR",(Q$28*$B32),IF(Q$27="kg/t DM",((Q$28*($B$28/100))*$B32),IF(Q$27="mg/kg SAR",((Q$28*0.001)*$B32),IF(Q$27="mg/kg DM",(((Q$28*0.001)*($B$28/100))*$B32),0)))))))*2.5</f>
        <v>139.59687499999998</v>
      </c>
      <c r="R32" s="2">
        <f t="shared" ref="R32:U50" si="12">IF(R$27="%w/w SAR",((R$28*10)*$B32),IF(R$27="%w/w DM",(((R$28*10)*($B$28/100))*$B32),IF(R$27="kg/t SAR",(R$28*$B32),IF(R$27="kg/t DM",((R$28*($B$28/100))*$B32),IF(R$27="mg/kg SAR",((R$28*0.001)*$B32),IF(R$27="mg/kg DM",(((R$28*0.001)*($B$28/100))*$B32),0))))))</f>
        <v>0</v>
      </c>
      <c r="S32" s="2">
        <f t="shared" si="12"/>
        <v>0.12702250000000001</v>
      </c>
      <c r="T32" s="2">
        <f t="shared" si="12"/>
        <v>0</v>
      </c>
      <c r="U32" s="2">
        <f t="shared" si="12"/>
        <v>0</v>
      </c>
      <c r="AB32" s="66"/>
      <c r="AC32" s="66"/>
      <c r="AD32" s="66"/>
      <c r="AE32" s="66"/>
      <c r="AF32" s="66"/>
      <c r="AG32" s="66"/>
      <c r="AH32" s="66"/>
      <c r="AI32" s="66"/>
    </row>
    <row r="33" spans="1:35" s="83" customFormat="1" x14ac:dyDescent="0.25">
      <c r="A33" s="21">
        <f>E8</f>
        <v>865</v>
      </c>
      <c r="B33" s="23">
        <v>250</v>
      </c>
      <c r="C33" s="2">
        <f t="shared" si="6"/>
        <v>91.217500000000001</v>
      </c>
      <c r="D33" s="2">
        <f t="shared" si="7"/>
        <v>12.3434498</v>
      </c>
      <c r="E33" s="2">
        <f t="shared" si="8"/>
        <v>0.89371837499999984</v>
      </c>
      <c r="F33" s="2">
        <f t="shared" si="9"/>
        <v>20.070918999999996</v>
      </c>
      <c r="G33" s="2">
        <f t="shared" si="10"/>
        <v>0.16794249999999997</v>
      </c>
      <c r="H33" s="2">
        <f t="shared" si="10"/>
        <v>2.6001249999999998</v>
      </c>
      <c r="I33" s="2">
        <f t="shared" si="10"/>
        <v>3.2565499999999997E-2</v>
      </c>
      <c r="J33" s="2">
        <f t="shared" si="10"/>
        <v>4.4330000000000003E-3</v>
      </c>
      <c r="K33" s="2">
        <f t="shared" si="10"/>
        <v>5.0297500000000004E-3</v>
      </c>
      <c r="L33" s="2">
        <f t="shared" si="10"/>
        <v>2.1568249999999997E-2</v>
      </c>
      <c r="M33" s="2">
        <f t="shared" si="10"/>
        <v>6.4448999999999992E-2</v>
      </c>
      <c r="N33" s="2">
        <f t="shared" si="10"/>
        <v>1602.7</v>
      </c>
      <c r="O33" s="2">
        <f t="shared" si="10"/>
        <v>25.404499999999999</v>
      </c>
      <c r="P33" s="2">
        <f t="shared" si="10"/>
        <v>0</v>
      </c>
      <c r="Q33" s="2">
        <f t="shared" si="11"/>
        <v>139.59687499999998</v>
      </c>
      <c r="R33" s="2">
        <f t="shared" si="12"/>
        <v>0</v>
      </c>
      <c r="S33" s="2">
        <f t="shared" si="12"/>
        <v>0.12702250000000001</v>
      </c>
      <c r="T33" s="2">
        <f t="shared" si="12"/>
        <v>0</v>
      </c>
      <c r="U33" s="2">
        <f t="shared" si="12"/>
        <v>0</v>
      </c>
      <c r="AB33" s="66"/>
      <c r="AC33" s="66"/>
      <c r="AD33" s="66"/>
      <c r="AE33" s="66"/>
      <c r="AF33" s="66"/>
      <c r="AG33" s="66"/>
      <c r="AH33" s="66"/>
      <c r="AI33" s="66"/>
    </row>
    <row r="34" spans="1:35" s="83" customFormat="1" x14ac:dyDescent="0.25">
      <c r="A34" s="21">
        <f>F8</f>
        <v>9678</v>
      </c>
      <c r="B34" s="23">
        <v>250</v>
      </c>
      <c r="C34" s="2">
        <f t="shared" si="6"/>
        <v>91.217500000000001</v>
      </c>
      <c r="D34" s="2">
        <f t="shared" si="7"/>
        <v>12.3434498</v>
      </c>
      <c r="E34" s="2">
        <f t="shared" si="8"/>
        <v>0.89371837499999984</v>
      </c>
      <c r="F34" s="2">
        <f t="shared" si="9"/>
        <v>20.070918999999996</v>
      </c>
      <c r="G34" s="2">
        <f t="shared" si="10"/>
        <v>0.16794249999999997</v>
      </c>
      <c r="H34" s="2">
        <f t="shared" si="10"/>
        <v>2.6001249999999998</v>
      </c>
      <c r="I34" s="2">
        <f t="shared" si="10"/>
        <v>3.2565499999999997E-2</v>
      </c>
      <c r="J34" s="2">
        <f t="shared" si="10"/>
        <v>4.4330000000000003E-3</v>
      </c>
      <c r="K34" s="2">
        <f t="shared" si="10"/>
        <v>5.0297500000000004E-3</v>
      </c>
      <c r="L34" s="2">
        <f t="shared" si="10"/>
        <v>2.1568249999999997E-2</v>
      </c>
      <c r="M34" s="2">
        <f t="shared" si="10"/>
        <v>6.4448999999999992E-2</v>
      </c>
      <c r="N34" s="2">
        <f t="shared" si="10"/>
        <v>1602.7</v>
      </c>
      <c r="O34" s="2">
        <f t="shared" si="10"/>
        <v>25.404499999999999</v>
      </c>
      <c r="P34" s="2">
        <f t="shared" si="10"/>
        <v>0</v>
      </c>
      <c r="Q34" s="2">
        <f t="shared" si="11"/>
        <v>139.59687499999998</v>
      </c>
      <c r="R34" s="2">
        <f t="shared" si="12"/>
        <v>0</v>
      </c>
      <c r="S34" s="2">
        <f t="shared" si="12"/>
        <v>0.12702250000000001</v>
      </c>
      <c r="T34" s="2">
        <f t="shared" si="12"/>
        <v>0</v>
      </c>
      <c r="U34" s="2">
        <f t="shared" si="12"/>
        <v>0</v>
      </c>
      <c r="AB34" s="66"/>
      <c r="AC34" s="66"/>
      <c r="AD34" s="66"/>
      <c r="AE34" s="66"/>
      <c r="AF34" s="66"/>
      <c r="AG34" s="66"/>
      <c r="AH34" s="66"/>
      <c r="AI34" s="66"/>
    </row>
    <row r="35" spans="1:35" s="83" customFormat="1" x14ac:dyDescent="0.25">
      <c r="A35" s="21">
        <f>G8</f>
        <v>1285</v>
      </c>
      <c r="B35" s="23">
        <v>250</v>
      </c>
      <c r="C35" s="2">
        <f t="shared" si="6"/>
        <v>91.217500000000001</v>
      </c>
      <c r="D35" s="2">
        <f t="shared" si="7"/>
        <v>12.3434498</v>
      </c>
      <c r="E35" s="2">
        <f t="shared" si="8"/>
        <v>0.89371837499999984</v>
      </c>
      <c r="F35" s="2">
        <f t="shared" si="9"/>
        <v>20.070918999999996</v>
      </c>
      <c r="G35" s="2">
        <f t="shared" si="10"/>
        <v>0.16794249999999997</v>
      </c>
      <c r="H35" s="2">
        <f t="shared" si="10"/>
        <v>2.6001249999999998</v>
      </c>
      <c r="I35" s="2">
        <f t="shared" si="10"/>
        <v>3.2565499999999997E-2</v>
      </c>
      <c r="J35" s="2">
        <f t="shared" si="10"/>
        <v>4.4330000000000003E-3</v>
      </c>
      <c r="K35" s="2">
        <f t="shared" si="10"/>
        <v>5.0297500000000004E-3</v>
      </c>
      <c r="L35" s="2">
        <f t="shared" si="10"/>
        <v>2.1568249999999997E-2</v>
      </c>
      <c r="M35" s="2">
        <f t="shared" si="10"/>
        <v>6.4448999999999992E-2</v>
      </c>
      <c r="N35" s="2">
        <f t="shared" si="10"/>
        <v>1602.7</v>
      </c>
      <c r="O35" s="2">
        <f t="shared" si="10"/>
        <v>25.404499999999999</v>
      </c>
      <c r="P35" s="2">
        <f t="shared" si="10"/>
        <v>0</v>
      </c>
      <c r="Q35" s="2">
        <f t="shared" si="11"/>
        <v>139.59687499999998</v>
      </c>
      <c r="R35" s="2">
        <f t="shared" si="12"/>
        <v>0</v>
      </c>
      <c r="S35" s="2">
        <f t="shared" si="12"/>
        <v>0.12702250000000001</v>
      </c>
      <c r="T35" s="2">
        <f t="shared" si="12"/>
        <v>0</v>
      </c>
      <c r="U35" s="2">
        <f t="shared" si="12"/>
        <v>0</v>
      </c>
      <c r="AB35" s="66"/>
      <c r="AC35" s="66"/>
      <c r="AD35" s="66"/>
      <c r="AE35" s="66"/>
      <c r="AF35" s="66"/>
      <c r="AG35" s="66"/>
      <c r="AH35" s="66"/>
      <c r="AI35" s="66"/>
    </row>
    <row r="36" spans="1:35" s="83" customFormat="1" x14ac:dyDescent="0.25">
      <c r="A36" s="21">
        <f>H8</f>
        <v>2488</v>
      </c>
      <c r="B36" s="23">
        <v>250</v>
      </c>
      <c r="C36" s="2">
        <f t="shared" si="6"/>
        <v>91.217500000000001</v>
      </c>
      <c r="D36" s="2">
        <f t="shared" si="7"/>
        <v>12.3434498</v>
      </c>
      <c r="E36" s="2">
        <f t="shared" si="8"/>
        <v>0.89371837499999984</v>
      </c>
      <c r="F36" s="2">
        <f t="shared" si="9"/>
        <v>20.070918999999996</v>
      </c>
      <c r="G36" s="2">
        <f t="shared" si="10"/>
        <v>0.16794249999999997</v>
      </c>
      <c r="H36" s="2">
        <f t="shared" si="10"/>
        <v>2.6001249999999998</v>
      </c>
      <c r="I36" s="2">
        <f t="shared" si="10"/>
        <v>3.2565499999999997E-2</v>
      </c>
      <c r="J36" s="2">
        <f t="shared" si="10"/>
        <v>4.4330000000000003E-3</v>
      </c>
      <c r="K36" s="2">
        <f t="shared" si="10"/>
        <v>5.0297500000000004E-3</v>
      </c>
      <c r="L36" s="2">
        <f t="shared" si="10"/>
        <v>2.1568249999999997E-2</v>
      </c>
      <c r="M36" s="2">
        <f t="shared" si="10"/>
        <v>6.4448999999999992E-2</v>
      </c>
      <c r="N36" s="2">
        <f t="shared" si="10"/>
        <v>1602.7</v>
      </c>
      <c r="O36" s="2">
        <f t="shared" si="10"/>
        <v>25.404499999999999</v>
      </c>
      <c r="P36" s="2">
        <f t="shared" si="10"/>
        <v>0</v>
      </c>
      <c r="Q36" s="2">
        <f t="shared" si="11"/>
        <v>139.59687499999998</v>
      </c>
      <c r="R36" s="2">
        <f t="shared" si="12"/>
        <v>0</v>
      </c>
      <c r="S36" s="2">
        <f t="shared" si="12"/>
        <v>0.12702250000000001</v>
      </c>
      <c r="T36" s="2">
        <f t="shared" si="12"/>
        <v>0</v>
      </c>
      <c r="U36" s="2">
        <f t="shared" si="12"/>
        <v>0</v>
      </c>
      <c r="AB36" s="66"/>
      <c r="AC36" s="66"/>
      <c r="AD36" s="66"/>
      <c r="AE36" s="66"/>
      <c r="AF36" s="66"/>
      <c r="AG36" s="66"/>
      <c r="AH36" s="66"/>
      <c r="AI36" s="66"/>
    </row>
    <row r="37" spans="1:35" s="83" customFormat="1" x14ac:dyDescent="0.25">
      <c r="A37" s="21">
        <f>I8</f>
        <v>9216</v>
      </c>
      <c r="B37" s="23">
        <v>250</v>
      </c>
      <c r="C37" s="2">
        <f t="shared" si="6"/>
        <v>91.217500000000001</v>
      </c>
      <c r="D37" s="2">
        <f t="shared" si="7"/>
        <v>12.3434498</v>
      </c>
      <c r="E37" s="2">
        <f t="shared" si="8"/>
        <v>0.89371837499999984</v>
      </c>
      <c r="F37" s="2">
        <f t="shared" si="9"/>
        <v>20.070918999999996</v>
      </c>
      <c r="G37" s="2">
        <f t="shared" si="10"/>
        <v>0.16794249999999997</v>
      </c>
      <c r="H37" s="2">
        <f t="shared" si="10"/>
        <v>2.6001249999999998</v>
      </c>
      <c r="I37" s="2">
        <f t="shared" si="10"/>
        <v>3.2565499999999997E-2</v>
      </c>
      <c r="J37" s="2">
        <f t="shared" si="10"/>
        <v>4.4330000000000003E-3</v>
      </c>
      <c r="K37" s="2">
        <f t="shared" si="10"/>
        <v>5.0297500000000004E-3</v>
      </c>
      <c r="L37" s="2">
        <f t="shared" si="10"/>
        <v>2.1568249999999997E-2</v>
      </c>
      <c r="M37" s="2">
        <f t="shared" si="10"/>
        <v>6.4448999999999992E-2</v>
      </c>
      <c r="N37" s="2">
        <f t="shared" si="10"/>
        <v>1602.7</v>
      </c>
      <c r="O37" s="2">
        <f t="shared" si="10"/>
        <v>25.404499999999999</v>
      </c>
      <c r="P37" s="2">
        <f t="shared" si="10"/>
        <v>0</v>
      </c>
      <c r="Q37" s="2">
        <f t="shared" si="11"/>
        <v>139.59687499999998</v>
      </c>
      <c r="R37" s="2">
        <f t="shared" si="12"/>
        <v>0</v>
      </c>
      <c r="S37" s="2">
        <f t="shared" si="12"/>
        <v>0.12702250000000001</v>
      </c>
      <c r="T37" s="2">
        <f t="shared" si="12"/>
        <v>0</v>
      </c>
      <c r="U37" s="2">
        <f t="shared" si="12"/>
        <v>0</v>
      </c>
      <c r="AB37" s="66"/>
      <c r="AC37" s="66"/>
      <c r="AD37" s="66"/>
      <c r="AE37" s="66"/>
      <c r="AF37" s="66"/>
      <c r="AG37" s="66"/>
      <c r="AH37" s="66"/>
      <c r="AI37" s="66"/>
    </row>
    <row r="38" spans="1:35" s="83" customFormat="1" x14ac:dyDescent="0.25">
      <c r="A38" s="21">
        <f>J8</f>
        <v>1113</v>
      </c>
      <c r="B38" s="23">
        <v>250</v>
      </c>
      <c r="C38" s="2">
        <f t="shared" si="6"/>
        <v>91.217500000000001</v>
      </c>
      <c r="D38" s="2">
        <f t="shared" si="7"/>
        <v>12.3434498</v>
      </c>
      <c r="E38" s="2">
        <f t="shared" si="8"/>
        <v>0.89371837499999984</v>
      </c>
      <c r="F38" s="2">
        <f t="shared" si="9"/>
        <v>20.070918999999996</v>
      </c>
      <c r="G38" s="2">
        <f t="shared" si="10"/>
        <v>0.16794249999999997</v>
      </c>
      <c r="H38" s="2">
        <f t="shared" si="10"/>
        <v>2.6001249999999998</v>
      </c>
      <c r="I38" s="2">
        <f t="shared" si="10"/>
        <v>3.2565499999999997E-2</v>
      </c>
      <c r="J38" s="2">
        <f t="shared" si="10"/>
        <v>4.4330000000000003E-3</v>
      </c>
      <c r="K38" s="2">
        <f t="shared" si="10"/>
        <v>5.0297500000000004E-3</v>
      </c>
      <c r="L38" s="2">
        <f t="shared" si="10"/>
        <v>2.1568249999999997E-2</v>
      </c>
      <c r="M38" s="2">
        <f t="shared" si="10"/>
        <v>6.4448999999999992E-2</v>
      </c>
      <c r="N38" s="2">
        <f t="shared" si="10"/>
        <v>1602.7</v>
      </c>
      <c r="O38" s="2">
        <f t="shared" si="10"/>
        <v>25.404499999999999</v>
      </c>
      <c r="P38" s="2">
        <f t="shared" si="10"/>
        <v>0</v>
      </c>
      <c r="Q38" s="2">
        <f t="shared" si="11"/>
        <v>139.59687499999998</v>
      </c>
      <c r="R38" s="2">
        <f t="shared" si="12"/>
        <v>0</v>
      </c>
      <c r="S38" s="2">
        <f t="shared" si="12"/>
        <v>0.12702250000000001</v>
      </c>
      <c r="T38" s="2">
        <f t="shared" si="12"/>
        <v>0</v>
      </c>
      <c r="U38" s="2">
        <f t="shared" si="12"/>
        <v>0</v>
      </c>
      <c r="AB38" s="66"/>
      <c r="AC38" s="66"/>
      <c r="AD38" s="66"/>
      <c r="AE38" s="66"/>
      <c r="AF38" s="66"/>
      <c r="AG38" s="66"/>
      <c r="AH38" s="66"/>
      <c r="AI38" s="66"/>
    </row>
    <row r="39" spans="1:35" s="83" customFormat="1" x14ac:dyDescent="0.25">
      <c r="A39" s="21">
        <f>K8</f>
        <v>2585</v>
      </c>
      <c r="B39" s="23">
        <v>250</v>
      </c>
      <c r="C39" s="2">
        <f t="shared" si="6"/>
        <v>91.217500000000001</v>
      </c>
      <c r="D39" s="2">
        <f t="shared" si="7"/>
        <v>12.3434498</v>
      </c>
      <c r="E39" s="2">
        <f t="shared" si="8"/>
        <v>0.89371837499999984</v>
      </c>
      <c r="F39" s="2">
        <f t="shared" si="9"/>
        <v>20.070918999999996</v>
      </c>
      <c r="G39" s="2">
        <f t="shared" si="10"/>
        <v>0.16794249999999997</v>
      </c>
      <c r="H39" s="2">
        <f t="shared" si="10"/>
        <v>2.6001249999999998</v>
      </c>
      <c r="I39" s="2">
        <f t="shared" si="10"/>
        <v>3.2565499999999997E-2</v>
      </c>
      <c r="J39" s="2">
        <f t="shared" si="10"/>
        <v>4.4330000000000003E-3</v>
      </c>
      <c r="K39" s="2">
        <f t="shared" si="10"/>
        <v>5.0297500000000004E-3</v>
      </c>
      <c r="L39" s="2">
        <f t="shared" si="10"/>
        <v>2.1568249999999997E-2</v>
      </c>
      <c r="M39" s="2">
        <f t="shared" si="10"/>
        <v>6.4448999999999992E-2</v>
      </c>
      <c r="N39" s="2">
        <f t="shared" si="10"/>
        <v>1602.7</v>
      </c>
      <c r="O39" s="2">
        <f t="shared" si="10"/>
        <v>25.404499999999999</v>
      </c>
      <c r="P39" s="2">
        <f t="shared" si="10"/>
        <v>0</v>
      </c>
      <c r="Q39" s="2">
        <f t="shared" si="11"/>
        <v>139.59687499999998</v>
      </c>
      <c r="R39" s="2">
        <f t="shared" si="12"/>
        <v>0</v>
      </c>
      <c r="S39" s="2">
        <f t="shared" si="12"/>
        <v>0.12702250000000001</v>
      </c>
      <c r="T39" s="2">
        <f t="shared" si="12"/>
        <v>0</v>
      </c>
      <c r="U39" s="2">
        <f t="shared" si="12"/>
        <v>0</v>
      </c>
      <c r="AB39" s="66"/>
      <c r="AC39" s="66"/>
      <c r="AD39" s="66"/>
      <c r="AE39" s="66"/>
      <c r="AF39" s="66"/>
      <c r="AG39" s="66"/>
      <c r="AH39" s="66"/>
      <c r="AI39" s="66"/>
    </row>
    <row r="40" spans="1:35" s="83" customFormat="1" x14ac:dyDescent="0.25">
      <c r="A40" s="21">
        <f>L8</f>
        <v>264</v>
      </c>
      <c r="B40" s="23">
        <v>250</v>
      </c>
      <c r="C40" s="2">
        <f t="shared" si="6"/>
        <v>91.217500000000001</v>
      </c>
      <c r="D40" s="2">
        <f t="shared" si="7"/>
        <v>12.3434498</v>
      </c>
      <c r="E40" s="2">
        <f t="shared" si="8"/>
        <v>0.89371837499999984</v>
      </c>
      <c r="F40" s="2">
        <f t="shared" si="9"/>
        <v>20.070918999999996</v>
      </c>
      <c r="G40" s="2">
        <f t="shared" si="10"/>
        <v>0.16794249999999997</v>
      </c>
      <c r="H40" s="2">
        <f t="shared" si="10"/>
        <v>2.6001249999999998</v>
      </c>
      <c r="I40" s="2">
        <f t="shared" si="10"/>
        <v>3.2565499999999997E-2</v>
      </c>
      <c r="J40" s="2">
        <f t="shared" si="10"/>
        <v>4.4330000000000003E-3</v>
      </c>
      <c r="K40" s="2">
        <f t="shared" si="10"/>
        <v>5.0297500000000004E-3</v>
      </c>
      <c r="L40" s="2">
        <f t="shared" si="10"/>
        <v>2.1568249999999997E-2</v>
      </c>
      <c r="M40" s="2">
        <f t="shared" si="10"/>
        <v>6.4448999999999992E-2</v>
      </c>
      <c r="N40" s="2">
        <f t="shared" si="10"/>
        <v>1602.7</v>
      </c>
      <c r="O40" s="2">
        <f t="shared" si="10"/>
        <v>25.404499999999999</v>
      </c>
      <c r="P40" s="2">
        <f t="shared" si="10"/>
        <v>0</v>
      </c>
      <c r="Q40" s="2">
        <f t="shared" si="11"/>
        <v>139.59687499999998</v>
      </c>
      <c r="R40" s="2">
        <f t="shared" si="12"/>
        <v>0</v>
      </c>
      <c r="S40" s="2">
        <f t="shared" si="12"/>
        <v>0.12702250000000001</v>
      </c>
      <c r="T40" s="2">
        <f t="shared" si="12"/>
        <v>0</v>
      </c>
      <c r="U40" s="2">
        <f t="shared" si="12"/>
        <v>0</v>
      </c>
      <c r="AB40" s="66"/>
      <c r="AC40" s="66"/>
      <c r="AD40" s="66"/>
      <c r="AE40" s="66"/>
      <c r="AF40" s="66"/>
      <c r="AG40" s="66"/>
      <c r="AH40" s="66"/>
      <c r="AI40" s="66"/>
    </row>
    <row r="41" spans="1:35" s="83" customFormat="1" x14ac:dyDescent="0.25">
      <c r="A41" s="21">
        <f>M8</f>
        <v>6854</v>
      </c>
      <c r="B41" s="23">
        <v>250</v>
      </c>
      <c r="C41" s="2">
        <f t="shared" si="6"/>
        <v>91.217500000000001</v>
      </c>
      <c r="D41" s="2">
        <f t="shared" si="7"/>
        <v>12.3434498</v>
      </c>
      <c r="E41" s="2">
        <f t="shared" si="8"/>
        <v>0.89371837499999984</v>
      </c>
      <c r="F41" s="2">
        <f t="shared" si="9"/>
        <v>20.070918999999996</v>
      </c>
      <c r="G41" s="2">
        <f t="shared" si="10"/>
        <v>0.16794249999999997</v>
      </c>
      <c r="H41" s="2">
        <f t="shared" si="10"/>
        <v>2.6001249999999998</v>
      </c>
      <c r="I41" s="2">
        <f t="shared" si="10"/>
        <v>3.2565499999999997E-2</v>
      </c>
      <c r="J41" s="2">
        <f t="shared" si="10"/>
        <v>4.4330000000000003E-3</v>
      </c>
      <c r="K41" s="2">
        <f t="shared" si="10"/>
        <v>5.0297500000000004E-3</v>
      </c>
      <c r="L41" s="2">
        <f t="shared" si="10"/>
        <v>2.1568249999999997E-2</v>
      </c>
      <c r="M41" s="2">
        <f t="shared" si="10"/>
        <v>6.4448999999999992E-2</v>
      </c>
      <c r="N41" s="2">
        <f t="shared" si="10"/>
        <v>1602.7</v>
      </c>
      <c r="O41" s="2">
        <f t="shared" si="10"/>
        <v>25.404499999999999</v>
      </c>
      <c r="P41" s="2">
        <f t="shared" si="10"/>
        <v>0</v>
      </c>
      <c r="Q41" s="2">
        <f t="shared" si="11"/>
        <v>139.59687499999998</v>
      </c>
      <c r="R41" s="2">
        <f t="shared" si="12"/>
        <v>0</v>
      </c>
      <c r="S41" s="2">
        <f t="shared" si="12"/>
        <v>0.12702250000000001</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89" priority="40" operator="equal">
      <formula>"DECREASE"</formula>
    </cfRule>
    <cfRule type="cellIs" dxfId="388" priority="41" operator="equal">
      <formula>"INCREASE"</formula>
    </cfRule>
  </conditionalFormatting>
  <conditionalFormatting sqref="B62:U65 B31:B50">
    <cfRule type="cellIs" dxfId="387" priority="39" operator="greaterThan">
      <formula>$B$51</formula>
    </cfRule>
  </conditionalFormatting>
  <conditionalFormatting sqref="C31:C50">
    <cfRule type="cellIs" dxfId="386" priority="38" operator="greaterThan">
      <formula>$C$51</formula>
    </cfRule>
  </conditionalFormatting>
  <conditionalFormatting sqref="C18:V18">
    <cfRule type="cellIs" dxfId="385" priority="34" operator="equal">
      <formula>0</formula>
    </cfRule>
  </conditionalFormatting>
  <conditionalFormatting sqref="C17:V17">
    <cfRule type="cellIs" dxfId="384" priority="32" operator="equal">
      <formula>0</formula>
    </cfRule>
  </conditionalFormatting>
  <conditionalFormatting sqref="C19:V19">
    <cfRule type="cellIs" dxfId="383" priority="31" operator="equal">
      <formula>0</formula>
    </cfRule>
  </conditionalFormatting>
  <conditionalFormatting sqref="G31:G50">
    <cfRule type="cellIs" dxfId="382" priority="28" operator="greaterThan">
      <formula>$G$51</formula>
    </cfRule>
  </conditionalFormatting>
  <conditionalFormatting sqref="H31:H50">
    <cfRule type="cellIs" dxfId="381" priority="27" operator="greaterThan">
      <formula>$H$51</formula>
    </cfRule>
  </conditionalFormatting>
  <conditionalFormatting sqref="I31:I50">
    <cfRule type="cellIs" dxfId="380" priority="26" operator="greaterThan">
      <formula>$I$51</formula>
    </cfRule>
  </conditionalFormatting>
  <conditionalFormatting sqref="K31:K50">
    <cfRule type="cellIs" dxfId="379" priority="24" operator="greaterThan">
      <formula>$K$51</formula>
    </cfRule>
  </conditionalFormatting>
  <conditionalFormatting sqref="L31:L50">
    <cfRule type="cellIs" dxfId="378" priority="23" operator="greaterThan">
      <formula>$L$51</formula>
    </cfRule>
  </conditionalFormatting>
  <conditionalFormatting sqref="M31:M50">
    <cfRule type="cellIs" dxfId="377" priority="22" operator="greaterThan">
      <formula>$M$51</formula>
    </cfRule>
  </conditionalFormatting>
  <conditionalFormatting sqref="P31:P50">
    <cfRule type="cellIs" dxfId="376" priority="21" operator="greaterThan">
      <formula>$P$51</formula>
    </cfRule>
  </conditionalFormatting>
  <conditionalFormatting sqref="R31:R50">
    <cfRule type="cellIs" dxfId="375" priority="20" operator="greaterThan">
      <formula>$R$51</formula>
    </cfRule>
  </conditionalFormatting>
  <conditionalFormatting sqref="S31:S50">
    <cfRule type="cellIs" dxfId="374" priority="19" operator="greaterThan">
      <formula>$S$51</formula>
    </cfRule>
  </conditionalFormatting>
  <conditionalFormatting sqref="T31:T50">
    <cfRule type="cellIs" dxfId="373" priority="18" operator="greaterThan">
      <formula>$T$51</formula>
    </cfRule>
  </conditionalFormatting>
  <conditionalFormatting sqref="U31:U50">
    <cfRule type="cellIs" dxfId="372" priority="17" operator="greaterThan">
      <formula>$U$51</formula>
    </cfRule>
  </conditionalFormatting>
  <conditionalFormatting sqref="C22:V22">
    <cfRule type="cellIs" dxfId="371" priority="15" operator="equal">
      <formula>0</formula>
    </cfRule>
  </conditionalFormatting>
  <conditionalFormatting sqref="C24:V24">
    <cfRule type="cellIs" dxfId="370" priority="13" operator="equal">
      <formula>"DECREASE"</formula>
    </cfRule>
    <cfRule type="cellIs" dxfId="369" priority="14" operator="equal">
      <formula>"INCREASE"</formula>
    </cfRule>
  </conditionalFormatting>
  <conditionalFormatting sqref="C23:V23">
    <cfRule type="cellIs" dxfId="368" priority="12" operator="equal">
      <formula>0</formula>
    </cfRule>
  </conditionalFormatting>
  <conditionalFormatting sqref="I1">
    <cfRule type="cellIs" dxfId="367" priority="8" operator="lessThan">
      <formula>5</formula>
    </cfRule>
  </conditionalFormatting>
  <conditionalFormatting sqref="I2">
    <cfRule type="cellIs" dxfId="366" priority="7" operator="greaterThan">
      <formula>5000.1</formula>
    </cfRule>
  </conditionalFormatting>
  <conditionalFormatting sqref="I3">
    <cfRule type="cellIs" dxfId="365" priority="6" operator="greaterThan">
      <formula>4.1</formula>
    </cfRule>
  </conditionalFormatting>
  <conditionalFormatting sqref="C21:V21">
    <cfRule type="cellIs" dxfId="364" priority="5" operator="equal">
      <formula>0</formula>
    </cfRule>
  </conditionalFormatting>
  <conditionalFormatting sqref="B65:U65">
    <cfRule type="cellIs" dxfId="363" priority="1" operator="equal">
      <formula>"UNDER"</formula>
    </cfRule>
    <cfRule type="cellIs" dxfId="362"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B32" sqref="B32: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6.5</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159</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19.990120499999996</v>
      </c>
      <c r="D18" s="24">
        <f>$D32</f>
        <v>19.990120499999996</v>
      </c>
      <c r="E18" s="24">
        <f>$D33</f>
        <v>19.990120499999996</v>
      </c>
      <c r="F18" s="24">
        <f>$D34</f>
        <v>19.990120499999996</v>
      </c>
      <c r="G18" s="24">
        <f>$D35</f>
        <v>19.990120499999996</v>
      </c>
      <c r="H18" s="24">
        <f>$D36</f>
        <v>19.990120499999996</v>
      </c>
      <c r="I18" s="24">
        <f>$D37</f>
        <v>19.990120499999996</v>
      </c>
      <c r="J18" s="24">
        <f>$D38</f>
        <v>19.990120499999996</v>
      </c>
      <c r="K18" s="24">
        <f>$D39</f>
        <v>19.990120499999996</v>
      </c>
      <c r="L18" s="24">
        <f>$D40</f>
        <v>19.990120499999996</v>
      </c>
      <c r="M18" s="24">
        <f>$D41</f>
        <v>19.990120499999996</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-59.909879499999995</v>
      </c>
      <c r="D19" s="24">
        <f t="shared" ref="D19:V19" si="1">D18-D17</f>
        <v>-59.909879499999995</v>
      </c>
      <c r="E19" s="24">
        <f t="shared" si="1"/>
        <v>-59.909879499999995</v>
      </c>
      <c r="F19" s="24">
        <f t="shared" si="1"/>
        <v>-59.909879499999995</v>
      </c>
      <c r="G19" s="24">
        <f t="shared" si="1"/>
        <v>-59.909879499999995</v>
      </c>
      <c r="H19" s="24">
        <f t="shared" si="1"/>
        <v>-59.909879499999995</v>
      </c>
      <c r="I19" s="24">
        <f t="shared" si="1"/>
        <v>-59.909879499999995</v>
      </c>
      <c r="J19" s="24">
        <f t="shared" si="1"/>
        <v>-59.909879499999995</v>
      </c>
      <c r="K19" s="24">
        <f t="shared" si="1"/>
        <v>-59.909879499999995</v>
      </c>
      <c r="L19" s="24">
        <f t="shared" si="1"/>
        <v>-59.909879499999995</v>
      </c>
      <c r="M19" s="24">
        <f t="shared" si="1"/>
        <v>-59.909879499999995</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0.87618562500000008</v>
      </c>
      <c r="D22" s="24">
        <f>$E32</f>
        <v>0.87618562500000008</v>
      </c>
      <c r="E22" s="24">
        <f>$E33</f>
        <v>0.87618562500000008</v>
      </c>
      <c r="F22" s="24">
        <f>$E34</f>
        <v>0.87618562500000008</v>
      </c>
      <c r="G22" s="24">
        <f>$E35</f>
        <v>0.87618562500000008</v>
      </c>
      <c r="H22" s="24">
        <f>$E36</f>
        <v>0.87618562500000008</v>
      </c>
      <c r="I22" s="24">
        <f>$E37</f>
        <v>0.87618562500000008</v>
      </c>
      <c r="J22" s="24">
        <f>$E38</f>
        <v>0.87618562500000008</v>
      </c>
      <c r="K22" s="24">
        <f>$E39</f>
        <v>0.87618562500000008</v>
      </c>
      <c r="L22" s="24">
        <f>$E40</f>
        <v>0.87618562500000008</v>
      </c>
      <c r="M22" s="24">
        <f>$E41</f>
        <v>0.87618562500000008</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-281.12381437499999</v>
      </c>
      <c r="D23" s="24">
        <f t="shared" ref="D23:V23" si="3">D22-D21</f>
        <v>-281.12381437499999</v>
      </c>
      <c r="E23" s="24">
        <f t="shared" si="3"/>
        <v>-281.12381437499999</v>
      </c>
      <c r="F23" s="24">
        <f t="shared" si="3"/>
        <v>-281.12381437499999</v>
      </c>
      <c r="G23" s="24">
        <f t="shared" si="3"/>
        <v>-281.12381437499999</v>
      </c>
      <c r="H23" s="24">
        <f t="shared" si="3"/>
        <v>-281.12381437499999</v>
      </c>
      <c r="I23" s="24">
        <f t="shared" si="3"/>
        <v>-281.12381437499999</v>
      </c>
      <c r="J23" s="24">
        <f t="shared" si="3"/>
        <v>-281.12381437499999</v>
      </c>
      <c r="K23" s="24">
        <f t="shared" si="3"/>
        <v>-281.12381437499999</v>
      </c>
      <c r="L23" s="24">
        <f t="shared" si="3"/>
        <v>-281.12381437499999</v>
      </c>
      <c r="M23" s="24">
        <f t="shared" si="3"/>
        <v>-281.12381437499999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2.77</v>
      </c>
      <c r="C28" s="23">
        <v>1.41</v>
      </c>
      <c r="D28" s="23">
        <v>0.126</v>
      </c>
      <c r="E28" s="23">
        <v>1.0500000000000001E-2</v>
      </c>
      <c r="F28" s="23">
        <v>444</v>
      </c>
      <c r="G28" s="23">
        <v>28.3</v>
      </c>
      <c r="H28" s="23">
        <v>44.9</v>
      </c>
      <c r="I28" s="23">
        <v>4.7</v>
      </c>
      <c r="J28" s="23">
        <v>0.34</v>
      </c>
      <c r="K28" s="30">
        <v>0.73</v>
      </c>
      <c r="L28" s="23">
        <v>3.11</v>
      </c>
      <c r="M28" s="23">
        <v>2.46</v>
      </c>
      <c r="N28" s="23">
        <v>170000</v>
      </c>
      <c r="O28" s="23">
        <v>4620</v>
      </c>
      <c r="P28" s="23"/>
      <c r="Q28" s="23">
        <v>7860</v>
      </c>
      <c r="R28" s="23"/>
      <c r="S28" s="23">
        <v>45.6</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97.642499999999998</v>
      </c>
      <c r="D31" s="2">
        <f>(IF(D$27="%w/w SAR",((D$28*10)*$B31),IF(D$27="%w/w DM",(((D$28*10)*($B$28/100))*$B31),IF(D$27="kg/t SAR",(D$28*$B31),IF(D$27="kg/t DM",((D$28*($B$28/100))*$B31),IF(D$27="mg/kg SAR",((D$28*0.001)*$B31),IF(D$27="mg/kg DM",(((D$28*0.001)*($B$28/100))*$B31),"0")))))))*2.291</f>
        <v>19.990120499999996</v>
      </c>
      <c r="E31" s="2">
        <f>(IF(E$27="%w/w SAR",((E$28*10)*$B31),IF(E$27="%w/w DM",(((E$28*10)*($B$28/100))*$B31),IF(E$27="kg/t SAR",(E$28*$B31),IF(E$27="kg/t DM",((E$28*($B$28/100))*$B31),IF(E$27="mg/kg SAR",((E$28*0.001)*$B31),IF(E$27="mg/kg DM",(((E$28*0.001)*($B$28/100))*$B31),"0")))))))*1.205</f>
        <v>0.87618562500000008</v>
      </c>
      <c r="F31" s="2">
        <f>(IF(F$27="%w/w SAR",((F$28*10)*$B31),IF(F$27="%w/w DM",(((F$28*10)*($B$28/100))*$B31),IF(F$27="kg/t SAR",(F$28*$B31),IF(F$27="kg/t DM",((F$28*($B$28/100))*$B31),IF(F$27="mg/kg SAR",((F$28*0.001)*$B31),IF(F$27="mg/kg DM",(((F$28*0.001)*($B$28/100))*$B31),"0")))))))*1.658</f>
        <v>5.0978525999999995</v>
      </c>
      <c r="G31" s="2">
        <f t="shared" ref="G31:P46" si="5">IF(G$27="%w/w SAR",((G$28*10)*$B31),IF(G$27="%w/w DM",(((G$28*10)*($B$28/100))*$B31),IF(G$27="kg/t SAR",(G$28*$B31),IF(G$27="kg/t DM",((G$28*($B$28/100))*$B31),IF(G$27="mg/kg SAR",((G$28*0.001)*$B31),IF(G$27="mg/kg DM",(((G$28*0.001)*($B$28/100))*$B31),0))))))</f>
        <v>0.19597750000000003</v>
      </c>
      <c r="H31" s="2">
        <f t="shared" si="5"/>
        <v>0.3109325</v>
      </c>
      <c r="I31" s="2">
        <f t="shared" si="5"/>
        <v>3.25475E-2</v>
      </c>
      <c r="J31" s="2">
        <f t="shared" si="5"/>
        <v>2.3545000000000003E-3</v>
      </c>
      <c r="K31" s="2">
        <f t="shared" si="5"/>
        <v>5.0552499999999998E-3</v>
      </c>
      <c r="L31" s="2">
        <f t="shared" si="5"/>
        <v>2.153675E-2</v>
      </c>
      <c r="M31" s="2">
        <f t="shared" si="5"/>
        <v>1.7035499999999999E-2</v>
      </c>
      <c r="N31" s="2">
        <f t="shared" si="5"/>
        <v>1177.25</v>
      </c>
      <c r="O31" s="2">
        <f t="shared" si="5"/>
        <v>31.993500000000001</v>
      </c>
      <c r="P31" s="2">
        <f t="shared" si="5"/>
        <v>0</v>
      </c>
      <c r="Q31" s="2">
        <f>(IF(Q$27="%w/w SAR",((Q$28*10)*$B31),IF(Q$27="%w/w DM",(((Q$28*10)*($B$28/100))*$B31),IF(Q$27="kg/t SAR",(Q$28*$B31),IF(Q$27="kg/t DM",((Q$28*($B$28/100))*$B31),IF(Q$27="mg/kg SAR",((Q$28*0.001)*$B31),IF(Q$27="mg/kg DM",(((Q$28*0.001)*($B$28/100))*$B31),0)))))))*2.5</f>
        <v>136.07625000000002</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0.31578000000000001</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97.642499999999998</v>
      </c>
      <c r="D32" s="2">
        <f t="shared" ref="D32:D50" si="7">(IF(D$27="%w/w SAR",((D$28*10)*$B32),IF(D$27="%w/w DM",(((D$28*10)*($B$28/100))*$B32),IF(D$27="kg/t SAR",(D$28*$B32),IF(D$27="kg/t DM",((D$28*($B$28/100))*$B32),IF(D$27="mg/kg SAR",((D$28*0.001)*$B32),IF(D$27="mg/kg DM",(((D$28*0.001)*($B$28/100))*$B32),"0")))))))*2.291</f>
        <v>19.990120499999996</v>
      </c>
      <c r="E32" s="2">
        <f t="shared" ref="E32:E50" si="8">(IF(E$27="%w/w SAR",((E$28*10)*$B32),IF(E$27="%w/w DM",(((E$28*10)*($B$28/100))*$B32),IF(E$27="kg/t SAR",(E$28*$B32),IF(E$27="kg/t DM",((E$28*($B$28/100))*$B32),IF(E$27="mg/kg SAR",((E$28*0.001)*$B32),IF(E$27="mg/kg DM",(((E$28*0.001)*($B$28/100))*$B32),"0")))))))*1.205</f>
        <v>0.87618562500000008</v>
      </c>
      <c r="F32" s="2">
        <f t="shared" ref="F32:F50" si="9">(IF(F$27="%w/w SAR",((F$28*10)*$B32),IF(F$27="%w/w DM",(((F$28*10)*($B$28/100))*$B32),IF(F$27="kg/t SAR",(F$28*$B32),IF(F$27="kg/t DM",((F$28*($B$28/100))*$B32),IF(F$27="mg/kg SAR",((F$28*0.001)*$B32),IF(F$27="mg/kg DM",(((F$28*0.001)*($B$28/100))*$B32),"0")))))))*1.658</f>
        <v>5.0978525999999995</v>
      </c>
      <c r="G32" s="2">
        <f t="shared" si="5"/>
        <v>0.19597750000000003</v>
      </c>
      <c r="H32" s="2">
        <f t="shared" si="5"/>
        <v>0.3109325</v>
      </c>
      <c r="I32" s="2">
        <f t="shared" si="5"/>
        <v>3.25475E-2</v>
      </c>
      <c r="J32" s="2">
        <f t="shared" si="5"/>
        <v>2.3545000000000003E-3</v>
      </c>
      <c r="K32" s="2">
        <f t="shared" si="5"/>
        <v>5.0552499999999998E-3</v>
      </c>
      <c r="L32" s="2">
        <f t="shared" si="5"/>
        <v>2.153675E-2</v>
      </c>
      <c r="M32" s="2">
        <f t="shared" si="5"/>
        <v>1.7035499999999999E-2</v>
      </c>
      <c r="N32" s="2">
        <f t="shared" si="5"/>
        <v>1177.25</v>
      </c>
      <c r="O32" s="2">
        <f t="shared" si="5"/>
        <v>31.993500000000001</v>
      </c>
      <c r="P32" s="2">
        <f t="shared" si="5"/>
        <v>0</v>
      </c>
      <c r="Q32" s="2">
        <f t="shared" ref="Q32:Q50" si="10">(IF(Q$27="%w/w SAR",((Q$28*10)*$B32),IF(Q$27="%w/w DM",(((Q$28*10)*($B$28/100))*$B32),IF(Q$27="kg/t SAR",(Q$28*$B32),IF(Q$27="kg/t DM",((Q$28*($B$28/100))*$B32),IF(Q$27="mg/kg SAR",((Q$28*0.001)*$B32),IF(Q$27="mg/kg DM",(((Q$28*0.001)*($B$28/100))*$B32),0)))))))*2.5</f>
        <v>136.07625000000002</v>
      </c>
      <c r="R32" s="2">
        <f t="shared" ref="R32:U50" si="11">IF(R$27="%w/w SAR",((R$28*10)*$B32),IF(R$27="%w/w DM",(((R$28*10)*($B$28/100))*$B32),IF(R$27="kg/t SAR",(R$28*$B32),IF(R$27="kg/t DM",((R$28*($B$28/100))*$B32),IF(R$27="mg/kg SAR",((R$28*0.001)*$B32),IF(R$27="mg/kg DM",(((R$28*0.001)*($B$28/100))*$B32),0))))))</f>
        <v>0</v>
      </c>
      <c r="S32" s="2">
        <f t="shared" si="11"/>
        <v>0.31578000000000001</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97.642499999999998</v>
      </c>
      <c r="D33" s="2">
        <f t="shared" si="7"/>
        <v>19.990120499999996</v>
      </c>
      <c r="E33" s="2">
        <f t="shared" si="8"/>
        <v>0.87618562500000008</v>
      </c>
      <c r="F33" s="2">
        <f t="shared" si="9"/>
        <v>5.0978525999999995</v>
      </c>
      <c r="G33" s="2">
        <f t="shared" si="5"/>
        <v>0.19597750000000003</v>
      </c>
      <c r="H33" s="2">
        <f t="shared" si="5"/>
        <v>0.3109325</v>
      </c>
      <c r="I33" s="2">
        <f t="shared" si="5"/>
        <v>3.25475E-2</v>
      </c>
      <c r="J33" s="2">
        <f t="shared" si="5"/>
        <v>2.3545000000000003E-3</v>
      </c>
      <c r="K33" s="2">
        <f t="shared" si="5"/>
        <v>5.0552499999999998E-3</v>
      </c>
      <c r="L33" s="2">
        <f t="shared" si="5"/>
        <v>2.153675E-2</v>
      </c>
      <c r="M33" s="2">
        <f t="shared" si="5"/>
        <v>1.7035499999999999E-2</v>
      </c>
      <c r="N33" s="2">
        <f t="shared" si="5"/>
        <v>1177.25</v>
      </c>
      <c r="O33" s="2">
        <f t="shared" si="5"/>
        <v>31.993500000000001</v>
      </c>
      <c r="P33" s="2">
        <f t="shared" si="5"/>
        <v>0</v>
      </c>
      <c r="Q33" s="2">
        <f t="shared" si="10"/>
        <v>136.07625000000002</v>
      </c>
      <c r="R33" s="2">
        <f t="shared" si="11"/>
        <v>0</v>
      </c>
      <c r="S33" s="2">
        <f t="shared" si="11"/>
        <v>0.31578000000000001</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97.642499999999998</v>
      </c>
      <c r="D34" s="2">
        <f t="shared" si="7"/>
        <v>19.990120499999996</v>
      </c>
      <c r="E34" s="2">
        <f t="shared" si="8"/>
        <v>0.87618562500000008</v>
      </c>
      <c r="F34" s="2">
        <f t="shared" si="9"/>
        <v>5.0978525999999995</v>
      </c>
      <c r="G34" s="2">
        <f t="shared" si="5"/>
        <v>0.19597750000000003</v>
      </c>
      <c r="H34" s="2">
        <f t="shared" si="5"/>
        <v>0.3109325</v>
      </c>
      <c r="I34" s="2">
        <f t="shared" si="5"/>
        <v>3.25475E-2</v>
      </c>
      <c r="J34" s="2">
        <f t="shared" si="5"/>
        <v>2.3545000000000003E-3</v>
      </c>
      <c r="K34" s="2">
        <f t="shared" si="5"/>
        <v>5.0552499999999998E-3</v>
      </c>
      <c r="L34" s="2">
        <f t="shared" si="5"/>
        <v>2.153675E-2</v>
      </c>
      <c r="M34" s="2">
        <f t="shared" si="5"/>
        <v>1.7035499999999999E-2</v>
      </c>
      <c r="N34" s="2">
        <f t="shared" si="5"/>
        <v>1177.25</v>
      </c>
      <c r="O34" s="2">
        <f t="shared" si="5"/>
        <v>31.993500000000001</v>
      </c>
      <c r="P34" s="2">
        <f t="shared" si="5"/>
        <v>0</v>
      </c>
      <c r="Q34" s="2">
        <f t="shared" si="10"/>
        <v>136.07625000000002</v>
      </c>
      <c r="R34" s="2">
        <f t="shared" si="11"/>
        <v>0</v>
      </c>
      <c r="S34" s="2">
        <f t="shared" si="11"/>
        <v>0.31578000000000001</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97.642499999999998</v>
      </c>
      <c r="D35" s="2">
        <f t="shared" si="7"/>
        <v>19.990120499999996</v>
      </c>
      <c r="E35" s="2">
        <f t="shared" si="8"/>
        <v>0.87618562500000008</v>
      </c>
      <c r="F35" s="2">
        <f t="shared" si="9"/>
        <v>5.0978525999999995</v>
      </c>
      <c r="G35" s="2">
        <f t="shared" si="5"/>
        <v>0.19597750000000003</v>
      </c>
      <c r="H35" s="2">
        <f t="shared" si="5"/>
        <v>0.3109325</v>
      </c>
      <c r="I35" s="2">
        <f t="shared" si="5"/>
        <v>3.25475E-2</v>
      </c>
      <c r="J35" s="2">
        <f t="shared" si="5"/>
        <v>2.3545000000000003E-3</v>
      </c>
      <c r="K35" s="2">
        <f t="shared" si="5"/>
        <v>5.0552499999999998E-3</v>
      </c>
      <c r="L35" s="2">
        <f t="shared" si="5"/>
        <v>2.153675E-2</v>
      </c>
      <c r="M35" s="2">
        <f t="shared" si="5"/>
        <v>1.7035499999999999E-2</v>
      </c>
      <c r="N35" s="2">
        <f t="shared" si="5"/>
        <v>1177.25</v>
      </c>
      <c r="O35" s="2">
        <f t="shared" si="5"/>
        <v>31.993500000000001</v>
      </c>
      <c r="P35" s="2">
        <f t="shared" si="5"/>
        <v>0</v>
      </c>
      <c r="Q35" s="2">
        <f t="shared" si="10"/>
        <v>136.07625000000002</v>
      </c>
      <c r="R35" s="2">
        <f t="shared" si="11"/>
        <v>0</v>
      </c>
      <c r="S35" s="2">
        <f t="shared" si="11"/>
        <v>0.31578000000000001</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97.642499999999998</v>
      </c>
      <c r="D36" s="2">
        <f t="shared" si="7"/>
        <v>19.990120499999996</v>
      </c>
      <c r="E36" s="2">
        <f t="shared" si="8"/>
        <v>0.87618562500000008</v>
      </c>
      <c r="F36" s="2">
        <f t="shared" si="9"/>
        <v>5.0978525999999995</v>
      </c>
      <c r="G36" s="2">
        <f t="shared" si="5"/>
        <v>0.19597750000000003</v>
      </c>
      <c r="H36" s="2">
        <f t="shared" si="5"/>
        <v>0.3109325</v>
      </c>
      <c r="I36" s="2">
        <f t="shared" si="5"/>
        <v>3.25475E-2</v>
      </c>
      <c r="J36" s="2">
        <f t="shared" si="5"/>
        <v>2.3545000000000003E-3</v>
      </c>
      <c r="K36" s="2">
        <f t="shared" si="5"/>
        <v>5.0552499999999998E-3</v>
      </c>
      <c r="L36" s="2">
        <f t="shared" si="5"/>
        <v>2.153675E-2</v>
      </c>
      <c r="M36" s="2">
        <f t="shared" si="5"/>
        <v>1.7035499999999999E-2</v>
      </c>
      <c r="N36" s="2">
        <f t="shared" si="5"/>
        <v>1177.25</v>
      </c>
      <c r="O36" s="2">
        <f t="shared" si="5"/>
        <v>31.993500000000001</v>
      </c>
      <c r="P36" s="2">
        <f t="shared" si="5"/>
        <v>0</v>
      </c>
      <c r="Q36" s="2">
        <f t="shared" si="10"/>
        <v>136.07625000000002</v>
      </c>
      <c r="R36" s="2">
        <f t="shared" si="11"/>
        <v>0</v>
      </c>
      <c r="S36" s="2">
        <f t="shared" si="11"/>
        <v>0.31578000000000001</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97.642499999999998</v>
      </c>
      <c r="D37" s="2">
        <f t="shared" si="7"/>
        <v>19.990120499999996</v>
      </c>
      <c r="E37" s="2">
        <f t="shared" si="8"/>
        <v>0.87618562500000008</v>
      </c>
      <c r="F37" s="2">
        <f t="shared" si="9"/>
        <v>5.0978525999999995</v>
      </c>
      <c r="G37" s="2">
        <f t="shared" si="5"/>
        <v>0.19597750000000003</v>
      </c>
      <c r="H37" s="2">
        <f t="shared" si="5"/>
        <v>0.3109325</v>
      </c>
      <c r="I37" s="2">
        <f t="shared" si="5"/>
        <v>3.25475E-2</v>
      </c>
      <c r="J37" s="2">
        <f t="shared" si="5"/>
        <v>2.3545000000000003E-3</v>
      </c>
      <c r="K37" s="2">
        <f t="shared" si="5"/>
        <v>5.0552499999999998E-3</v>
      </c>
      <c r="L37" s="2">
        <f t="shared" si="5"/>
        <v>2.153675E-2</v>
      </c>
      <c r="M37" s="2">
        <f t="shared" si="5"/>
        <v>1.7035499999999999E-2</v>
      </c>
      <c r="N37" s="2">
        <f t="shared" si="5"/>
        <v>1177.25</v>
      </c>
      <c r="O37" s="2">
        <f t="shared" si="5"/>
        <v>31.993500000000001</v>
      </c>
      <c r="P37" s="2">
        <f t="shared" si="5"/>
        <v>0</v>
      </c>
      <c r="Q37" s="2">
        <f t="shared" si="10"/>
        <v>136.07625000000002</v>
      </c>
      <c r="R37" s="2">
        <f t="shared" si="11"/>
        <v>0</v>
      </c>
      <c r="S37" s="2">
        <f t="shared" si="11"/>
        <v>0.31578000000000001</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97.642499999999998</v>
      </c>
      <c r="D38" s="2">
        <f t="shared" si="7"/>
        <v>19.990120499999996</v>
      </c>
      <c r="E38" s="2">
        <f t="shared" si="8"/>
        <v>0.87618562500000008</v>
      </c>
      <c r="F38" s="2">
        <f t="shared" si="9"/>
        <v>5.0978525999999995</v>
      </c>
      <c r="G38" s="2">
        <f t="shared" si="5"/>
        <v>0.19597750000000003</v>
      </c>
      <c r="H38" s="2">
        <f t="shared" si="5"/>
        <v>0.3109325</v>
      </c>
      <c r="I38" s="2">
        <f t="shared" si="5"/>
        <v>3.25475E-2</v>
      </c>
      <c r="J38" s="2">
        <f t="shared" si="5"/>
        <v>2.3545000000000003E-3</v>
      </c>
      <c r="K38" s="2">
        <f t="shared" si="5"/>
        <v>5.0552499999999998E-3</v>
      </c>
      <c r="L38" s="2">
        <f t="shared" si="5"/>
        <v>2.153675E-2</v>
      </c>
      <c r="M38" s="2">
        <f t="shared" si="5"/>
        <v>1.7035499999999999E-2</v>
      </c>
      <c r="N38" s="2">
        <f t="shared" si="5"/>
        <v>1177.25</v>
      </c>
      <c r="O38" s="2">
        <f t="shared" si="5"/>
        <v>31.993500000000001</v>
      </c>
      <c r="P38" s="2">
        <f t="shared" si="5"/>
        <v>0</v>
      </c>
      <c r="Q38" s="2">
        <f t="shared" si="10"/>
        <v>136.07625000000002</v>
      </c>
      <c r="R38" s="2">
        <f t="shared" si="11"/>
        <v>0</v>
      </c>
      <c r="S38" s="2">
        <f t="shared" si="11"/>
        <v>0.31578000000000001</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97.642499999999998</v>
      </c>
      <c r="D39" s="2">
        <f t="shared" si="7"/>
        <v>19.990120499999996</v>
      </c>
      <c r="E39" s="2">
        <f t="shared" si="8"/>
        <v>0.87618562500000008</v>
      </c>
      <c r="F39" s="2">
        <f t="shared" si="9"/>
        <v>5.0978525999999995</v>
      </c>
      <c r="G39" s="2">
        <f t="shared" si="5"/>
        <v>0.19597750000000003</v>
      </c>
      <c r="H39" s="2">
        <f t="shared" si="5"/>
        <v>0.3109325</v>
      </c>
      <c r="I39" s="2">
        <f t="shared" si="5"/>
        <v>3.25475E-2</v>
      </c>
      <c r="J39" s="2">
        <f t="shared" si="5"/>
        <v>2.3545000000000003E-3</v>
      </c>
      <c r="K39" s="2">
        <f t="shared" si="5"/>
        <v>5.0552499999999998E-3</v>
      </c>
      <c r="L39" s="2">
        <f t="shared" si="5"/>
        <v>2.153675E-2</v>
      </c>
      <c r="M39" s="2">
        <f t="shared" si="5"/>
        <v>1.7035499999999999E-2</v>
      </c>
      <c r="N39" s="2">
        <f t="shared" si="5"/>
        <v>1177.25</v>
      </c>
      <c r="O39" s="2">
        <f t="shared" si="5"/>
        <v>31.993500000000001</v>
      </c>
      <c r="P39" s="2">
        <f t="shared" si="5"/>
        <v>0</v>
      </c>
      <c r="Q39" s="2">
        <f t="shared" si="10"/>
        <v>136.07625000000002</v>
      </c>
      <c r="R39" s="2">
        <f t="shared" si="11"/>
        <v>0</v>
      </c>
      <c r="S39" s="2">
        <f t="shared" si="11"/>
        <v>0.31578000000000001</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97.642499999999998</v>
      </c>
      <c r="D40" s="2">
        <f t="shared" si="7"/>
        <v>19.990120499999996</v>
      </c>
      <c r="E40" s="2">
        <f t="shared" si="8"/>
        <v>0.87618562500000008</v>
      </c>
      <c r="F40" s="2">
        <f t="shared" si="9"/>
        <v>5.0978525999999995</v>
      </c>
      <c r="G40" s="2">
        <f t="shared" si="5"/>
        <v>0.19597750000000003</v>
      </c>
      <c r="H40" s="2">
        <f t="shared" si="5"/>
        <v>0.3109325</v>
      </c>
      <c r="I40" s="2">
        <f t="shared" si="5"/>
        <v>3.25475E-2</v>
      </c>
      <c r="J40" s="2">
        <f t="shared" si="5"/>
        <v>2.3545000000000003E-3</v>
      </c>
      <c r="K40" s="2">
        <f t="shared" si="5"/>
        <v>5.0552499999999998E-3</v>
      </c>
      <c r="L40" s="2">
        <f t="shared" si="5"/>
        <v>2.153675E-2</v>
      </c>
      <c r="M40" s="2">
        <f t="shared" si="5"/>
        <v>1.7035499999999999E-2</v>
      </c>
      <c r="N40" s="2">
        <f t="shared" si="5"/>
        <v>1177.25</v>
      </c>
      <c r="O40" s="2">
        <f t="shared" si="5"/>
        <v>31.993500000000001</v>
      </c>
      <c r="P40" s="2">
        <f t="shared" si="5"/>
        <v>0</v>
      </c>
      <c r="Q40" s="2">
        <f t="shared" si="10"/>
        <v>136.07625000000002</v>
      </c>
      <c r="R40" s="2">
        <f t="shared" si="11"/>
        <v>0</v>
      </c>
      <c r="S40" s="2">
        <f t="shared" si="11"/>
        <v>0.31578000000000001</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97.642499999999998</v>
      </c>
      <c r="D41" s="2">
        <f t="shared" si="7"/>
        <v>19.990120499999996</v>
      </c>
      <c r="E41" s="2">
        <f t="shared" si="8"/>
        <v>0.87618562500000008</v>
      </c>
      <c r="F41" s="2">
        <f t="shared" si="9"/>
        <v>5.0978525999999995</v>
      </c>
      <c r="G41" s="2">
        <f t="shared" si="5"/>
        <v>0.19597750000000003</v>
      </c>
      <c r="H41" s="2">
        <f t="shared" si="5"/>
        <v>0.3109325</v>
      </c>
      <c r="I41" s="2">
        <f t="shared" si="5"/>
        <v>3.25475E-2</v>
      </c>
      <c r="J41" s="2">
        <f t="shared" si="5"/>
        <v>2.3545000000000003E-3</v>
      </c>
      <c r="K41" s="2">
        <f t="shared" si="5"/>
        <v>5.0552499999999998E-3</v>
      </c>
      <c r="L41" s="2">
        <f t="shared" si="5"/>
        <v>2.153675E-2</v>
      </c>
      <c r="M41" s="2">
        <f t="shared" si="5"/>
        <v>1.7035499999999999E-2</v>
      </c>
      <c r="N41" s="2">
        <f t="shared" si="5"/>
        <v>1177.25</v>
      </c>
      <c r="O41" s="2">
        <f t="shared" si="5"/>
        <v>31.993500000000001</v>
      </c>
      <c r="P41" s="2">
        <f t="shared" si="5"/>
        <v>0</v>
      </c>
      <c r="Q41" s="2">
        <f t="shared" si="10"/>
        <v>136.07625000000002</v>
      </c>
      <c r="R41" s="2">
        <f t="shared" si="11"/>
        <v>0</v>
      </c>
      <c r="S41" s="2">
        <f t="shared" si="11"/>
        <v>0.31578000000000001</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50" priority="29" operator="equal">
      <formula>"DECREASE"</formula>
    </cfRule>
    <cfRule type="cellIs" dxfId="349" priority="30" operator="equal">
      <formula>"INCREASE"</formula>
    </cfRule>
  </conditionalFormatting>
  <conditionalFormatting sqref="B62:U65 B31:B50">
    <cfRule type="cellIs" dxfId="348" priority="28" operator="greaterThan">
      <formula>$B$51</formula>
    </cfRule>
  </conditionalFormatting>
  <conditionalFormatting sqref="C31:C50">
    <cfRule type="cellIs" dxfId="347" priority="27" operator="greaterThan">
      <formula>$C$51</formula>
    </cfRule>
  </conditionalFormatting>
  <conditionalFormatting sqref="C18:V18">
    <cfRule type="cellIs" dxfId="346" priority="26" operator="equal">
      <formula>0</formula>
    </cfRule>
  </conditionalFormatting>
  <conditionalFormatting sqref="C17:V17">
    <cfRule type="cellIs" dxfId="345" priority="25" operator="equal">
      <formula>0</formula>
    </cfRule>
  </conditionalFormatting>
  <conditionalFormatting sqref="C19:V19">
    <cfRule type="cellIs" dxfId="344" priority="24" operator="equal">
      <formula>0</formula>
    </cfRule>
  </conditionalFormatting>
  <conditionalFormatting sqref="G31:G50">
    <cfRule type="cellIs" dxfId="343" priority="23" operator="greaterThan">
      <formula>$G$51</formula>
    </cfRule>
  </conditionalFormatting>
  <conditionalFormatting sqref="H31:H50">
    <cfRule type="cellIs" dxfId="342" priority="22" operator="greaterThan">
      <formula>$H$51</formula>
    </cfRule>
  </conditionalFormatting>
  <conditionalFormatting sqref="I31:I50">
    <cfRule type="cellIs" dxfId="341" priority="21" operator="greaterThan">
      <formula>$I$51</formula>
    </cfRule>
  </conditionalFormatting>
  <conditionalFormatting sqref="K31:K50">
    <cfRule type="cellIs" dxfId="340" priority="20" operator="greaterThan">
      <formula>$K$51</formula>
    </cfRule>
  </conditionalFormatting>
  <conditionalFormatting sqref="L31:L50">
    <cfRule type="cellIs" dxfId="339" priority="19" operator="greaterThan">
      <formula>$L$51</formula>
    </cfRule>
  </conditionalFormatting>
  <conditionalFormatting sqref="M31:M50">
    <cfRule type="cellIs" dxfId="338" priority="18" operator="greaterThan">
      <formula>$M$51</formula>
    </cfRule>
  </conditionalFormatting>
  <conditionalFormatting sqref="P31:P50">
    <cfRule type="cellIs" dxfId="337" priority="17" operator="greaterThan">
      <formula>$P$51</formula>
    </cfRule>
  </conditionalFormatting>
  <conditionalFormatting sqref="R31:R50">
    <cfRule type="cellIs" dxfId="336" priority="16" operator="greaterThan">
      <formula>$R$51</formula>
    </cfRule>
  </conditionalFormatting>
  <conditionalFormatting sqref="S31:S50">
    <cfRule type="cellIs" dxfId="335" priority="15" operator="greaterThan">
      <formula>$S$51</formula>
    </cfRule>
  </conditionalFormatting>
  <conditionalFormatting sqref="T31:T50">
    <cfRule type="cellIs" dxfId="334" priority="14" operator="greaterThan">
      <formula>$T$51</formula>
    </cfRule>
  </conditionalFormatting>
  <conditionalFormatting sqref="U31:U50">
    <cfRule type="cellIs" dxfId="333" priority="13" operator="greaterThan">
      <formula>$U$51</formula>
    </cfRule>
  </conditionalFormatting>
  <conditionalFormatting sqref="C22:V22">
    <cfRule type="cellIs" dxfId="332" priority="12" operator="equal">
      <formula>0</formula>
    </cfRule>
  </conditionalFormatting>
  <conditionalFormatting sqref="C24:V24">
    <cfRule type="cellIs" dxfId="331" priority="10" operator="equal">
      <formula>"DECREASE"</formula>
    </cfRule>
    <cfRule type="cellIs" dxfId="330" priority="11" operator="equal">
      <formula>"INCREASE"</formula>
    </cfRule>
  </conditionalFormatting>
  <conditionalFormatting sqref="C23:V23">
    <cfRule type="cellIs" dxfId="329" priority="9" operator="equal">
      <formula>0</formula>
    </cfRule>
  </conditionalFormatting>
  <conditionalFormatting sqref="I1">
    <cfRule type="cellIs" dxfId="328" priority="8" operator="lessThan">
      <formula>5</formula>
    </cfRule>
  </conditionalFormatting>
  <conditionalFormatting sqref="C21:V21">
    <cfRule type="cellIs" dxfId="327" priority="5" operator="equal">
      <formula>0</formula>
    </cfRule>
  </conditionalFormatting>
  <conditionalFormatting sqref="B65:U65">
    <cfRule type="cellIs" dxfId="326" priority="3" operator="equal">
      <formula>"UNDER"</formula>
    </cfRule>
    <cfRule type="cellIs" dxfId="325" priority="4" operator="equal">
      <formula>"OVER"</formula>
    </cfRule>
  </conditionalFormatting>
  <conditionalFormatting sqref="I2">
    <cfRule type="cellIs" dxfId="324" priority="2" operator="greaterThan">
      <formula>5000.1</formula>
    </cfRule>
  </conditionalFormatting>
  <conditionalFormatting sqref="I3">
    <cfRule type="cellIs" dxfId="323"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B31" sqref="B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6.5</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165</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19.902489750000001</v>
      </c>
      <c r="D18" s="24">
        <f>$D32</f>
        <v>19.902489750000001</v>
      </c>
      <c r="E18" s="24">
        <f>$D33</f>
        <v>19.902489750000001</v>
      </c>
      <c r="F18" s="24">
        <f>$D34</f>
        <v>19.902489750000001</v>
      </c>
      <c r="G18" s="24">
        <f>$D35</f>
        <v>19.902489750000001</v>
      </c>
      <c r="H18" s="24">
        <f>$D36</f>
        <v>19.902489750000001</v>
      </c>
      <c r="I18" s="24">
        <f>$D37</f>
        <v>19.902489750000001</v>
      </c>
      <c r="J18" s="24">
        <f>$D38</f>
        <v>19.902489750000001</v>
      </c>
      <c r="K18" s="24">
        <f>$D39</f>
        <v>19.902489750000001</v>
      </c>
      <c r="L18" s="24">
        <f>$D40</f>
        <v>19.902489750000001</v>
      </c>
      <c r="M18" s="24">
        <f>$D41</f>
        <v>19.902489750000001</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-59.997510249999991</v>
      </c>
      <c r="D19" s="24">
        <f t="shared" ref="D19:V19" si="1">D18-D17</f>
        <v>-59.997510249999991</v>
      </c>
      <c r="E19" s="24">
        <f t="shared" si="1"/>
        <v>-59.997510249999991</v>
      </c>
      <c r="F19" s="24">
        <f t="shared" si="1"/>
        <v>-59.997510249999991</v>
      </c>
      <c r="G19" s="24">
        <f t="shared" si="1"/>
        <v>-59.997510249999991</v>
      </c>
      <c r="H19" s="24">
        <f t="shared" si="1"/>
        <v>-59.997510249999991</v>
      </c>
      <c r="I19" s="24">
        <f t="shared" si="1"/>
        <v>-59.997510249999991</v>
      </c>
      <c r="J19" s="24">
        <f t="shared" si="1"/>
        <v>-59.997510249999991</v>
      </c>
      <c r="K19" s="24">
        <f t="shared" si="1"/>
        <v>-59.997510249999991</v>
      </c>
      <c r="L19" s="24">
        <f t="shared" si="1"/>
        <v>-59.997510249999991</v>
      </c>
      <c r="M19" s="24">
        <f t="shared" si="1"/>
        <v>-59.997510249999991</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0.96628950000000025</v>
      </c>
      <c r="D22" s="24">
        <f>$E32</f>
        <v>0.96628950000000025</v>
      </c>
      <c r="E22" s="24">
        <f>$E33</f>
        <v>0.96628950000000025</v>
      </c>
      <c r="F22" s="24">
        <f>$E34</f>
        <v>0.96628950000000025</v>
      </c>
      <c r="G22" s="24">
        <f>$E35</f>
        <v>0.96628950000000025</v>
      </c>
      <c r="H22" s="24">
        <f>$E36</f>
        <v>0.96628950000000025</v>
      </c>
      <c r="I22" s="24">
        <f>$E37</f>
        <v>0.96628950000000025</v>
      </c>
      <c r="J22" s="24">
        <f>$E38</f>
        <v>0.96628950000000025</v>
      </c>
      <c r="K22" s="24">
        <f>$E39</f>
        <v>0.96628950000000025</v>
      </c>
      <c r="L22" s="24">
        <f>$E40</f>
        <v>0.96628950000000025</v>
      </c>
      <c r="M22" s="24">
        <f>$E41</f>
        <v>0.96628950000000025</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-281.03371049999998</v>
      </c>
      <c r="D23" s="24">
        <f t="shared" ref="D23:V23" si="3">D22-D21</f>
        <v>-281.03371049999998</v>
      </c>
      <c r="E23" s="24">
        <f t="shared" si="3"/>
        <v>-281.03371049999998</v>
      </c>
      <c r="F23" s="24">
        <f t="shared" si="3"/>
        <v>-281.03371049999998</v>
      </c>
      <c r="G23" s="24">
        <f t="shared" si="3"/>
        <v>-281.03371049999998</v>
      </c>
      <c r="H23" s="24">
        <f t="shared" si="3"/>
        <v>-281.03371049999998</v>
      </c>
      <c r="I23" s="24">
        <f t="shared" si="3"/>
        <v>-281.03371049999998</v>
      </c>
      <c r="J23" s="24">
        <f t="shared" si="3"/>
        <v>-281.03371049999998</v>
      </c>
      <c r="K23" s="24">
        <f t="shared" si="3"/>
        <v>-281.03371049999998</v>
      </c>
      <c r="L23" s="24">
        <f t="shared" si="3"/>
        <v>-281.03371049999998</v>
      </c>
      <c r="M23" s="24">
        <f t="shared" si="3"/>
        <v>-281.03371049999998</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2.97</v>
      </c>
      <c r="C28" s="23">
        <v>0.99</v>
      </c>
      <c r="D28" s="23">
        <v>0.11700000000000001</v>
      </c>
      <c r="E28" s="23">
        <v>1.0800000000000001E-2</v>
      </c>
      <c r="F28" s="23">
        <v>426</v>
      </c>
      <c r="G28" s="23">
        <v>26.9</v>
      </c>
      <c r="H28" s="23">
        <v>39.799999999999997</v>
      </c>
      <c r="I28" s="23">
        <v>4.43</v>
      </c>
      <c r="J28" s="23">
        <v>0.32</v>
      </c>
      <c r="K28" s="30">
        <v>0.69</v>
      </c>
      <c r="L28" s="23">
        <v>2.93</v>
      </c>
      <c r="M28" s="23">
        <v>4.3</v>
      </c>
      <c r="N28" s="23">
        <v>152000</v>
      </c>
      <c r="O28" s="23">
        <v>4330</v>
      </c>
      <c r="P28" s="23"/>
      <c r="Q28" s="23">
        <v>7280</v>
      </c>
      <c r="R28" s="23"/>
      <c r="S28" s="23">
        <v>41.7</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73.507500000000007</v>
      </c>
      <c r="D31" s="2">
        <f>(IF(D$27="%w/w SAR",((D$28*10)*$B31),IF(D$27="%w/w DM",(((D$28*10)*($B$28/100))*$B31),IF(D$27="kg/t SAR",(D$28*$B31),IF(D$27="kg/t DM",((D$28*($B$28/100))*$B31),IF(D$27="mg/kg SAR",((D$28*0.001)*$B31),IF(D$27="mg/kg DM",(((D$28*0.001)*($B$28/100))*$B31),"0")))))))*2.291</f>
        <v>19.902489750000001</v>
      </c>
      <c r="E31" s="2">
        <f>(IF(E$27="%w/w SAR",((E$28*10)*$B31),IF(E$27="%w/w DM",(((E$28*10)*($B$28/100))*$B31),IF(E$27="kg/t SAR",(E$28*$B31),IF(E$27="kg/t DM",((E$28*($B$28/100))*$B31),IF(E$27="mg/kg SAR",((E$28*0.001)*$B31),IF(E$27="mg/kg DM",(((E$28*0.001)*($B$28/100))*$B31),"0")))))))*1.205</f>
        <v>0.96628950000000025</v>
      </c>
      <c r="F31" s="2">
        <f>(IF(F$27="%w/w SAR",((F$28*10)*$B31),IF(F$27="%w/w DM",(((F$28*10)*($B$28/100))*$B31),IF(F$27="kg/t SAR",(F$28*$B31),IF(F$27="kg/t DM",((F$28*($B$28/100))*$B31),IF(F$27="mg/kg SAR",((F$28*0.001)*$B31),IF(F$27="mg/kg DM",(((F$28*0.001)*($B$28/100))*$B31),"0")))))))*1.658</f>
        <v>5.2443369000000004</v>
      </c>
      <c r="G31" s="2">
        <f t="shared" ref="G31:P46" si="5">IF(G$27="%w/w SAR",((G$28*10)*$B31),IF(G$27="%w/w DM",(((G$28*10)*($B$28/100))*$B31),IF(G$27="kg/t SAR",(G$28*$B31),IF(G$27="kg/t DM",((G$28*($B$28/100))*$B31),IF(G$27="mg/kg SAR",((G$28*0.001)*$B31),IF(G$27="mg/kg DM",(((G$28*0.001)*($B$28/100))*$B31),0))))))</f>
        <v>0.19973250000000001</v>
      </c>
      <c r="H31" s="2">
        <f t="shared" si="5"/>
        <v>0.29551499999999997</v>
      </c>
      <c r="I31" s="2">
        <f t="shared" si="5"/>
        <v>3.2892749999999998E-2</v>
      </c>
      <c r="J31" s="2">
        <f t="shared" si="5"/>
        <v>2.3760000000000001E-3</v>
      </c>
      <c r="K31" s="2">
        <f t="shared" si="5"/>
        <v>5.1232499999999993E-3</v>
      </c>
      <c r="L31" s="2">
        <f t="shared" si="5"/>
        <v>2.175525E-2</v>
      </c>
      <c r="M31" s="2">
        <f t="shared" si="5"/>
        <v>3.1927500000000004E-2</v>
      </c>
      <c r="N31" s="2">
        <f t="shared" si="5"/>
        <v>1128.6000000000001</v>
      </c>
      <c r="O31" s="2">
        <f t="shared" si="5"/>
        <v>32.15025</v>
      </c>
      <c r="P31" s="2">
        <f t="shared" si="5"/>
        <v>0</v>
      </c>
      <c r="Q31" s="2">
        <f>(IF(Q$27="%w/w SAR",((Q$28*10)*$B31),IF(Q$27="%w/w DM",(((Q$28*10)*($B$28/100))*$B31),IF(Q$27="kg/t SAR",(Q$28*$B31),IF(Q$27="kg/t DM",((Q$28*($B$28/100))*$B31),IF(Q$27="mg/kg SAR",((Q$28*0.001)*$B31),IF(Q$27="mg/kg DM",(((Q$28*0.001)*($B$28/100))*$B31),0)))))))*2.5</f>
        <v>135.13499999999999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0.30962250000000002</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73.507500000000007</v>
      </c>
      <c r="D32" s="2">
        <f t="shared" ref="D32:D50" si="7">(IF(D$27="%w/w SAR",((D$28*10)*$B32),IF(D$27="%w/w DM",(((D$28*10)*($B$28/100))*$B32),IF(D$27="kg/t SAR",(D$28*$B32),IF(D$27="kg/t DM",((D$28*($B$28/100))*$B32),IF(D$27="mg/kg SAR",((D$28*0.001)*$B32),IF(D$27="mg/kg DM",(((D$28*0.001)*($B$28/100))*$B32),"0")))))))*2.291</f>
        <v>19.902489750000001</v>
      </c>
      <c r="E32" s="2">
        <f t="shared" ref="E32:E50" si="8">(IF(E$27="%w/w SAR",((E$28*10)*$B32),IF(E$27="%w/w DM",(((E$28*10)*($B$28/100))*$B32),IF(E$27="kg/t SAR",(E$28*$B32),IF(E$27="kg/t DM",((E$28*($B$28/100))*$B32),IF(E$27="mg/kg SAR",((E$28*0.001)*$B32),IF(E$27="mg/kg DM",(((E$28*0.001)*($B$28/100))*$B32),"0")))))))*1.205</f>
        <v>0.96628950000000025</v>
      </c>
      <c r="F32" s="2">
        <f t="shared" ref="F32:F50" si="9">(IF(F$27="%w/w SAR",((F$28*10)*$B32),IF(F$27="%w/w DM",(((F$28*10)*($B$28/100))*$B32),IF(F$27="kg/t SAR",(F$28*$B32),IF(F$27="kg/t DM",((F$28*($B$28/100))*$B32),IF(F$27="mg/kg SAR",((F$28*0.001)*$B32),IF(F$27="mg/kg DM",(((F$28*0.001)*($B$28/100))*$B32),"0")))))))*1.658</f>
        <v>5.2443369000000004</v>
      </c>
      <c r="G32" s="2">
        <f t="shared" si="5"/>
        <v>0.19973250000000001</v>
      </c>
      <c r="H32" s="2">
        <f t="shared" si="5"/>
        <v>0.29551499999999997</v>
      </c>
      <c r="I32" s="2">
        <f t="shared" si="5"/>
        <v>3.2892749999999998E-2</v>
      </c>
      <c r="J32" s="2">
        <f t="shared" si="5"/>
        <v>2.3760000000000001E-3</v>
      </c>
      <c r="K32" s="2">
        <f t="shared" si="5"/>
        <v>5.1232499999999993E-3</v>
      </c>
      <c r="L32" s="2">
        <f t="shared" si="5"/>
        <v>2.175525E-2</v>
      </c>
      <c r="M32" s="2">
        <f t="shared" si="5"/>
        <v>3.1927500000000004E-2</v>
      </c>
      <c r="N32" s="2">
        <f t="shared" si="5"/>
        <v>1128.6000000000001</v>
      </c>
      <c r="O32" s="2">
        <f t="shared" si="5"/>
        <v>32.15025</v>
      </c>
      <c r="P32" s="2">
        <f t="shared" si="5"/>
        <v>0</v>
      </c>
      <c r="Q32" s="2">
        <f t="shared" ref="Q32:Q50" si="10">(IF(Q$27="%w/w SAR",((Q$28*10)*$B32),IF(Q$27="%w/w DM",(((Q$28*10)*($B$28/100))*$B32),IF(Q$27="kg/t SAR",(Q$28*$B32),IF(Q$27="kg/t DM",((Q$28*($B$28/100))*$B32),IF(Q$27="mg/kg SAR",((Q$28*0.001)*$B32),IF(Q$27="mg/kg DM",(((Q$28*0.001)*($B$28/100))*$B32),0)))))))*2.5</f>
        <v>135.13499999999999</v>
      </c>
      <c r="R32" s="2">
        <f t="shared" ref="R32:U50" si="11">IF(R$27="%w/w SAR",((R$28*10)*$B32),IF(R$27="%w/w DM",(((R$28*10)*($B$28/100))*$B32),IF(R$27="kg/t SAR",(R$28*$B32),IF(R$27="kg/t DM",((R$28*($B$28/100))*$B32),IF(R$27="mg/kg SAR",((R$28*0.001)*$B32),IF(R$27="mg/kg DM",(((R$28*0.001)*($B$28/100))*$B32),0))))))</f>
        <v>0</v>
      </c>
      <c r="S32" s="2">
        <f t="shared" si="11"/>
        <v>0.30962250000000002</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73.507500000000007</v>
      </c>
      <c r="D33" s="2">
        <f t="shared" si="7"/>
        <v>19.902489750000001</v>
      </c>
      <c r="E33" s="2">
        <f t="shared" si="8"/>
        <v>0.96628950000000025</v>
      </c>
      <c r="F33" s="2">
        <f t="shared" si="9"/>
        <v>5.2443369000000004</v>
      </c>
      <c r="G33" s="2">
        <f t="shared" si="5"/>
        <v>0.19973250000000001</v>
      </c>
      <c r="H33" s="2">
        <f t="shared" si="5"/>
        <v>0.29551499999999997</v>
      </c>
      <c r="I33" s="2">
        <f t="shared" si="5"/>
        <v>3.2892749999999998E-2</v>
      </c>
      <c r="J33" s="2">
        <f t="shared" si="5"/>
        <v>2.3760000000000001E-3</v>
      </c>
      <c r="K33" s="2">
        <f t="shared" si="5"/>
        <v>5.1232499999999993E-3</v>
      </c>
      <c r="L33" s="2">
        <f t="shared" si="5"/>
        <v>2.175525E-2</v>
      </c>
      <c r="M33" s="2">
        <f t="shared" si="5"/>
        <v>3.1927500000000004E-2</v>
      </c>
      <c r="N33" s="2">
        <f t="shared" si="5"/>
        <v>1128.6000000000001</v>
      </c>
      <c r="O33" s="2">
        <f t="shared" si="5"/>
        <v>32.15025</v>
      </c>
      <c r="P33" s="2">
        <f t="shared" si="5"/>
        <v>0</v>
      </c>
      <c r="Q33" s="2">
        <f t="shared" si="10"/>
        <v>135.13499999999999</v>
      </c>
      <c r="R33" s="2">
        <f t="shared" si="11"/>
        <v>0</v>
      </c>
      <c r="S33" s="2">
        <f t="shared" si="11"/>
        <v>0.30962250000000002</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73.507500000000007</v>
      </c>
      <c r="D34" s="2">
        <f t="shared" si="7"/>
        <v>19.902489750000001</v>
      </c>
      <c r="E34" s="2">
        <f t="shared" si="8"/>
        <v>0.96628950000000025</v>
      </c>
      <c r="F34" s="2">
        <f t="shared" si="9"/>
        <v>5.2443369000000004</v>
      </c>
      <c r="G34" s="2">
        <f t="shared" si="5"/>
        <v>0.19973250000000001</v>
      </c>
      <c r="H34" s="2">
        <f t="shared" si="5"/>
        <v>0.29551499999999997</v>
      </c>
      <c r="I34" s="2">
        <f t="shared" si="5"/>
        <v>3.2892749999999998E-2</v>
      </c>
      <c r="J34" s="2">
        <f t="shared" si="5"/>
        <v>2.3760000000000001E-3</v>
      </c>
      <c r="K34" s="2">
        <f t="shared" si="5"/>
        <v>5.1232499999999993E-3</v>
      </c>
      <c r="L34" s="2">
        <f t="shared" si="5"/>
        <v>2.175525E-2</v>
      </c>
      <c r="M34" s="2">
        <f t="shared" si="5"/>
        <v>3.1927500000000004E-2</v>
      </c>
      <c r="N34" s="2">
        <f t="shared" si="5"/>
        <v>1128.6000000000001</v>
      </c>
      <c r="O34" s="2">
        <f t="shared" si="5"/>
        <v>32.15025</v>
      </c>
      <c r="P34" s="2">
        <f t="shared" si="5"/>
        <v>0</v>
      </c>
      <c r="Q34" s="2">
        <f t="shared" si="10"/>
        <v>135.13499999999999</v>
      </c>
      <c r="R34" s="2">
        <f t="shared" si="11"/>
        <v>0</v>
      </c>
      <c r="S34" s="2">
        <f t="shared" si="11"/>
        <v>0.30962250000000002</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73.507500000000007</v>
      </c>
      <c r="D35" s="2">
        <f t="shared" si="7"/>
        <v>19.902489750000001</v>
      </c>
      <c r="E35" s="2">
        <f t="shared" si="8"/>
        <v>0.96628950000000025</v>
      </c>
      <c r="F35" s="2">
        <f t="shared" si="9"/>
        <v>5.2443369000000004</v>
      </c>
      <c r="G35" s="2">
        <f t="shared" si="5"/>
        <v>0.19973250000000001</v>
      </c>
      <c r="H35" s="2">
        <f t="shared" si="5"/>
        <v>0.29551499999999997</v>
      </c>
      <c r="I35" s="2">
        <f t="shared" si="5"/>
        <v>3.2892749999999998E-2</v>
      </c>
      <c r="J35" s="2">
        <f t="shared" si="5"/>
        <v>2.3760000000000001E-3</v>
      </c>
      <c r="K35" s="2">
        <f t="shared" si="5"/>
        <v>5.1232499999999993E-3</v>
      </c>
      <c r="L35" s="2">
        <f t="shared" si="5"/>
        <v>2.175525E-2</v>
      </c>
      <c r="M35" s="2">
        <f t="shared" si="5"/>
        <v>3.1927500000000004E-2</v>
      </c>
      <c r="N35" s="2">
        <f t="shared" si="5"/>
        <v>1128.6000000000001</v>
      </c>
      <c r="O35" s="2">
        <f t="shared" si="5"/>
        <v>32.15025</v>
      </c>
      <c r="P35" s="2">
        <f t="shared" si="5"/>
        <v>0</v>
      </c>
      <c r="Q35" s="2">
        <f t="shared" si="10"/>
        <v>135.13499999999999</v>
      </c>
      <c r="R35" s="2">
        <f t="shared" si="11"/>
        <v>0</v>
      </c>
      <c r="S35" s="2">
        <f t="shared" si="11"/>
        <v>0.30962250000000002</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73.507500000000007</v>
      </c>
      <c r="D36" s="2">
        <f t="shared" si="7"/>
        <v>19.902489750000001</v>
      </c>
      <c r="E36" s="2">
        <f t="shared" si="8"/>
        <v>0.96628950000000025</v>
      </c>
      <c r="F36" s="2">
        <f t="shared" si="9"/>
        <v>5.2443369000000004</v>
      </c>
      <c r="G36" s="2">
        <f t="shared" si="5"/>
        <v>0.19973250000000001</v>
      </c>
      <c r="H36" s="2">
        <f t="shared" si="5"/>
        <v>0.29551499999999997</v>
      </c>
      <c r="I36" s="2">
        <f t="shared" si="5"/>
        <v>3.2892749999999998E-2</v>
      </c>
      <c r="J36" s="2">
        <f t="shared" si="5"/>
        <v>2.3760000000000001E-3</v>
      </c>
      <c r="K36" s="2">
        <f t="shared" si="5"/>
        <v>5.1232499999999993E-3</v>
      </c>
      <c r="L36" s="2">
        <f t="shared" si="5"/>
        <v>2.175525E-2</v>
      </c>
      <c r="M36" s="2">
        <f t="shared" si="5"/>
        <v>3.1927500000000004E-2</v>
      </c>
      <c r="N36" s="2">
        <f t="shared" si="5"/>
        <v>1128.6000000000001</v>
      </c>
      <c r="O36" s="2">
        <f t="shared" si="5"/>
        <v>32.15025</v>
      </c>
      <c r="P36" s="2">
        <f t="shared" si="5"/>
        <v>0</v>
      </c>
      <c r="Q36" s="2">
        <f t="shared" si="10"/>
        <v>135.13499999999999</v>
      </c>
      <c r="R36" s="2">
        <f t="shared" si="11"/>
        <v>0</v>
      </c>
      <c r="S36" s="2">
        <f t="shared" si="11"/>
        <v>0.30962250000000002</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73.507500000000007</v>
      </c>
      <c r="D37" s="2">
        <f t="shared" si="7"/>
        <v>19.902489750000001</v>
      </c>
      <c r="E37" s="2">
        <f t="shared" si="8"/>
        <v>0.96628950000000025</v>
      </c>
      <c r="F37" s="2">
        <f t="shared" si="9"/>
        <v>5.2443369000000004</v>
      </c>
      <c r="G37" s="2">
        <f t="shared" si="5"/>
        <v>0.19973250000000001</v>
      </c>
      <c r="H37" s="2">
        <f t="shared" si="5"/>
        <v>0.29551499999999997</v>
      </c>
      <c r="I37" s="2">
        <f t="shared" si="5"/>
        <v>3.2892749999999998E-2</v>
      </c>
      <c r="J37" s="2">
        <f t="shared" si="5"/>
        <v>2.3760000000000001E-3</v>
      </c>
      <c r="K37" s="2">
        <f t="shared" si="5"/>
        <v>5.1232499999999993E-3</v>
      </c>
      <c r="L37" s="2">
        <f t="shared" si="5"/>
        <v>2.175525E-2</v>
      </c>
      <c r="M37" s="2">
        <f t="shared" si="5"/>
        <v>3.1927500000000004E-2</v>
      </c>
      <c r="N37" s="2">
        <f t="shared" si="5"/>
        <v>1128.6000000000001</v>
      </c>
      <c r="O37" s="2">
        <f t="shared" si="5"/>
        <v>32.15025</v>
      </c>
      <c r="P37" s="2">
        <f t="shared" si="5"/>
        <v>0</v>
      </c>
      <c r="Q37" s="2">
        <f t="shared" si="10"/>
        <v>135.13499999999999</v>
      </c>
      <c r="R37" s="2">
        <f t="shared" si="11"/>
        <v>0</v>
      </c>
      <c r="S37" s="2">
        <f t="shared" si="11"/>
        <v>0.30962250000000002</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73.507500000000007</v>
      </c>
      <c r="D38" s="2">
        <f t="shared" si="7"/>
        <v>19.902489750000001</v>
      </c>
      <c r="E38" s="2">
        <f t="shared" si="8"/>
        <v>0.96628950000000025</v>
      </c>
      <c r="F38" s="2">
        <f t="shared" si="9"/>
        <v>5.2443369000000004</v>
      </c>
      <c r="G38" s="2">
        <f t="shared" si="5"/>
        <v>0.19973250000000001</v>
      </c>
      <c r="H38" s="2">
        <f t="shared" si="5"/>
        <v>0.29551499999999997</v>
      </c>
      <c r="I38" s="2">
        <f t="shared" si="5"/>
        <v>3.2892749999999998E-2</v>
      </c>
      <c r="J38" s="2">
        <f t="shared" si="5"/>
        <v>2.3760000000000001E-3</v>
      </c>
      <c r="K38" s="2">
        <f t="shared" si="5"/>
        <v>5.1232499999999993E-3</v>
      </c>
      <c r="L38" s="2">
        <f t="shared" si="5"/>
        <v>2.175525E-2</v>
      </c>
      <c r="M38" s="2">
        <f t="shared" si="5"/>
        <v>3.1927500000000004E-2</v>
      </c>
      <c r="N38" s="2">
        <f t="shared" si="5"/>
        <v>1128.6000000000001</v>
      </c>
      <c r="O38" s="2">
        <f t="shared" si="5"/>
        <v>32.15025</v>
      </c>
      <c r="P38" s="2">
        <f t="shared" si="5"/>
        <v>0</v>
      </c>
      <c r="Q38" s="2">
        <f t="shared" si="10"/>
        <v>135.13499999999999</v>
      </c>
      <c r="R38" s="2">
        <f t="shared" si="11"/>
        <v>0</v>
      </c>
      <c r="S38" s="2">
        <f t="shared" si="11"/>
        <v>0.30962250000000002</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73.507500000000007</v>
      </c>
      <c r="D39" s="2">
        <f t="shared" si="7"/>
        <v>19.902489750000001</v>
      </c>
      <c r="E39" s="2">
        <f t="shared" si="8"/>
        <v>0.96628950000000025</v>
      </c>
      <c r="F39" s="2">
        <f t="shared" si="9"/>
        <v>5.2443369000000004</v>
      </c>
      <c r="G39" s="2">
        <f t="shared" si="5"/>
        <v>0.19973250000000001</v>
      </c>
      <c r="H39" s="2">
        <f t="shared" si="5"/>
        <v>0.29551499999999997</v>
      </c>
      <c r="I39" s="2">
        <f t="shared" si="5"/>
        <v>3.2892749999999998E-2</v>
      </c>
      <c r="J39" s="2">
        <f t="shared" si="5"/>
        <v>2.3760000000000001E-3</v>
      </c>
      <c r="K39" s="2">
        <f t="shared" si="5"/>
        <v>5.1232499999999993E-3</v>
      </c>
      <c r="L39" s="2">
        <f t="shared" si="5"/>
        <v>2.175525E-2</v>
      </c>
      <c r="M39" s="2">
        <f t="shared" si="5"/>
        <v>3.1927500000000004E-2</v>
      </c>
      <c r="N39" s="2">
        <f t="shared" si="5"/>
        <v>1128.6000000000001</v>
      </c>
      <c r="O39" s="2">
        <f t="shared" si="5"/>
        <v>32.15025</v>
      </c>
      <c r="P39" s="2">
        <f t="shared" si="5"/>
        <v>0</v>
      </c>
      <c r="Q39" s="2">
        <f t="shared" si="10"/>
        <v>135.13499999999999</v>
      </c>
      <c r="R39" s="2">
        <f t="shared" si="11"/>
        <v>0</v>
      </c>
      <c r="S39" s="2">
        <f t="shared" si="11"/>
        <v>0.30962250000000002</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73.507500000000007</v>
      </c>
      <c r="D40" s="2">
        <f t="shared" si="7"/>
        <v>19.902489750000001</v>
      </c>
      <c r="E40" s="2">
        <f t="shared" si="8"/>
        <v>0.96628950000000025</v>
      </c>
      <c r="F40" s="2">
        <f t="shared" si="9"/>
        <v>5.2443369000000004</v>
      </c>
      <c r="G40" s="2">
        <f t="shared" si="5"/>
        <v>0.19973250000000001</v>
      </c>
      <c r="H40" s="2">
        <f t="shared" si="5"/>
        <v>0.29551499999999997</v>
      </c>
      <c r="I40" s="2">
        <f t="shared" si="5"/>
        <v>3.2892749999999998E-2</v>
      </c>
      <c r="J40" s="2">
        <f t="shared" si="5"/>
        <v>2.3760000000000001E-3</v>
      </c>
      <c r="K40" s="2">
        <f t="shared" si="5"/>
        <v>5.1232499999999993E-3</v>
      </c>
      <c r="L40" s="2">
        <f t="shared" si="5"/>
        <v>2.175525E-2</v>
      </c>
      <c r="M40" s="2">
        <f t="shared" si="5"/>
        <v>3.1927500000000004E-2</v>
      </c>
      <c r="N40" s="2">
        <f t="shared" si="5"/>
        <v>1128.6000000000001</v>
      </c>
      <c r="O40" s="2">
        <f t="shared" si="5"/>
        <v>32.15025</v>
      </c>
      <c r="P40" s="2">
        <f t="shared" si="5"/>
        <v>0</v>
      </c>
      <c r="Q40" s="2">
        <f t="shared" si="10"/>
        <v>135.13499999999999</v>
      </c>
      <c r="R40" s="2">
        <f t="shared" si="11"/>
        <v>0</v>
      </c>
      <c r="S40" s="2">
        <f t="shared" si="11"/>
        <v>0.30962250000000002</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73.507500000000007</v>
      </c>
      <c r="D41" s="2">
        <f t="shared" si="7"/>
        <v>19.902489750000001</v>
      </c>
      <c r="E41" s="2">
        <f t="shared" si="8"/>
        <v>0.96628950000000025</v>
      </c>
      <c r="F41" s="2">
        <f t="shared" si="9"/>
        <v>5.2443369000000004</v>
      </c>
      <c r="G41" s="2">
        <f t="shared" si="5"/>
        <v>0.19973250000000001</v>
      </c>
      <c r="H41" s="2">
        <f t="shared" si="5"/>
        <v>0.29551499999999997</v>
      </c>
      <c r="I41" s="2">
        <f t="shared" si="5"/>
        <v>3.2892749999999998E-2</v>
      </c>
      <c r="J41" s="2">
        <f t="shared" si="5"/>
        <v>2.3760000000000001E-3</v>
      </c>
      <c r="K41" s="2">
        <f t="shared" si="5"/>
        <v>5.1232499999999993E-3</v>
      </c>
      <c r="L41" s="2">
        <f t="shared" si="5"/>
        <v>2.175525E-2</v>
      </c>
      <c r="M41" s="2">
        <f t="shared" si="5"/>
        <v>3.1927500000000004E-2</v>
      </c>
      <c r="N41" s="2">
        <f t="shared" si="5"/>
        <v>1128.6000000000001</v>
      </c>
      <c r="O41" s="2">
        <f t="shared" si="5"/>
        <v>32.15025</v>
      </c>
      <c r="P41" s="2">
        <f t="shared" si="5"/>
        <v>0</v>
      </c>
      <c r="Q41" s="2">
        <f t="shared" si="10"/>
        <v>135.13499999999999</v>
      </c>
      <c r="R41" s="2">
        <f t="shared" si="11"/>
        <v>0</v>
      </c>
      <c r="S41" s="2">
        <f t="shared" si="11"/>
        <v>0.30962250000000002</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e">
        <f>N16&amp;" I "&amp;(VLOOKUP(N14,Table245811[],6,FALSE))</f>
        <v>#N/A</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t="e">
        <f>VLOOKUP(N$14,Table245811[],5,FALSE)</f>
        <v>#N/A</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11" priority="29" operator="equal">
      <formula>"DECREASE"</formula>
    </cfRule>
    <cfRule type="cellIs" dxfId="310" priority="30" operator="equal">
      <formula>"INCREASE"</formula>
    </cfRule>
  </conditionalFormatting>
  <conditionalFormatting sqref="B62:U65 B31:B50">
    <cfRule type="cellIs" dxfId="309" priority="28" operator="greaterThan">
      <formula>$B$51</formula>
    </cfRule>
  </conditionalFormatting>
  <conditionalFormatting sqref="C31:C50">
    <cfRule type="cellIs" dxfId="308" priority="27" operator="greaterThan">
      <formula>$C$51</formula>
    </cfRule>
  </conditionalFormatting>
  <conditionalFormatting sqref="C18:V18">
    <cfRule type="cellIs" dxfId="307" priority="26" operator="equal">
      <formula>0</formula>
    </cfRule>
  </conditionalFormatting>
  <conditionalFormatting sqref="C17:V17">
    <cfRule type="cellIs" dxfId="306" priority="25" operator="equal">
      <formula>0</formula>
    </cfRule>
  </conditionalFormatting>
  <conditionalFormatting sqref="C19:V19">
    <cfRule type="cellIs" dxfId="305" priority="24" operator="equal">
      <formula>0</formula>
    </cfRule>
  </conditionalFormatting>
  <conditionalFormatting sqref="G31:G50">
    <cfRule type="cellIs" dxfId="304" priority="23" operator="greaterThan">
      <formula>$G$51</formula>
    </cfRule>
  </conditionalFormatting>
  <conditionalFormatting sqref="H31:H50">
    <cfRule type="cellIs" dxfId="303" priority="22" operator="greaterThan">
      <formula>$H$51</formula>
    </cfRule>
  </conditionalFormatting>
  <conditionalFormatting sqref="I31:I50">
    <cfRule type="cellIs" dxfId="302" priority="21" operator="greaterThan">
      <formula>$I$51</formula>
    </cfRule>
  </conditionalFormatting>
  <conditionalFormatting sqref="K31:K50">
    <cfRule type="cellIs" dxfId="301" priority="20" operator="greaterThan">
      <formula>$K$51</formula>
    </cfRule>
  </conditionalFormatting>
  <conditionalFormatting sqref="L31:L50">
    <cfRule type="cellIs" dxfId="300" priority="19" operator="greaterThan">
      <formula>$L$51</formula>
    </cfRule>
  </conditionalFormatting>
  <conditionalFormatting sqref="M31:M50">
    <cfRule type="cellIs" dxfId="299" priority="18" operator="greaterThan">
      <formula>$M$51</formula>
    </cfRule>
  </conditionalFormatting>
  <conditionalFormatting sqref="P31:P50">
    <cfRule type="cellIs" dxfId="298" priority="17" operator="greaterThan">
      <formula>$P$51</formula>
    </cfRule>
  </conditionalFormatting>
  <conditionalFormatting sqref="R31:R50">
    <cfRule type="cellIs" dxfId="297" priority="16" operator="greaterThan">
      <formula>$R$51</formula>
    </cfRule>
  </conditionalFormatting>
  <conditionalFormatting sqref="S31:S50">
    <cfRule type="cellIs" dxfId="296" priority="15" operator="greaterThan">
      <formula>$S$51</formula>
    </cfRule>
  </conditionalFormatting>
  <conditionalFormatting sqref="T31:T50">
    <cfRule type="cellIs" dxfId="295" priority="14" operator="greaterThan">
      <formula>$T$51</formula>
    </cfRule>
  </conditionalFormatting>
  <conditionalFormatting sqref="U31:U50">
    <cfRule type="cellIs" dxfId="294" priority="13" operator="greaterThan">
      <formula>$U$51</formula>
    </cfRule>
  </conditionalFormatting>
  <conditionalFormatting sqref="C22:V22">
    <cfRule type="cellIs" dxfId="293" priority="12" operator="equal">
      <formula>0</formula>
    </cfRule>
  </conditionalFormatting>
  <conditionalFormatting sqref="C24:V24">
    <cfRule type="cellIs" dxfId="292" priority="10" operator="equal">
      <formula>"DECREASE"</formula>
    </cfRule>
    <cfRule type="cellIs" dxfId="291" priority="11" operator="equal">
      <formula>"INCREASE"</formula>
    </cfRule>
  </conditionalFormatting>
  <conditionalFormatting sqref="C23:V23">
    <cfRule type="cellIs" dxfId="290" priority="9" operator="equal">
      <formula>0</formula>
    </cfRule>
  </conditionalFormatting>
  <conditionalFormatting sqref="I1">
    <cfRule type="cellIs" dxfId="289" priority="8" operator="lessThan">
      <formula>5</formula>
    </cfRule>
  </conditionalFormatting>
  <conditionalFormatting sqref="C21:V21">
    <cfRule type="cellIs" dxfId="288" priority="5" operator="equal">
      <formula>0</formula>
    </cfRule>
  </conditionalFormatting>
  <conditionalFormatting sqref="B65:U65">
    <cfRule type="cellIs" dxfId="287" priority="3" operator="equal">
      <formula>"UNDER"</formula>
    </cfRule>
    <cfRule type="cellIs" dxfId="286" priority="4" operator="equal">
      <formula>"OVER"</formula>
    </cfRule>
  </conditionalFormatting>
  <conditionalFormatting sqref="I2">
    <cfRule type="cellIs" dxfId="285" priority="2" operator="greaterThan">
      <formula>5000.1</formula>
    </cfRule>
  </conditionalFormatting>
  <conditionalFormatting sqref="I3">
    <cfRule type="cellIs" dxfId="284" priority="1" operator="greaterThan">
      <formula>4.1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zoomScale="90" zoomScaleNormal="90" workbookViewId="0">
      <selection activeCell="B32" sqref="B32: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6.3</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166</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17.251229999999996</v>
      </c>
      <c r="D18" s="24">
        <f>$D32</f>
        <v>17.251229999999996</v>
      </c>
      <c r="E18" s="24">
        <f>$D33</f>
        <v>17.251229999999996</v>
      </c>
      <c r="F18" s="24">
        <f>$D34</f>
        <v>17.251229999999996</v>
      </c>
      <c r="G18" s="24">
        <f>$D35</f>
        <v>17.251229999999996</v>
      </c>
      <c r="H18" s="24">
        <f>$D36</f>
        <v>17.251229999999996</v>
      </c>
      <c r="I18" s="24">
        <f>$D37</f>
        <v>17.251229999999996</v>
      </c>
      <c r="J18" s="24">
        <f>$D38</f>
        <v>17.251229999999996</v>
      </c>
      <c r="K18" s="24">
        <f>$D39</f>
        <v>17.251229999999996</v>
      </c>
      <c r="L18" s="24">
        <f>$D40</f>
        <v>17.251229999999996</v>
      </c>
      <c r="M18" s="24">
        <f>$D41</f>
        <v>17.251229999999996</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-62.648769999999999</v>
      </c>
      <c r="D19" s="24">
        <f t="shared" ref="D19:V19" si="1">D18-D17</f>
        <v>-62.648769999999999</v>
      </c>
      <c r="E19" s="24">
        <f t="shared" si="1"/>
        <v>-62.648769999999999</v>
      </c>
      <c r="F19" s="24">
        <f t="shared" si="1"/>
        <v>-62.648769999999999</v>
      </c>
      <c r="G19" s="24">
        <f t="shared" si="1"/>
        <v>-62.648769999999999</v>
      </c>
      <c r="H19" s="24">
        <f t="shared" si="1"/>
        <v>-62.648769999999999</v>
      </c>
      <c r="I19" s="24">
        <f t="shared" si="1"/>
        <v>-62.648769999999999</v>
      </c>
      <c r="J19" s="24">
        <f t="shared" si="1"/>
        <v>-62.648769999999999</v>
      </c>
      <c r="K19" s="24">
        <f t="shared" si="1"/>
        <v>-62.648769999999999</v>
      </c>
      <c r="L19" s="24">
        <f t="shared" si="1"/>
        <v>-62.648769999999999</v>
      </c>
      <c r="M19" s="24">
        <f t="shared" si="1"/>
        <v>-62.648769999999999</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0.66691327499999997</v>
      </c>
      <c r="D22" s="24">
        <f>$E32</f>
        <v>0.66691327499999997</v>
      </c>
      <c r="E22" s="24">
        <f>$E33</f>
        <v>0.66691327499999997</v>
      </c>
      <c r="F22" s="24">
        <f>$E34</f>
        <v>0.66691327499999997</v>
      </c>
      <c r="G22" s="24">
        <f>$E35</f>
        <v>0.66691327499999997</v>
      </c>
      <c r="H22" s="24">
        <f>$E36</f>
        <v>0.66691327499999997</v>
      </c>
      <c r="I22" s="24">
        <f>$E37</f>
        <v>0.66691327499999997</v>
      </c>
      <c r="J22" s="24">
        <f>$E38</f>
        <v>0.66691327499999997</v>
      </c>
      <c r="K22" s="24">
        <f>$E39</f>
        <v>0.66691327499999997</v>
      </c>
      <c r="L22" s="24">
        <f>$E40</f>
        <v>0.66691327499999997</v>
      </c>
      <c r="M22" s="24">
        <f>$E41</f>
        <v>0.66691327499999997</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-281.33308672499999</v>
      </c>
      <c r="D23" s="24">
        <f t="shared" ref="D23:V23" si="3">D22-D21</f>
        <v>-281.33308672499999</v>
      </c>
      <c r="E23" s="24">
        <f t="shared" si="3"/>
        <v>-281.33308672499999</v>
      </c>
      <c r="F23" s="24">
        <f t="shared" si="3"/>
        <v>-281.33308672499999</v>
      </c>
      <c r="G23" s="24">
        <f t="shared" si="3"/>
        <v>-281.33308672499999</v>
      </c>
      <c r="H23" s="24">
        <f t="shared" si="3"/>
        <v>-281.33308672499999</v>
      </c>
      <c r="I23" s="24">
        <f t="shared" si="3"/>
        <v>-281.33308672499999</v>
      </c>
      <c r="J23" s="24">
        <f t="shared" si="3"/>
        <v>-281.33308672499999</v>
      </c>
      <c r="K23" s="24">
        <f t="shared" si="3"/>
        <v>-281.33308672499999</v>
      </c>
      <c r="L23" s="24">
        <f t="shared" si="3"/>
        <v>-281.33308672499999</v>
      </c>
      <c r="M23" s="24">
        <f t="shared" si="3"/>
        <v>-281.33308672499999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2.5099999999999998</v>
      </c>
      <c r="C28" s="23">
        <v>1.3</v>
      </c>
      <c r="D28" s="23">
        <v>0.12</v>
      </c>
      <c r="E28" s="23">
        <v>8.8199999999999997E-3</v>
      </c>
      <c r="F28" s="23">
        <v>416</v>
      </c>
      <c r="G28" s="23">
        <v>30.6</v>
      </c>
      <c r="H28" s="23">
        <v>70.7</v>
      </c>
      <c r="I28" s="23">
        <v>5.23</v>
      </c>
      <c r="J28" s="23">
        <v>0.65</v>
      </c>
      <c r="K28" s="30">
        <v>0.81</v>
      </c>
      <c r="L28" s="23">
        <v>3.46</v>
      </c>
      <c r="M28" s="23">
        <v>4.3</v>
      </c>
      <c r="N28" s="23">
        <v>148000</v>
      </c>
      <c r="O28" s="23">
        <v>35700</v>
      </c>
      <c r="P28" s="23"/>
      <c r="Q28" s="23">
        <v>88390</v>
      </c>
      <c r="R28" s="23"/>
      <c r="S28" s="23">
        <v>42.7</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81.574999999999989</v>
      </c>
      <c r="D31" s="2">
        <f>(IF(D$27="%w/w SAR",((D$28*10)*$B31),IF(D$27="%w/w DM",(((D$28*10)*($B$28/100))*$B31),IF(D$27="kg/t SAR",(D$28*$B31),IF(D$27="kg/t DM",((D$28*($B$28/100))*$B31),IF(D$27="mg/kg SAR",((D$28*0.001)*$B31),IF(D$27="mg/kg DM",(((D$28*0.001)*($B$28/100))*$B31),"0")))))))*2.291</f>
        <v>17.251229999999996</v>
      </c>
      <c r="E31" s="2">
        <f>(IF(E$27="%w/w SAR",((E$28*10)*$B31),IF(E$27="%w/w DM",(((E$28*10)*($B$28/100))*$B31),IF(E$27="kg/t SAR",(E$28*$B31),IF(E$27="kg/t DM",((E$28*($B$28/100))*$B31),IF(E$27="mg/kg SAR",((E$28*0.001)*$B31),IF(E$27="mg/kg DM",(((E$28*0.001)*($B$28/100))*$B31),"0")))))))*1.205</f>
        <v>0.66691327499999997</v>
      </c>
      <c r="F31" s="2">
        <f>(IF(F$27="%w/w SAR",((F$28*10)*$B31),IF(F$27="%w/w DM",(((F$28*10)*($B$28/100))*$B31),IF(F$27="kg/t SAR",(F$28*$B31),IF(F$27="kg/t DM",((F$28*($B$28/100))*$B31),IF(F$27="mg/kg SAR",((F$28*0.001)*$B31),IF(F$27="mg/kg DM",(((F$28*0.001)*($B$28/100))*$B31),"0")))))))*1.658</f>
        <v>4.3280432000000006</v>
      </c>
      <c r="G31" s="2">
        <f t="shared" ref="G31:P46" si="5">IF(G$27="%w/w SAR",((G$28*10)*$B31),IF(G$27="%w/w DM",(((G$28*10)*($B$28/100))*$B31),IF(G$27="kg/t SAR",(G$28*$B31),IF(G$27="kg/t DM",((G$28*($B$28/100))*$B31),IF(G$27="mg/kg SAR",((G$28*0.001)*$B31),IF(G$27="mg/kg DM",(((G$28*0.001)*($B$28/100))*$B31),0))))))</f>
        <v>0.19201499999999999</v>
      </c>
      <c r="H31" s="2">
        <f t="shared" si="5"/>
        <v>0.44364249999999994</v>
      </c>
      <c r="I31" s="2">
        <f t="shared" si="5"/>
        <v>3.281825E-2</v>
      </c>
      <c r="J31" s="2">
        <f t="shared" si="5"/>
        <v>4.0787499999999999E-3</v>
      </c>
      <c r="K31" s="2">
        <f t="shared" si="5"/>
        <v>5.0827499999999996E-3</v>
      </c>
      <c r="L31" s="2">
        <f t="shared" si="5"/>
        <v>2.1711499999999998E-2</v>
      </c>
      <c r="M31" s="2">
        <f t="shared" si="5"/>
        <v>2.69825E-2</v>
      </c>
      <c r="N31" s="2">
        <f t="shared" si="5"/>
        <v>928.69999999999982</v>
      </c>
      <c r="O31" s="2">
        <f t="shared" si="5"/>
        <v>224.01749999999998</v>
      </c>
      <c r="P31" s="2">
        <f t="shared" si="5"/>
        <v>0</v>
      </c>
      <c r="Q31" s="2">
        <f>(IF(Q$27="%w/w SAR",((Q$28*10)*$B31),IF(Q$27="%w/w DM",(((Q$28*10)*($B$28/100))*$B31),IF(Q$27="kg/t SAR",(Q$28*$B31),IF(Q$27="kg/t DM",((Q$28*($B$28/100))*$B31),IF(Q$27="mg/kg SAR",((Q$28*0.001)*$B31),IF(Q$27="mg/kg DM",(((Q$28*0.001)*($B$28/100))*$B31),0)))))))*2.5</f>
        <v>1386.6181249999997</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0.26794249999999997</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81.574999999999989</v>
      </c>
      <c r="D32" s="2">
        <f t="shared" ref="D32:D50" si="7">(IF(D$27="%w/w SAR",((D$28*10)*$B32),IF(D$27="%w/w DM",(((D$28*10)*($B$28/100))*$B32),IF(D$27="kg/t SAR",(D$28*$B32),IF(D$27="kg/t DM",((D$28*($B$28/100))*$B32),IF(D$27="mg/kg SAR",((D$28*0.001)*$B32),IF(D$27="mg/kg DM",(((D$28*0.001)*($B$28/100))*$B32),"0")))))))*2.291</f>
        <v>17.251229999999996</v>
      </c>
      <c r="E32" s="2">
        <f t="shared" ref="E32:E50" si="8">(IF(E$27="%w/w SAR",((E$28*10)*$B32),IF(E$27="%w/w DM",(((E$28*10)*($B$28/100))*$B32),IF(E$27="kg/t SAR",(E$28*$B32),IF(E$27="kg/t DM",((E$28*($B$28/100))*$B32),IF(E$27="mg/kg SAR",((E$28*0.001)*$B32),IF(E$27="mg/kg DM",(((E$28*0.001)*($B$28/100))*$B32),"0")))))))*1.205</f>
        <v>0.66691327499999997</v>
      </c>
      <c r="F32" s="2">
        <f t="shared" ref="F32:F50" si="9">(IF(F$27="%w/w SAR",((F$28*10)*$B32),IF(F$27="%w/w DM",(((F$28*10)*($B$28/100))*$B32),IF(F$27="kg/t SAR",(F$28*$B32),IF(F$27="kg/t DM",((F$28*($B$28/100))*$B32),IF(F$27="mg/kg SAR",((F$28*0.001)*$B32),IF(F$27="mg/kg DM",(((F$28*0.001)*($B$28/100))*$B32),"0")))))))*1.658</f>
        <v>4.3280432000000006</v>
      </c>
      <c r="G32" s="2">
        <f t="shared" si="5"/>
        <v>0.19201499999999999</v>
      </c>
      <c r="H32" s="2">
        <f t="shared" si="5"/>
        <v>0.44364249999999994</v>
      </c>
      <c r="I32" s="2">
        <f t="shared" si="5"/>
        <v>3.281825E-2</v>
      </c>
      <c r="J32" s="2">
        <f t="shared" si="5"/>
        <v>4.0787499999999999E-3</v>
      </c>
      <c r="K32" s="2">
        <f t="shared" si="5"/>
        <v>5.0827499999999996E-3</v>
      </c>
      <c r="L32" s="2">
        <f t="shared" si="5"/>
        <v>2.1711499999999998E-2</v>
      </c>
      <c r="M32" s="2">
        <f t="shared" si="5"/>
        <v>2.69825E-2</v>
      </c>
      <c r="N32" s="2">
        <f t="shared" si="5"/>
        <v>928.69999999999982</v>
      </c>
      <c r="O32" s="2">
        <f t="shared" si="5"/>
        <v>224.01749999999998</v>
      </c>
      <c r="P32" s="2">
        <f t="shared" si="5"/>
        <v>0</v>
      </c>
      <c r="Q32" s="2">
        <f t="shared" ref="Q32:Q50" si="10">(IF(Q$27="%w/w SAR",((Q$28*10)*$B32),IF(Q$27="%w/w DM",(((Q$28*10)*($B$28/100))*$B32),IF(Q$27="kg/t SAR",(Q$28*$B32),IF(Q$27="kg/t DM",((Q$28*($B$28/100))*$B32),IF(Q$27="mg/kg SAR",((Q$28*0.001)*$B32),IF(Q$27="mg/kg DM",(((Q$28*0.001)*($B$28/100))*$B32),0)))))))*2.5</f>
        <v>1386.6181249999997</v>
      </c>
      <c r="R32" s="2">
        <f t="shared" ref="R32:U50" si="11">IF(R$27="%w/w SAR",((R$28*10)*$B32),IF(R$27="%w/w DM",(((R$28*10)*($B$28/100))*$B32),IF(R$27="kg/t SAR",(R$28*$B32),IF(R$27="kg/t DM",((R$28*($B$28/100))*$B32),IF(R$27="mg/kg SAR",((R$28*0.001)*$B32),IF(R$27="mg/kg DM",(((R$28*0.001)*($B$28/100))*$B32),0))))))</f>
        <v>0</v>
      </c>
      <c r="S32" s="2">
        <f t="shared" si="11"/>
        <v>0.26794249999999997</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81.574999999999989</v>
      </c>
      <c r="D33" s="2">
        <f t="shared" si="7"/>
        <v>17.251229999999996</v>
      </c>
      <c r="E33" s="2">
        <f t="shared" si="8"/>
        <v>0.66691327499999997</v>
      </c>
      <c r="F33" s="2">
        <f t="shared" si="9"/>
        <v>4.3280432000000006</v>
      </c>
      <c r="G33" s="2">
        <f t="shared" si="5"/>
        <v>0.19201499999999999</v>
      </c>
      <c r="H33" s="2">
        <f t="shared" si="5"/>
        <v>0.44364249999999994</v>
      </c>
      <c r="I33" s="2">
        <f t="shared" si="5"/>
        <v>3.281825E-2</v>
      </c>
      <c r="J33" s="2">
        <f t="shared" si="5"/>
        <v>4.0787499999999999E-3</v>
      </c>
      <c r="K33" s="2">
        <f t="shared" si="5"/>
        <v>5.0827499999999996E-3</v>
      </c>
      <c r="L33" s="2">
        <f t="shared" si="5"/>
        <v>2.1711499999999998E-2</v>
      </c>
      <c r="M33" s="2">
        <f t="shared" si="5"/>
        <v>2.69825E-2</v>
      </c>
      <c r="N33" s="2">
        <f t="shared" si="5"/>
        <v>928.69999999999982</v>
      </c>
      <c r="O33" s="2">
        <f t="shared" si="5"/>
        <v>224.01749999999998</v>
      </c>
      <c r="P33" s="2">
        <f t="shared" si="5"/>
        <v>0</v>
      </c>
      <c r="Q33" s="2">
        <f t="shared" si="10"/>
        <v>1386.6181249999997</v>
      </c>
      <c r="R33" s="2">
        <f t="shared" si="11"/>
        <v>0</v>
      </c>
      <c r="S33" s="2">
        <f t="shared" si="11"/>
        <v>0.26794249999999997</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81.574999999999989</v>
      </c>
      <c r="D34" s="2">
        <f t="shared" si="7"/>
        <v>17.251229999999996</v>
      </c>
      <c r="E34" s="2">
        <f t="shared" si="8"/>
        <v>0.66691327499999997</v>
      </c>
      <c r="F34" s="2">
        <f t="shared" si="9"/>
        <v>4.3280432000000006</v>
      </c>
      <c r="G34" s="2">
        <f t="shared" si="5"/>
        <v>0.19201499999999999</v>
      </c>
      <c r="H34" s="2">
        <f t="shared" si="5"/>
        <v>0.44364249999999994</v>
      </c>
      <c r="I34" s="2">
        <f t="shared" si="5"/>
        <v>3.281825E-2</v>
      </c>
      <c r="J34" s="2">
        <f t="shared" si="5"/>
        <v>4.0787499999999999E-3</v>
      </c>
      <c r="K34" s="2">
        <f t="shared" si="5"/>
        <v>5.0827499999999996E-3</v>
      </c>
      <c r="L34" s="2">
        <f t="shared" si="5"/>
        <v>2.1711499999999998E-2</v>
      </c>
      <c r="M34" s="2">
        <f t="shared" si="5"/>
        <v>2.69825E-2</v>
      </c>
      <c r="N34" s="2">
        <f t="shared" si="5"/>
        <v>928.69999999999982</v>
      </c>
      <c r="O34" s="2">
        <f t="shared" si="5"/>
        <v>224.01749999999998</v>
      </c>
      <c r="P34" s="2">
        <f t="shared" si="5"/>
        <v>0</v>
      </c>
      <c r="Q34" s="2">
        <f t="shared" si="10"/>
        <v>1386.6181249999997</v>
      </c>
      <c r="R34" s="2">
        <f t="shared" si="11"/>
        <v>0</v>
      </c>
      <c r="S34" s="2">
        <f t="shared" si="11"/>
        <v>0.26794249999999997</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81.574999999999989</v>
      </c>
      <c r="D35" s="2">
        <f t="shared" si="7"/>
        <v>17.251229999999996</v>
      </c>
      <c r="E35" s="2">
        <f t="shared" si="8"/>
        <v>0.66691327499999997</v>
      </c>
      <c r="F35" s="2">
        <f t="shared" si="9"/>
        <v>4.3280432000000006</v>
      </c>
      <c r="G35" s="2">
        <f t="shared" si="5"/>
        <v>0.19201499999999999</v>
      </c>
      <c r="H35" s="2">
        <f t="shared" si="5"/>
        <v>0.44364249999999994</v>
      </c>
      <c r="I35" s="2">
        <f t="shared" si="5"/>
        <v>3.281825E-2</v>
      </c>
      <c r="J35" s="2">
        <f t="shared" si="5"/>
        <v>4.0787499999999999E-3</v>
      </c>
      <c r="K35" s="2">
        <f t="shared" si="5"/>
        <v>5.0827499999999996E-3</v>
      </c>
      <c r="L35" s="2">
        <f t="shared" si="5"/>
        <v>2.1711499999999998E-2</v>
      </c>
      <c r="M35" s="2">
        <f t="shared" si="5"/>
        <v>2.69825E-2</v>
      </c>
      <c r="N35" s="2">
        <f t="shared" si="5"/>
        <v>928.69999999999982</v>
      </c>
      <c r="O35" s="2">
        <f t="shared" si="5"/>
        <v>224.01749999999998</v>
      </c>
      <c r="P35" s="2">
        <f t="shared" si="5"/>
        <v>0</v>
      </c>
      <c r="Q35" s="2">
        <f t="shared" si="10"/>
        <v>1386.6181249999997</v>
      </c>
      <c r="R35" s="2">
        <f t="shared" si="11"/>
        <v>0</v>
      </c>
      <c r="S35" s="2">
        <f t="shared" si="11"/>
        <v>0.26794249999999997</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81.574999999999989</v>
      </c>
      <c r="D36" s="2">
        <f t="shared" si="7"/>
        <v>17.251229999999996</v>
      </c>
      <c r="E36" s="2">
        <f t="shared" si="8"/>
        <v>0.66691327499999997</v>
      </c>
      <c r="F36" s="2">
        <f t="shared" si="9"/>
        <v>4.3280432000000006</v>
      </c>
      <c r="G36" s="2">
        <f t="shared" si="5"/>
        <v>0.19201499999999999</v>
      </c>
      <c r="H36" s="2">
        <f t="shared" si="5"/>
        <v>0.44364249999999994</v>
      </c>
      <c r="I36" s="2">
        <f t="shared" si="5"/>
        <v>3.281825E-2</v>
      </c>
      <c r="J36" s="2">
        <f t="shared" si="5"/>
        <v>4.0787499999999999E-3</v>
      </c>
      <c r="K36" s="2">
        <f t="shared" si="5"/>
        <v>5.0827499999999996E-3</v>
      </c>
      <c r="L36" s="2">
        <f t="shared" si="5"/>
        <v>2.1711499999999998E-2</v>
      </c>
      <c r="M36" s="2">
        <f t="shared" si="5"/>
        <v>2.69825E-2</v>
      </c>
      <c r="N36" s="2">
        <f t="shared" si="5"/>
        <v>928.69999999999982</v>
      </c>
      <c r="O36" s="2">
        <f t="shared" si="5"/>
        <v>224.01749999999998</v>
      </c>
      <c r="P36" s="2">
        <f t="shared" si="5"/>
        <v>0</v>
      </c>
      <c r="Q36" s="2">
        <f t="shared" si="10"/>
        <v>1386.6181249999997</v>
      </c>
      <c r="R36" s="2">
        <f t="shared" si="11"/>
        <v>0</v>
      </c>
      <c r="S36" s="2">
        <f t="shared" si="11"/>
        <v>0.26794249999999997</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81.574999999999989</v>
      </c>
      <c r="D37" s="2">
        <f t="shared" si="7"/>
        <v>17.251229999999996</v>
      </c>
      <c r="E37" s="2">
        <f t="shared" si="8"/>
        <v>0.66691327499999997</v>
      </c>
      <c r="F37" s="2">
        <f t="shared" si="9"/>
        <v>4.3280432000000006</v>
      </c>
      <c r="G37" s="2">
        <f t="shared" si="5"/>
        <v>0.19201499999999999</v>
      </c>
      <c r="H37" s="2">
        <f t="shared" si="5"/>
        <v>0.44364249999999994</v>
      </c>
      <c r="I37" s="2">
        <f t="shared" si="5"/>
        <v>3.281825E-2</v>
      </c>
      <c r="J37" s="2">
        <f t="shared" si="5"/>
        <v>4.0787499999999999E-3</v>
      </c>
      <c r="K37" s="2">
        <f t="shared" si="5"/>
        <v>5.0827499999999996E-3</v>
      </c>
      <c r="L37" s="2">
        <f t="shared" si="5"/>
        <v>2.1711499999999998E-2</v>
      </c>
      <c r="M37" s="2">
        <f t="shared" si="5"/>
        <v>2.69825E-2</v>
      </c>
      <c r="N37" s="2">
        <f t="shared" si="5"/>
        <v>928.69999999999982</v>
      </c>
      <c r="O37" s="2">
        <f t="shared" si="5"/>
        <v>224.01749999999998</v>
      </c>
      <c r="P37" s="2">
        <f t="shared" si="5"/>
        <v>0</v>
      </c>
      <c r="Q37" s="2">
        <f t="shared" si="10"/>
        <v>1386.6181249999997</v>
      </c>
      <c r="R37" s="2">
        <f t="shared" si="11"/>
        <v>0</v>
      </c>
      <c r="S37" s="2">
        <f t="shared" si="11"/>
        <v>0.26794249999999997</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81.574999999999989</v>
      </c>
      <c r="D38" s="2">
        <f t="shared" si="7"/>
        <v>17.251229999999996</v>
      </c>
      <c r="E38" s="2">
        <f t="shared" si="8"/>
        <v>0.66691327499999997</v>
      </c>
      <c r="F38" s="2">
        <f t="shared" si="9"/>
        <v>4.3280432000000006</v>
      </c>
      <c r="G38" s="2">
        <f t="shared" si="5"/>
        <v>0.19201499999999999</v>
      </c>
      <c r="H38" s="2">
        <f t="shared" si="5"/>
        <v>0.44364249999999994</v>
      </c>
      <c r="I38" s="2">
        <f t="shared" si="5"/>
        <v>3.281825E-2</v>
      </c>
      <c r="J38" s="2">
        <f t="shared" si="5"/>
        <v>4.0787499999999999E-3</v>
      </c>
      <c r="K38" s="2">
        <f t="shared" si="5"/>
        <v>5.0827499999999996E-3</v>
      </c>
      <c r="L38" s="2">
        <f t="shared" si="5"/>
        <v>2.1711499999999998E-2</v>
      </c>
      <c r="M38" s="2">
        <f t="shared" si="5"/>
        <v>2.69825E-2</v>
      </c>
      <c r="N38" s="2">
        <f t="shared" si="5"/>
        <v>928.69999999999982</v>
      </c>
      <c r="O38" s="2">
        <f t="shared" si="5"/>
        <v>224.01749999999998</v>
      </c>
      <c r="P38" s="2">
        <f t="shared" si="5"/>
        <v>0</v>
      </c>
      <c r="Q38" s="2">
        <f t="shared" si="10"/>
        <v>1386.6181249999997</v>
      </c>
      <c r="R38" s="2">
        <f t="shared" si="11"/>
        <v>0</v>
      </c>
      <c r="S38" s="2">
        <f t="shared" si="11"/>
        <v>0.26794249999999997</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81.574999999999989</v>
      </c>
      <c r="D39" s="2">
        <f t="shared" si="7"/>
        <v>17.251229999999996</v>
      </c>
      <c r="E39" s="2">
        <f t="shared" si="8"/>
        <v>0.66691327499999997</v>
      </c>
      <c r="F39" s="2">
        <f t="shared" si="9"/>
        <v>4.3280432000000006</v>
      </c>
      <c r="G39" s="2">
        <f t="shared" si="5"/>
        <v>0.19201499999999999</v>
      </c>
      <c r="H39" s="2">
        <f t="shared" si="5"/>
        <v>0.44364249999999994</v>
      </c>
      <c r="I39" s="2">
        <f t="shared" si="5"/>
        <v>3.281825E-2</v>
      </c>
      <c r="J39" s="2">
        <f t="shared" si="5"/>
        <v>4.0787499999999999E-3</v>
      </c>
      <c r="K39" s="2">
        <f t="shared" si="5"/>
        <v>5.0827499999999996E-3</v>
      </c>
      <c r="L39" s="2">
        <f t="shared" si="5"/>
        <v>2.1711499999999998E-2</v>
      </c>
      <c r="M39" s="2">
        <f t="shared" si="5"/>
        <v>2.69825E-2</v>
      </c>
      <c r="N39" s="2">
        <f t="shared" si="5"/>
        <v>928.69999999999982</v>
      </c>
      <c r="O39" s="2">
        <f t="shared" si="5"/>
        <v>224.01749999999998</v>
      </c>
      <c r="P39" s="2">
        <f t="shared" si="5"/>
        <v>0</v>
      </c>
      <c r="Q39" s="2">
        <f t="shared" si="10"/>
        <v>1386.6181249999997</v>
      </c>
      <c r="R39" s="2">
        <f t="shared" si="11"/>
        <v>0</v>
      </c>
      <c r="S39" s="2">
        <f t="shared" si="11"/>
        <v>0.26794249999999997</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81.574999999999989</v>
      </c>
      <c r="D40" s="2">
        <f t="shared" si="7"/>
        <v>17.251229999999996</v>
      </c>
      <c r="E40" s="2">
        <f t="shared" si="8"/>
        <v>0.66691327499999997</v>
      </c>
      <c r="F40" s="2">
        <f t="shared" si="9"/>
        <v>4.3280432000000006</v>
      </c>
      <c r="G40" s="2">
        <f t="shared" si="5"/>
        <v>0.19201499999999999</v>
      </c>
      <c r="H40" s="2">
        <f t="shared" si="5"/>
        <v>0.44364249999999994</v>
      </c>
      <c r="I40" s="2">
        <f t="shared" si="5"/>
        <v>3.281825E-2</v>
      </c>
      <c r="J40" s="2">
        <f t="shared" si="5"/>
        <v>4.0787499999999999E-3</v>
      </c>
      <c r="K40" s="2">
        <f t="shared" si="5"/>
        <v>5.0827499999999996E-3</v>
      </c>
      <c r="L40" s="2">
        <f t="shared" si="5"/>
        <v>2.1711499999999998E-2</v>
      </c>
      <c r="M40" s="2">
        <f t="shared" si="5"/>
        <v>2.69825E-2</v>
      </c>
      <c r="N40" s="2">
        <f t="shared" si="5"/>
        <v>928.69999999999982</v>
      </c>
      <c r="O40" s="2">
        <f t="shared" si="5"/>
        <v>224.01749999999998</v>
      </c>
      <c r="P40" s="2">
        <f t="shared" si="5"/>
        <v>0</v>
      </c>
      <c r="Q40" s="2">
        <f t="shared" si="10"/>
        <v>1386.6181249999997</v>
      </c>
      <c r="R40" s="2">
        <f t="shared" si="11"/>
        <v>0</v>
      </c>
      <c r="S40" s="2">
        <f t="shared" si="11"/>
        <v>0.26794249999999997</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81.574999999999989</v>
      </c>
      <c r="D41" s="2">
        <f t="shared" si="7"/>
        <v>17.251229999999996</v>
      </c>
      <c r="E41" s="2">
        <f t="shared" si="8"/>
        <v>0.66691327499999997</v>
      </c>
      <c r="F41" s="2">
        <f t="shared" si="9"/>
        <v>4.3280432000000006</v>
      </c>
      <c r="G41" s="2">
        <f t="shared" si="5"/>
        <v>0.19201499999999999</v>
      </c>
      <c r="H41" s="2">
        <f t="shared" si="5"/>
        <v>0.44364249999999994</v>
      </c>
      <c r="I41" s="2">
        <f t="shared" si="5"/>
        <v>3.281825E-2</v>
      </c>
      <c r="J41" s="2">
        <f t="shared" si="5"/>
        <v>4.0787499999999999E-3</v>
      </c>
      <c r="K41" s="2">
        <f t="shared" si="5"/>
        <v>5.0827499999999996E-3</v>
      </c>
      <c r="L41" s="2">
        <f t="shared" si="5"/>
        <v>2.1711499999999998E-2</v>
      </c>
      <c r="M41" s="2">
        <f t="shared" si="5"/>
        <v>2.69825E-2</v>
      </c>
      <c r="N41" s="2">
        <f t="shared" si="5"/>
        <v>928.69999999999982</v>
      </c>
      <c r="O41" s="2">
        <f t="shared" si="5"/>
        <v>224.01749999999998</v>
      </c>
      <c r="P41" s="2">
        <f t="shared" si="5"/>
        <v>0</v>
      </c>
      <c r="Q41" s="2">
        <f t="shared" si="10"/>
        <v>1386.6181249999997</v>
      </c>
      <c r="R41" s="2">
        <f t="shared" si="11"/>
        <v>0</v>
      </c>
      <c r="S41" s="2">
        <f t="shared" si="11"/>
        <v>0.26794249999999997</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e">
        <f>N16&amp;" I "&amp;(VLOOKUP(N14,Table24581112[],6,FALSE))</f>
        <v>#N/A</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t="e">
        <f>VLOOKUP(N$14,Table24581112[],5,FALSE)</f>
        <v>#N/A</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72" priority="29" operator="equal">
      <formula>"DECREASE"</formula>
    </cfRule>
    <cfRule type="cellIs" dxfId="271" priority="30" operator="equal">
      <formula>"INCREASE"</formula>
    </cfRule>
  </conditionalFormatting>
  <conditionalFormatting sqref="B62:U65 B31:B50">
    <cfRule type="cellIs" dxfId="270" priority="28" operator="greaterThan">
      <formula>$B$51</formula>
    </cfRule>
  </conditionalFormatting>
  <conditionalFormatting sqref="C31:C50">
    <cfRule type="cellIs" dxfId="269" priority="27" operator="greaterThan">
      <formula>$C$51</formula>
    </cfRule>
  </conditionalFormatting>
  <conditionalFormatting sqref="C18:V18">
    <cfRule type="cellIs" dxfId="268" priority="26" operator="equal">
      <formula>0</formula>
    </cfRule>
  </conditionalFormatting>
  <conditionalFormatting sqref="C17:V17">
    <cfRule type="cellIs" dxfId="267" priority="25" operator="equal">
      <formula>0</formula>
    </cfRule>
  </conditionalFormatting>
  <conditionalFormatting sqref="C19:V19">
    <cfRule type="cellIs" dxfId="266" priority="24" operator="equal">
      <formula>0</formula>
    </cfRule>
  </conditionalFormatting>
  <conditionalFormatting sqref="G31:G50">
    <cfRule type="cellIs" dxfId="265" priority="23" operator="greaterThan">
      <formula>$G$51</formula>
    </cfRule>
  </conditionalFormatting>
  <conditionalFormatting sqref="H31:H50">
    <cfRule type="cellIs" dxfId="264" priority="22" operator="greaterThan">
      <formula>$H$51</formula>
    </cfRule>
  </conditionalFormatting>
  <conditionalFormatting sqref="I31:I50">
    <cfRule type="cellIs" dxfId="263" priority="21" operator="greaterThan">
      <formula>$I$51</formula>
    </cfRule>
  </conditionalFormatting>
  <conditionalFormatting sqref="K31:K50">
    <cfRule type="cellIs" dxfId="262" priority="20" operator="greaterThan">
      <formula>$K$51</formula>
    </cfRule>
  </conditionalFormatting>
  <conditionalFormatting sqref="L31:L50">
    <cfRule type="cellIs" dxfId="261" priority="19" operator="greaterThan">
      <formula>$L$51</formula>
    </cfRule>
  </conditionalFormatting>
  <conditionalFormatting sqref="M31:M50">
    <cfRule type="cellIs" dxfId="260" priority="18" operator="greaterThan">
      <formula>$M$51</formula>
    </cfRule>
  </conditionalFormatting>
  <conditionalFormatting sqref="P31:P50">
    <cfRule type="cellIs" dxfId="259" priority="17" operator="greaterThan">
      <formula>$P$51</formula>
    </cfRule>
  </conditionalFormatting>
  <conditionalFormatting sqref="R31:R50">
    <cfRule type="cellIs" dxfId="258" priority="16" operator="greaterThan">
      <formula>$R$51</formula>
    </cfRule>
  </conditionalFormatting>
  <conditionalFormatting sqref="S31:S50">
    <cfRule type="cellIs" dxfId="257" priority="15" operator="greaterThan">
      <formula>$S$51</formula>
    </cfRule>
  </conditionalFormatting>
  <conditionalFormatting sqref="T31:T50">
    <cfRule type="cellIs" dxfId="256" priority="14" operator="greaterThan">
      <formula>$T$51</formula>
    </cfRule>
  </conditionalFormatting>
  <conditionalFormatting sqref="U31:U50">
    <cfRule type="cellIs" dxfId="255" priority="13" operator="greaterThan">
      <formula>$U$51</formula>
    </cfRule>
  </conditionalFormatting>
  <conditionalFormatting sqref="C22:V22">
    <cfRule type="cellIs" dxfId="254" priority="12" operator="equal">
      <formula>0</formula>
    </cfRule>
  </conditionalFormatting>
  <conditionalFormatting sqref="C24:V24">
    <cfRule type="cellIs" dxfId="253" priority="10" operator="equal">
      <formula>"DECREASE"</formula>
    </cfRule>
    <cfRule type="cellIs" dxfId="252" priority="11" operator="equal">
      <formula>"INCREASE"</formula>
    </cfRule>
  </conditionalFormatting>
  <conditionalFormatting sqref="C23:V23">
    <cfRule type="cellIs" dxfId="251" priority="9" operator="equal">
      <formula>0</formula>
    </cfRule>
  </conditionalFormatting>
  <conditionalFormatting sqref="I1">
    <cfRule type="cellIs" dxfId="250" priority="8" operator="lessThan">
      <formula>5</formula>
    </cfRule>
  </conditionalFormatting>
  <conditionalFormatting sqref="C21:V21">
    <cfRule type="cellIs" dxfId="249" priority="5" operator="equal">
      <formula>0</formula>
    </cfRule>
  </conditionalFormatting>
  <conditionalFormatting sqref="B65:U65">
    <cfRule type="cellIs" dxfId="248" priority="3" operator="equal">
      <formula>"UNDER"</formula>
    </cfRule>
    <cfRule type="cellIs" dxfId="247" priority="4" operator="equal">
      <formula>"OVER"</formula>
    </cfRule>
  </conditionalFormatting>
  <conditionalFormatting sqref="I2">
    <cfRule type="cellIs" dxfId="246" priority="2" operator="greaterThan">
      <formula>5000.1</formula>
    </cfRule>
  </conditionalFormatting>
  <conditionalFormatting sqref="I3">
    <cfRule type="cellIs" dxfId="245" priority="1" operator="greaterThan">
      <formula>4.1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5"/>
  <sheetViews>
    <sheetView zoomScale="90" zoomScaleNormal="90" workbookViewId="0">
      <selection activeCell="B32" sqref="B32: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42" width="0" style="19" hidden="1" customWidth="1"/>
    <col min="43"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4.9000000000000004</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161</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5.1544063499999995</v>
      </c>
      <c r="D18" s="24">
        <f>$D32</f>
        <v>5.1544063499999995</v>
      </c>
      <c r="E18" s="24">
        <f>$D33</f>
        <v>5.1544063499999995</v>
      </c>
      <c r="F18" s="24">
        <f>$D34</f>
        <v>5.1544063499999995</v>
      </c>
      <c r="G18" s="24">
        <f>$D35</f>
        <v>5.1544063499999995</v>
      </c>
      <c r="H18" s="24">
        <f>$D36</f>
        <v>5.1544063499999995</v>
      </c>
      <c r="I18" s="24">
        <f>$D37</f>
        <v>5.1544063499999995</v>
      </c>
      <c r="J18" s="24">
        <f>$D38</f>
        <v>5.1544063499999995</v>
      </c>
      <c r="K18" s="24">
        <f>$D39</f>
        <v>5.1544063499999995</v>
      </c>
      <c r="L18" s="24">
        <f>$D40</f>
        <v>5.1544063499999995</v>
      </c>
      <c r="M18" s="24">
        <f>$D41</f>
        <v>5.1544063499999995</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-74.745593649999989</v>
      </c>
      <c r="D19" s="24">
        <f t="shared" ref="D19:V19" si="1">D18-D17</f>
        <v>-74.745593649999989</v>
      </c>
      <c r="E19" s="24">
        <f t="shared" si="1"/>
        <v>-74.745593649999989</v>
      </c>
      <c r="F19" s="24">
        <f t="shared" si="1"/>
        <v>-74.745593649999989</v>
      </c>
      <c r="G19" s="24">
        <f t="shared" si="1"/>
        <v>-74.745593649999989</v>
      </c>
      <c r="H19" s="24">
        <f t="shared" si="1"/>
        <v>-74.745593649999989</v>
      </c>
      <c r="I19" s="24">
        <f t="shared" si="1"/>
        <v>-74.745593649999989</v>
      </c>
      <c r="J19" s="24">
        <f t="shared" si="1"/>
        <v>-74.745593649999989</v>
      </c>
      <c r="K19" s="24">
        <f t="shared" si="1"/>
        <v>-74.745593649999989</v>
      </c>
      <c r="L19" s="24">
        <f t="shared" si="1"/>
        <v>-74.745593649999989</v>
      </c>
      <c r="M19" s="24">
        <f t="shared" si="1"/>
        <v>-74.745593649999989</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0.41671912500000002</v>
      </c>
      <c r="D22" s="24">
        <f>$E32</f>
        <v>0.41671912500000002</v>
      </c>
      <c r="E22" s="24">
        <f>$E33</f>
        <v>0.41671912500000002</v>
      </c>
      <c r="F22" s="24">
        <f>$E34</f>
        <v>0.41671912500000002</v>
      </c>
      <c r="G22" s="24">
        <f>$E35</f>
        <v>0.41671912500000002</v>
      </c>
      <c r="H22" s="24">
        <f>$E36</f>
        <v>0.41671912500000002</v>
      </c>
      <c r="I22" s="24">
        <f>$E37</f>
        <v>0.41671912500000002</v>
      </c>
      <c r="J22" s="24">
        <f>$E38</f>
        <v>0.41671912500000002</v>
      </c>
      <c r="K22" s="24">
        <f>$E39</f>
        <v>0.41671912500000002</v>
      </c>
      <c r="L22" s="24">
        <f>$E40</f>
        <v>0.41671912500000002</v>
      </c>
      <c r="M22" s="24">
        <f>$E41</f>
        <v>0.41671912500000002</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-281.58328087500001</v>
      </c>
      <c r="D23" s="24">
        <f t="shared" ref="D23:V23" si="3">D22-D21</f>
        <v>-281.58328087500001</v>
      </c>
      <c r="E23" s="24">
        <f t="shared" si="3"/>
        <v>-281.58328087500001</v>
      </c>
      <c r="F23" s="24">
        <f t="shared" si="3"/>
        <v>-281.58328087500001</v>
      </c>
      <c r="G23" s="24">
        <f t="shared" si="3"/>
        <v>-281.58328087500001</v>
      </c>
      <c r="H23" s="24">
        <f t="shared" si="3"/>
        <v>-281.58328087500001</v>
      </c>
      <c r="I23" s="24">
        <f t="shared" si="3"/>
        <v>-281.58328087500001</v>
      </c>
      <c r="J23" s="24">
        <f t="shared" si="3"/>
        <v>-281.58328087500001</v>
      </c>
      <c r="K23" s="24">
        <f t="shared" si="3"/>
        <v>-281.58328087500001</v>
      </c>
      <c r="L23" s="24">
        <f t="shared" si="3"/>
        <v>-281.58328087500001</v>
      </c>
      <c r="M23" s="24">
        <f t="shared" si="3"/>
        <v>-281.58328087500001</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1.59</v>
      </c>
      <c r="C28" s="23">
        <v>1.1599999999999999</v>
      </c>
      <c r="D28" s="23">
        <v>5.6599999999999998E-2</v>
      </c>
      <c r="E28" s="23">
        <v>8.6999999999999994E-3</v>
      </c>
      <c r="F28" s="23">
        <v>425</v>
      </c>
      <c r="G28" s="23">
        <v>44.3</v>
      </c>
      <c r="H28" s="23">
        <v>166</v>
      </c>
      <c r="I28" s="23">
        <v>20.3</v>
      </c>
      <c r="J28" s="23">
        <v>0.6</v>
      </c>
      <c r="K28" s="30">
        <v>1.26</v>
      </c>
      <c r="L28" s="23">
        <v>5.41</v>
      </c>
      <c r="M28" s="23">
        <v>4.28</v>
      </c>
      <c r="N28" s="23">
        <v>3560</v>
      </c>
      <c r="O28" s="23">
        <v>387000</v>
      </c>
      <c r="P28" s="23"/>
      <c r="Q28" s="23">
        <v>8750</v>
      </c>
      <c r="R28" s="23"/>
      <c r="S28" s="23">
        <v>82.7</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46.11</v>
      </c>
      <c r="D31" s="2">
        <f>(IF(D$27="%w/w SAR",((D$28*10)*$B31),IF(D$27="%w/w DM",(((D$28*10)*($B$28/100))*$B31),IF(D$27="kg/t SAR",(D$28*$B31),IF(D$27="kg/t DM",((D$28*($B$28/100))*$B31),IF(D$27="mg/kg SAR",((D$28*0.001)*$B31),IF(D$27="mg/kg DM",(((D$28*0.001)*($B$28/100))*$B31),"0")))))))*2.291</f>
        <v>5.1544063499999995</v>
      </c>
      <c r="E31" s="2">
        <f>(IF(E$27="%w/w SAR",((E$28*10)*$B31),IF(E$27="%w/w DM",(((E$28*10)*($B$28/100))*$B31),IF(E$27="kg/t SAR",(E$28*$B31),IF(E$27="kg/t DM",((E$28*($B$28/100))*$B31),IF(E$27="mg/kg SAR",((E$28*0.001)*$B31),IF(E$27="mg/kg DM",(((E$28*0.001)*($B$28/100))*$B31),"0")))))))*1.205</f>
        <v>0.41671912500000002</v>
      </c>
      <c r="F31" s="2">
        <f>(IF(F$27="%w/w SAR",((F$28*10)*$B31),IF(F$27="%w/w DM",(((F$28*10)*($B$28/100))*$B31),IF(F$27="kg/t SAR",(F$28*$B31),IF(F$27="kg/t DM",((F$28*($B$28/100))*$B31),IF(F$27="mg/kg SAR",((F$28*0.001)*$B31),IF(F$27="mg/kg DM",(((F$28*0.001)*($B$28/100))*$B31),"0")))))))*1.658</f>
        <v>2.8009837499999999</v>
      </c>
      <c r="G31" s="2">
        <f t="shared" ref="G31:P46" si="5">IF(G$27="%w/w SAR",((G$28*10)*$B31),IF(G$27="%w/w DM",(((G$28*10)*($B$28/100))*$B31),IF(G$27="kg/t SAR",(G$28*$B31),IF(G$27="kg/t DM",((G$28*($B$28/100))*$B31),IF(G$27="mg/kg SAR",((G$28*0.001)*$B31),IF(G$27="mg/kg DM",(((G$28*0.001)*($B$28/100))*$B31),0))))))</f>
        <v>0.17609250000000001</v>
      </c>
      <c r="H31" s="2">
        <f t="shared" si="5"/>
        <v>0.65985000000000005</v>
      </c>
      <c r="I31" s="2">
        <f t="shared" si="5"/>
        <v>8.0692500000000014E-2</v>
      </c>
      <c r="J31" s="2">
        <f t="shared" si="5"/>
        <v>2.385E-3</v>
      </c>
      <c r="K31" s="2">
        <f t="shared" si="5"/>
        <v>5.0085000000000008E-3</v>
      </c>
      <c r="L31" s="2">
        <f t="shared" si="5"/>
        <v>2.150475E-2</v>
      </c>
      <c r="M31" s="2">
        <f t="shared" si="5"/>
        <v>1.7013E-2</v>
      </c>
      <c r="N31" s="2">
        <f t="shared" si="5"/>
        <v>14.151</v>
      </c>
      <c r="O31" s="2">
        <f t="shared" si="5"/>
        <v>1538.3250000000003</v>
      </c>
      <c r="P31" s="2">
        <f t="shared" si="5"/>
        <v>0</v>
      </c>
      <c r="Q31" s="2">
        <f>(IF(Q$27="%w/w SAR",((Q$28*10)*$B31),IF(Q$27="%w/w DM",(((Q$28*10)*($B$28/100))*$B31),IF(Q$27="kg/t SAR",(Q$28*$B31),IF(Q$27="kg/t DM",((Q$28*($B$28/100))*$B31),IF(Q$27="mg/kg SAR",((Q$28*0.001)*$B31),IF(Q$27="mg/kg DM",(((Q$28*0.001)*($B$28/100))*$B31),0)))))))*2.5</f>
        <v>86.953125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0.32873250000000004</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46.11</v>
      </c>
      <c r="D32" s="2">
        <f t="shared" ref="D32:D50" si="7">(IF(D$27="%w/w SAR",((D$28*10)*$B32),IF(D$27="%w/w DM",(((D$28*10)*($B$28/100))*$B32),IF(D$27="kg/t SAR",(D$28*$B32),IF(D$27="kg/t DM",((D$28*($B$28/100))*$B32),IF(D$27="mg/kg SAR",((D$28*0.001)*$B32),IF(D$27="mg/kg DM",(((D$28*0.001)*($B$28/100))*$B32),"0")))))))*2.291</f>
        <v>5.1544063499999995</v>
      </c>
      <c r="E32" s="2">
        <f t="shared" ref="E32:E50" si="8">(IF(E$27="%w/w SAR",((E$28*10)*$B32),IF(E$27="%w/w DM",(((E$28*10)*($B$28/100))*$B32),IF(E$27="kg/t SAR",(E$28*$B32),IF(E$27="kg/t DM",((E$28*($B$28/100))*$B32),IF(E$27="mg/kg SAR",((E$28*0.001)*$B32),IF(E$27="mg/kg DM",(((E$28*0.001)*($B$28/100))*$B32),"0")))))))*1.205</f>
        <v>0.41671912500000002</v>
      </c>
      <c r="F32" s="2">
        <f t="shared" ref="F32:F50" si="9">(IF(F$27="%w/w SAR",((F$28*10)*$B32),IF(F$27="%w/w DM",(((F$28*10)*($B$28/100))*$B32),IF(F$27="kg/t SAR",(F$28*$B32),IF(F$27="kg/t DM",((F$28*($B$28/100))*$B32),IF(F$27="mg/kg SAR",((F$28*0.001)*$B32),IF(F$27="mg/kg DM",(((F$28*0.001)*($B$28/100))*$B32),"0")))))))*1.658</f>
        <v>2.8009837499999999</v>
      </c>
      <c r="G32" s="2">
        <f t="shared" si="5"/>
        <v>0.17609250000000001</v>
      </c>
      <c r="H32" s="2">
        <f t="shared" si="5"/>
        <v>0.65985000000000005</v>
      </c>
      <c r="I32" s="2">
        <f t="shared" si="5"/>
        <v>8.0692500000000014E-2</v>
      </c>
      <c r="J32" s="2">
        <f t="shared" si="5"/>
        <v>2.385E-3</v>
      </c>
      <c r="K32" s="2">
        <f t="shared" si="5"/>
        <v>5.0085000000000008E-3</v>
      </c>
      <c r="L32" s="2">
        <f t="shared" si="5"/>
        <v>2.150475E-2</v>
      </c>
      <c r="M32" s="2">
        <f t="shared" si="5"/>
        <v>1.7013E-2</v>
      </c>
      <c r="N32" s="2">
        <f t="shared" si="5"/>
        <v>14.151</v>
      </c>
      <c r="O32" s="2">
        <f t="shared" si="5"/>
        <v>1538.3250000000003</v>
      </c>
      <c r="P32" s="2">
        <f t="shared" si="5"/>
        <v>0</v>
      </c>
      <c r="Q32" s="2">
        <f t="shared" ref="Q32:Q50" si="10">(IF(Q$27="%w/w SAR",((Q$28*10)*$B32),IF(Q$27="%w/w DM",(((Q$28*10)*($B$28/100))*$B32),IF(Q$27="kg/t SAR",(Q$28*$B32),IF(Q$27="kg/t DM",((Q$28*($B$28/100))*$B32),IF(Q$27="mg/kg SAR",((Q$28*0.001)*$B32),IF(Q$27="mg/kg DM",(((Q$28*0.001)*($B$28/100))*$B32),0)))))))*2.5</f>
        <v>86.953125</v>
      </c>
      <c r="R32" s="2">
        <f t="shared" ref="R32:U50" si="11">IF(R$27="%w/w SAR",((R$28*10)*$B32),IF(R$27="%w/w DM",(((R$28*10)*($B$28/100))*$B32),IF(R$27="kg/t SAR",(R$28*$B32),IF(R$27="kg/t DM",((R$28*($B$28/100))*$B32),IF(R$27="mg/kg SAR",((R$28*0.001)*$B32),IF(R$27="mg/kg DM",(((R$28*0.001)*($B$28/100))*$B32),0))))))</f>
        <v>0</v>
      </c>
      <c r="S32" s="2">
        <f t="shared" si="11"/>
        <v>0.32873250000000004</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46.11</v>
      </c>
      <c r="D33" s="2">
        <f t="shared" si="7"/>
        <v>5.1544063499999995</v>
      </c>
      <c r="E33" s="2">
        <f t="shared" si="8"/>
        <v>0.41671912500000002</v>
      </c>
      <c r="F33" s="2">
        <f t="shared" si="9"/>
        <v>2.8009837499999999</v>
      </c>
      <c r="G33" s="2">
        <f t="shared" si="5"/>
        <v>0.17609250000000001</v>
      </c>
      <c r="H33" s="2">
        <f t="shared" si="5"/>
        <v>0.65985000000000005</v>
      </c>
      <c r="I33" s="2">
        <f t="shared" si="5"/>
        <v>8.0692500000000014E-2</v>
      </c>
      <c r="J33" s="2">
        <f t="shared" si="5"/>
        <v>2.385E-3</v>
      </c>
      <c r="K33" s="2">
        <f t="shared" si="5"/>
        <v>5.0085000000000008E-3</v>
      </c>
      <c r="L33" s="2">
        <f t="shared" si="5"/>
        <v>2.150475E-2</v>
      </c>
      <c r="M33" s="2">
        <f t="shared" si="5"/>
        <v>1.7013E-2</v>
      </c>
      <c r="N33" s="2">
        <f t="shared" si="5"/>
        <v>14.151</v>
      </c>
      <c r="O33" s="2">
        <f t="shared" si="5"/>
        <v>1538.3250000000003</v>
      </c>
      <c r="P33" s="2">
        <f t="shared" si="5"/>
        <v>0</v>
      </c>
      <c r="Q33" s="2">
        <f t="shared" si="10"/>
        <v>86.953125</v>
      </c>
      <c r="R33" s="2">
        <f t="shared" si="11"/>
        <v>0</v>
      </c>
      <c r="S33" s="2">
        <f t="shared" si="11"/>
        <v>0.32873250000000004</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46.11</v>
      </c>
      <c r="D34" s="2">
        <f t="shared" si="7"/>
        <v>5.1544063499999995</v>
      </c>
      <c r="E34" s="2">
        <f t="shared" si="8"/>
        <v>0.41671912500000002</v>
      </c>
      <c r="F34" s="2">
        <f t="shared" si="9"/>
        <v>2.8009837499999999</v>
      </c>
      <c r="G34" s="2">
        <f t="shared" si="5"/>
        <v>0.17609250000000001</v>
      </c>
      <c r="H34" s="2">
        <f t="shared" si="5"/>
        <v>0.65985000000000005</v>
      </c>
      <c r="I34" s="2">
        <f t="shared" si="5"/>
        <v>8.0692500000000014E-2</v>
      </c>
      <c r="J34" s="2">
        <f t="shared" si="5"/>
        <v>2.385E-3</v>
      </c>
      <c r="K34" s="2">
        <f t="shared" si="5"/>
        <v>5.0085000000000008E-3</v>
      </c>
      <c r="L34" s="2">
        <f t="shared" si="5"/>
        <v>2.150475E-2</v>
      </c>
      <c r="M34" s="2">
        <f t="shared" si="5"/>
        <v>1.7013E-2</v>
      </c>
      <c r="N34" s="2">
        <f t="shared" si="5"/>
        <v>14.151</v>
      </c>
      <c r="O34" s="2">
        <f t="shared" si="5"/>
        <v>1538.3250000000003</v>
      </c>
      <c r="P34" s="2">
        <f t="shared" si="5"/>
        <v>0</v>
      </c>
      <c r="Q34" s="2">
        <f t="shared" si="10"/>
        <v>86.953125</v>
      </c>
      <c r="R34" s="2">
        <f t="shared" si="11"/>
        <v>0</v>
      </c>
      <c r="S34" s="2">
        <f t="shared" si="11"/>
        <v>0.32873250000000004</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46.11</v>
      </c>
      <c r="D35" s="2">
        <f t="shared" si="7"/>
        <v>5.1544063499999995</v>
      </c>
      <c r="E35" s="2">
        <f t="shared" si="8"/>
        <v>0.41671912500000002</v>
      </c>
      <c r="F35" s="2">
        <f t="shared" si="9"/>
        <v>2.8009837499999999</v>
      </c>
      <c r="G35" s="2">
        <f t="shared" si="5"/>
        <v>0.17609250000000001</v>
      </c>
      <c r="H35" s="2">
        <f t="shared" si="5"/>
        <v>0.65985000000000005</v>
      </c>
      <c r="I35" s="2">
        <f t="shared" si="5"/>
        <v>8.0692500000000014E-2</v>
      </c>
      <c r="J35" s="2">
        <f t="shared" si="5"/>
        <v>2.385E-3</v>
      </c>
      <c r="K35" s="2">
        <f t="shared" si="5"/>
        <v>5.0085000000000008E-3</v>
      </c>
      <c r="L35" s="2">
        <f t="shared" si="5"/>
        <v>2.150475E-2</v>
      </c>
      <c r="M35" s="2">
        <f t="shared" si="5"/>
        <v>1.7013E-2</v>
      </c>
      <c r="N35" s="2">
        <f t="shared" si="5"/>
        <v>14.151</v>
      </c>
      <c r="O35" s="2">
        <f t="shared" si="5"/>
        <v>1538.3250000000003</v>
      </c>
      <c r="P35" s="2">
        <f t="shared" si="5"/>
        <v>0</v>
      </c>
      <c r="Q35" s="2">
        <f t="shared" si="10"/>
        <v>86.953125</v>
      </c>
      <c r="R35" s="2">
        <f t="shared" si="11"/>
        <v>0</v>
      </c>
      <c r="S35" s="2">
        <f t="shared" si="11"/>
        <v>0.32873250000000004</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46.11</v>
      </c>
      <c r="D36" s="2">
        <f t="shared" si="7"/>
        <v>5.1544063499999995</v>
      </c>
      <c r="E36" s="2">
        <f t="shared" si="8"/>
        <v>0.41671912500000002</v>
      </c>
      <c r="F36" s="2">
        <f t="shared" si="9"/>
        <v>2.8009837499999999</v>
      </c>
      <c r="G36" s="2">
        <f t="shared" si="5"/>
        <v>0.17609250000000001</v>
      </c>
      <c r="H36" s="2">
        <f t="shared" si="5"/>
        <v>0.65985000000000005</v>
      </c>
      <c r="I36" s="2">
        <f t="shared" si="5"/>
        <v>8.0692500000000014E-2</v>
      </c>
      <c r="J36" s="2">
        <f t="shared" si="5"/>
        <v>2.385E-3</v>
      </c>
      <c r="K36" s="2">
        <f t="shared" si="5"/>
        <v>5.0085000000000008E-3</v>
      </c>
      <c r="L36" s="2">
        <f t="shared" si="5"/>
        <v>2.150475E-2</v>
      </c>
      <c r="M36" s="2">
        <f t="shared" si="5"/>
        <v>1.7013E-2</v>
      </c>
      <c r="N36" s="2">
        <f t="shared" si="5"/>
        <v>14.151</v>
      </c>
      <c r="O36" s="2">
        <f t="shared" si="5"/>
        <v>1538.3250000000003</v>
      </c>
      <c r="P36" s="2">
        <f t="shared" si="5"/>
        <v>0</v>
      </c>
      <c r="Q36" s="2">
        <f t="shared" si="10"/>
        <v>86.953125</v>
      </c>
      <c r="R36" s="2">
        <f t="shared" si="11"/>
        <v>0</v>
      </c>
      <c r="S36" s="2">
        <f t="shared" si="11"/>
        <v>0.32873250000000004</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46.11</v>
      </c>
      <c r="D37" s="2">
        <f t="shared" si="7"/>
        <v>5.1544063499999995</v>
      </c>
      <c r="E37" s="2">
        <f t="shared" si="8"/>
        <v>0.41671912500000002</v>
      </c>
      <c r="F37" s="2">
        <f t="shared" si="9"/>
        <v>2.8009837499999999</v>
      </c>
      <c r="G37" s="2">
        <f t="shared" si="5"/>
        <v>0.17609250000000001</v>
      </c>
      <c r="H37" s="2">
        <f t="shared" si="5"/>
        <v>0.65985000000000005</v>
      </c>
      <c r="I37" s="2">
        <f t="shared" si="5"/>
        <v>8.0692500000000014E-2</v>
      </c>
      <c r="J37" s="2">
        <f t="shared" si="5"/>
        <v>2.385E-3</v>
      </c>
      <c r="K37" s="2">
        <f t="shared" si="5"/>
        <v>5.0085000000000008E-3</v>
      </c>
      <c r="L37" s="2">
        <f t="shared" si="5"/>
        <v>2.150475E-2</v>
      </c>
      <c r="M37" s="2">
        <f t="shared" si="5"/>
        <v>1.7013E-2</v>
      </c>
      <c r="N37" s="2">
        <f t="shared" si="5"/>
        <v>14.151</v>
      </c>
      <c r="O37" s="2">
        <f t="shared" si="5"/>
        <v>1538.3250000000003</v>
      </c>
      <c r="P37" s="2">
        <f t="shared" si="5"/>
        <v>0</v>
      </c>
      <c r="Q37" s="2">
        <f t="shared" si="10"/>
        <v>86.953125</v>
      </c>
      <c r="R37" s="2">
        <f t="shared" si="11"/>
        <v>0</v>
      </c>
      <c r="S37" s="2">
        <f t="shared" si="11"/>
        <v>0.32873250000000004</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46.11</v>
      </c>
      <c r="D38" s="2">
        <f t="shared" si="7"/>
        <v>5.1544063499999995</v>
      </c>
      <c r="E38" s="2">
        <f t="shared" si="8"/>
        <v>0.41671912500000002</v>
      </c>
      <c r="F38" s="2">
        <f t="shared" si="9"/>
        <v>2.8009837499999999</v>
      </c>
      <c r="G38" s="2">
        <f t="shared" si="5"/>
        <v>0.17609250000000001</v>
      </c>
      <c r="H38" s="2">
        <f t="shared" si="5"/>
        <v>0.65985000000000005</v>
      </c>
      <c r="I38" s="2">
        <f t="shared" si="5"/>
        <v>8.0692500000000014E-2</v>
      </c>
      <c r="J38" s="2">
        <f t="shared" si="5"/>
        <v>2.385E-3</v>
      </c>
      <c r="K38" s="2">
        <f t="shared" si="5"/>
        <v>5.0085000000000008E-3</v>
      </c>
      <c r="L38" s="2">
        <f t="shared" si="5"/>
        <v>2.150475E-2</v>
      </c>
      <c r="M38" s="2">
        <f t="shared" si="5"/>
        <v>1.7013E-2</v>
      </c>
      <c r="N38" s="2">
        <f t="shared" si="5"/>
        <v>14.151</v>
      </c>
      <c r="O38" s="2">
        <f t="shared" si="5"/>
        <v>1538.3250000000003</v>
      </c>
      <c r="P38" s="2">
        <f t="shared" si="5"/>
        <v>0</v>
      </c>
      <c r="Q38" s="2">
        <f t="shared" si="10"/>
        <v>86.953125</v>
      </c>
      <c r="R38" s="2">
        <f t="shared" si="11"/>
        <v>0</v>
      </c>
      <c r="S38" s="2">
        <f t="shared" si="11"/>
        <v>0.32873250000000004</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46.11</v>
      </c>
      <c r="D39" s="2">
        <f t="shared" si="7"/>
        <v>5.1544063499999995</v>
      </c>
      <c r="E39" s="2">
        <f t="shared" si="8"/>
        <v>0.41671912500000002</v>
      </c>
      <c r="F39" s="2">
        <f t="shared" si="9"/>
        <v>2.8009837499999999</v>
      </c>
      <c r="G39" s="2">
        <f t="shared" si="5"/>
        <v>0.17609250000000001</v>
      </c>
      <c r="H39" s="2">
        <f t="shared" si="5"/>
        <v>0.65985000000000005</v>
      </c>
      <c r="I39" s="2">
        <f t="shared" si="5"/>
        <v>8.0692500000000014E-2</v>
      </c>
      <c r="J39" s="2">
        <f t="shared" si="5"/>
        <v>2.385E-3</v>
      </c>
      <c r="K39" s="2">
        <f t="shared" si="5"/>
        <v>5.0085000000000008E-3</v>
      </c>
      <c r="L39" s="2">
        <f t="shared" si="5"/>
        <v>2.150475E-2</v>
      </c>
      <c r="M39" s="2">
        <f t="shared" si="5"/>
        <v>1.7013E-2</v>
      </c>
      <c r="N39" s="2">
        <f t="shared" si="5"/>
        <v>14.151</v>
      </c>
      <c r="O39" s="2">
        <f t="shared" si="5"/>
        <v>1538.3250000000003</v>
      </c>
      <c r="P39" s="2">
        <f t="shared" si="5"/>
        <v>0</v>
      </c>
      <c r="Q39" s="2">
        <f t="shared" si="10"/>
        <v>86.953125</v>
      </c>
      <c r="R39" s="2">
        <f t="shared" si="11"/>
        <v>0</v>
      </c>
      <c r="S39" s="2">
        <f t="shared" si="11"/>
        <v>0.32873250000000004</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46.11</v>
      </c>
      <c r="D40" s="2">
        <f t="shared" si="7"/>
        <v>5.1544063499999995</v>
      </c>
      <c r="E40" s="2">
        <f t="shared" si="8"/>
        <v>0.41671912500000002</v>
      </c>
      <c r="F40" s="2">
        <f t="shared" si="9"/>
        <v>2.8009837499999999</v>
      </c>
      <c r="G40" s="2">
        <f t="shared" si="5"/>
        <v>0.17609250000000001</v>
      </c>
      <c r="H40" s="2">
        <f t="shared" si="5"/>
        <v>0.65985000000000005</v>
      </c>
      <c r="I40" s="2">
        <f t="shared" si="5"/>
        <v>8.0692500000000014E-2</v>
      </c>
      <c r="J40" s="2">
        <f t="shared" si="5"/>
        <v>2.385E-3</v>
      </c>
      <c r="K40" s="2">
        <f t="shared" si="5"/>
        <v>5.0085000000000008E-3</v>
      </c>
      <c r="L40" s="2">
        <f t="shared" si="5"/>
        <v>2.150475E-2</v>
      </c>
      <c r="M40" s="2">
        <f t="shared" si="5"/>
        <v>1.7013E-2</v>
      </c>
      <c r="N40" s="2">
        <f t="shared" si="5"/>
        <v>14.151</v>
      </c>
      <c r="O40" s="2">
        <f t="shared" si="5"/>
        <v>1538.3250000000003</v>
      </c>
      <c r="P40" s="2">
        <f t="shared" si="5"/>
        <v>0</v>
      </c>
      <c r="Q40" s="2">
        <f t="shared" si="10"/>
        <v>86.953125</v>
      </c>
      <c r="R40" s="2">
        <f t="shared" si="11"/>
        <v>0</v>
      </c>
      <c r="S40" s="2">
        <f t="shared" si="11"/>
        <v>0.32873250000000004</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46.11</v>
      </c>
      <c r="D41" s="2">
        <f t="shared" si="7"/>
        <v>5.1544063499999995</v>
      </c>
      <c r="E41" s="2">
        <f t="shared" si="8"/>
        <v>0.41671912500000002</v>
      </c>
      <c r="F41" s="2">
        <f t="shared" si="9"/>
        <v>2.8009837499999999</v>
      </c>
      <c r="G41" s="2">
        <f t="shared" si="5"/>
        <v>0.17609250000000001</v>
      </c>
      <c r="H41" s="2">
        <f t="shared" si="5"/>
        <v>0.65985000000000005</v>
      </c>
      <c r="I41" s="2">
        <f t="shared" si="5"/>
        <v>8.0692500000000014E-2</v>
      </c>
      <c r="J41" s="2">
        <f t="shared" si="5"/>
        <v>2.385E-3</v>
      </c>
      <c r="K41" s="2">
        <f t="shared" si="5"/>
        <v>5.0085000000000008E-3</v>
      </c>
      <c r="L41" s="2">
        <f t="shared" si="5"/>
        <v>2.150475E-2</v>
      </c>
      <c r="M41" s="2">
        <f t="shared" si="5"/>
        <v>1.7013E-2</v>
      </c>
      <c r="N41" s="2">
        <f t="shared" si="5"/>
        <v>14.151</v>
      </c>
      <c r="O41" s="2">
        <f t="shared" si="5"/>
        <v>1538.3250000000003</v>
      </c>
      <c r="P41" s="2">
        <f t="shared" si="5"/>
        <v>0</v>
      </c>
      <c r="Q41" s="2">
        <f t="shared" si="10"/>
        <v>86.953125</v>
      </c>
      <c r="R41" s="2">
        <f t="shared" si="11"/>
        <v>0</v>
      </c>
      <c r="S41" s="2">
        <f t="shared" si="11"/>
        <v>0.32873250000000004</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"&amp;(VLOOKUP(C14,Table24581114[],6,FALSE))</f>
        <v>Medium/Clay I Grass</v>
      </c>
      <c r="C58" s="44" t="str">
        <f>D16&amp;" I "&amp;(VLOOKUP(D14,Table24581114[],6,FALSE))</f>
        <v>Medium/Clay I Grass</v>
      </c>
      <c r="D58" s="21" t="str">
        <f>E16&amp;" I "&amp;(VLOOKUP(E14,Table24581114[],6,FALSE))</f>
        <v>Medium/Clay I Grass</v>
      </c>
      <c r="E58" s="21" t="str">
        <f>F16&amp;" I "&amp;(VLOOKUP(F14,Table24581114[],6,FALSE))</f>
        <v>Medium/Clay I Grass</v>
      </c>
      <c r="F58" s="21" t="str">
        <f>G16&amp;" I "&amp;(VLOOKUP(G14,Table24581114[],6,FALSE))</f>
        <v>Medium/Clay I Grass</v>
      </c>
      <c r="G58" s="21" t="str">
        <f>H16&amp;" I "&amp;(VLOOKUP(H14,Table24581114[],6,FALSE))</f>
        <v>Medium/Clay I Grass</v>
      </c>
      <c r="H58" s="21" t="str">
        <f>I16&amp;" I "&amp;(VLOOKUP(I14,Table24581114[],6,FALSE))</f>
        <v>Medium/Clay I Grass</v>
      </c>
      <c r="I58" s="21" t="str">
        <f>J16&amp;" I "&amp;(VLOOKUP(J14,Table24581114[],6,FALSE))</f>
        <v>Medium/Clay I Grass</v>
      </c>
      <c r="J58" s="21" t="str">
        <f>K16&amp;" I "&amp;(VLOOKUP(K14,Table24581114[],6,FALSE))</f>
        <v>Medium/Clay I Grass</v>
      </c>
      <c r="K58" s="21" t="str">
        <f>L16&amp;" I "&amp;(VLOOKUP(L14,Table24581114[],6,FALSE))</f>
        <v>Medium/Clay I Grass</v>
      </c>
      <c r="L58" s="21" t="str">
        <f>M16&amp;" I "&amp;(VLOOKUP(M14,Table24581114[],6,FALSE))</f>
        <v>Medium/Clay I Grass</v>
      </c>
      <c r="M58" s="21" t="e">
        <f>N16&amp;" I "&amp;(VLOOKUP(N14,Table24581114[],6,FALSE))</f>
        <v>#N/A</v>
      </c>
      <c r="N58" s="21" t="e">
        <f>O16&amp;" I "&amp;(VLOOKUP(O14,Table24581114[],6,FALSE))</f>
        <v>#N/A</v>
      </c>
      <c r="O58" s="21" t="e">
        <f>P16&amp;" I "&amp;(VLOOKUP(P14,Table24581114[],6,FALSE))</f>
        <v>#N/A</v>
      </c>
      <c r="P58" s="21" t="e">
        <f>Q16&amp;" I "&amp;(VLOOKUP(Q14,Table24581114[],6,FALSE))</f>
        <v>#N/A</v>
      </c>
      <c r="Q58" s="21" t="e">
        <f>R16&amp;" I "&amp;(VLOOKUP(R14,Table24581114[],6,FALSE))</f>
        <v>#N/A</v>
      </c>
      <c r="R58" s="21" t="e">
        <f>S16&amp;" I "&amp;(VLOOKUP(S14,Table24581114[],6,FALSE))</f>
        <v>#N/A</v>
      </c>
      <c r="S58" s="21" t="e">
        <f>T16&amp;" I "&amp;(VLOOKUP(T14,Table24581114[],6,FALSE))</f>
        <v>#N/A</v>
      </c>
      <c r="T58" s="21" t="e">
        <f>U16&amp;" I "&amp;(VLOOKUP(U14,Table24581114[],6,FALSE))</f>
        <v>#N/A</v>
      </c>
      <c r="U58" s="21" t="e">
        <f>V16&amp;" I "&amp;(VLOOKUP(V14,Table24581114[],6,FALSE))</f>
        <v>#N/A</v>
      </c>
    </row>
    <row r="59" spans="1:35" s="27" customFormat="1" hidden="1" x14ac:dyDescent="0.2">
      <c r="A59" s="92" t="s">
        <v>130</v>
      </c>
      <c r="B59" s="93">
        <f>VLOOKUP(C$14,Table24581114[],5,FALSE)</f>
        <v>6.2</v>
      </c>
      <c r="C59" s="93">
        <f>VLOOKUP(D$14,Table24581114[],5,FALSE)</f>
        <v>6.2</v>
      </c>
      <c r="D59" s="93">
        <f>VLOOKUP(E$14,Table24581114[],5,FALSE)</f>
        <v>6.2</v>
      </c>
      <c r="E59" s="93">
        <f>VLOOKUP(F$14,Table24581114[],5,FALSE)</f>
        <v>6.2</v>
      </c>
      <c r="F59" s="93">
        <f>VLOOKUP(G$14,Table24581114[],5,FALSE)</f>
        <v>6.2</v>
      </c>
      <c r="G59" s="93">
        <f>VLOOKUP(H$14,Table24581114[],5,FALSE)</f>
        <v>6.2</v>
      </c>
      <c r="H59" s="93">
        <f>VLOOKUP(I$14,Table24581114[],5,FALSE)</f>
        <v>6.2</v>
      </c>
      <c r="I59" s="93">
        <f>VLOOKUP(J$14,Table24581114[],5,FALSE)</f>
        <v>6.2</v>
      </c>
      <c r="J59" s="93">
        <f>VLOOKUP(K$14,Table24581114[],5,FALSE)</f>
        <v>6.2</v>
      </c>
      <c r="K59" s="93">
        <f>VLOOKUP(L$14,Table24581114[],5,FALSE)</f>
        <v>6.2</v>
      </c>
      <c r="L59" s="93">
        <f>VLOOKUP(M$14,Table24581114[],5,FALSE)</f>
        <v>6.2</v>
      </c>
      <c r="M59" s="93" t="e">
        <f>VLOOKUP(N$14,Table24581114[],5,FALSE)</f>
        <v>#N/A</v>
      </c>
      <c r="N59" s="93" t="e">
        <f>VLOOKUP(O$14,Table24581114[],5,FALSE)</f>
        <v>#N/A</v>
      </c>
      <c r="O59" s="93" t="e">
        <f>VLOOKUP(P$14,Table24581114[],5,FALSE)</f>
        <v>#N/A</v>
      </c>
      <c r="P59" s="93" t="e">
        <f>VLOOKUP(Q$14,Table24581114[],5,FALSE)</f>
        <v>#N/A</v>
      </c>
      <c r="Q59" s="93" t="e">
        <f>VLOOKUP(R$14,Table24581114[],5,FALSE)</f>
        <v>#N/A</v>
      </c>
      <c r="R59" s="93" t="e">
        <f>VLOOKUP(S$14,Table24581114[],5,FALSE)</f>
        <v>#N/A</v>
      </c>
      <c r="S59" s="93" t="e">
        <f>VLOOKUP(T$14,Table24581114[],5,FALSE)</f>
        <v>#N/A</v>
      </c>
      <c r="T59" s="93" t="e">
        <f>VLOOKUP(U$14,Table24581114[],5,FALSE)</f>
        <v>#N/A</v>
      </c>
      <c r="U59" s="93" t="e">
        <f>VLOOKUP(V$14,Table24581114[],5,FALSE)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33" priority="29" operator="equal">
      <formula>"DECREASE"</formula>
    </cfRule>
    <cfRule type="cellIs" dxfId="232" priority="30" operator="equal">
      <formula>"INCREASE"</formula>
    </cfRule>
  </conditionalFormatting>
  <conditionalFormatting sqref="B62:U65 B31:B50">
    <cfRule type="cellIs" dxfId="231" priority="28" operator="greaterThan">
      <formula>$B$51</formula>
    </cfRule>
  </conditionalFormatting>
  <conditionalFormatting sqref="C31:C50">
    <cfRule type="cellIs" dxfId="230" priority="27" operator="greaterThan">
      <formula>$C$51</formula>
    </cfRule>
  </conditionalFormatting>
  <conditionalFormatting sqref="C18:V18">
    <cfRule type="cellIs" dxfId="229" priority="26" operator="equal">
      <formula>0</formula>
    </cfRule>
  </conditionalFormatting>
  <conditionalFormatting sqref="C17:V17">
    <cfRule type="cellIs" dxfId="228" priority="25" operator="equal">
      <formula>0</formula>
    </cfRule>
  </conditionalFormatting>
  <conditionalFormatting sqref="C19:V19">
    <cfRule type="cellIs" dxfId="227" priority="24" operator="equal">
      <formula>0</formula>
    </cfRule>
  </conditionalFormatting>
  <conditionalFormatting sqref="G31:G50">
    <cfRule type="cellIs" dxfId="226" priority="23" operator="greaterThan">
      <formula>$G$51</formula>
    </cfRule>
  </conditionalFormatting>
  <conditionalFormatting sqref="H31:H50">
    <cfRule type="cellIs" dxfId="225" priority="22" operator="greaterThan">
      <formula>$H$51</formula>
    </cfRule>
  </conditionalFormatting>
  <conditionalFormatting sqref="I31:I50">
    <cfRule type="cellIs" dxfId="224" priority="21" operator="greaterThan">
      <formula>$I$51</formula>
    </cfRule>
  </conditionalFormatting>
  <conditionalFormatting sqref="K31:K50">
    <cfRule type="cellIs" dxfId="223" priority="20" operator="greaterThan">
      <formula>$K$51</formula>
    </cfRule>
  </conditionalFormatting>
  <conditionalFormatting sqref="L31:L50">
    <cfRule type="cellIs" dxfId="222" priority="19" operator="greaterThan">
      <formula>$L$51</formula>
    </cfRule>
  </conditionalFormatting>
  <conditionalFormatting sqref="M31:M50">
    <cfRule type="cellIs" dxfId="221" priority="18" operator="greaterThan">
      <formula>$M$51</formula>
    </cfRule>
  </conditionalFormatting>
  <conditionalFormatting sqref="P31:P50">
    <cfRule type="cellIs" dxfId="220" priority="17" operator="greaterThan">
      <formula>$P$51</formula>
    </cfRule>
  </conditionalFormatting>
  <conditionalFormatting sqref="R31:R50">
    <cfRule type="cellIs" dxfId="219" priority="16" operator="greaterThan">
      <formula>$R$51</formula>
    </cfRule>
  </conditionalFormatting>
  <conditionalFormatting sqref="S31:S50">
    <cfRule type="cellIs" dxfId="218" priority="15" operator="greaterThan">
      <formula>$S$51</formula>
    </cfRule>
  </conditionalFormatting>
  <conditionalFormatting sqref="T31:T50">
    <cfRule type="cellIs" dxfId="217" priority="14" operator="greaterThan">
      <formula>$T$51</formula>
    </cfRule>
  </conditionalFormatting>
  <conditionalFormatting sqref="U31:U50">
    <cfRule type="cellIs" dxfId="216" priority="13" operator="greaterThan">
      <formula>$U$51</formula>
    </cfRule>
  </conditionalFormatting>
  <conditionalFormatting sqref="C22:V22">
    <cfRule type="cellIs" dxfId="215" priority="12" operator="equal">
      <formula>0</formula>
    </cfRule>
  </conditionalFormatting>
  <conditionalFormatting sqref="C24:V24">
    <cfRule type="cellIs" dxfId="214" priority="10" operator="equal">
      <formula>"DECREASE"</formula>
    </cfRule>
    <cfRule type="cellIs" dxfId="213" priority="11" operator="equal">
      <formula>"INCREASE"</formula>
    </cfRule>
  </conditionalFormatting>
  <conditionalFormatting sqref="C23:V23">
    <cfRule type="cellIs" dxfId="212" priority="9" operator="equal">
      <formula>0</formula>
    </cfRule>
  </conditionalFormatting>
  <conditionalFormatting sqref="I1">
    <cfRule type="cellIs" dxfId="211" priority="8" operator="lessThan">
      <formula>5</formula>
    </cfRule>
  </conditionalFormatting>
  <conditionalFormatting sqref="C21:V21">
    <cfRule type="cellIs" dxfId="210" priority="5" operator="equal">
      <formula>0</formula>
    </cfRule>
  </conditionalFormatting>
  <conditionalFormatting sqref="B65:U65">
    <cfRule type="cellIs" dxfId="209" priority="3" operator="equal">
      <formula>"UNDER"</formula>
    </cfRule>
    <cfRule type="cellIs" dxfId="208" priority="4" operator="equal">
      <formula>"OVER"</formula>
    </cfRule>
  </conditionalFormatting>
  <conditionalFormatting sqref="I2">
    <cfRule type="cellIs" dxfId="207" priority="2" operator="greaterThan">
      <formula>5000.1</formula>
    </cfRule>
  </conditionalFormatting>
  <conditionalFormatting sqref="I3">
    <cfRule type="cellIs" dxfId="206" priority="1" operator="greaterThan">
      <formula>4.1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5"/>
  <sheetViews>
    <sheetView zoomScale="90" zoomScaleNormal="90" workbookViewId="0">
      <selection activeCell="B32" sqref="B32: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6</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167</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5.8175363000000004</v>
      </c>
      <c r="D18" s="24">
        <f>$D32</f>
        <v>5.8175363000000004</v>
      </c>
      <c r="E18" s="24">
        <f>$D33</f>
        <v>5.8175363000000004</v>
      </c>
      <c r="F18" s="24">
        <f>$D34</f>
        <v>5.8175363000000004</v>
      </c>
      <c r="G18" s="24">
        <f>$D35</f>
        <v>5.8175363000000004</v>
      </c>
      <c r="H18" s="24">
        <f>$D36</f>
        <v>5.8175363000000004</v>
      </c>
      <c r="I18" s="24">
        <f>$D37</f>
        <v>5.8175363000000004</v>
      </c>
      <c r="J18" s="24">
        <f>$D38</f>
        <v>5.8175363000000004</v>
      </c>
      <c r="K18" s="24">
        <f>$D39</f>
        <v>5.8175363000000004</v>
      </c>
      <c r="L18" s="24">
        <f>$D40</f>
        <v>5.8175363000000004</v>
      </c>
      <c r="M18" s="24">
        <f>$D41</f>
        <v>5.8175363000000004</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-74.082463699999991</v>
      </c>
      <c r="D19" s="24">
        <f t="shared" ref="D19:V19" si="1">D18-D17</f>
        <v>-74.082463699999991</v>
      </c>
      <c r="E19" s="24">
        <f t="shared" si="1"/>
        <v>-74.082463699999991</v>
      </c>
      <c r="F19" s="24">
        <f t="shared" si="1"/>
        <v>-74.082463699999991</v>
      </c>
      <c r="G19" s="24">
        <f t="shared" si="1"/>
        <v>-74.082463699999991</v>
      </c>
      <c r="H19" s="24">
        <f t="shared" si="1"/>
        <v>-74.082463699999991</v>
      </c>
      <c r="I19" s="24">
        <f t="shared" si="1"/>
        <v>-74.082463699999991</v>
      </c>
      <c r="J19" s="24">
        <f t="shared" si="1"/>
        <v>-74.082463699999991</v>
      </c>
      <c r="K19" s="24">
        <f t="shared" si="1"/>
        <v>-74.082463699999991</v>
      </c>
      <c r="L19" s="24">
        <f t="shared" si="1"/>
        <v>-74.082463699999991</v>
      </c>
      <c r="M19" s="24">
        <f t="shared" si="1"/>
        <v>-74.082463699999991</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1.9866232500000001</v>
      </c>
      <c r="D22" s="24">
        <f>$E32</f>
        <v>1.9866232500000001</v>
      </c>
      <c r="E22" s="24">
        <f>$E33</f>
        <v>1.9866232500000001</v>
      </c>
      <c r="F22" s="24">
        <f>$E34</f>
        <v>1.9866232500000001</v>
      </c>
      <c r="G22" s="24">
        <f>$E35</f>
        <v>1.9866232500000001</v>
      </c>
      <c r="H22" s="24">
        <f>$E36</f>
        <v>1.9866232500000001</v>
      </c>
      <c r="I22" s="24">
        <f>$E37</f>
        <v>1.9866232500000001</v>
      </c>
      <c r="J22" s="24">
        <f>$E38</f>
        <v>1.9866232500000001</v>
      </c>
      <c r="K22" s="24">
        <f>$E39</f>
        <v>1.9866232500000001</v>
      </c>
      <c r="L22" s="24">
        <f>$E40</f>
        <v>1.9866232500000001</v>
      </c>
      <c r="M22" s="24">
        <f>$E41</f>
        <v>1.9866232500000001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-280.01337675000002</v>
      </c>
      <c r="D23" s="24">
        <f t="shared" ref="D23:V23" si="3">D22-D21</f>
        <v>-280.01337675000002</v>
      </c>
      <c r="E23" s="24">
        <f t="shared" si="3"/>
        <v>-280.01337675000002</v>
      </c>
      <c r="F23" s="24">
        <f t="shared" si="3"/>
        <v>-280.01337675000002</v>
      </c>
      <c r="G23" s="24">
        <f t="shared" si="3"/>
        <v>-280.01337675000002</v>
      </c>
      <c r="H23" s="24">
        <f t="shared" si="3"/>
        <v>-280.01337675000002</v>
      </c>
      <c r="I23" s="24">
        <f t="shared" si="3"/>
        <v>-280.01337675000002</v>
      </c>
      <c r="J23" s="24">
        <f t="shared" si="3"/>
        <v>-280.01337675000002</v>
      </c>
      <c r="K23" s="24">
        <f t="shared" si="3"/>
        <v>-280.01337675000002</v>
      </c>
      <c r="L23" s="24">
        <f t="shared" si="3"/>
        <v>-280.01337675000002</v>
      </c>
      <c r="M23" s="24">
        <f t="shared" si="3"/>
        <v>-280.01337675000002</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7.58</v>
      </c>
      <c r="C28" s="23">
        <v>0.51</v>
      </c>
      <c r="D28" s="23">
        <v>1.34E-2</v>
      </c>
      <c r="E28" s="23">
        <v>8.6999999999999994E-3</v>
      </c>
      <c r="F28" s="23">
        <v>371</v>
      </c>
      <c r="G28" s="23">
        <v>7.8</v>
      </c>
      <c r="H28" s="23">
        <v>211</v>
      </c>
      <c r="I28" s="23">
        <v>18.8</v>
      </c>
      <c r="J28" s="23">
        <v>0.13</v>
      </c>
      <c r="K28" s="30">
        <v>0.27</v>
      </c>
      <c r="L28" s="23">
        <v>32.4</v>
      </c>
      <c r="M28" s="23">
        <v>10.8</v>
      </c>
      <c r="N28" s="23">
        <v>3290</v>
      </c>
      <c r="O28" s="23">
        <v>491000</v>
      </c>
      <c r="P28" s="23"/>
      <c r="Q28" s="23">
        <v>2310</v>
      </c>
      <c r="R28" s="23"/>
      <c r="S28" s="23">
        <v>21.7</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96.644999999999996</v>
      </c>
      <c r="D31" s="2">
        <f>(IF(D$27="%w/w SAR",((D$28*10)*$B31),IF(D$27="%w/w DM",(((D$28*10)*($B$28/100))*$B31),IF(D$27="kg/t SAR",(D$28*$B31),IF(D$27="kg/t DM",((D$28*($B$28/100))*$B31),IF(D$27="mg/kg SAR",((D$28*0.001)*$B31),IF(D$27="mg/kg DM",(((D$28*0.001)*($B$28/100))*$B31),"0")))))))*2.291</f>
        <v>5.8175363000000004</v>
      </c>
      <c r="E31" s="2">
        <f>(IF(E$27="%w/w SAR",((E$28*10)*$B31),IF(E$27="%w/w DM",(((E$28*10)*($B$28/100))*$B31),IF(E$27="kg/t SAR",(E$28*$B31),IF(E$27="kg/t DM",((E$28*($B$28/100))*$B31),IF(E$27="mg/kg SAR",((E$28*0.001)*$B31),IF(E$27="mg/kg DM",(((E$28*0.001)*($B$28/100))*$B31),"0")))))))*1.205</f>
        <v>1.9866232500000001</v>
      </c>
      <c r="F31" s="2">
        <f>(IF(F$27="%w/w SAR",((F$28*10)*$B31),IF(F$27="%w/w DM",(((F$28*10)*($B$28/100))*$B31),IF(F$27="kg/t SAR",(F$28*$B31),IF(F$27="kg/t DM",((F$28*($B$28/100))*$B31),IF(F$27="mg/kg SAR",((F$28*0.001)*$B31),IF(F$27="mg/kg DM",(((F$28*0.001)*($B$28/100))*$B31),"0")))))))*1.658</f>
        <v>11.6564861</v>
      </c>
      <c r="G31" s="2">
        <f t="shared" ref="G31:P46" si="5">IF(G$27="%w/w SAR",((G$28*10)*$B31),IF(G$27="%w/w DM",(((G$28*10)*($B$28/100))*$B31),IF(G$27="kg/t SAR",(G$28*$B31),IF(G$27="kg/t DM",((G$28*($B$28/100))*$B31),IF(G$27="mg/kg SAR",((G$28*0.001)*$B31),IF(G$27="mg/kg DM",(((G$28*0.001)*($B$28/100))*$B31),0))))))</f>
        <v>0.14781</v>
      </c>
      <c r="H31" s="2">
        <f t="shared" si="5"/>
        <v>3.9984500000000005</v>
      </c>
      <c r="I31" s="2">
        <f t="shared" si="5"/>
        <v>0.35626000000000008</v>
      </c>
      <c r="J31" s="2">
        <f t="shared" si="5"/>
        <v>2.4635000000000008E-3</v>
      </c>
      <c r="K31" s="2">
        <f t="shared" si="5"/>
        <v>5.1165000000000013E-3</v>
      </c>
      <c r="L31" s="2">
        <f t="shared" si="5"/>
        <v>0.61397999999999997</v>
      </c>
      <c r="M31" s="2">
        <f t="shared" si="5"/>
        <v>0.20466000000000004</v>
      </c>
      <c r="N31" s="2">
        <f t="shared" si="5"/>
        <v>62.345500000000008</v>
      </c>
      <c r="O31" s="2">
        <f t="shared" si="5"/>
        <v>9304.4500000000007</v>
      </c>
      <c r="P31" s="2">
        <f t="shared" si="5"/>
        <v>0</v>
      </c>
      <c r="Q31" s="2">
        <f>(IF(Q$27="%w/w SAR",((Q$28*10)*$B31),IF(Q$27="%w/w DM",(((Q$28*10)*($B$28/100))*$B31),IF(Q$27="kg/t SAR",(Q$28*$B31),IF(Q$27="kg/t DM",((Q$28*($B$28/100))*$B31),IF(Q$27="mg/kg SAR",((Q$28*0.001)*$B31),IF(Q$27="mg/kg DM",(((Q$28*0.001)*($B$28/100))*$B31),0)))))))*2.5</f>
        <v>109.43625000000003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0.41121500000000005</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96.644999999999996</v>
      </c>
      <c r="D32" s="2">
        <f t="shared" ref="D32:D50" si="7">(IF(D$27="%w/w SAR",((D$28*10)*$B32),IF(D$27="%w/w DM",(((D$28*10)*($B$28/100))*$B32),IF(D$27="kg/t SAR",(D$28*$B32),IF(D$27="kg/t DM",((D$28*($B$28/100))*$B32),IF(D$27="mg/kg SAR",((D$28*0.001)*$B32),IF(D$27="mg/kg DM",(((D$28*0.001)*($B$28/100))*$B32),"0")))))))*2.291</f>
        <v>5.8175363000000004</v>
      </c>
      <c r="E32" s="2">
        <f t="shared" ref="E32:E50" si="8">(IF(E$27="%w/w SAR",((E$28*10)*$B32),IF(E$27="%w/w DM",(((E$28*10)*($B$28/100))*$B32),IF(E$27="kg/t SAR",(E$28*$B32),IF(E$27="kg/t DM",((E$28*($B$28/100))*$B32),IF(E$27="mg/kg SAR",((E$28*0.001)*$B32),IF(E$27="mg/kg DM",(((E$28*0.001)*($B$28/100))*$B32),"0")))))))*1.205</f>
        <v>1.9866232500000001</v>
      </c>
      <c r="F32" s="2">
        <f t="shared" ref="F32:F50" si="9">(IF(F$27="%w/w SAR",((F$28*10)*$B32),IF(F$27="%w/w DM",(((F$28*10)*($B$28/100))*$B32),IF(F$27="kg/t SAR",(F$28*$B32),IF(F$27="kg/t DM",((F$28*($B$28/100))*$B32),IF(F$27="mg/kg SAR",((F$28*0.001)*$B32),IF(F$27="mg/kg DM",(((F$28*0.001)*($B$28/100))*$B32),"0")))))))*1.658</f>
        <v>11.6564861</v>
      </c>
      <c r="G32" s="2">
        <f t="shared" si="5"/>
        <v>0.14781</v>
      </c>
      <c r="H32" s="2">
        <f t="shared" si="5"/>
        <v>3.9984500000000005</v>
      </c>
      <c r="I32" s="2">
        <f t="shared" si="5"/>
        <v>0.35626000000000008</v>
      </c>
      <c r="J32" s="2">
        <f t="shared" si="5"/>
        <v>2.4635000000000008E-3</v>
      </c>
      <c r="K32" s="2">
        <f t="shared" si="5"/>
        <v>5.1165000000000013E-3</v>
      </c>
      <c r="L32" s="2">
        <f t="shared" si="5"/>
        <v>0.61397999999999997</v>
      </c>
      <c r="M32" s="2">
        <f t="shared" si="5"/>
        <v>0.20466000000000004</v>
      </c>
      <c r="N32" s="2">
        <f t="shared" si="5"/>
        <v>62.345500000000008</v>
      </c>
      <c r="O32" s="2">
        <f t="shared" si="5"/>
        <v>9304.4500000000007</v>
      </c>
      <c r="P32" s="2">
        <f t="shared" si="5"/>
        <v>0</v>
      </c>
      <c r="Q32" s="2">
        <f t="shared" ref="Q32:Q50" si="10">(IF(Q$27="%w/w SAR",((Q$28*10)*$B32),IF(Q$27="%w/w DM",(((Q$28*10)*($B$28/100))*$B32),IF(Q$27="kg/t SAR",(Q$28*$B32),IF(Q$27="kg/t DM",((Q$28*($B$28/100))*$B32),IF(Q$27="mg/kg SAR",((Q$28*0.001)*$B32),IF(Q$27="mg/kg DM",(((Q$28*0.001)*($B$28/100))*$B32),0)))))))*2.5</f>
        <v>109.43625000000003</v>
      </c>
      <c r="R32" s="2">
        <f t="shared" ref="R32:U50" si="11">IF(R$27="%w/w SAR",((R$28*10)*$B32),IF(R$27="%w/w DM",(((R$28*10)*($B$28/100))*$B32),IF(R$27="kg/t SAR",(R$28*$B32),IF(R$27="kg/t DM",((R$28*($B$28/100))*$B32),IF(R$27="mg/kg SAR",((R$28*0.001)*$B32),IF(R$27="mg/kg DM",(((R$28*0.001)*($B$28/100))*$B32),0))))))</f>
        <v>0</v>
      </c>
      <c r="S32" s="2">
        <f t="shared" si="11"/>
        <v>0.41121500000000005</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96.644999999999996</v>
      </c>
      <c r="D33" s="2">
        <f t="shared" si="7"/>
        <v>5.8175363000000004</v>
      </c>
      <c r="E33" s="2">
        <f t="shared" si="8"/>
        <v>1.9866232500000001</v>
      </c>
      <c r="F33" s="2">
        <f t="shared" si="9"/>
        <v>11.6564861</v>
      </c>
      <c r="G33" s="2">
        <f t="shared" si="5"/>
        <v>0.14781</v>
      </c>
      <c r="H33" s="2">
        <f t="shared" si="5"/>
        <v>3.9984500000000005</v>
      </c>
      <c r="I33" s="2">
        <f t="shared" si="5"/>
        <v>0.35626000000000008</v>
      </c>
      <c r="J33" s="2">
        <f t="shared" si="5"/>
        <v>2.4635000000000008E-3</v>
      </c>
      <c r="K33" s="2">
        <f t="shared" si="5"/>
        <v>5.1165000000000013E-3</v>
      </c>
      <c r="L33" s="2">
        <f t="shared" si="5"/>
        <v>0.61397999999999997</v>
      </c>
      <c r="M33" s="2">
        <f t="shared" si="5"/>
        <v>0.20466000000000004</v>
      </c>
      <c r="N33" s="2">
        <f t="shared" si="5"/>
        <v>62.345500000000008</v>
      </c>
      <c r="O33" s="2">
        <f t="shared" si="5"/>
        <v>9304.4500000000007</v>
      </c>
      <c r="P33" s="2">
        <f t="shared" si="5"/>
        <v>0</v>
      </c>
      <c r="Q33" s="2">
        <f t="shared" si="10"/>
        <v>109.43625000000003</v>
      </c>
      <c r="R33" s="2">
        <f t="shared" si="11"/>
        <v>0</v>
      </c>
      <c r="S33" s="2">
        <f t="shared" si="11"/>
        <v>0.41121500000000005</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96.644999999999996</v>
      </c>
      <c r="D34" s="2">
        <f t="shared" si="7"/>
        <v>5.8175363000000004</v>
      </c>
      <c r="E34" s="2">
        <f t="shared" si="8"/>
        <v>1.9866232500000001</v>
      </c>
      <c r="F34" s="2">
        <f t="shared" si="9"/>
        <v>11.6564861</v>
      </c>
      <c r="G34" s="2">
        <f t="shared" si="5"/>
        <v>0.14781</v>
      </c>
      <c r="H34" s="2">
        <f t="shared" si="5"/>
        <v>3.9984500000000005</v>
      </c>
      <c r="I34" s="2">
        <f t="shared" si="5"/>
        <v>0.35626000000000008</v>
      </c>
      <c r="J34" s="2">
        <f t="shared" si="5"/>
        <v>2.4635000000000008E-3</v>
      </c>
      <c r="K34" s="2">
        <f t="shared" si="5"/>
        <v>5.1165000000000013E-3</v>
      </c>
      <c r="L34" s="2">
        <f t="shared" si="5"/>
        <v>0.61397999999999997</v>
      </c>
      <c r="M34" s="2">
        <f t="shared" si="5"/>
        <v>0.20466000000000004</v>
      </c>
      <c r="N34" s="2">
        <f t="shared" si="5"/>
        <v>62.345500000000008</v>
      </c>
      <c r="O34" s="2">
        <f t="shared" si="5"/>
        <v>9304.4500000000007</v>
      </c>
      <c r="P34" s="2">
        <f t="shared" si="5"/>
        <v>0</v>
      </c>
      <c r="Q34" s="2">
        <f t="shared" si="10"/>
        <v>109.43625000000003</v>
      </c>
      <c r="R34" s="2">
        <f t="shared" si="11"/>
        <v>0</v>
      </c>
      <c r="S34" s="2">
        <f t="shared" si="11"/>
        <v>0.41121500000000005</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96.644999999999996</v>
      </c>
      <c r="D35" s="2">
        <f t="shared" si="7"/>
        <v>5.8175363000000004</v>
      </c>
      <c r="E35" s="2">
        <f t="shared" si="8"/>
        <v>1.9866232500000001</v>
      </c>
      <c r="F35" s="2">
        <f t="shared" si="9"/>
        <v>11.6564861</v>
      </c>
      <c r="G35" s="2">
        <f t="shared" si="5"/>
        <v>0.14781</v>
      </c>
      <c r="H35" s="2">
        <f t="shared" si="5"/>
        <v>3.9984500000000005</v>
      </c>
      <c r="I35" s="2">
        <f t="shared" si="5"/>
        <v>0.35626000000000008</v>
      </c>
      <c r="J35" s="2">
        <f t="shared" si="5"/>
        <v>2.4635000000000008E-3</v>
      </c>
      <c r="K35" s="2">
        <f t="shared" si="5"/>
        <v>5.1165000000000013E-3</v>
      </c>
      <c r="L35" s="2">
        <f t="shared" si="5"/>
        <v>0.61397999999999997</v>
      </c>
      <c r="M35" s="2">
        <f t="shared" si="5"/>
        <v>0.20466000000000004</v>
      </c>
      <c r="N35" s="2">
        <f t="shared" si="5"/>
        <v>62.345500000000008</v>
      </c>
      <c r="O35" s="2">
        <f t="shared" si="5"/>
        <v>9304.4500000000007</v>
      </c>
      <c r="P35" s="2">
        <f t="shared" si="5"/>
        <v>0</v>
      </c>
      <c r="Q35" s="2">
        <f t="shared" si="10"/>
        <v>109.43625000000003</v>
      </c>
      <c r="R35" s="2">
        <f t="shared" si="11"/>
        <v>0</v>
      </c>
      <c r="S35" s="2">
        <f t="shared" si="11"/>
        <v>0.41121500000000005</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96.644999999999996</v>
      </c>
      <c r="D36" s="2">
        <f t="shared" si="7"/>
        <v>5.8175363000000004</v>
      </c>
      <c r="E36" s="2">
        <f t="shared" si="8"/>
        <v>1.9866232500000001</v>
      </c>
      <c r="F36" s="2">
        <f t="shared" si="9"/>
        <v>11.6564861</v>
      </c>
      <c r="G36" s="2">
        <f t="shared" si="5"/>
        <v>0.14781</v>
      </c>
      <c r="H36" s="2">
        <f t="shared" si="5"/>
        <v>3.9984500000000005</v>
      </c>
      <c r="I36" s="2">
        <f t="shared" si="5"/>
        <v>0.35626000000000008</v>
      </c>
      <c r="J36" s="2">
        <f t="shared" si="5"/>
        <v>2.4635000000000008E-3</v>
      </c>
      <c r="K36" s="2">
        <f t="shared" si="5"/>
        <v>5.1165000000000013E-3</v>
      </c>
      <c r="L36" s="2">
        <f t="shared" si="5"/>
        <v>0.61397999999999997</v>
      </c>
      <c r="M36" s="2">
        <f t="shared" si="5"/>
        <v>0.20466000000000004</v>
      </c>
      <c r="N36" s="2">
        <f t="shared" si="5"/>
        <v>62.345500000000008</v>
      </c>
      <c r="O36" s="2">
        <f t="shared" si="5"/>
        <v>9304.4500000000007</v>
      </c>
      <c r="P36" s="2">
        <f t="shared" si="5"/>
        <v>0</v>
      </c>
      <c r="Q36" s="2">
        <f t="shared" si="10"/>
        <v>109.43625000000003</v>
      </c>
      <c r="R36" s="2">
        <f t="shared" si="11"/>
        <v>0</v>
      </c>
      <c r="S36" s="2">
        <f t="shared" si="11"/>
        <v>0.41121500000000005</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96.644999999999996</v>
      </c>
      <c r="D37" s="2">
        <f t="shared" si="7"/>
        <v>5.8175363000000004</v>
      </c>
      <c r="E37" s="2">
        <f t="shared" si="8"/>
        <v>1.9866232500000001</v>
      </c>
      <c r="F37" s="2">
        <f t="shared" si="9"/>
        <v>11.6564861</v>
      </c>
      <c r="G37" s="2">
        <f t="shared" si="5"/>
        <v>0.14781</v>
      </c>
      <c r="H37" s="2">
        <f t="shared" si="5"/>
        <v>3.9984500000000005</v>
      </c>
      <c r="I37" s="2">
        <f t="shared" si="5"/>
        <v>0.35626000000000008</v>
      </c>
      <c r="J37" s="2">
        <f t="shared" si="5"/>
        <v>2.4635000000000008E-3</v>
      </c>
      <c r="K37" s="2">
        <f t="shared" si="5"/>
        <v>5.1165000000000013E-3</v>
      </c>
      <c r="L37" s="2">
        <f t="shared" si="5"/>
        <v>0.61397999999999997</v>
      </c>
      <c r="M37" s="2">
        <f t="shared" si="5"/>
        <v>0.20466000000000004</v>
      </c>
      <c r="N37" s="2">
        <f t="shared" si="5"/>
        <v>62.345500000000008</v>
      </c>
      <c r="O37" s="2">
        <f t="shared" si="5"/>
        <v>9304.4500000000007</v>
      </c>
      <c r="P37" s="2">
        <f t="shared" si="5"/>
        <v>0</v>
      </c>
      <c r="Q37" s="2">
        <f t="shared" si="10"/>
        <v>109.43625000000003</v>
      </c>
      <c r="R37" s="2">
        <f t="shared" si="11"/>
        <v>0</v>
      </c>
      <c r="S37" s="2">
        <f t="shared" si="11"/>
        <v>0.41121500000000005</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96.644999999999996</v>
      </c>
      <c r="D38" s="2">
        <f t="shared" si="7"/>
        <v>5.8175363000000004</v>
      </c>
      <c r="E38" s="2">
        <f t="shared" si="8"/>
        <v>1.9866232500000001</v>
      </c>
      <c r="F38" s="2">
        <f t="shared" si="9"/>
        <v>11.6564861</v>
      </c>
      <c r="G38" s="2">
        <f t="shared" si="5"/>
        <v>0.14781</v>
      </c>
      <c r="H38" s="2">
        <f t="shared" si="5"/>
        <v>3.9984500000000005</v>
      </c>
      <c r="I38" s="2">
        <f t="shared" si="5"/>
        <v>0.35626000000000008</v>
      </c>
      <c r="J38" s="2">
        <f t="shared" si="5"/>
        <v>2.4635000000000008E-3</v>
      </c>
      <c r="K38" s="2">
        <f t="shared" si="5"/>
        <v>5.1165000000000013E-3</v>
      </c>
      <c r="L38" s="2">
        <f t="shared" si="5"/>
        <v>0.61397999999999997</v>
      </c>
      <c r="M38" s="2">
        <f t="shared" si="5"/>
        <v>0.20466000000000004</v>
      </c>
      <c r="N38" s="2">
        <f t="shared" si="5"/>
        <v>62.345500000000008</v>
      </c>
      <c r="O38" s="2">
        <f t="shared" si="5"/>
        <v>9304.4500000000007</v>
      </c>
      <c r="P38" s="2">
        <f t="shared" si="5"/>
        <v>0</v>
      </c>
      <c r="Q38" s="2">
        <f t="shared" si="10"/>
        <v>109.43625000000003</v>
      </c>
      <c r="R38" s="2">
        <f t="shared" si="11"/>
        <v>0</v>
      </c>
      <c r="S38" s="2">
        <f t="shared" si="11"/>
        <v>0.41121500000000005</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96.644999999999996</v>
      </c>
      <c r="D39" s="2">
        <f t="shared" si="7"/>
        <v>5.8175363000000004</v>
      </c>
      <c r="E39" s="2">
        <f t="shared" si="8"/>
        <v>1.9866232500000001</v>
      </c>
      <c r="F39" s="2">
        <f t="shared" si="9"/>
        <v>11.6564861</v>
      </c>
      <c r="G39" s="2">
        <f t="shared" si="5"/>
        <v>0.14781</v>
      </c>
      <c r="H39" s="2">
        <f t="shared" si="5"/>
        <v>3.9984500000000005</v>
      </c>
      <c r="I39" s="2">
        <f t="shared" si="5"/>
        <v>0.35626000000000008</v>
      </c>
      <c r="J39" s="2">
        <f t="shared" si="5"/>
        <v>2.4635000000000008E-3</v>
      </c>
      <c r="K39" s="2">
        <f t="shared" si="5"/>
        <v>5.1165000000000013E-3</v>
      </c>
      <c r="L39" s="2">
        <f t="shared" si="5"/>
        <v>0.61397999999999997</v>
      </c>
      <c r="M39" s="2">
        <f t="shared" si="5"/>
        <v>0.20466000000000004</v>
      </c>
      <c r="N39" s="2">
        <f t="shared" si="5"/>
        <v>62.345500000000008</v>
      </c>
      <c r="O39" s="2">
        <f t="shared" si="5"/>
        <v>9304.4500000000007</v>
      </c>
      <c r="P39" s="2">
        <f t="shared" si="5"/>
        <v>0</v>
      </c>
      <c r="Q39" s="2">
        <f t="shared" si="10"/>
        <v>109.43625000000003</v>
      </c>
      <c r="R39" s="2">
        <f t="shared" si="11"/>
        <v>0</v>
      </c>
      <c r="S39" s="2">
        <f t="shared" si="11"/>
        <v>0.41121500000000005</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96.644999999999996</v>
      </c>
      <c r="D40" s="2">
        <f t="shared" si="7"/>
        <v>5.8175363000000004</v>
      </c>
      <c r="E40" s="2">
        <f t="shared" si="8"/>
        <v>1.9866232500000001</v>
      </c>
      <c r="F40" s="2">
        <f t="shared" si="9"/>
        <v>11.6564861</v>
      </c>
      <c r="G40" s="2">
        <f t="shared" si="5"/>
        <v>0.14781</v>
      </c>
      <c r="H40" s="2">
        <f t="shared" si="5"/>
        <v>3.9984500000000005</v>
      </c>
      <c r="I40" s="2">
        <f t="shared" si="5"/>
        <v>0.35626000000000008</v>
      </c>
      <c r="J40" s="2">
        <f t="shared" si="5"/>
        <v>2.4635000000000008E-3</v>
      </c>
      <c r="K40" s="2">
        <f t="shared" si="5"/>
        <v>5.1165000000000013E-3</v>
      </c>
      <c r="L40" s="2">
        <f t="shared" si="5"/>
        <v>0.61397999999999997</v>
      </c>
      <c r="M40" s="2">
        <f t="shared" si="5"/>
        <v>0.20466000000000004</v>
      </c>
      <c r="N40" s="2">
        <f t="shared" si="5"/>
        <v>62.345500000000008</v>
      </c>
      <c r="O40" s="2">
        <f t="shared" si="5"/>
        <v>9304.4500000000007</v>
      </c>
      <c r="P40" s="2">
        <f t="shared" si="5"/>
        <v>0</v>
      </c>
      <c r="Q40" s="2">
        <f t="shared" si="10"/>
        <v>109.43625000000003</v>
      </c>
      <c r="R40" s="2">
        <f t="shared" si="11"/>
        <v>0</v>
      </c>
      <c r="S40" s="2">
        <f t="shared" si="11"/>
        <v>0.41121500000000005</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96.644999999999996</v>
      </c>
      <c r="D41" s="2">
        <f t="shared" si="7"/>
        <v>5.8175363000000004</v>
      </c>
      <c r="E41" s="2">
        <f t="shared" si="8"/>
        <v>1.9866232500000001</v>
      </c>
      <c r="F41" s="2">
        <f t="shared" si="9"/>
        <v>11.6564861</v>
      </c>
      <c r="G41" s="2">
        <f t="shared" si="5"/>
        <v>0.14781</v>
      </c>
      <c r="H41" s="2">
        <f t="shared" si="5"/>
        <v>3.9984500000000005</v>
      </c>
      <c r="I41" s="2">
        <f t="shared" si="5"/>
        <v>0.35626000000000008</v>
      </c>
      <c r="J41" s="2">
        <f t="shared" si="5"/>
        <v>2.4635000000000008E-3</v>
      </c>
      <c r="K41" s="2">
        <f t="shared" si="5"/>
        <v>5.1165000000000013E-3</v>
      </c>
      <c r="L41" s="2">
        <f t="shared" si="5"/>
        <v>0.61397999999999997</v>
      </c>
      <c r="M41" s="2">
        <f t="shared" si="5"/>
        <v>0.20466000000000004</v>
      </c>
      <c r="N41" s="2">
        <f t="shared" si="5"/>
        <v>62.345500000000008</v>
      </c>
      <c r="O41" s="2">
        <f t="shared" si="5"/>
        <v>9304.4500000000007</v>
      </c>
      <c r="P41" s="2">
        <f t="shared" si="5"/>
        <v>0</v>
      </c>
      <c r="Q41" s="2">
        <f t="shared" si="10"/>
        <v>109.43625000000003</v>
      </c>
      <c r="R41" s="2">
        <f t="shared" si="11"/>
        <v>0</v>
      </c>
      <c r="S41" s="2">
        <f t="shared" si="11"/>
        <v>0.41121500000000005</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"&amp;(VLOOKUP(C14,Table245810[],6,FALSE))</f>
        <v>Medium/Clay I Grass</v>
      </c>
      <c r="C58" s="44" t="str">
        <f>D16&amp;" I "&amp;(VLOOKUP(D14,Table245810[],6,FALSE))</f>
        <v>Medium/Clay I Grass</v>
      </c>
      <c r="D58" s="21" t="str">
        <f>E16&amp;" I "&amp;(VLOOKUP(E14,Table245810[],6,FALSE))</f>
        <v>Medium/Clay I Grass</v>
      </c>
      <c r="E58" s="21" t="str">
        <f>F16&amp;" I "&amp;(VLOOKUP(F14,Table245810[],6,FALSE))</f>
        <v>Medium/Clay I Grass</v>
      </c>
      <c r="F58" s="21" t="str">
        <f>G16&amp;" I "&amp;(VLOOKUP(G14,Table245810[],6,FALSE))</f>
        <v>Medium/Clay I Grass</v>
      </c>
      <c r="G58" s="21" t="str">
        <f>H16&amp;" I "&amp;(VLOOKUP(H14,Table245810[],6,FALSE))</f>
        <v>Medium/Clay I Grass</v>
      </c>
      <c r="H58" s="21" t="str">
        <f>I16&amp;" I "&amp;(VLOOKUP(I14,Table245810[],6,FALSE))</f>
        <v>Medium/Clay I Grass</v>
      </c>
      <c r="I58" s="21" t="str">
        <f>J16&amp;" I "&amp;(VLOOKUP(J14,Table245810[],6,FALSE))</f>
        <v>Medium/Clay I Grass</v>
      </c>
      <c r="J58" s="21" t="str">
        <f>K16&amp;" I "&amp;(VLOOKUP(K14,Table245810[],6,FALSE))</f>
        <v>Medium/Clay I Grass</v>
      </c>
      <c r="K58" s="21" t="str">
        <f>L16&amp;" I "&amp;(VLOOKUP(L14,Table245810[],6,FALSE))</f>
        <v>Medium/Clay I Grass</v>
      </c>
      <c r="L58" s="21" t="str">
        <f>M16&amp;" I "&amp;(VLOOKUP(M14,Table245810[],6,FALSE))</f>
        <v>Medium/Clay I Grass</v>
      </c>
      <c r="M58" s="21" t="e">
        <f>N16&amp;" I "&amp;(VLOOKUP(N14,Table245810[],6,FALSE))</f>
        <v>#N/A</v>
      </c>
      <c r="N58" s="21" t="e">
        <f>O16&amp;" I "&amp;(VLOOKUP(O14,Table245810[],6,FALSE))</f>
        <v>#N/A</v>
      </c>
      <c r="O58" s="21" t="e">
        <f>P16&amp;" I "&amp;(VLOOKUP(P14,Table245810[],6,FALSE))</f>
        <v>#N/A</v>
      </c>
      <c r="P58" s="21" t="e">
        <f>Q16&amp;" I "&amp;(VLOOKUP(Q14,Table245810[],6,FALSE))</f>
        <v>#N/A</v>
      </c>
      <c r="Q58" s="21" t="e">
        <f>R16&amp;" I "&amp;(VLOOKUP(R14,Table245810[],6,FALSE))</f>
        <v>#N/A</v>
      </c>
      <c r="R58" s="21" t="e">
        <f>S16&amp;" I "&amp;(VLOOKUP(S14,Table245810[],6,FALSE))</f>
        <v>#N/A</v>
      </c>
      <c r="S58" s="21" t="e">
        <f>T16&amp;" I "&amp;(VLOOKUP(T14,Table245810[],6,FALSE))</f>
        <v>#N/A</v>
      </c>
      <c r="T58" s="21" t="e">
        <f>U16&amp;" I "&amp;(VLOOKUP(U14,Table245810[],6,FALSE))</f>
        <v>#N/A</v>
      </c>
      <c r="U58" s="21" t="e">
        <f>V16&amp;" I "&amp;(VLOOKUP(V14,Table245810[],6,FALSE))</f>
        <v>#N/A</v>
      </c>
    </row>
    <row r="59" spans="1:35" s="27" customFormat="1" hidden="1" x14ac:dyDescent="0.2">
      <c r="A59" s="92" t="s">
        <v>130</v>
      </c>
      <c r="B59" s="93">
        <f>VLOOKUP(C$14,Table245810[],5,FALSE)</f>
        <v>6.2</v>
      </c>
      <c r="C59" s="93">
        <f>VLOOKUP(D$14,Table245810[],5,FALSE)</f>
        <v>6.2</v>
      </c>
      <c r="D59" s="93">
        <f>VLOOKUP(E$14,Table245810[],5,FALSE)</f>
        <v>6.2</v>
      </c>
      <c r="E59" s="93">
        <f>VLOOKUP(F$14,Table245810[],5,FALSE)</f>
        <v>6.2</v>
      </c>
      <c r="F59" s="93">
        <f>VLOOKUP(G$14,Table245810[],5,FALSE)</f>
        <v>6.2</v>
      </c>
      <c r="G59" s="93">
        <f>VLOOKUP(H$14,Table245810[],5,FALSE)</f>
        <v>6.2</v>
      </c>
      <c r="H59" s="93">
        <f>VLOOKUP(I$14,Table245810[],5,FALSE)</f>
        <v>6.2</v>
      </c>
      <c r="I59" s="93">
        <f>VLOOKUP(J$14,Table245810[],5,FALSE)</f>
        <v>6.2</v>
      </c>
      <c r="J59" s="93">
        <f>VLOOKUP(K$14,Table245810[],5,FALSE)</f>
        <v>6.2</v>
      </c>
      <c r="K59" s="93">
        <f>VLOOKUP(L$14,Table245810[],5,FALSE)</f>
        <v>6.2</v>
      </c>
      <c r="L59" s="93">
        <f>VLOOKUP(M$14,Table245810[],5,FALSE)</f>
        <v>6.2</v>
      </c>
      <c r="M59" s="93" t="e">
        <f>VLOOKUP(N$14,Table245810[],5,FALSE)</f>
        <v>#N/A</v>
      </c>
      <c r="N59" s="93" t="e">
        <f>VLOOKUP(O$14,Table245810[],5,FALSE)</f>
        <v>#N/A</v>
      </c>
      <c r="O59" s="93" t="e">
        <f>VLOOKUP(P$14,Table245810[],5,FALSE)</f>
        <v>#N/A</v>
      </c>
      <c r="P59" s="93" t="e">
        <f>VLOOKUP(Q$14,Table245810[],5,FALSE)</f>
        <v>#N/A</v>
      </c>
      <c r="Q59" s="93" t="e">
        <f>VLOOKUP(R$14,Table245810[],5,FALSE)</f>
        <v>#N/A</v>
      </c>
      <c r="R59" s="93" t="e">
        <f>VLOOKUP(S$14,Table245810[],5,FALSE)</f>
        <v>#N/A</v>
      </c>
      <c r="S59" s="93" t="e">
        <f>VLOOKUP(T$14,Table245810[],5,FALSE)</f>
        <v>#N/A</v>
      </c>
      <c r="T59" s="93" t="e">
        <f>VLOOKUP(U$14,Table245810[],5,FALSE)</f>
        <v>#N/A</v>
      </c>
      <c r="U59" s="93" t="e">
        <f>VLOOKUP(V$14,Table245810[],5,FALSE)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94" priority="29" operator="equal">
      <formula>"DECREASE"</formula>
    </cfRule>
    <cfRule type="cellIs" dxfId="193" priority="30" operator="equal">
      <formula>"INCREASE"</formula>
    </cfRule>
  </conditionalFormatting>
  <conditionalFormatting sqref="B62:U65 B31:B50">
    <cfRule type="cellIs" dxfId="192" priority="28" operator="greaterThan">
      <formula>$B$51</formula>
    </cfRule>
  </conditionalFormatting>
  <conditionalFormatting sqref="C31:C50">
    <cfRule type="cellIs" dxfId="191" priority="27" operator="greaterThan">
      <formula>$C$51</formula>
    </cfRule>
  </conditionalFormatting>
  <conditionalFormatting sqref="C18:V18">
    <cfRule type="cellIs" dxfId="190" priority="26" operator="equal">
      <formula>0</formula>
    </cfRule>
  </conditionalFormatting>
  <conditionalFormatting sqref="C17:V17">
    <cfRule type="cellIs" dxfId="189" priority="25" operator="equal">
      <formula>0</formula>
    </cfRule>
  </conditionalFormatting>
  <conditionalFormatting sqref="C19:V19">
    <cfRule type="cellIs" dxfId="188" priority="24" operator="equal">
      <formula>0</formula>
    </cfRule>
  </conditionalFormatting>
  <conditionalFormatting sqref="G31:G50">
    <cfRule type="cellIs" dxfId="187" priority="23" operator="greaterThan">
      <formula>$G$51</formula>
    </cfRule>
  </conditionalFormatting>
  <conditionalFormatting sqref="H31:H50">
    <cfRule type="cellIs" dxfId="186" priority="22" operator="greaterThan">
      <formula>$H$51</formula>
    </cfRule>
  </conditionalFormatting>
  <conditionalFormatting sqref="I31:I50">
    <cfRule type="cellIs" dxfId="185" priority="21" operator="greaterThan">
      <formula>$I$51</formula>
    </cfRule>
  </conditionalFormatting>
  <conditionalFormatting sqref="K31:K50">
    <cfRule type="cellIs" dxfId="184" priority="20" operator="greaterThan">
      <formula>$K$51</formula>
    </cfRule>
  </conditionalFormatting>
  <conditionalFormatting sqref="L31:L50">
    <cfRule type="cellIs" dxfId="183" priority="19" operator="greaterThan">
      <formula>$L$51</formula>
    </cfRule>
  </conditionalFormatting>
  <conditionalFormatting sqref="M31:M50">
    <cfRule type="cellIs" dxfId="182" priority="18" operator="greaterThan">
      <formula>$M$51</formula>
    </cfRule>
  </conditionalFormatting>
  <conditionalFormatting sqref="P31:P50">
    <cfRule type="cellIs" dxfId="181" priority="17" operator="greaterThan">
      <formula>$P$51</formula>
    </cfRule>
  </conditionalFormatting>
  <conditionalFormatting sqref="R31:R50">
    <cfRule type="cellIs" dxfId="180" priority="16" operator="greaterThan">
      <formula>$R$51</formula>
    </cfRule>
  </conditionalFormatting>
  <conditionalFormatting sqref="S31:S50">
    <cfRule type="cellIs" dxfId="179" priority="15" operator="greaterThan">
      <formula>$S$51</formula>
    </cfRule>
  </conditionalFormatting>
  <conditionalFormatting sqref="T31:T50">
    <cfRule type="cellIs" dxfId="178" priority="14" operator="greaterThan">
      <formula>$T$51</formula>
    </cfRule>
  </conditionalFormatting>
  <conditionalFormatting sqref="U31:U50">
    <cfRule type="cellIs" dxfId="177" priority="13" operator="greaterThan">
      <formula>$U$51</formula>
    </cfRule>
  </conditionalFormatting>
  <conditionalFormatting sqref="C22:V22">
    <cfRule type="cellIs" dxfId="176" priority="12" operator="equal">
      <formula>0</formula>
    </cfRule>
  </conditionalFormatting>
  <conditionalFormatting sqref="C24:V24">
    <cfRule type="cellIs" dxfId="175" priority="10" operator="equal">
      <formula>"DECREASE"</formula>
    </cfRule>
    <cfRule type="cellIs" dxfId="174" priority="11" operator="equal">
      <formula>"INCREASE"</formula>
    </cfRule>
  </conditionalFormatting>
  <conditionalFormatting sqref="C23:V23">
    <cfRule type="cellIs" dxfId="173" priority="9" operator="equal">
      <formula>0</formula>
    </cfRule>
  </conditionalFormatting>
  <conditionalFormatting sqref="I1">
    <cfRule type="cellIs" dxfId="172" priority="8" operator="lessThan">
      <formula>5</formula>
    </cfRule>
  </conditionalFormatting>
  <conditionalFormatting sqref="C21:V21">
    <cfRule type="cellIs" dxfId="171" priority="5" operator="equal">
      <formula>0</formula>
    </cfRule>
  </conditionalFormatting>
  <conditionalFormatting sqref="B65:U65">
    <cfRule type="cellIs" dxfId="170" priority="3" operator="equal">
      <formula>"UNDER"</formula>
    </cfRule>
    <cfRule type="cellIs" dxfId="169" priority="4" operator="equal">
      <formula>"OVER"</formula>
    </cfRule>
  </conditionalFormatting>
  <conditionalFormatting sqref="I2">
    <cfRule type="cellIs" dxfId="168" priority="2" operator="greaterThan">
      <formula>5000.1</formula>
    </cfRule>
  </conditionalFormatting>
  <conditionalFormatting sqref="I3">
    <cfRule type="cellIs" dxfId="167" priority="1" operator="greaterThan">
      <formula>4.1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5"/>
  <sheetViews>
    <sheetView zoomScale="90" zoomScaleNormal="90" workbookViewId="0">
      <selection activeCell="B31" sqref="B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4.9000000000000004</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162</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9.5998627500000016</v>
      </c>
      <c r="D18" s="24">
        <f>$D32</f>
        <v>9.5998627500000016</v>
      </c>
      <c r="E18" s="24">
        <f>$D33</f>
        <v>9.5998627500000016</v>
      </c>
      <c r="F18" s="24">
        <f>$D34</f>
        <v>9.5998627500000016</v>
      </c>
      <c r="G18" s="24">
        <f>$D35</f>
        <v>9.5998627500000016</v>
      </c>
      <c r="H18" s="24">
        <f>$D36</f>
        <v>9.5998627500000016</v>
      </c>
      <c r="I18" s="24">
        <f>$D37</f>
        <v>9.5998627500000016</v>
      </c>
      <c r="J18" s="24">
        <f>$D38</f>
        <v>9.5998627500000016</v>
      </c>
      <c r="K18" s="24">
        <f>$D39</f>
        <v>9.5998627500000016</v>
      </c>
      <c r="L18" s="24">
        <f>$D40</f>
        <v>9.5998627500000016</v>
      </c>
      <c r="M18" s="24">
        <f>$D41</f>
        <v>9.5998627500000016</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-70.300137249999992</v>
      </c>
      <c r="D19" s="24">
        <f t="shared" ref="D19:V19" si="1">D18-D17</f>
        <v>-70.300137249999992</v>
      </c>
      <c r="E19" s="24">
        <f t="shared" si="1"/>
        <v>-70.300137249999992</v>
      </c>
      <c r="F19" s="24">
        <f t="shared" si="1"/>
        <v>-70.300137249999992</v>
      </c>
      <c r="G19" s="24">
        <f t="shared" si="1"/>
        <v>-70.300137249999992</v>
      </c>
      <c r="H19" s="24">
        <f t="shared" si="1"/>
        <v>-70.300137249999992</v>
      </c>
      <c r="I19" s="24">
        <f t="shared" si="1"/>
        <v>-70.300137249999992</v>
      </c>
      <c r="J19" s="24">
        <f t="shared" si="1"/>
        <v>-70.300137249999992</v>
      </c>
      <c r="K19" s="24">
        <f t="shared" si="1"/>
        <v>-70.300137249999992</v>
      </c>
      <c r="L19" s="24">
        <f t="shared" si="1"/>
        <v>-70.300137249999992</v>
      </c>
      <c r="M19" s="24">
        <f t="shared" si="1"/>
        <v>-70.300137249999992</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0.79150425000000002</v>
      </c>
      <c r="D22" s="24">
        <f>$E32</f>
        <v>0.79150425000000002</v>
      </c>
      <c r="E22" s="24">
        <f>$E33</f>
        <v>0.79150425000000002</v>
      </c>
      <c r="F22" s="24">
        <f>$E34</f>
        <v>0.79150425000000002</v>
      </c>
      <c r="G22" s="24">
        <f>$E35</f>
        <v>0.79150425000000002</v>
      </c>
      <c r="H22" s="24">
        <f>$E36</f>
        <v>0.79150425000000002</v>
      </c>
      <c r="I22" s="24">
        <f>$E37</f>
        <v>0.79150425000000002</v>
      </c>
      <c r="J22" s="24">
        <f>$E38</f>
        <v>0.79150425000000002</v>
      </c>
      <c r="K22" s="24">
        <f>$E39</f>
        <v>0.79150425000000002</v>
      </c>
      <c r="L22" s="24">
        <f>$E40</f>
        <v>0.79150425000000002</v>
      </c>
      <c r="M22" s="24">
        <f>$E41</f>
        <v>0.79150425000000002</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-281.20849575</v>
      </c>
      <c r="D23" s="24">
        <f t="shared" ref="D23:V23" si="3">D22-D21</f>
        <v>-281.20849575</v>
      </c>
      <c r="E23" s="24">
        <f t="shared" si="3"/>
        <v>-281.20849575</v>
      </c>
      <c r="F23" s="24">
        <f t="shared" si="3"/>
        <v>-281.20849575</v>
      </c>
      <c r="G23" s="24">
        <f t="shared" si="3"/>
        <v>-281.20849575</v>
      </c>
      <c r="H23" s="24">
        <f t="shared" si="3"/>
        <v>-281.20849575</v>
      </c>
      <c r="I23" s="24">
        <f t="shared" si="3"/>
        <v>-281.20849575</v>
      </c>
      <c r="J23" s="24">
        <f t="shared" si="3"/>
        <v>-281.20849575</v>
      </c>
      <c r="K23" s="24">
        <f t="shared" si="3"/>
        <v>-281.20849575</v>
      </c>
      <c r="L23" s="24">
        <f t="shared" si="3"/>
        <v>-281.20849575</v>
      </c>
      <c r="M23" s="24">
        <f t="shared" si="3"/>
        <v>-281.20849575</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3.02</v>
      </c>
      <c r="C28" s="23">
        <v>1.06</v>
      </c>
      <c r="D28" s="23">
        <v>5.5500000000000001E-2</v>
      </c>
      <c r="E28" s="23">
        <v>8.6999999999999994E-3</v>
      </c>
      <c r="F28" s="23">
        <v>348</v>
      </c>
      <c r="G28" s="23">
        <v>24.8</v>
      </c>
      <c r="H28" s="23">
        <v>255</v>
      </c>
      <c r="I28" s="23">
        <v>26.2</v>
      </c>
      <c r="J28" s="23">
        <v>1.05</v>
      </c>
      <c r="K28" s="30">
        <v>0.66</v>
      </c>
      <c r="L28" s="23">
        <v>36</v>
      </c>
      <c r="M28" s="23">
        <v>7.62</v>
      </c>
      <c r="N28" s="23">
        <v>2970</v>
      </c>
      <c r="O28" s="23">
        <v>368000</v>
      </c>
      <c r="P28" s="23"/>
      <c r="Q28" s="23">
        <v>9270</v>
      </c>
      <c r="R28" s="23"/>
      <c r="S28" s="23">
        <v>49.5</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80.030000000000015</v>
      </c>
      <c r="D31" s="2">
        <f>(IF(D$27="%w/w SAR",((D$28*10)*$B31),IF(D$27="%w/w DM",(((D$28*10)*($B$28/100))*$B31),IF(D$27="kg/t SAR",(D$28*$B31),IF(D$27="kg/t DM",((D$28*($B$28/100))*$B31),IF(D$27="mg/kg SAR",((D$28*0.001)*$B31),IF(D$27="mg/kg DM",(((D$28*0.001)*($B$28/100))*$B31),"0")))))))*2.291</f>
        <v>9.5998627500000016</v>
      </c>
      <c r="E31" s="2">
        <f>(IF(E$27="%w/w SAR",((E$28*10)*$B31),IF(E$27="%w/w DM",(((E$28*10)*($B$28/100))*$B31),IF(E$27="kg/t SAR",(E$28*$B31),IF(E$27="kg/t DM",((E$28*($B$28/100))*$B31),IF(E$27="mg/kg SAR",((E$28*0.001)*$B31),IF(E$27="mg/kg DM",(((E$28*0.001)*($B$28/100))*$B31),"0")))))))*1.205</f>
        <v>0.79150425000000002</v>
      </c>
      <c r="F31" s="2">
        <f>(IF(F$27="%w/w SAR",((F$28*10)*$B31),IF(F$27="%w/w DM",(((F$28*10)*($B$28/100))*$B31),IF(F$27="kg/t SAR",(F$28*$B31),IF(F$27="kg/t DM",((F$28*($B$28/100))*$B31),IF(F$27="mg/kg SAR",((F$28*0.001)*$B31),IF(F$27="mg/kg DM",(((F$28*0.001)*($B$28/100))*$B31),"0")))))))*1.658</f>
        <v>4.3562292000000005</v>
      </c>
      <c r="G31" s="2">
        <f t="shared" ref="G31:P46" si="5">IF(G$27="%w/w SAR",((G$28*10)*$B31),IF(G$27="%w/w DM",(((G$28*10)*($B$28/100))*$B31),IF(G$27="kg/t SAR",(G$28*$B31),IF(G$27="kg/t DM",((G$28*($B$28/100))*$B31),IF(G$27="mg/kg SAR",((G$28*0.001)*$B31),IF(G$27="mg/kg DM",(((G$28*0.001)*($B$28/100))*$B31),0))))))</f>
        <v>0.18724000000000002</v>
      </c>
      <c r="H31" s="2">
        <f t="shared" si="5"/>
        <v>1.9252500000000001</v>
      </c>
      <c r="I31" s="2">
        <f t="shared" si="5"/>
        <v>0.19781000000000001</v>
      </c>
      <c r="J31" s="2">
        <f t="shared" si="5"/>
        <v>7.9275000000000023E-3</v>
      </c>
      <c r="K31" s="2">
        <f t="shared" si="5"/>
        <v>4.9830000000000004E-3</v>
      </c>
      <c r="L31" s="2">
        <f t="shared" si="5"/>
        <v>0.27180000000000004</v>
      </c>
      <c r="M31" s="2">
        <f t="shared" si="5"/>
        <v>5.7530999999999999E-2</v>
      </c>
      <c r="N31" s="2">
        <f t="shared" si="5"/>
        <v>22.423500000000004</v>
      </c>
      <c r="O31" s="2">
        <f t="shared" si="5"/>
        <v>2778.4</v>
      </c>
      <c r="P31" s="2">
        <f t="shared" si="5"/>
        <v>0</v>
      </c>
      <c r="Q31" s="2">
        <f>(IF(Q$27="%w/w SAR",((Q$28*10)*$B31),IF(Q$27="%w/w DM",(((Q$28*10)*($B$28/100))*$B31),IF(Q$27="kg/t SAR",(Q$28*$B31),IF(Q$27="kg/t DM",((Q$28*($B$28/100))*$B31),IF(Q$27="mg/kg SAR",((Q$28*0.001)*$B31),IF(Q$27="mg/kg DM",(((Q$28*0.001)*($B$28/100))*$B31),0)))))))*2.5</f>
        <v>174.97125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0.37372500000000003</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80.030000000000015</v>
      </c>
      <c r="D32" s="2">
        <f t="shared" ref="D32:D50" si="7">(IF(D$27="%w/w SAR",((D$28*10)*$B32),IF(D$27="%w/w DM",(((D$28*10)*($B$28/100))*$B32),IF(D$27="kg/t SAR",(D$28*$B32),IF(D$27="kg/t DM",((D$28*($B$28/100))*$B32),IF(D$27="mg/kg SAR",((D$28*0.001)*$B32),IF(D$27="mg/kg DM",(((D$28*0.001)*($B$28/100))*$B32),"0")))))))*2.291</f>
        <v>9.5998627500000016</v>
      </c>
      <c r="E32" s="2">
        <f t="shared" ref="E32:E50" si="8">(IF(E$27="%w/w SAR",((E$28*10)*$B32),IF(E$27="%w/w DM",(((E$28*10)*($B$28/100))*$B32),IF(E$27="kg/t SAR",(E$28*$B32),IF(E$27="kg/t DM",((E$28*($B$28/100))*$B32),IF(E$27="mg/kg SAR",((E$28*0.001)*$B32),IF(E$27="mg/kg DM",(((E$28*0.001)*($B$28/100))*$B32),"0")))))))*1.205</f>
        <v>0.79150425000000002</v>
      </c>
      <c r="F32" s="2">
        <f t="shared" ref="F32:F50" si="9">(IF(F$27="%w/w SAR",((F$28*10)*$B32),IF(F$27="%w/w DM",(((F$28*10)*($B$28/100))*$B32),IF(F$27="kg/t SAR",(F$28*$B32),IF(F$27="kg/t DM",((F$28*($B$28/100))*$B32),IF(F$27="mg/kg SAR",((F$28*0.001)*$B32),IF(F$27="mg/kg DM",(((F$28*0.001)*($B$28/100))*$B32),"0")))))))*1.658</f>
        <v>4.3562292000000005</v>
      </c>
      <c r="G32" s="2">
        <f t="shared" si="5"/>
        <v>0.18724000000000002</v>
      </c>
      <c r="H32" s="2">
        <f t="shared" si="5"/>
        <v>1.9252500000000001</v>
      </c>
      <c r="I32" s="2">
        <f t="shared" si="5"/>
        <v>0.19781000000000001</v>
      </c>
      <c r="J32" s="2">
        <f t="shared" si="5"/>
        <v>7.9275000000000023E-3</v>
      </c>
      <c r="K32" s="2">
        <f t="shared" si="5"/>
        <v>4.9830000000000004E-3</v>
      </c>
      <c r="L32" s="2">
        <f t="shared" si="5"/>
        <v>0.27180000000000004</v>
      </c>
      <c r="M32" s="2">
        <f t="shared" si="5"/>
        <v>5.7530999999999999E-2</v>
      </c>
      <c r="N32" s="2">
        <f t="shared" si="5"/>
        <v>22.423500000000004</v>
      </c>
      <c r="O32" s="2">
        <f t="shared" si="5"/>
        <v>2778.4</v>
      </c>
      <c r="P32" s="2">
        <f t="shared" si="5"/>
        <v>0</v>
      </c>
      <c r="Q32" s="2">
        <f t="shared" ref="Q32:Q50" si="10">(IF(Q$27="%w/w SAR",((Q$28*10)*$B32),IF(Q$27="%w/w DM",(((Q$28*10)*($B$28/100))*$B32),IF(Q$27="kg/t SAR",(Q$28*$B32),IF(Q$27="kg/t DM",((Q$28*($B$28/100))*$B32),IF(Q$27="mg/kg SAR",((Q$28*0.001)*$B32),IF(Q$27="mg/kg DM",(((Q$28*0.001)*($B$28/100))*$B32),0)))))))*2.5</f>
        <v>174.97125</v>
      </c>
      <c r="R32" s="2">
        <f t="shared" ref="R32:U50" si="11">IF(R$27="%w/w SAR",((R$28*10)*$B32),IF(R$27="%w/w DM",(((R$28*10)*($B$28/100))*$B32),IF(R$27="kg/t SAR",(R$28*$B32),IF(R$27="kg/t DM",((R$28*($B$28/100))*$B32),IF(R$27="mg/kg SAR",((R$28*0.001)*$B32),IF(R$27="mg/kg DM",(((R$28*0.001)*($B$28/100))*$B32),0))))))</f>
        <v>0</v>
      </c>
      <c r="S32" s="2">
        <f t="shared" si="11"/>
        <v>0.37372500000000003</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80.030000000000015</v>
      </c>
      <c r="D33" s="2">
        <f t="shared" si="7"/>
        <v>9.5998627500000016</v>
      </c>
      <c r="E33" s="2">
        <f t="shared" si="8"/>
        <v>0.79150425000000002</v>
      </c>
      <c r="F33" s="2">
        <f t="shared" si="9"/>
        <v>4.3562292000000005</v>
      </c>
      <c r="G33" s="2">
        <f t="shared" si="5"/>
        <v>0.18724000000000002</v>
      </c>
      <c r="H33" s="2">
        <f t="shared" si="5"/>
        <v>1.9252500000000001</v>
      </c>
      <c r="I33" s="2">
        <f t="shared" si="5"/>
        <v>0.19781000000000001</v>
      </c>
      <c r="J33" s="2">
        <f t="shared" si="5"/>
        <v>7.9275000000000023E-3</v>
      </c>
      <c r="K33" s="2">
        <f t="shared" si="5"/>
        <v>4.9830000000000004E-3</v>
      </c>
      <c r="L33" s="2">
        <f t="shared" si="5"/>
        <v>0.27180000000000004</v>
      </c>
      <c r="M33" s="2">
        <f t="shared" si="5"/>
        <v>5.7530999999999999E-2</v>
      </c>
      <c r="N33" s="2">
        <f t="shared" si="5"/>
        <v>22.423500000000004</v>
      </c>
      <c r="O33" s="2">
        <f t="shared" si="5"/>
        <v>2778.4</v>
      </c>
      <c r="P33" s="2">
        <f t="shared" si="5"/>
        <v>0</v>
      </c>
      <c r="Q33" s="2">
        <f t="shared" si="10"/>
        <v>174.97125</v>
      </c>
      <c r="R33" s="2">
        <f t="shared" si="11"/>
        <v>0</v>
      </c>
      <c r="S33" s="2">
        <f t="shared" si="11"/>
        <v>0.37372500000000003</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80.030000000000015</v>
      </c>
      <c r="D34" s="2">
        <f t="shared" si="7"/>
        <v>9.5998627500000016</v>
      </c>
      <c r="E34" s="2">
        <f t="shared" si="8"/>
        <v>0.79150425000000002</v>
      </c>
      <c r="F34" s="2">
        <f t="shared" si="9"/>
        <v>4.3562292000000005</v>
      </c>
      <c r="G34" s="2">
        <f t="shared" si="5"/>
        <v>0.18724000000000002</v>
      </c>
      <c r="H34" s="2">
        <f t="shared" si="5"/>
        <v>1.9252500000000001</v>
      </c>
      <c r="I34" s="2">
        <f t="shared" si="5"/>
        <v>0.19781000000000001</v>
      </c>
      <c r="J34" s="2">
        <f t="shared" si="5"/>
        <v>7.9275000000000023E-3</v>
      </c>
      <c r="K34" s="2">
        <f t="shared" si="5"/>
        <v>4.9830000000000004E-3</v>
      </c>
      <c r="L34" s="2">
        <f t="shared" si="5"/>
        <v>0.27180000000000004</v>
      </c>
      <c r="M34" s="2">
        <f t="shared" si="5"/>
        <v>5.7530999999999999E-2</v>
      </c>
      <c r="N34" s="2">
        <f t="shared" si="5"/>
        <v>22.423500000000004</v>
      </c>
      <c r="O34" s="2">
        <f t="shared" si="5"/>
        <v>2778.4</v>
      </c>
      <c r="P34" s="2">
        <f t="shared" si="5"/>
        <v>0</v>
      </c>
      <c r="Q34" s="2">
        <f t="shared" si="10"/>
        <v>174.97125</v>
      </c>
      <c r="R34" s="2">
        <f t="shared" si="11"/>
        <v>0</v>
      </c>
      <c r="S34" s="2">
        <f t="shared" si="11"/>
        <v>0.37372500000000003</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80.030000000000015</v>
      </c>
      <c r="D35" s="2">
        <f t="shared" si="7"/>
        <v>9.5998627500000016</v>
      </c>
      <c r="E35" s="2">
        <f t="shared" si="8"/>
        <v>0.79150425000000002</v>
      </c>
      <c r="F35" s="2">
        <f t="shared" si="9"/>
        <v>4.3562292000000005</v>
      </c>
      <c r="G35" s="2">
        <f t="shared" si="5"/>
        <v>0.18724000000000002</v>
      </c>
      <c r="H35" s="2">
        <f t="shared" si="5"/>
        <v>1.9252500000000001</v>
      </c>
      <c r="I35" s="2">
        <f t="shared" si="5"/>
        <v>0.19781000000000001</v>
      </c>
      <c r="J35" s="2">
        <f t="shared" si="5"/>
        <v>7.9275000000000023E-3</v>
      </c>
      <c r="K35" s="2">
        <f t="shared" si="5"/>
        <v>4.9830000000000004E-3</v>
      </c>
      <c r="L35" s="2">
        <f t="shared" si="5"/>
        <v>0.27180000000000004</v>
      </c>
      <c r="M35" s="2">
        <f t="shared" si="5"/>
        <v>5.7530999999999999E-2</v>
      </c>
      <c r="N35" s="2">
        <f t="shared" si="5"/>
        <v>22.423500000000004</v>
      </c>
      <c r="O35" s="2">
        <f t="shared" si="5"/>
        <v>2778.4</v>
      </c>
      <c r="P35" s="2">
        <f t="shared" si="5"/>
        <v>0</v>
      </c>
      <c r="Q35" s="2">
        <f t="shared" si="10"/>
        <v>174.97125</v>
      </c>
      <c r="R35" s="2">
        <f t="shared" si="11"/>
        <v>0</v>
      </c>
      <c r="S35" s="2">
        <f t="shared" si="11"/>
        <v>0.37372500000000003</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80.030000000000015</v>
      </c>
      <c r="D36" s="2">
        <f t="shared" si="7"/>
        <v>9.5998627500000016</v>
      </c>
      <c r="E36" s="2">
        <f t="shared" si="8"/>
        <v>0.79150425000000002</v>
      </c>
      <c r="F36" s="2">
        <f t="shared" si="9"/>
        <v>4.3562292000000005</v>
      </c>
      <c r="G36" s="2">
        <f t="shared" si="5"/>
        <v>0.18724000000000002</v>
      </c>
      <c r="H36" s="2">
        <f t="shared" si="5"/>
        <v>1.9252500000000001</v>
      </c>
      <c r="I36" s="2">
        <f t="shared" si="5"/>
        <v>0.19781000000000001</v>
      </c>
      <c r="J36" s="2">
        <f t="shared" si="5"/>
        <v>7.9275000000000023E-3</v>
      </c>
      <c r="K36" s="2">
        <f t="shared" si="5"/>
        <v>4.9830000000000004E-3</v>
      </c>
      <c r="L36" s="2">
        <f t="shared" si="5"/>
        <v>0.27180000000000004</v>
      </c>
      <c r="M36" s="2">
        <f t="shared" si="5"/>
        <v>5.7530999999999999E-2</v>
      </c>
      <c r="N36" s="2">
        <f t="shared" si="5"/>
        <v>22.423500000000004</v>
      </c>
      <c r="O36" s="2">
        <f t="shared" si="5"/>
        <v>2778.4</v>
      </c>
      <c r="P36" s="2">
        <f t="shared" si="5"/>
        <v>0</v>
      </c>
      <c r="Q36" s="2">
        <f t="shared" si="10"/>
        <v>174.97125</v>
      </c>
      <c r="R36" s="2">
        <f t="shared" si="11"/>
        <v>0</v>
      </c>
      <c r="S36" s="2">
        <f t="shared" si="11"/>
        <v>0.37372500000000003</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80.030000000000015</v>
      </c>
      <c r="D37" s="2">
        <f t="shared" si="7"/>
        <v>9.5998627500000016</v>
      </c>
      <c r="E37" s="2">
        <f t="shared" si="8"/>
        <v>0.79150425000000002</v>
      </c>
      <c r="F37" s="2">
        <f t="shared" si="9"/>
        <v>4.3562292000000005</v>
      </c>
      <c r="G37" s="2">
        <f t="shared" si="5"/>
        <v>0.18724000000000002</v>
      </c>
      <c r="H37" s="2">
        <f t="shared" si="5"/>
        <v>1.9252500000000001</v>
      </c>
      <c r="I37" s="2">
        <f t="shared" si="5"/>
        <v>0.19781000000000001</v>
      </c>
      <c r="J37" s="2">
        <f t="shared" si="5"/>
        <v>7.9275000000000023E-3</v>
      </c>
      <c r="K37" s="2">
        <f t="shared" si="5"/>
        <v>4.9830000000000004E-3</v>
      </c>
      <c r="L37" s="2">
        <f t="shared" si="5"/>
        <v>0.27180000000000004</v>
      </c>
      <c r="M37" s="2">
        <f t="shared" si="5"/>
        <v>5.7530999999999999E-2</v>
      </c>
      <c r="N37" s="2">
        <f t="shared" si="5"/>
        <v>22.423500000000004</v>
      </c>
      <c r="O37" s="2">
        <f t="shared" si="5"/>
        <v>2778.4</v>
      </c>
      <c r="P37" s="2">
        <f t="shared" si="5"/>
        <v>0</v>
      </c>
      <c r="Q37" s="2">
        <f t="shared" si="10"/>
        <v>174.97125</v>
      </c>
      <c r="R37" s="2">
        <f t="shared" si="11"/>
        <v>0</v>
      </c>
      <c r="S37" s="2">
        <f t="shared" si="11"/>
        <v>0.37372500000000003</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80.030000000000015</v>
      </c>
      <c r="D38" s="2">
        <f t="shared" si="7"/>
        <v>9.5998627500000016</v>
      </c>
      <c r="E38" s="2">
        <f t="shared" si="8"/>
        <v>0.79150425000000002</v>
      </c>
      <c r="F38" s="2">
        <f t="shared" si="9"/>
        <v>4.3562292000000005</v>
      </c>
      <c r="G38" s="2">
        <f t="shared" si="5"/>
        <v>0.18724000000000002</v>
      </c>
      <c r="H38" s="2">
        <f t="shared" si="5"/>
        <v>1.9252500000000001</v>
      </c>
      <c r="I38" s="2">
        <f t="shared" si="5"/>
        <v>0.19781000000000001</v>
      </c>
      <c r="J38" s="2">
        <f t="shared" si="5"/>
        <v>7.9275000000000023E-3</v>
      </c>
      <c r="K38" s="2">
        <f t="shared" si="5"/>
        <v>4.9830000000000004E-3</v>
      </c>
      <c r="L38" s="2">
        <f t="shared" si="5"/>
        <v>0.27180000000000004</v>
      </c>
      <c r="M38" s="2">
        <f t="shared" si="5"/>
        <v>5.7530999999999999E-2</v>
      </c>
      <c r="N38" s="2">
        <f t="shared" si="5"/>
        <v>22.423500000000004</v>
      </c>
      <c r="O38" s="2">
        <f t="shared" si="5"/>
        <v>2778.4</v>
      </c>
      <c r="P38" s="2">
        <f t="shared" si="5"/>
        <v>0</v>
      </c>
      <c r="Q38" s="2">
        <f t="shared" si="10"/>
        <v>174.97125</v>
      </c>
      <c r="R38" s="2">
        <f t="shared" si="11"/>
        <v>0</v>
      </c>
      <c r="S38" s="2">
        <f t="shared" si="11"/>
        <v>0.37372500000000003</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80.030000000000015</v>
      </c>
      <c r="D39" s="2">
        <f t="shared" si="7"/>
        <v>9.5998627500000016</v>
      </c>
      <c r="E39" s="2">
        <f t="shared" si="8"/>
        <v>0.79150425000000002</v>
      </c>
      <c r="F39" s="2">
        <f t="shared" si="9"/>
        <v>4.3562292000000005</v>
      </c>
      <c r="G39" s="2">
        <f t="shared" si="5"/>
        <v>0.18724000000000002</v>
      </c>
      <c r="H39" s="2">
        <f t="shared" si="5"/>
        <v>1.9252500000000001</v>
      </c>
      <c r="I39" s="2">
        <f t="shared" si="5"/>
        <v>0.19781000000000001</v>
      </c>
      <c r="J39" s="2">
        <f t="shared" si="5"/>
        <v>7.9275000000000023E-3</v>
      </c>
      <c r="K39" s="2">
        <f t="shared" si="5"/>
        <v>4.9830000000000004E-3</v>
      </c>
      <c r="L39" s="2">
        <f t="shared" si="5"/>
        <v>0.27180000000000004</v>
      </c>
      <c r="M39" s="2">
        <f t="shared" si="5"/>
        <v>5.7530999999999999E-2</v>
      </c>
      <c r="N39" s="2">
        <f t="shared" si="5"/>
        <v>22.423500000000004</v>
      </c>
      <c r="O39" s="2">
        <f t="shared" si="5"/>
        <v>2778.4</v>
      </c>
      <c r="P39" s="2">
        <f t="shared" si="5"/>
        <v>0</v>
      </c>
      <c r="Q39" s="2">
        <f t="shared" si="10"/>
        <v>174.97125</v>
      </c>
      <c r="R39" s="2">
        <f t="shared" si="11"/>
        <v>0</v>
      </c>
      <c r="S39" s="2">
        <f t="shared" si="11"/>
        <v>0.37372500000000003</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80.030000000000015</v>
      </c>
      <c r="D40" s="2">
        <f t="shared" si="7"/>
        <v>9.5998627500000016</v>
      </c>
      <c r="E40" s="2">
        <f t="shared" si="8"/>
        <v>0.79150425000000002</v>
      </c>
      <c r="F40" s="2">
        <f t="shared" si="9"/>
        <v>4.3562292000000005</v>
      </c>
      <c r="G40" s="2">
        <f t="shared" si="5"/>
        <v>0.18724000000000002</v>
      </c>
      <c r="H40" s="2">
        <f t="shared" si="5"/>
        <v>1.9252500000000001</v>
      </c>
      <c r="I40" s="2">
        <f t="shared" si="5"/>
        <v>0.19781000000000001</v>
      </c>
      <c r="J40" s="2">
        <f t="shared" si="5"/>
        <v>7.9275000000000023E-3</v>
      </c>
      <c r="K40" s="2">
        <f t="shared" si="5"/>
        <v>4.9830000000000004E-3</v>
      </c>
      <c r="L40" s="2">
        <f t="shared" si="5"/>
        <v>0.27180000000000004</v>
      </c>
      <c r="M40" s="2">
        <f t="shared" si="5"/>
        <v>5.7530999999999999E-2</v>
      </c>
      <c r="N40" s="2">
        <f t="shared" si="5"/>
        <v>22.423500000000004</v>
      </c>
      <c r="O40" s="2">
        <f t="shared" si="5"/>
        <v>2778.4</v>
      </c>
      <c r="P40" s="2">
        <f t="shared" si="5"/>
        <v>0</v>
      </c>
      <c r="Q40" s="2">
        <f t="shared" si="10"/>
        <v>174.97125</v>
      </c>
      <c r="R40" s="2">
        <f t="shared" si="11"/>
        <v>0</v>
      </c>
      <c r="S40" s="2">
        <f t="shared" si="11"/>
        <v>0.37372500000000003</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80.030000000000015</v>
      </c>
      <c r="D41" s="2">
        <f t="shared" si="7"/>
        <v>9.5998627500000016</v>
      </c>
      <c r="E41" s="2">
        <f t="shared" si="8"/>
        <v>0.79150425000000002</v>
      </c>
      <c r="F41" s="2">
        <f t="shared" si="9"/>
        <v>4.3562292000000005</v>
      </c>
      <c r="G41" s="2">
        <f t="shared" si="5"/>
        <v>0.18724000000000002</v>
      </c>
      <c r="H41" s="2">
        <f t="shared" si="5"/>
        <v>1.9252500000000001</v>
      </c>
      <c r="I41" s="2">
        <f t="shared" si="5"/>
        <v>0.19781000000000001</v>
      </c>
      <c r="J41" s="2">
        <f t="shared" si="5"/>
        <v>7.9275000000000023E-3</v>
      </c>
      <c r="K41" s="2">
        <f t="shared" si="5"/>
        <v>4.9830000000000004E-3</v>
      </c>
      <c r="L41" s="2">
        <f t="shared" si="5"/>
        <v>0.27180000000000004</v>
      </c>
      <c r="M41" s="2">
        <f t="shared" si="5"/>
        <v>5.7530999999999999E-2</v>
      </c>
      <c r="N41" s="2">
        <f t="shared" si="5"/>
        <v>22.423500000000004</v>
      </c>
      <c r="O41" s="2">
        <f t="shared" si="5"/>
        <v>2778.4</v>
      </c>
      <c r="P41" s="2">
        <f t="shared" si="5"/>
        <v>0</v>
      </c>
      <c r="Q41" s="2">
        <f t="shared" si="10"/>
        <v>174.97125</v>
      </c>
      <c r="R41" s="2">
        <f t="shared" si="11"/>
        <v>0</v>
      </c>
      <c r="S41" s="2">
        <f t="shared" si="11"/>
        <v>0.37372500000000003</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"&amp;(VLOOKUP(C14,Table2458[],6,FALSE))</f>
        <v>Medium/Clay I Grass</v>
      </c>
      <c r="C58" s="44" t="str">
        <f>D16&amp;" I "&amp;(VLOOKUP(D14,Table2458[],6,FALSE))</f>
        <v>Medium/Clay I Grass</v>
      </c>
      <c r="D58" s="21" t="str">
        <f>E16&amp;" I "&amp;(VLOOKUP(E14,Table2458[],6,FALSE))</f>
        <v>Medium/Clay I Grass</v>
      </c>
      <c r="E58" s="21" t="str">
        <f>F16&amp;" I "&amp;(VLOOKUP(F14,Table2458[],6,FALSE))</f>
        <v>Medium/Clay I Grass</v>
      </c>
      <c r="F58" s="21" t="str">
        <f>G16&amp;" I "&amp;(VLOOKUP(G14,Table2458[],6,FALSE))</f>
        <v>Medium/Clay I Grass</v>
      </c>
      <c r="G58" s="21" t="str">
        <f>H16&amp;" I "&amp;(VLOOKUP(H14,Table2458[],6,FALSE))</f>
        <v>Medium/Clay I Grass</v>
      </c>
      <c r="H58" s="21" t="str">
        <f>I16&amp;" I "&amp;(VLOOKUP(I14,Table2458[],6,FALSE))</f>
        <v>Medium/Clay I Grass</v>
      </c>
      <c r="I58" s="21" t="str">
        <f>J16&amp;" I "&amp;(VLOOKUP(J14,Table2458[],6,FALSE))</f>
        <v>Medium/Clay I Grass</v>
      </c>
      <c r="J58" s="21" t="str">
        <f>K16&amp;" I "&amp;(VLOOKUP(K14,Table2458[],6,FALSE))</f>
        <v>Medium/Clay I Grass</v>
      </c>
      <c r="K58" s="21" t="str">
        <f>L16&amp;" I "&amp;(VLOOKUP(L14,Table2458[],6,FALSE))</f>
        <v>Medium/Clay I Grass</v>
      </c>
      <c r="L58" s="21" t="str">
        <f>M16&amp;" I "&amp;(VLOOKUP(M14,Table2458[],6,FALSE))</f>
        <v>Medium/Clay I Grass</v>
      </c>
      <c r="M58" s="21" t="e">
        <f>N16&amp;" I "&amp;(VLOOKUP(N14,Table2458[],6,FALSE))</f>
        <v>#N/A</v>
      </c>
      <c r="N58" s="21" t="e">
        <f>O16&amp;" I "&amp;(VLOOKUP(O14,Table2458[],6,FALSE))</f>
        <v>#N/A</v>
      </c>
      <c r="O58" s="21" t="e">
        <f>P16&amp;" I "&amp;(VLOOKUP(P14,Table2458[],6,FALSE))</f>
        <v>#N/A</v>
      </c>
      <c r="P58" s="21" t="e">
        <f>Q16&amp;" I "&amp;(VLOOKUP(Q14,Table2458[],6,FALSE))</f>
        <v>#N/A</v>
      </c>
      <c r="Q58" s="21" t="e">
        <f>R16&amp;" I "&amp;(VLOOKUP(R14,Table2458[],6,FALSE))</f>
        <v>#N/A</v>
      </c>
      <c r="R58" s="21" t="e">
        <f>S16&amp;" I "&amp;(VLOOKUP(S14,Table2458[],6,FALSE))</f>
        <v>#N/A</v>
      </c>
      <c r="S58" s="21" t="e">
        <f>T16&amp;" I "&amp;(VLOOKUP(T14,Table2458[],6,FALSE))</f>
        <v>#N/A</v>
      </c>
      <c r="T58" s="21" t="e">
        <f>U16&amp;" I "&amp;(VLOOKUP(U14,Table2458[],6,FALSE))</f>
        <v>#N/A</v>
      </c>
      <c r="U58" s="21" t="e">
        <f>V16&amp;" I "&amp;(VLOOKUP(V14,Table2458[],6,FALSE))</f>
        <v>#N/A</v>
      </c>
    </row>
    <row r="59" spans="1:35" s="27" customFormat="1" hidden="1" x14ac:dyDescent="0.2">
      <c r="A59" s="92" t="s">
        <v>130</v>
      </c>
      <c r="B59" s="93">
        <f>VLOOKUP(C$14,Table2458[],5,FALSE)</f>
        <v>6.2</v>
      </c>
      <c r="C59" s="93">
        <f>VLOOKUP(D$14,Table2458[],5,FALSE)</f>
        <v>6.2</v>
      </c>
      <c r="D59" s="93">
        <f>VLOOKUP(E$14,Table2458[],5,FALSE)</f>
        <v>6.2</v>
      </c>
      <c r="E59" s="93">
        <f>VLOOKUP(F$14,Table2458[],5,FALSE)</f>
        <v>6.2</v>
      </c>
      <c r="F59" s="93">
        <f>VLOOKUP(G$14,Table2458[],5,FALSE)</f>
        <v>6.2</v>
      </c>
      <c r="G59" s="93">
        <f>VLOOKUP(H$14,Table2458[],5,FALSE)</f>
        <v>6.2</v>
      </c>
      <c r="H59" s="93">
        <f>VLOOKUP(I$14,Table2458[],5,FALSE)</f>
        <v>6.2</v>
      </c>
      <c r="I59" s="93">
        <f>VLOOKUP(J$14,Table2458[],5,FALSE)</f>
        <v>6.2</v>
      </c>
      <c r="J59" s="93">
        <f>VLOOKUP(K$14,Table2458[],5,FALSE)</f>
        <v>6.2</v>
      </c>
      <c r="K59" s="93">
        <f>VLOOKUP(L$14,Table2458[],5,FALSE)</f>
        <v>6.2</v>
      </c>
      <c r="L59" s="93">
        <f>VLOOKUP(M$14,Table2458[],5,FALSE)</f>
        <v>6.2</v>
      </c>
      <c r="M59" s="93" t="e">
        <f>VLOOKUP(N$14,Table2458[],5,FALSE)</f>
        <v>#N/A</v>
      </c>
      <c r="N59" s="93" t="e">
        <f>VLOOKUP(O$14,Table2458[],5,FALSE)</f>
        <v>#N/A</v>
      </c>
      <c r="O59" s="93" t="e">
        <f>VLOOKUP(P$14,Table2458[],5,FALSE)</f>
        <v>#N/A</v>
      </c>
      <c r="P59" s="93" t="e">
        <f>VLOOKUP(Q$14,Table2458[],5,FALSE)</f>
        <v>#N/A</v>
      </c>
      <c r="Q59" s="93" t="e">
        <f>VLOOKUP(R$14,Table2458[],5,FALSE)</f>
        <v>#N/A</v>
      </c>
      <c r="R59" s="93" t="e">
        <f>VLOOKUP(S$14,Table2458[],5,FALSE)</f>
        <v>#N/A</v>
      </c>
      <c r="S59" s="93" t="e">
        <f>VLOOKUP(T$14,Table2458[],5,FALSE)</f>
        <v>#N/A</v>
      </c>
      <c r="T59" s="93" t="e">
        <f>VLOOKUP(U$14,Table2458[],5,FALSE)</f>
        <v>#N/A</v>
      </c>
      <c r="U59" s="93" t="e">
        <f>VLOOKUP(V$14,Table2458[],5,FALSE)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55" priority="29" operator="equal">
      <formula>"DECREASE"</formula>
    </cfRule>
    <cfRule type="cellIs" dxfId="154" priority="30" operator="equal">
      <formula>"INCREASE"</formula>
    </cfRule>
  </conditionalFormatting>
  <conditionalFormatting sqref="B62:U65 B31:B50">
    <cfRule type="cellIs" dxfId="153" priority="28" operator="greaterThan">
      <formula>$B$51</formula>
    </cfRule>
  </conditionalFormatting>
  <conditionalFormatting sqref="C31:C50">
    <cfRule type="cellIs" dxfId="152" priority="27" operator="greaterThan">
      <formula>$C$51</formula>
    </cfRule>
  </conditionalFormatting>
  <conditionalFormatting sqref="C18:V18">
    <cfRule type="cellIs" dxfId="151" priority="26" operator="equal">
      <formula>0</formula>
    </cfRule>
  </conditionalFormatting>
  <conditionalFormatting sqref="C17:V17">
    <cfRule type="cellIs" dxfId="150" priority="25" operator="equal">
      <formula>0</formula>
    </cfRule>
  </conditionalFormatting>
  <conditionalFormatting sqref="C19:V19">
    <cfRule type="cellIs" dxfId="149" priority="24" operator="equal">
      <formula>0</formula>
    </cfRule>
  </conditionalFormatting>
  <conditionalFormatting sqref="G31:G50">
    <cfRule type="cellIs" dxfId="148" priority="23" operator="greaterThan">
      <formula>$G$51</formula>
    </cfRule>
  </conditionalFormatting>
  <conditionalFormatting sqref="H31:H50">
    <cfRule type="cellIs" dxfId="147" priority="22" operator="greaterThan">
      <formula>$H$51</formula>
    </cfRule>
  </conditionalFormatting>
  <conditionalFormatting sqref="I31:I50">
    <cfRule type="cellIs" dxfId="146" priority="21" operator="greaterThan">
      <formula>$I$51</formula>
    </cfRule>
  </conditionalFormatting>
  <conditionalFormatting sqref="K31:K50">
    <cfRule type="cellIs" dxfId="145" priority="20" operator="greaterThan">
      <formula>$K$51</formula>
    </cfRule>
  </conditionalFormatting>
  <conditionalFormatting sqref="L31:L50">
    <cfRule type="cellIs" dxfId="144" priority="19" operator="greaterThan">
      <formula>$L$51</formula>
    </cfRule>
  </conditionalFormatting>
  <conditionalFormatting sqref="M31:M50">
    <cfRule type="cellIs" dxfId="143" priority="18" operator="greaterThan">
      <formula>$M$51</formula>
    </cfRule>
  </conditionalFormatting>
  <conditionalFormatting sqref="P31:P50">
    <cfRule type="cellIs" dxfId="142" priority="17" operator="greaterThan">
      <formula>$P$51</formula>
    </cfRule>
  </conditionalFormatting>
  <conditionalFormatting sqref="R31:R50">
    <cfRule type="cellIs" dxfId="141" priority="16" operator="greaterThan">
      <formula>$R$51</formula>
    </cfRule>
  </conditionalFormatting>
  <conditionalFormatting sqref="S31:S50">
    <cfRule type="cellIs" dxfId="140" priority="15" operator="greaterThan">
      <formula>$S$51</formula>
    </cfRule>
  </conditionalFormatting>
  <conditionalFormatting sqref="T31:T50">
    <cfRule type="cellIs" dxfId="139" priority="14" operator="greaterThan">
      <formula>$T$51</formula>
    </cfRule>
  </conditionalFormatting>
  <conditionalFormatting sqref="U31:U50">
    <cfRule type="cellIs" dxfId="138" priority="13" operator="greaterThan">
      <formula>$U$51</formula>
    </cfRule>
  </conditionalFormatting>
  <conditionalFormatting sqref="C22:V22">
    <cfRule type="cellIs" dxfId="137" priority="12" operator="equal">
      <formula>0</formula>
    </cfRule>
  </conditionalFormatting>
  <conditionalFormatting sqref="C24:V24">
    <cfRule type="cellIs" dxfId="136" priority="10" operator="equal">
      <formula>"DECREASE"</formula>
    </cfRule>
    <cfRule type="cellIs" dxfId="135" priority="11" operator="equal">
      <formula>"INCREASE"</formula>
    </cfRule>
  </conditionalFormatting>
  <conditionalFormatting sqref="C23:V23">
    <cfRule type="cellIs" dxfId="134" priority="9" operator="equal">
      <formula>0</formula>
    </cfRule>
  </conditionalFormatting>
  <conditionalFormatting sqref="I1">
    <cfRule type="cellIs" dxfId="133" priority="8" operator="lessThan">
      <formula>5</formula>
    </cfRule>
  </conditionalFormatting>
  <conditionalFormatting sqref="C21:V21">
    <cfRule type="cellIs" dxfId="132" priority="5" operator="equal">
      <formula>0</formula>
    </cfRule>
  </conditionalFormatting>
  <conditionalFormatting sqref="B65:U65">
    <cfRule type="cellIs" dxfId="131" priority="3" operator="equal">
      <formula>"UNDER"</formula>
    </cfRule>
    <cfRule type="cellIs" dxfId="130" priority="4" operator="equal">
      <formula>"OVER"</formula>
    </cfRule>
  </conditionalFormatting>
  <conditionalFormatting sqref="I2">
    <cfRule type="cellIs" dxfId="129" priority="2" operator="greaterThan">
      <formula>5000.1</formula>
    </cfRule>
  </conditionalFormatting>
  <conditionalFormatting sqref="I3">
    <cfRule type="cellIs" dxfId="128" priority="1" operator="greaterThan">
      <formula>4.1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5"/>
  <sheetViews>
    <sheetView zoomScale="90" zoomScaleNormal="90" workbookViewId="0">
      <selection activeCell="B32" sqref="B32: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163</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75.08321792000001</v>
      </c>
      <c r="D18" s="24">
        <f>$D32</f>
        <v>75.08321792000001</v>
      </c>
      <c r="E18" s="24">
        <f>$D33</f>
        <v>75.08321792000001</v>
      </c>
      <c r="F18" s="24">
        <f>$D34</f>
        <v>75.08321792000001</v>
      </c>
      <c r="G18" s="24">
        <f>$D35</f>
        <v>75.08321792000001</v>
      </c>
      <c r="H18" s="24">
        <f>$D36</f>
        <v>75.08321792000001</v>
      </c>
      <c r="I18" s="24">
        <f>$D37</f>
        <v>75.08321792000001</v>
      </c>
      <c r="J18" s="24">
        <f>$D38</f>
        <v>75.08321792000001</v>
      </c>
      <c r="K18" s="24">
        <f>$D39</f>
        <v>75.08321792000001</v>
      </c>
      <c r="L18" s="24">
        <f>$D40</f>
        <v>75.08321792000001</v>
      </c>
      <c r="M18" s="24">
        <f>$D41</f>
        <v>75.08321792000001</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-4.8167820799999816</v>
      </c>
      <c r="D19" s="24">
        <f t="shared" ref="D19:V19" si="1">D18-D17</f>
        <v>-4.8167820799999816</v>
      </c>
      <c r="E19" s="24">
        <f t="shared" si="1"/>
        <v>-4.8167820799999816</v>
      </c>
      <c r="F19" s="24">
        <f t="shared" si="1"/>
        <v>-4.8167820799999816</v>
      </c>
      <c r="G19" s="24">
        <f t="shared" si="1"/>
        <v>-4.8167820799999816</v>
      </c>
      <c r="H19" s="24">
        <f t="shared" si="1"/>
        <v>-4.8167820799999816</v>
      </c>
      <c r="I19" s="24">
        <f t="shared" si="1"/>
        <v>-4.8167820799999816</v>
      </c>
      <c r="J19" s="24">
        <f t="shared" si="1"/>
        <v>-4.8167820799999816</v>
      </c>
      <c r="K19" s="24">
        <f t="shared" si="1"/>
        <v>-4.8167820799999816</v>
      </c>
      <c r="L19" s="24">
        <f t="shared" si="1"/>
        <v>-4.8167820799999816</v>
      </c>
      <c r="M19" s="24">
        <f t="shared" si="1"/>
        <v>-4.8167820799999816</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0.198599424</v>
      </c>
      <c r="D22" s="24">
        <f>$E32</f>
        <v>0.198599424</v>
      </c>
      <c r="E22" s="24">
        <f>$E33</f>
        <v>0.198599424</v>
      </c>
      <c r="F22" s="24">
        <f>$E34</f>
        <v>0.198599424</v>
      </c>
      <c r="G22" s="24">
        <f>$E35</f>
        <v>0.198599424</v>
      </c>
      <c r="H22" s="24">
        <f>$E36</f>
        <v>0.198599424</v>
      </c>
      <c r="I22" s="24">
        <f>$E37</f>
        <v>0.198599424</v>
      </c>
      <c r="J22" s="24">
        <f>$E38</f>
        <v>0.198599424</v>
      </c>
      <c r="K22" s="24">
        <f>$E39</f>
        <v>0.198599424</v>
      </c>
      <c r="L22" s="24">
        <f>$E40</f>
        <v>0.198599424</v>
      </c>
      <c r="M22" s="24">
        <f>$E41</f>
        <v>0.198599424</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-281.80140057599999</v>
      </c>
      <c r="D23" s="24">
        <f t="shared" ref="D23:V23" si="3">D22-D21</f>
        <v>-281.80140057599999</v>
      </c>
      <c r="E23" s="24">
        <f t="shared" si="3"/>
        <v>-281.80140057599999</v>
      </c>
      <c r="F23" s="24">
        <f t="shared" si="3"/>
        <v>-281.80140057599999</v>
      </c>
      <c r="G23" s="24">
        <f t="shared" si="3"/>
        <v>-281.80140057599999</v>
      </c>
      <c r="H23" s="24">
        <f t="shared" si="3"/>
        <v>-281.80140057599999</v>
      </c>
      <c r="I23" s="24">
        <f t="shared" si="3"/>
        <v>-281.80140057599999</v>
      </c>
      <c r="J23" s="24">
        <f t="shared" si="3"/>
        <v>-281.80140057599999</v>
      </c>
      <c r="K23" s="24">
        <f t="shared" si="3"/>
        <v>-281.80140057599999</v>
      </c>
      <c r="L23" s="24">
        <f t="shared" si="3"/>
        <v>-281.80140057599999</v>
      </c>
      <c r="M23" s="24">
        <f t="shared" si="3"/>
        <v>-281.80140057599999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2.56</v>
      </c>
      <c r="C28" s="23">
        <v>1.46</v>
      </c>
      <c r="D28" s="23">
        <v>1.73</v>
      </c>
      <c r="E28" s="23">
        <v>8.6999999999999994E-3</v>
      </c>
      <c r="F28" s="23">
        <v>347</v>
      </c>
      <c r="G28" s="23">
        <v>40.1</v>
      </c>
      <c r="H28" s="23">
        <v>91</v>
      </c>
      <c r="I28" s="23">
        <v>5.07</v>
      </c>
      <c r="J28" s="23">
        <v>0.57999999999999996</v>
      </c>
      <c r="K28" s="30">
        <v>0.79</v>
      </c>
      <c r="L28" s="23">
        <v>3.36</v>
      </c>
      <c r="M28" s="23">
        <v>2.66</v>
      </c>
      <c r="N28" s="23">
        <v>183000</v>
      </c>
      <c r="O28" s="23">
        <v>3110</v>
      </c>
      <c r="P28" s="23"/>
      <c r="Q28" s="23">
        <v>7130</v>
      </c>
      <c r="R28" s="23"/>
      <c r="S28" s="23">
        <v>77.400000000000006</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74</v>
      </c>
      <c r="C31" s="2">
        <f>IF(C$27="%w/w SAR",((C$28*10)*$B31),IF(C$27="%w/w DM",(((C$28*10)*($B$28/100))*$B31),IF(C$27="kg/t SAR",(C$28*$B31),IF(C$27="kg/t DM",((C$28*($B$28/100))*$B31),IF(C$27="mg/kg SAR",((C$28*0.001)*$B31),IF(C$27="mg/kg DM",(((C$28*0.001)*($B$28/100))*$B31),0))))))</f>
        <v>27.658239999999999</v>
      </c>
      <c r="D31" s="2">
        <f>(IF(D$27="%w/w SAR",((D$28*10)*$B31),IF(D$27="%w/w DM",(((D$28*10)*($B$28/100))*$B31),IF(D$27="kg/t SAR",(D$28*$B31),IF(D$27="kg/t DM",((D$28*($B$28/100))*$B31),IF(D$27="mg/kg SAR",((D$28*0.001)*$B31),IF(D$27="mg/kg DM",(((D$28*0.001)*($B$28/100))*$B31),"0")))))))*2.291</f>
        <v>75.08321792000001</v>
      </c>
      <c r="E31" s="2">
        <f>(IF(E$27="%w/w SAR",((E$28*10)*$B31),IF(E$27="%w/w DM",(((E$28*10)*($B$28/100))*$B31),IF(E$27="kg/t SAR",(E$28*$B31),IF(E$27="kg/t DM",((E$28*($B$28/100))*$B31),IF(E$27="mg/kg SAR",((E$28*0.001)*$B31),IF(E$27="mg/kg DM",(((E$28*0.001)*($B$28/100))*$B31),"0")))))))*1.205</f>
        <v>0.198599424</v>
      </c>
      <c r="F31" s="2">
        <f>(IF(F$27="%w/w SAR",((F$28*10)*$B31),IF(F$27="%w/w DM",(((F$28*10)*($B$28/100))*$B31),IF(F$27="kg/t SAR",(F$28*$B31),IF(F$27="kg/t DM",((F$28*($B$28/100))*$B31),IF(F$27="mg/kg SAR",((F$28*0.001)*$B31),IF(F$27="mg/kg DM",(((F$28*0.001)*($B$28/100))*$B31),"0")))))))*1.658</f>
        <v>1.0898975744000001</v>
      </c>
      <c r="G31" s="2">
        <f t="shared" ref="G31:P46" si="5">IF(G$27="%w/w SAR",((G$28*10)*$B31),IF(G$27="%w/w DM",(((G$28*10)*($B$28/100))*$B31),IF(G$27="kg/t SAR",(G$28*$B31),IF(G$27="kg/t DM",((G$28*($B$28/100))*$B31),IF(G$27="mg/kg SAR",((G$28*0.001)*$B31),IF(G$27="mg/kg DM",(((G$28*0.001)*($B$28/100))*$B31),0))))))</f>
        <v>7.5965440000000009E-2</v>
      </c>
      <c r="H31" s="2">
        <f t="shared" si="5"/>
        <v>0.17239040000000003</v>
      </c>
      <c r="I31" s="2">
        <f t="shared" si="5"/>
        <v>9.6046080000000023E-3</v>
      </c>
      <c r="J31" s="2">
        <f t="shared" si="5"/>
        <v>1.0987520000000001E-3</v>
      </c>
      <c r="K31" s="2">
        <f t="shared" si="5"/>
        <v>1.4965760000000001E-3</v>
      </c>
      <c r="L31" s="2">
        <f t="shared" si="5"/>
        <v>6.3651840000000012E-3</v>
      </c>
      <c r="M31" s="2">
        <f t="shared" si="5"/>
        <v>5.0391040000000008E-3</v>
      </c>
      <c r="N31" s="2">
        <f t="shared" si="5"/>
        <v>346.67520000000002</v>
      </c>
      <c r="O31" s="2">
        <f t="shared" si="5"/>
        <v>5.8915840000000008</v>
      </c>
      <c r="P31" s="2">
        <f t="shared" si="5"/>
        <v>0</v>
      </c>
      <c r="Q31" s="2">
        <f>(IF(Q$27="%w/w SAR",((Q$28*10)*$B31),IF(Q$27="%w/w DM",(((Q$28*10)*($B$28/100))*$B31),IF(Q$27="kg/t SAR",(Q$28*$B31),IF(Q$27="kg/t DM",((Q$28*($B$28/100))*$B31),IF(Q$27="mg/kg SAR",((Q$28*0.001)*$B31),IF(Q$27="mg/kg DM",(((Q$28*0.001)*($B$28/100))*$B31),0)))))))*2.5</f>
        <v>33.767679999999999</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0.14662656000000004</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74</v>
      </c>
      <c r="C32" s="2">
        <f t="shared" ref="C32:C50" si="6">IF(C$27="%w/w SAR",((C$28*10)*$B32),IF(C$27="%w/w DM",(((C$28*10)*($B$28/100))*$B32),IF(C$27="kg/t SAR",(C$28*$B32),IF(C$27="kg/t DM",((C$28*($B$28/100))*$B32),IF(C$27="mg/kg SAR",((C$28*0.001)*$B32),IF(C$27="mg/kg DM",(((C$28*0.001)*($B$28/100))*$B32),0))))))</f>
        <v>27.658239999999999</v>
      </c>
      <c r="D32" s="2">
        <f t="shared" ref="D32:D50" si="7">(IF(D$27="%w/w SAR",((D$28*10)*$B32),IF(D$27="%w/w DM",(((D$28*10)*($B$28/100))*$B32),IF(D$27="kg/t SAR",(D$28*$B32),IF(D$27="kg/t DM",((D$28*($B$28/100))*$B32),IF(D$27="mg/kg SAR",((D$28*0.001)*$B32),IF(D$27="mg/kg DM",(((D$28*0.001)*($B$28/100))*$B32),"0")))))))*2.291</f>
        <v>75.08321792000001</v>
      </c>
      <c r="E32" s="2">
        <f t="shared" ref="E32:E50" si="8">(IF(E$27="%w/w SAR",((E$28*10)*$B32),IF(E$27="%w/w DM",(((E$28*10)*($B$28/100))*$B32),IF(E$27="kg/t SAR",(E$28*$B32),IF(E$27="kg/t DM",((E$28*($B$28/100))*$B32),IF(E$27="mg/kg SAR",((E$28*0.001)*$B32),IF(E$27="mg/kg DM",(((E$28*0.001)*($B$28/100))*$B32),"0")))))))*1.205</f>
        <v>0.198599424</v>
      </c>
      <c r="F32" s="2">
        <f t="shared" ref="F32:F50" si="9">(IF(F$27="%w/w SAR",((F$28*10)*$B32),IF(F$27="%w/w DM",(((F$28*10)*($B$28/100))*$B32),IF(F$27="kg/t SAR",(F$28*$B32),IF(F$27="kg/t DM",((F$28*($B$28/100))*$B32),IF(F$27="mg/kg SAR",((F$28*0.001)*$B32),IF(F$27="mg/kg DM",(((F$28*0.001)*($B$28/100))*$B32),"0")))))))*1.658</f>
        <v>1.0898975744000001</v>
      </c>
      <c r="G32" s="2">
        <f t="shared" si="5"/>
        <v>7.5965440000000009E-2</v>
      </c>
      <c r="H32" s="2">
        <f t="shared" si="5"/>
        <v>0.17239040000000003</v>
      </c>
      <c r="I32" s="2">
        <f t="shared" si="5"/>
        <v>9.6046080000000023E-3</v>
      </c>
      <c r="J32" s="2">
        <f t="shared" si="5"/>
        <v>1.0987520000000001E-3</v>
      </c>
      <c r="K32" s="2">
        <f t="shared" si="5"/>
        <v>1.4965760000000001E-3</v>
      </c>
      <c r="L32" s="2">
        <f t="shared" si="5"/>
        <v>6.3651840000000012E-3</v>
      </c>
      <c r="M32" s="2">
        <f t="shared" si="5"/>
        <v>5.0391040000000008E-3</v>
      </c>
      <c r="N32" s="2">
        <f t="shared" si="5"/>
        <v>346.67520000000002</v>
      </c>
      <c r="O32" s="2">
        <f t="shared" si="5"/>
        <v>5.8915840000000008</v>
      </c>
      <c r="P32" s="2">
        <f t="shared" si="5"/>
        <v>0</v>
      </c>
      <c r="Q32" s="2">
        <f t="shared" ref="Q32:Q50" si="10">(IF(Q$27="%w/w SAR",((Q$28*10)*$B32),IF(Q$27="%w/w DM",(((Q$28*10)*($B$28/100))*$B32),IF(Q$27="kg/t SAR",(Q$28*$B32),IF(Q$27="kg/t DM",((Q$28*($B$28/100))*$B32),IF(Q$27="mg/kg SAR",((Q$28*0.001)*$B32),IF(Q$27="mg/kg DM",(((Q$28*0.001)*($B$28/100))*$B32),0)))))))*2.5</f>
        <v>33.767679999999999</v>
      </c>
      <c r="R32" s="2">
        <f t="shared" ref="R32:U50" si="11">IF(R$27="%w/w SAR",((R$28*10)*$B32),IF(R$27="%w/w DM",(((R$28*10)*($B$28/100))*$B32),IF(R$27="kg/t SAR",(R$28*$B32),IF(R$27="kg/t DM",((R$28*($B$28/100))*$B32),IF(R$27="mg/kg SAR",((R$28*0.001)*$B32),IF(R$27="mg/kg DM",(((R$28*0.001)*($B$28/100))*$B32),0))))))</f>
        <v>0</v>
      </c>
      <c r="S32" s="2">
        <f t="shared" si="11"/>
        <v>0.14662656000000004</v>
      </c>
      <c r="T32" s="2">
        <f t="shared" si="11"/>
        <v>0</v>
      </c>
      <c r="U32" s="2">
        <f t="shared" si="11"/>
        <v>0</v>
      </c>
      <c r="AB32" s="66"/>
      <c r="AC32" s="66"/>
      <c r="AD32" s="66"/>
      <c r="AE32" s="66"/>
      <c r="AF32" s="66"/>
      <c r="AG32" s="66"/>
      <c r="AH32" s="66"/>
      <c r="AI32" s="66"/>
    </row>
    <row r="33" spans="1:35" s="83" customFormat="1" x14ac:dyDescent="0.25">
      <c r="A33" s="21">
        <f>E8</f>
        <v>865</v>
      </c>
      <c r="B33" s="23">
        <v>74</v>
      </c>
      <c r="C33" s="2">
        <f t="shared" si="6"/>
        <v>27.658239999999999</v>
      </c>
      <c r="D33" s="2">
        <f t="shared" si="7"/>
        <v>75.08321792000001</v>
      </c>
      <c r="E33" s="2">
        <f t="shared" si="8"/>
        <v>0.198599424</v>
      </c>
      <c r="F33" s="2">
        <f t="shared" si="9"/>
        <v>1.0898975744000001</v>
      </c>
      <c r="G33" s="2">
        <f t="shared" si="5"/>
        <v>7.5965440000000009E-2</v>
      </c>
      <c r="H33" s="2">
        <f t="shared" si="5"/>
        <v>0.17239040000000003</v>
      </c>
      <c r="I33" s="2">
        <f t="shared" si="5"/>
        <v>9.6046080000000023E-3</v>
      </c>
      <c r="J33" s="2">
        <f t="shared" si="5"/>
        <v>1.0987520000000001E-3</v>
      </c>
      <c r="K33" s="2">
        <f t="shared" si="5"/>
        <v>1.4965760000000001E-3</v>
      </c>
      <c r="L33" s="2">
        <f t="shared" si="5"/>
        <v>6.3651840000000012E-3</v>
      </c>
      <c r="M33" s="2">
        <f t="shared" si="5"/>
        <v>5.0391040000000008E-3</v>
      </c>
      <c r="N33" s="2">
        <f t="shared" si="5"/>
        <v>346.67520000000002</v>
      </c>
      <c r="O33" s="2">
        <f t="shared" si="5"/>
        <v>5.8915840000000008</v>
      </c>
      <c r="P33" s="2">
        <f t="shared" si="5"/>
        <v>0</v>
      </c>
      <c r="Q33" s="2">
        <f t="shared" si="10"/>
        <v>33.767679999999999</v>
      </c>
      <c r="R33" s="2">
        <f t="shared" si="11"/>
        <v>0</v>
      </c>
      <c r="S33" s="2">
        <f t="shared" si="11"/>
        <v>0.14662656000000004</v>
      </c>
      <c r="T33" s="2">
        <f t="shared" si="11"/>
        <v>0</v>
      </c>
      <c r="U33" s="2">
        <f t="shared" si="11"/>
        <v>0</v>
      </c>
      <c r="AB33" s="66"/>
      <c r="AC33" s="66"/>
      <c r="AD33" s="66"/>
      <c r="AE33" s="66"/>
      <c r="AF33" s="66"/>
      <c r="AG33" s="66"/>
      <c r="AH33" s="66"/>
      <c r="AI33" s="66"/>
    </row>
    <row r="34" spans="1:35" s="83" customFormat="1" x14ac:dyDescent="0.25">
      <c r="A34" s="21">
        <f>F8</f>
        <v>9678</v>
      </c>
      <c r="B34" s="23">
        <v>74</v>
      </c>
      <c r="C34" s="2">
        <f t="shared" si="6"/>
        <v>27.658239999999999</v>
      </c>
      <c r="D34" s="2">
        <f t="shared" si="7"/>
        <v>75.08321792000001</v>
      </c>
      <c r="E34" s="2">
        <f t="shared" si="8"/>
        <v>0.198599424</v>
      </c>
      <c r="F34" s="2">
        <f t="shared" si="9"/>
        <v>1.0898975744000001</v>
      </c>
      <c r="G34" s="2">
        <f t="shared" si="5"/>
        <v>7.5965440000000009E-2</v>
      </c>
      <c r="H34" s="2">
        <f t="shared" si="5"/>
        <v>0.17239040000000003</v>
      </c>
      <c r="I34" s="2">
        <f t="shared" si="5"/>
        <v>9.6046080000000023E-3</v>
      </c>
      <c r="J34" s="2">
        <f t="shared" si="5"/>
        <v>1.0987520000000001E-3</v>
      </c>
      <c r="K34" s="2">
        <f t="shared" si="5"/>
        <v>1.4965760000000001E-3</v>
      </c>
      <c r="L34" s="2">
        <f t="shared" si="5"/>
        <v>6.3651840000000012E-3</v>
      </c>
      <c r="M34" s="2">
        <f t="shared" si="5"/>
        <v>5.0391040000000008E-3</v>
      </c>
      <c r="N34" s="2">
        <f t="shared" si="5"/>
        <v>346.67520000000002</v>
      </c>
      <c r="O34" s="2">
        <f t="shared" si="5"/>
        <v>5.8915840000000008</v>
      </c>
      <c r="P34" s="2">
        <f t="shared" si="5"/>
        <v>0</v>
      </c>
      <c r="Q34" s="2">
        <f t="shared" si="10"/>
        <v>33.767679999999999</v>
      </c>
      <c r="R34" s="2">
        <f t="shared" si="11"/>
        <v>0</v>
      </c>
      <c r="S34" s="2">
        <f t="shared" si="11"/>
        <v>0.14662656000000004</v>
      </c>
      <c r="T34" s="2">
        <f t="shared" si="11"/>
        <v>0</v>
      </c>
      <c r="U34" s="2">
        <f t="shared" si="11"/>
        <v>0</v>
      </c>
      <c r="AB34" s="66"/>
      <c r="AC34" s="66"/>
      <c r="AD34" s="66"/>
      <c r="AE34" s="66"/>
      <c r="AF34" s="66"/>
      <c r="AG34" s="66"/>
      <c r="AH34" s="66"/>
      <c r="AI34" s="66"/>
    </row>
    <row r="35" spans="1:35" s="83" customFormat="1" x14ac:dyDescent="0.25">
      <c r="A35" s="21">
        <f>G8</f>
        <v>1285</v>
      </c>
      <c r="B35" s="23">
        <v>74</v>
      </c>
      <c r="C35" s="2">
        <f t="shared" si="6"/>
        <v>27.658239999999999</v>
      </c>
      <c r="D35" s="2">
        <f t="shared" si="7"/>
        <v>75.08321792000001</v>
      </c>
      <c r="E35" s="2">
        <f t="shared" si="8"/>
        <v>0.198599424</v>
      </c>
      <c r="F35" s="2">
        <f t="shared" si="9"/>
        <v>1.0898975744000001</v>
      </c>
      <c r="G35" s="2">
        <f t="shared" si="5"/>
        <v>7.5965440000000009E-2</v>
      </c>
      <c r="H35" s="2">
        <f t="shared" si="5"/>
        <v>0.17239040000000003</v>
      </c>
      <c r="I35" s="2">
        <f t="shared" si="5"/>
        <v>9.6046080000000023E-3</v>
      </c>
      <c r="J35" s="2">
        <f t="shared" si="5"/>
        <v>1.0987520000000001E-3</v>
      </c>
      <c r="K35" s="2">
        <f t="shared" si="5"/>
        <v>1.4965760000000001E-3</v>
      </c>
      <c r="L35" s="2">
        <f t="shared" si="5"/>
        <v>6.3651840000000012E-3</v>
      </c>
      <c r="M35" s="2">
        <f t="shared" si="5"/>
        <v>5.0391040000000008E-3</v>
      </c>
      <c r="N35" s="2">
        <f t="shared" si="5"/>
        <v>346.67520000000002</v>
      </c>
      <c r="O35" s="2">
        <f t="shared" si="5"/>
        <v>5.8915840000000008</v>
      </c>
      <c r="P35" s="2">
        <f t="shared" si="5"/>
        <v>0</v>
      </c>
      <c r="Q35" s="2">
        <f t="shared" si="10"/>
        <v>33.767679999999999</v>
      </c>
      <c r="R35" s="2">
        <f t="shared" si="11"/>
        <v>0</v>
      </c>
      <c r="S35" s="2">
        <f t="shared" si="11"/>
        <v>0.14662656000000004</v>
      </c>
      <c r="T35" s="2">
        <f t="shared" si="11"/>
        <v>0</v>
      </c>
      <c r="U35" s="2">
        <f t="shared" si="11"/>
        <v>0</v>
      </c>
      <c r="AB35" s="66"/>
      <c r="AC35" s="66"/>
      <c r="AD35" s="66"/>
      <c r="AE35" s="66"/>
      <c r="AF35" s="66"/>
      <c r="AG35" s="66"/>
      <c r="AH35" s="66"/>
      <c r="AI35" s="66"/>
    </row>
    <row r="36" spans="1:35" s="83" customFormat="1" x14ac:dyDescent="0.25">
      <c r="A36" s="21">
        <f>H8</f>
        <v>2488</v>
      </c>
      <c r="B36" s="23">
        <v>74</v>
      </c>
      <c r="C36" s="2">
        <f t="shared" si="6"/>
        <v>27.658239999999999</v>
      </c>
      <c r="D36" s="2">
        <f t="shared" si="7"/>
        <v>75.08321792000001</v>
      </c>
      <c r="E36" s="2">
        <f t="shared" si="8"/>
        <v>0.198599424</v>
      </c>
      <c r="F36" s="2">
        <f t="shared" si="9"/>
        <v>1.0898975744000001</v>
      </c>
      <c r="G36" s="2">
        <f t="shared" si="5"/>
        <v>7.5965440000000009E-2</v>
      </c>
      <c r="H36" s="2">
        <f t="shared" si="5"/>
        <v>0.17239040000000003</v>
      </c>
      <c r="I36" s="2">
        <f t="shared" si="5"/>
        <v>9.6046080000000023E-3</v>
      </c>
      <c r="J36" s="2">
        <f t="shared" si="5"/>
        <v>1.0987520000000001E-3</v>
      </c>
      <c r="K36" s="2">
        <f t="shared" si="5"/>
        <v>1.4965760000000001E-3</v>
      </c>
      <c r="L36" s="2">
        <f t="shared" si="5"/>
        <v>6.3651840000000012E-3</v>
      </c>
      <c r="M36" s="2">
        <f t="shared" si="5"/>
        <v>5.0391040000000008E-3</v>
      </c>
      <c r="N36" s="2">
        <f t="shared" si="5"/>
        <v>346.67520000000002</v>
      </c>
      <c r="O36" s="2">
        <f t="shared" si="5"/>
        <v>5.8915840000000008</v>
      </c>
      <c r="P36" s="2">
        <f t="shared" si="5"/>
        <v>0</v>
      </c>
      <c r="Q36" s="2">
        <f t="shared" si="10"/>
        <v>33.767679999999999</v>
      </c>
      <c r="R36" s="2">
        <f t="shared" si="11"/>
        <v>0</v>
      </c>
      <c r="S36" s="2">
        <f t="shared" si="11"/>
        <v>0.14662656000000004</v>
      </c>
      <c r="T36" s="2">
        <f t="shared" si="11"/>
        <v>0</v>
      </c>
      <c r="U36" s="2">
        <f t="shared" si="11"/>
        <v>0</v>
      </c>
      <c r="AB36" s="66"/>
      <c r="AC36" s="66"/>
      <c r="AD36" s="66"/>
      <c r="AE36" s="66"/>
      <c r="AF36" s="66"/>
      <c r="AG36" s="66"/>
      <c r="AH36" s="66"/>
      <c r="AI36" s="66"/>
    </row>
    <row r="37" spans="1:35" s="83" customFormat="1" x14ac:dyDescent="0.25">
      <c r="A37" s="21">
        <f>I8</f>
        <v>9216</v>
      </c>
      <c r="B37" s="23">
        <v>74</v>
      </c>
      <c r="C37" s="2">
        <f t="shared" si="6"/>
        <v>27.658239999999999</v>
      </c>
      <c r="D37" s="2">
        <f t="shared" si="7"/>
        <v>75.08321792000001</v>
      </c>
      <c r="E37" s="2">
        <f t="shared" si="8"/>
        <v>0.198599424</v>
      </c>
      <c r="F37" s="2">
        <f t="shared" si="9"/>
        <v>1.0898975744000001</v>
      </c>
      <c r="G37" s="2">
        <f t="shared" si="5"/>
        <v>7.5965440000000009E-2</v>
      </c>
      <c r="H37" s="2">
        <f t="shared" si="5"/>
        <v>0.17239040000000003</v>
      </c>
      <c r="I37" s="2">
        <f t="shared" si="5"/>
        <v>9.6046080000000023E-3</v>
      </c>
      <c r="J37" s="2">
        <f t="shared" si="5"/>
        <v>1.0987520000000001E-3</v>
      </c>
      <c r="K37" s="2">
        <f t="shared" si="5"/>
        <v>1.4965760000000001E-3</v>
      </c>
      <c r="L37" s="2">
        <f t="shared" si="5"/>
        <v>6.3651840000000012E-3</v>
      </c>
      <c r="M37" s="2">
        <f t="shared" si="5"/>
        <v>5.0391040000000008E-3</v>
      </c>
      <c r="N37" s="2">
        <f t="shared" si="5"/>
        <v>346.67520000000002</v>
      </c>
      <c r="O37" s="2">
        <f t="shared" si="5"/>
        <v>5.8915840000000008</v>
      </c>
      <c r="P37" s="2">
        <f t="shared" si="5"/>
        <v>0</v>
      </c>
      <c r="Q37" s="2">
        <f t="shared" si="10"/>
        <v>33.767679999999999</v>
      </c>
      <c r="R37" s="2">
        <f t="shared" si="11"/>
        <v>0</v>
      </c>
      <c r="S37" s="2">
        <f t="shared" si="11"/>
        <v>0.14662656000000004</v>
      </c>
      <c r="T37" s="2">
        <f t="shared" si="11"/>
        <v>0</v>
      </c>
      <c r="U37" s="2">
        <f t="shared" si="11"/>
        <v>0</v>
      </c>
      <c r="AB37" s="66"/>
      <c r="AC37" s="66"/>
      <c r="AD37" s="66"/>
      <c r="AE37" s="66"/>
      <c r="AF37" s="66"/>
      <c r="AG37" s="66"/>
      <c r="AH37" s="66"/>
      <c r="AI37" s="66"/>
    </row>
    <row r="38" spans="1:35" s="83" customFormat="1" x14ac:dyDescent="0.25">
      <c r="A38" s="21">
        <f>J8</f>
        <v>1113</v>
      </c>
      <c r="B38" s="23">
        <v>74</v>
      </c>
      <c r="C38" s="2">
        <f t="shared" si="6"/>
        <v>27.658239999999999</v>
      </c>
      <c r="D38" s="2">
        <f t="shared" si="7"/>
        <v>75.08321792000001</v>
      </c>
      <c r="E38" s="2">
        <f t="shared" si="8"/>
        <v>0.198599424</v>
      </c>
      <c r="F38" s="2">
        <f t="shared" si="9"/>
        <v>1.0898975744000001</v>
      </c>
      <c r="G38" s="2">
        <f t="shared" si="5"/>
        <v>7.5965440000000009E-2</v>
      </c>
      <c r="H38" s="2">
        <f t="shared" si="5"/>
        <v>0.17239040000000003</v>
      </c>
      <c r="I38" s="2">
        <f t="shared" si="5"/>
        <v>9.6046080000000023E-3</v>
      </c>
      <c r="J38" s="2">
        <f t="shared" si="5"/>
        <v>1.0987520000000001E-3</v>
      </c>
      <c r="K38" s="2">
        <f t="shared" si="5"/>
        <v>1.4965760000000001E-3</v>
      </c>
      <c r="L38" s="2">
        <f t="shared" si="5"/>
        <v>6.3651840000000012E-3</v>
      </c>
      <c r="M38" s="2">
        <f t="shared" si="5"/>
        <v>5.0391040000000008E-3</v>
      </c>
      <c r="N38" s="2">
        <f t="shared" si="5"/>
        <v>346.67520000000002</v>
      </c>
      <c r="O38" s="2">
        <f t="shared" si="5"/>
        <v>5.8915840000000008</v>
      </c>
      <c r="P38" s="2">
        <f t="shared" si="5"/>
        <v>0</v>
      </c>
      <c r="Q38" s="2">
        <f t="shared" si="10"/>
        <v>33.767679999999999</v>
      </c>
      <c r="R38" s="2">
        <f t="shared" si="11"/>
        <v>0</v>
      </c>
      <c r="S38" s="2">
        <f t="shared" si="11"/>
        <v>0.14662656000000004</v>
      </c>
      <c r="T38" s="2">
        <f t="shared" si="11"/>
        <v>0</v>
      </c>
      <c r="U38" s="2">
        <f t="shared" si="11"/>
        <v>0</v>
      </c>
      <c r="AB38" s="66"/>
      <c r="AC38" s="66"/>
      <c r="AD38" s="66"/>
      <c r="AE38" s="66"/>
      <c r="AF38" s="66"/>
      <c r="AG38" s="66"/>
      <c r="AH38" s="66"/>
      <c r="AI38" s="66"/>
    </row>
    <row r="39" spans="1:35" s="83" customFormat="1" x14ac:dyDescent="0.25">
      <c r="A39" s="21">
        <f>K8</f>
        <v>2585</v>
      </c>
      <c r="B39" s="23">
        <v>74</v>
      </c>
      <c r="C39" s="2">
        <f t="shared" si="6"/>
        <v>27.658239999999999</v>
      </c>
      <c r="D39" s="2">
        <f t="shared" si="7"/>
        <v>75.08321792000001</v>
      </c>
      <c r="E39" s="2">
        <f t="shared" si="8"/>
        <v>0.198599424</v>
      </c>
      <c r="F39" s="2">
        <f t="shared" si="9"/>
        <v>1.0898975744000001</v>
      </c>
      <c r="G39" s="2">
        <f t="shared" si="5"/>
        <v>7.5965440000000009E-2</v>
      </c>
      <c r="H39" s="2">
        <f t="shared" si="5"/>
        <v>0.17239040000000003</v>
      </c>
      <c r="I39" s="2">
        <f t="shared" si="5"/>
        <v>9.6046080000000023E-3</v>
      </c>
      <c r="J39" s="2">
        <f t="shared" si="5"/>
        <v>1.0987520000000001E-3</v>
      </c>
      <c r="K39" s="2">
        <f t="shared" si="5"/>
        <v>1.4965760000000001E-3</v>
      </c>
      <c r="L39" s="2">
        <f t="shared" si="5"/>
        <v>6.3651840000000012E-3</v>
      </c>
      <c r="M39" s="2">
        <f t="shared" si="5"/>
        <v>5.0391040000000008E-3</v>
      </c>
      <c r="N39" s="2">
        <f t="shared" si="5"/>
        <v>346.67520000000002</v>
      </c>
      <c r="O39" s="2">
        <f t="shared" si="5"/>
        <v>5.8915840000000008</v>
      </c>
      <c r="P39" s="2">
        <f t="shared" si="5"/>
        <v>0</v>
      </c>
      <c r="Q39" s="2">
        <f t="shared" si="10"/>
        <v>33.767679999999999</v>
      </c>
      <c r="R39" s="2">
        <f t="shared" si="11"/>
        <v>0</v>
      </c>
      <c r="S39" s="2">
        <f t="shared" si="11"/>
        <v>0.14662656000000004</v>
      </c>
      <c r="T39" s="2">
        <f t="shared" si="11"/>
        <v>0</v>
      </c>
      <c r="U39" s="2">
        <f t="shared" si="11"/>
        <v>0</v>
      </c>
      <c r="AB39" s="66"/>
      <c r="AC39" s="66"/>
      <c r="AD39" s="66"/>
      <c r="AE39" s="66"/>
      <c r="AF39" s="66"/>
      <c r="AG39" s="66"/>
      <c r="AH39" s="66"/>
      <c r="AI39" s="66"/>
    </row>
    <row r="40" spans="1:35" s="83" customFormat="1" x14ac:dyDescent="0.25">
      <c r="A40" s="21">
        <f>L8</f>
        <v>264</v>
      </c>
      <c r="B40" s="23">
        <v>74</v>
      </c>
      <c r="C40" s="2">
        <f t="shared" si="6"/>
        <v>27.658239999999999</v>
      </c>
      <c r="D40" s="2">
        <f t="shared" si="7"/>
        <v>75.08321792000001</v>
      </c>
      <c r="E40" s="2">
        <f t="shared" si="8"/>
        <v>0.198599424</v>
      </c>
      <c r="F40" s="2">
        <f t="shared" si="9"/>
        <v>1.0898975744000001</v>
      </c>
      <c r="G40" s="2">
        <f t="shared" si="5"/>
        <v>7.5965440000000009E-2</v>
      </c>
      <c r="H40" s="2">
        <f t="shared" si="5"/>
        <v>0.17239040000000003</v>
      </c>
      <c r="I40" s="2">
        <f t="shared" si="5"/>
        <v>9.6046080000000023E-3</v>
      </c>
      <c r="J40" s="2">
        <f t="shared" si="5"/>
        <v>1.0987520000000001E-3</v>
      </c>
      <c r="K40" s="2">
        <f t="shared" si="5"/>
        <v>1.4965760000000001E-3</v>
      </c>
      <c r="L40" s="2">
        <f t="shared" si="5"/>
        <v>6.3651840000000012E-3</v>
      </c>
      <c r="M40" s="2">
        <f t="shared" si="5"/>
        <v>5.0391040000000008E-3</v>
      </c>
      <c r="N40" s="2">
        <f t="shared" si="5"/>
        <v>346.67520000000002</v>
      </c>
      <c r="O40" s="2">
        <f t="shared" si="5"/>
        <v>5.8915840000000008</v>
      </c>
      <c r="P40" s="2">
        <f t="shared" si="5"/>
        <v>0</v>
      </c>
      <c r="Q40" s="2">
        <f t="shared" si="10"/>
        <v>33.767679999999999</v>
      </c>
      <c r="R40" s="2">
        <f t="shared" si="11"/>
        <v>0</v>
      </c>
      <c r="S40" s="2">
        <f t="shared" si="11"/>
        <v>0.14662656000000004</v>
      </c>
      <c r="T40" s="2">
        <f t="shared" si="11"/>
        <v>0</v>
      </c>
      <c r="U40" s="2">
        <f t="shared" si="11"/>
        <v>0</v>
      </c>
      <c r="AB40" s="66"/>
      <c r="AC40" s="66"/>
      <c r="AD40" s="66"/>
      <c r="AE40" s="66"/>
      <c r="AF40" s="66"/>
      <c r="AG40" s="66"/>
      <c r="AH40" s="66"/>
      <c r="AI40" s="66"/>
    </row>
    <row r="41" spans="1:35" s="83" customFormat="1" x14ac:dyDescent="0.25">
      <c r="A41" s="21">
        <f>M8</f>
        <v>6854</v>
      </c>
      <c r="B41" s="23">
        <v>74</v>
      </c>
      <c r="C41" s="2">
        <f t="shared" si="6"/>
        <v>27.658239999999999</v>
      </c>
      <c r="D41" s="2">
        <f t="shared" si="7"/>
        <v>75.08321792000001</v>
      </c>
      <c r="E41" s="2">
        <f t="shared" si="8"/>
        <v>0.198599424</v>
      </c>
      <c r="F41" s="2">
        <f t="shared" si="9"/>
        <v>1.0898975744000001</v>
      </c>
      <c r="G41" s="2">
        <f t="shared" si="5"/>
        <v>7.5965440000000009E-2</v>
      </c>
      <c r="H41" s="2">
        <f t="shared" si="5"/>
        <v>0.17239040000000003</v>
      </c>
      <c r="I41" s="2">
        <f t="shared" si="5"/>
        <v>9.6046080000000023E-3</v>
      </c>
      <c r="J41" s="2">
        <f t="shared" si="5"/>
        <v>1.0987520000000001E-3</v>
      </c>
      <c r="K41" s="2">
        <f t="shared" si="5"/>
        <v>1.4965760000000001E-3</v>
      </c>
      <c r="L41" s="2">
        <f t="shared" si="5"/>
        <v>6.3651840000000012E-3</v>
      </c>
      <c r="M41" s="2">
        <f t="shared" si="5"/>
        <v>5.0391040000000008E-3</v>
      </c>
      <c r="N41" s="2">
        <f t="shared" si="5"/>
        <v>346.67520000000002</v>
      </c>
      <c r="O41" s="2">
        <f t="shared" si="5"/>
        <v>5.8915840000000008</v>
      </c>
      <c r="P41" s="2">
        <f t="shared" si="5"/>
        <v>0</v>
      </c>
      <c r="Q41" s="2">
        <f t="shared" si="10"/>
        <v>33.767679999999999</v>
      </c>
      <c r="R41" s="2">
        <f t="shared" si="11"/>
        <v>0</v>
      </c>
      <c r="S41" s="2">
        <f t="shared" si="11"/>
        <v>0.14662656000000004</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"&amp;(VLOOKUP(C14,Table24581113[],6,FALSE))</f>
        <v>Medium/Clay I Grass</v>
      </c>
      <c r="C58" s="44" t="str">
        <f>D16&amp;" I "&amp;(VLOOKUP(D14,Table24581113[],6,FALSE))</f>
        <v>Medium/Clay I Grass</v>
      </c>
      <c r="D58" s="21" t="str">
        <f>E16&amp;" I "&amp;(VLOOKUP(E14,Table24581113[],6,FALSE))</f>
        <v>Medium/Clay I Grass</v>
      </c>
      <c r="E58" s="21" t="str">
        <f>F16&amp;" I "&amp;(VLOOKUP(F14,Table24581113[],6,FALSE))</f>
        <v>Medium/Clay I Grass</v>
      </c>
      <c r="F58" s="21" t="str">
        <f>G16&amp;" I "&amp;(VLOOKUP(G14,Table24581113[],6,FALSE))</f>
        <v>Medium/Clay I Grass</v>
      </c>
      <c r="G58" s="21" t="str">
        <f>H16&amp;" I "&amp;(VLOOKUP(H14,Table24581113[],6,FALSE))</f>
        <v>Medium/Clay I Grass</v>
      </c>
      <c r="H58" s="21" t="str">
        <f>I16&amp;" I "&amp;(VLOOKUP(I14,Table24581113[],6,FALSE))</f>
        <v>Medium/Clay I Grass</v>
      </c>
      <c r="I58" s="21" t="str">
        <f>J16&amp;" I "&amp;(VLOOKUP(J14,Table24581113[],6,FALSE))</f>
        <v>Medium/Clay I Grass</v>
      </c>
      <c r="J58" s="21" t="str">
        <f>K16&amp;" I "&amp;(VLOOKUP(K14,Table24581113[],6,FALSE))</f>
        <v>Medium/Clay I Grass</v>
      </c>
      <c r="K58" s="21" t="str">
        <f>L16&amp;" I "&amp;(VLOOKUP(L14,Table24581113[],6,FALSE))</f>
        <v>Medium/Clay I Grass</v>
      </c>
      <c r="L58" s="21" t="str">
        <f>M16&amp;" I "&amp;(VLOOKUP(M14,Table24581113[],6,FALSE))</f>
        <v>Medium/Clay I Grass</v>
      </c>
      <c r="M58" s="21" t="e">
        <f>N16&amp;" I "&amp;(VLOOKUP(N14,Table24581113[],6,FALSE))</f>
        <v>#N/A</v>
      </c>
      <c r="N58" s="21" t="e">
        <f>O16&amp;" I "&amp;(VLOOKUP(O14,Table24581113[],6,FALSE))</f>
        <v>#N/A</v>
      </c>
      <c r="O58" s="21" t="e">
        <f>P16&amp;" I "&amp;(VLOOKUP(P14,Table24581113[],6,FALSE))</f>
        <v>#N/A</v>
      </c>
      <c r="P58" s="21" t="e">
        <f>Q16&amp;" I "&amp;(VLOOKUP(Q14,Table24581113[],6,FALSE))</f>
        <v>#N/A</v>
      </c>
      <c r="Q58" s="21" t="e">
        <f>R16&amp;" I "&amp;(VLOOKUP(R14,Table24581113[],6,FALSE))</f>
        <v>#N/A</v>
      </c>
      <c r="R58" s="21" t="e">
        <f>S16&amp;" I "&amp;(VLOOKUP(S14,Table24581113[],6,FALSE))</f>
        <v>#N/A</v>
      </c>
      <c r="S58" s="21" t="e">
        <f>T16&amp;" I "&amp;(VLOOKUP(T14,Table24581113[],6,FALSE))</f>
        <v>#N/A</v>
      </c>
      <c r="T58" s="21" t="e">
        <f>U16&amp;" I "&amp;(VLOOKUP(U14,Table24581113[],6,FALSE))</f>
        <v>#N/A</v>
      </c>
      <c r="U58" s="21" t="e">
        <f>V16&amp;" I "&amp;(VLOOKUP(V14,Table24581113[],6,FALSE))</f>
        <v>#N/A</v>
      </c>
    </row>
    <row r="59" spans="1:35" s="27" customFormat="1" hidden="1" x14ac:dyDescent="0.2">
      <c r="A59" s="92" t="s">
        <v>130</v>
      </c>
      <c r="B59" s="93">
        <f>VLOOKUP(C$14,Table24581113[],5,FALSE)</f>
        <v>6.2</v>
      </c>
      <c r="C59" s="93">
        <f>VLOOKUP(D$14,Table24581113[],5,FALSE)</f>
        <v>6.2</v>
      </c>
      <c r="D59" s="93">
        <f>VLOOKUP(E$14,Table24581113[],5,FALSE)</f>
        <v>6.2</v>
      </c>
      <c r="E59" s="93">
        <f>VLOOKUP(F$14,Table24581113[],5,FALSE)</f>
        <v>6.2</v>
      </c>
      <c r="F59" s="93">
        <f>VLOOKUP(G$14,Table24581113[],5,FALSE)</f>
        <v>6.2</v>
      </c>
      <c r="G59" s="93">
        <f>VLOOKUP(H$14,Table24581113[],5,FALSE)</f>
        <v>6.2</v>
      </c>
      <c r="H59" s="93">
        <f>VLOOKUP(I$14,Table24581113[],5,FALSE)</f>
        <v>6.2</v>
      </c>
      <c r="I59" s="93">
        <f>VLOOKUP(J$14,Table24581113[],5,FALSE)</f>
        <v>6.2</v>
      </c>
      <c r="J59" s="93">
        <f>VLOOKUP(K$14,Table24581113[],5,FALSE)</f>
        <v>6.2</v>
      </c>
      <c r="K59" s="93">
        <f>VLOOKUP(L$14,Table24581113[],5,FALSE)</f>
        <v>6.2</v>
      </c>
      <c r="L59" s="93">
        <f>VLOOKUP(M$14,Table24581113[],5,FALSE)</f>
        <v>6.2</v>
      </c>
      <c r="M59" s="93" t="e">
        <f>VLOOKUP(N$14,Table24581113[],5,FALSE)</f>
        <v>#N/A</v>
      </c>
      <c r="N59" s="93" t="e">
        <f>VLOOKUP(O$14,Table24581113[],5,FALSE)</f>
        <v>#N/A</v>
      </c>
      <c r="O59" s="93" t="e">
        <f>VLOOKUP(P$14,Table24581113[],5,FALSE)</f>
        <v>#N/A</v>
      </c>
      <c r="P59" s="93" t="e">
        <f>VLOOKUP(Q$14,Table24581113[],5,FALSE)</f>
        <v>#N/A</v>
      </c>
      <c r="Q59" s="93" t="e">
        <f>VLOOKUP(R$14,Table24581113[],5,FALSE)</f>
        <v>#N/A</v>
      </c>
      <c r="R59" s="93" t="e">
        <f>VLOOKUP(S$14,Table24581113[],5,FALSE)</f>
        <v>#N/A</v>
      </c>
      <c r="S59" s="93" t="e">
        <f>VLOOKUP(T$14,Table24581113[],5,FALSE)</f>
        <v>#N/A</v>
      </c>
      <c r="T59" s="93" t="e">
        <f>VLOOKUP(U$14,Table24581113[],5,FALSE)</f>
        <v>#N/A</v>
      </c>
      <c r="U59" s="93" t="e">
        <f>VLOOKUP(V$14,Table24581113[],5,FALSE)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74</v>
      </c>
      <c r="C62" s="94">
        <f>B32</f>
        <v>74</v>
      </c>
      <c r="D62" s="94">
        <f>B33</f>
        <v>74</v>
      </c>
      <c r="E62" s="94">
        <f>B34</f>
        <v>74</v>
      </c>
      <c r="F62" s="94">
        <f>B35</f>
        <v>74</v>
      </c>
      <c r="G62" s="94">
        <f>B36</f>
        <v>74</v>
      </c>
      <c r="H62" s="94">
        <f>B37</f>
        <v>74</v>
      </c>
      <c r="I62" s="94">
        <f>B38</f>
        <v>74</v>
      </c>
      <c r="J62" s="94">
        <f>B39</f>
        <v>74</v>
      </c>
      <c r="K62" s="94">
        <f>B40</f>
        <v>74</v>
      </c>
      <c r="L62" s="94">
        <f>B41</f>
        <v>74</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16" priority="29" operator="equal">
      <formula>"DECREASE"</formula>
    </cfRule>
    <cfRule type="cellIs" dxfId="115" priority="30" operator="equal">
      <formula>"INCREASE"</formula>
    </cfRule>
  </conditionalFormatting>
  <conditionalFormatting sqref="B62:U65 B31:B50">
    <cfRule type="cellIs" dxfId="114" priority="28" operator="greaterThan">
      <formula>$B$51</formula>
    </cfRule>
  </conditionalFormatting>
  <conditionalFormatting sqref="C31:C50">
    <cfRule type="cellIs" dxfId="113" priority="27" operator="greaterThan">
      <formula>$C$51</formula>
    </cfRule>
  </conditionalFormatting>
  <conditionalFormatting sqref="C18:V18">
    <cfRule type="cellIs" dxfId="112" priority="26" operator="equal">
      <formula>0</formula>
    </cfRule>
  </conditionalFormatting>
  <conditionalFormatting sqref="C17:V17">
    <cfRule type="cellIs" dxfId="111" priority="25" operator="equal">
      <formula>0</formula>
    </cfRule>
  </conditionalFormatting>
  <conditionalFormatting sqref="C19:V19">
    <cfRule type="cellIs" dxfId="110" priority="24" operator="equal">
      <formula>0</formula>
    </cfRule>
  </conditionalFormatting>
  <conditionalFormatting sqref="G31:G50">
    <cfRule type="cellIs" dxfId="109" priority="23" operator="greaterThan">
      <formula>$G$51</formula>
    </cfRule>
  </conditionalFormatting>
  <conditionalFormatting sqref="H31:H50">
    <cfRule type="cellIs" dxfId="108" priority="22" operator="greaterThan">
      <formula>$H$51</formula>
    </cfRule>
  </conditionalFormatting>
  <conditionalFormatting sqref="I31:I50">
    <cfRule type="cellIs" dxfId="107" priority="21" operator="greaterThan">
      <formula>$I$51</formula>
    </cfRule>
  </conditionalFormatting>
  <conditionalFormatting sqref="K31:K50">
    <cfRule type="cellIs" dxfId="106" priority="20" operator="greaterThan">
      <formula>$K$51</formula>
    </cfRule>
  </conditionalFormatting>
  <conditionalFormatting sqref="L31:L50">
    <cfRule type="cellIs" dxfId="105" priority="19" operator="greaterThan">
      <formula>$L$51</formula>
    </cfRule>
  </conditionalFormatting>
  <conditionalFormatting sqref="M31:M50">
    <cfRule type="cellIs" dxfId="104" priority="18" operator="greaterThan">
      <formula>$M$51</formula>
    </cfRule>
  </conditionalFormatting>
  <conditionalFormatting sqref="P31:P50">
    <cfRule type="cellIs" dxfId="103" priority="17" operator="greaterThan">
      <formula>$P$51</formula>
    </cfRule>
  </conditionalFormatting>
  <conditionalFormatting sqref="R31:R50">
    <cfRule type="cellIs" dxfId="102" priority="16" operator="greaterThan">
      <formula>$R$51</formula>
    </cfRule>
  </conditionalFormatting>
  <conditionalFormatting sqref="S31:S50">
    <cfRule type="cellIs" dxfId="101" priority="15" operator="greaterThan">
      <formula>$S$51</formula>
    </cfRule>
  </conditionalFormatting>
  <conditionalFormatting sqref="T31:T50">
    <cfRule type="cellIs" dxfId="100" priority="14" operator="greaterThan">
      <formula>$T$51</formula>
    </cfRule>
  </conditionalFormatting>
  <conditionalFormatting sqref="U31:U50">
    <cfRule type="cellIs" dxfId="99" priority="13" operator="greaterThan">
      <formula>$U$51</formula>
    </cfRule>
  </conditionalFormatting>
  <conditionalFormatting sqref="C22:V22">
    <cfRule type="cellIs" dxfId="98" priority="12" operator="equal">
      <formula>0</formula>
    </cfRule>
  </conditionalFormatting>
  <conditionalFormatting sqref="C24:V24">
    <cfRule type="cellIs" dxfId="97" priority="10" operator="equal">
      <formula>"DECREASE"</formula>
    </cfRule>
    <cfRule type="cellIs" dxfId="96" priority="11" operator="equal">
      <formula>"INCREASE"</formula>
    </cfRule>
  </conditionalFormatting>
  <conditionalFormatting sqref="C23:V23">
    <cfRule type="cellIs" dxfId="95" priority="9" operator="equal">
      <formula>0</formula>
    </cfRule>
  </conditionalFormatting>
  <conditionalFormatting sqref="I1">
    <cfRule type="cellIs" dxfId="94" priority="8" operator="lessThan">
      <formula>5</formula>
    </cfRule>
  </conditionalFormatting>
  <conditionalFormatting sqref="C21:V21">
    <cfRule type="cellIs" dxfId="93" priority="5" operator="equal">
      <formula>0</formula>
    </cfRule>
  </conditionalFormatting>
  <conditionalFormatting sqref="B65:U65">
    <cfRule type="cellIs" dxfId="92" priority="3" operator="equal">
      <formula>"UNDER"</formula>
    </cfRule>
    <cfRule type="cellIs" dxfId="91" priority="4" operator="equal">
      <formula>"OVER"</formula>
    </cfRule>
  </conditionalFormatting>
  <conditionalFormatting sqref="I2">
    <cfRule type="cellIs" dxfId="90" priority="2" operator="greaterThan">
      <formula>5000.1</formula>
    </cfRule>
  </conditionalFormatting>
  <conditionalFormatting sqref="I3">
    <cfRule type="cellIs" dxfId="89" priority="1" operator="greaterThan">
      <formula>4.1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5"/>
  <sheetViews>
    <sheetView zoomScale="90" zoomScaleNormal="90" workbookViewId="0">
      <selection activeCell="B31" sqref="B3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6.3</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164</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58.362079500000007</v>
      </c>
      <c r="D18" s="24">
        <f>$D32</f>
        <v>58.362079500000007</v>
      </c>
      <c r="E18" s="24">
        <f>$D33</f>
        <v>58.362079500000007</v>
      </c>
      <c r="F18" s="24">
        <f>$D34</f>
        <v>58.362079500000007</v>
      </c>
      <c r="G18" s="24">
        <f>$D35</f>
        <v>58.362079500000007</v>
      </c>
      <c r="H18" s="24">
        <f>$D36</f>
        <v>58.362079500000007</v>
      </c>
      <c r="I18" s="24">
        <f>$D37</f>
        <v>58.362079500000007</v>
      </c>
      <c r="J18" s="24">
        <f>$D38</f>
        <v>58.362079500000007</v>
      </c>
      <c r="K18" s="24">
        <f>$D39</f>
        <v>58.362079500000007</v>
      </c>
      <c r="L18" s="24">
        <f>$D40</f>
        <v>58.362079500000007</v>
      </c>
      <c r="M18" s="24">
        <f>$D41</f>
        <v>58.362079500000007</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-21.537920499999984</v>
      </c>
      <c r="D19" s="24">
        <f t="shared" ref="D19:V19" si="1">D18-D17</f>
        <v>-21.537920499999984</v>
      </c>
      <c r="E19" s="24">
        <f t="shared" si="1"/>
        <v>-21.537920499999984</v>
      </c>
      <c r="F19" s="24">
        <f t="shared" si="1"/>
        <v>-21.537920499999984</v>
      </c>
      <c r="G19" s="24">
        <f t="shared" si="1"/>
        <v>-21.537920499999984</v>
      </c>
      <c r="H19" s="24">
        <f t="shared" si="1"/>
        <v>-21.537920499999984</v>
      </c>
      <c r="I19" s="24">
        <f t="shared" si="1"/>
        <v>-21.537920499999984</v>
      </c>
      <c r="J19" s="24">
        <f t="shared" si="1"/>
        <v>-21.537920499999984</v>
      </c>
      <c r="K19" s="24">
        <f t="shared" si="1"/>
        <v>-21.537920499999984</v>
      </c>
      <c r="L19" s="24">
        <f t="shared" si="1"/>
        <v>-21.537920499999984</v>
      </c>
      <c r="M19" s="24">
        <f t="shared" si="1"/>
        <v>-21.537920499999984</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0.87275137500000011</v>
      </c>
      <c r="D22" s="24">
        <f>$E32</f>
        <v>0.87275137500000011</v>
      </c>
      <c r="E22" s="24">
        <f>$E33</f>
        <v>0.87275137500000011</v>
      </c>
      <c r="F22" s="24">
        <f>$E34</f>
        <v>0.87275137500000011</v>
      </c>
      <c r="G22" s="24">
        <f>$E35</f>
        <v>0.87275137500000011</v>
      </c>
      <c r="H22" s="24">
        <f>$E36</f>
        <v>0.87275137500000011</v>
      </c>
      <c r="I22" s="24">
        <f>$E37</f>
        <v>0.87275137500000011</v>
      </c>
      <c r="J22" s="24">
        <f>$E38</f>
        <v>0.87275137500000011</v>
      </c>
      <c r="K22" s="24">
        <f>$E39</f>
        <v>0.87275137500000011</v>
      </c>
      <c r="L22" s="24">
        <f>$E40</f>
        <v>0.87275137500000011</v>
      </c>
      <c r="M22" s="24">
        <f>$E41</f>
        <v>0.87275137500000011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-281.12724862499999</v>
      </c>
      <c r="D23" s="24">
        <f t="shared" ref="D23:V23" si="3">D22-D21</f>
        <v>-281.12724862499999</v>
      </c>
      <c r="E23" s="24">
        <f t="shared" si="3"/>
        <v>-281.12724862499999</v>
      </c>
      <c r="F23" s="24">
        <f t="shared" si="3"/>
        <v>-281.12724862499999</v>
      </c>
      <c r="G23" s="24">
        <f t="shared" si="3"/>
        <v>-281.12724862499999</v>
      </c>
      <c r="H23" s="24">
        <f t="shared" si="3"/>
        <v>-281.12724862499999</v>
      </c>
      <c r="I23" s="24">
        <f t="shared" si="3"/>
        <v>-281.12724862499999</v>
      </c>
      <c r="J23" s="24">
        <f t="shared" si="3"/>
        <v>-281.12724862499999</v>
      </c>
      <c r="K23" s="24">
        <f t="shared" si="3"/>
        <v>-281.12724862499999</v>
      </c>
      <c r="L23" s="24">
        <f t="shared" si="3"/>
        <v>-281.12724862499999</v>
      </c>
      <c r="M23" s="24">
        <f t="shared" si="3"/>
        <v>-281.12724862499999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3.33</v>
      </c>
      <c r="C28" s="23">
        <v>0.68</v>
      </c>
      <c r="D28" s="23">
        <v>0.30599999999999999</v>
      </c>
      <c r="E28" s="23">
        <v>8.6999999999999994E-3</v>
      </c>
      <c r="F28" s="23">
        <v>649</v>
      </c>
      <c r="G28" s="23">
        <v>24.5</v>
      </c>
      <c r="H28" s="23">
        <v>74.099999999999994</v>
      </c>
      <c r="I28" s="23">
        <v>3.92</v>
      </c>
      <c r="J28" s="23">
        <v>0.28000000000000003</v>
      </c>
      <c r="K28" s="30">
        <v>0.61</v>
      </c>
      <c r="L28" s="23">
        <v>2.6</v>
      </c>
      <c r="M28" s="23">
        <v>5.32</v>
      </c>
      <c r="N28" s="23">
        <v>186000</v>
      </c>
      <c r="O28" s="23">
        <v>5490</v>
      </c>
      <c r="P28" s="23"/>
      <c r="Q28" s="23">
        <v>15500</v>
      </c>
      <c r="R28" s="23"/>
      <c r="S28" s="23">
        <v>27</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56.610000000000014</v>
      </c>
      <c r="D31" s="2">
        <f>(IF(D$27="%w/w SAR",((D$28*10)*$B31),IF(D$27="%w/w DM",(((D$28*10)*($B$28/100))*$B31),IF(D$27="kg/t SAR",(D$28*$B31),IF(D$27="kg/t DM",((D$28*($B$28/100))*$B31),IF(D$27="mg/kg SAR",((D$28*0.001)*$B31),IF(D$27="mg/kg DM",(((D$28*0.001)*($B$28/100))*$B31),"0")))))))*2.291</f>
        <v>58.362079500000007</v>
      </c>
      <c r="E31" s="2">
        <f>(IF(E$27="%w/w SAR",((E$28*10)*$B31),IF(E$27="%w/w DM",(((E$28*10)*($B$28/100))*$B31),IF(E$27="kg/t SAR",(E$28*$B31),IF(E$27="kg/t DM",((E$28*($B$28/100))*$B31),IF(E$27="mg/kg SAR",((E$28*0.001)*$B31),IF(E$27="mg/kg DM",(((E$28*0.001)*($B$28/100))*$B31),"0")))))))*1.205</f>
        <v>0.87275137500000011</v>
      </c>
      <c r="F31" s="2">
        <f>(IF(F$27="%w/w SAR",((F$28*10)*$B31),IF(F$27="%w/w DM",(((F$28*10)*($B$28/100))*$B31),IF(F$27="kg/t SAR",(F$28*$B31),IF(F$27="kg/t DM",((F$28*($B$28/100))*$B31),IF(F$27="mg/kg SAR",((F$28*0.001)*$B31),IF(F$27="mg/kg DM",(((F$28*0.001)*($B$28/100))*$B31),"0")))))))*1.658</f>
        <v>8.9580496500000013</v>
      </c>
      <c r="G31" s="2">
        <f t="shared" ref="G31:P46" si="5">IF(G$27="%w/w SAR",((G$28*10)*$B31),IF(G$27="%w/w DM",(((G$28*10)*($B$28/100))*$B31),IF(G$27="kg/t SAR",(G$28*$B31),IF(G$27="kg/t DM",((G$28*($B$28/100))*$B31),IF(G$27="mg/kg SAR",((G$28*0.001)*$B31),IF(G$27="mg/kg DM",(((G$28*0.001)*($B$28/100))*$B31),0))))))</f>
        <v>0.20396250000000002</v>
      </c>
      <c r="H31" s="2">
        <f t="shared" si="5"/>
        <v>0.61688250000000011</v>
      </c>
      <c r="I31" s="2">
        <f t="shared" si="5"/>
        <v>3.2633999999999996E-2</v>
      </c>
      <c r="J31" s="2">
        <f t="shared" si="5"/>
        <v>2.3310000000000006E-3</v>
      </c>
      <c r="K31" s="2">
        <f t="shared" si="5"/>
        <v>5.0782500000000003E-3</v>
      </c>
      <c r="L31" s="2">
        <f t="shared" si="5"/>
        <v>2.1645000000000005E-2</v>
      </c>
      <c r="M31" s="2">
        <f t="shared" si="5"/>
        <v>4.4289000000000002E-2</v>
      </c>
      <c r="N31" s="2">
        <f t="shared" si="5"/>
        <v>1548.45</v>
      </c>
      <c r="O31" s="2">
        <f t="shared" si="5"/>
        <v>45.704250000000009</v>
      </c>
      <c r="P31" s="2">
        <f t="shared" si="5"/>
        <v>0</v>
      </c>
      <c r="Q31" s="2">
        <f>(IF(Q$27="%w/w SAR",((Q$28*10)*$B31),IF(Q$27="%w/w DM",(((Q$28*10)*($B$28/100))*$B31),IF(Q$27="kg/t SAR",(Q$28*$B31),IF(Q$27="kg/t DM",((Q$28*($B$28/100))*$B31),IF(Q$27="mg/kg SAR",((Q$28*0.001)*$B31),IF(Q$27="mg/kg DM",(((Q$28*0.001)*($B$28/100))*$B31),0)))))))*2.5</f>
        <v>322.59375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0.22477500000000003</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56.610000000000014</v>
      </c>
      <c r="D32" s="2">
        <f t="shared" ref="D32:D50" si="7">(IF(D$27="%w/w SAR",((D$28*10)*$B32),IF(D$27="%w/w DM",(((D$28*10)*($B$28/100))*$B32),IF(D$27="kg/t SAR",(D$28*$B32),IF(D$27="kg/t DM",((D$28*($B$28/100))*$B32),IF(D$27="mg/kg SAR",((D$28*0.001)*$B32),IF(D$27="mg/kg DM",(((D$28*0.001)*($B$28/100))*$B32),"0")))))))*2.291</f>
        <v>58.362079500000007</v>
      </c>
      <c r="E32" s="2">
        <f t="shared" ref="E32:E50" si="8">(IF(E$27="%w/w SAR",((E$28*10)*$B32),IF(E$27="%w/w DM",(((E$28*10)*($B$28/100))*$B32),IF(E$27="kg/t SAR",(E$28*$B32),IF(E$27="kg/t DM",((E$28*($B$28/100))*$B32),IF(E$27="mg/kg SAR",((E$28*0.001)*$B32),IF(E$27="mg/kg DM",(((E$28*0.001)*($B$28/100))*$B32),"0")))))))*1.205</f>
        <v>0.87275137500000011</v>
      </c>
      <c r="F32" s="2">
        <f t="shared" ref="F32:F50" si="9">(IF(F$27="%w/w SAR",((F$28*10)*$B32),IF(F$27="%w/w DM",(((F$28*10)*($B$28/100))*$B32),IF(F$27="kg/t SAR",(F$28*$B32),IF(F$27="kg/t DM",((F$28*($B$28/100))*$B32),IF(F$27="mg/kg SAR",((F$28*0.001)*$B32),IF(F$27="mg/kg DM",(((F$28*0.001)*($B$28/100))*$B32),"0")))))))*1.658</f>
        <v>8.9580496500000013</v>
      </c>
      <c r="G32" s="2">
        <f t="shared" si="5"/>
        <v>0.20396250000000002</v>
      </c>
      <c r="H32" s="2">
        <f t="shared" si="5"/>
        <v>0.61688250000000011</v>
      </c>
      <c r="I32" s="2">
        <f t="shared" si="5"/>
        <v>3.2633999999999996E-2</v>
      </c>
      <c r="J32" s="2">
        <f t="shared" si="5"/>
        <v>2.3310000000000006E-3</v>
      </c>
      <c r="K32" s="2">
        <f t="shared" si="5"/>
        <v>5.0782500000000003E-3</v>
      </c>
      <c r="L32" s="2">
        <f t="shared" si="5"/>
        <v>2.1645000000000005E-2</v>
      </c>
      <c r="M32" s="2">
        <f t="shared" si="5"/>
        <v>4.4289000000000002E-2</v>
      </c>
      <c r="N32" s="2">
        <f t="shared" si="5"/>
        <v>1548.45</v>
      </c>
      <c r="O32" s="2">
        <f t="shared" si="5"/>
        <v>45.704250000000009</v>
      </c>
      <c r="P32" s="2">
        <f t="shared" si="5"/>
        <v>0</v>
      </c>
      <c r="Q32" s="2">
        <f t="shared" ref="Q32:Q50" si="10">(IF(Q$27="%w/w SAR",((Q$28*10)*$B32),IF(Q$27="%w/w DM",(((Q$28*10)*($B$28/100))*$B32),IF(Q$27="kg/t SAR",(Q$28*$B32),IF(Q$27="kg/t DM",((Q$28*($B$28/100))*$B32),IF(Q$27="mg/kg SAR",((Q$28*0.001)*$B32),IF(Q$27="mg/kg DM",(((Q$28*0.001)*($B$28/100))*$B32),0)))))))*2.5</f>
        <v>322.59375</v>
      </c>
      <c r="R32" s="2">
        <f t="shared" ref="R32:U50" si="11">IF(R$27="%w/w SAR",((R$28*10)*$B32),IF(R$27="%w/w DM",(((R$28*10)*($B$28/100))*$B32),IF(R$27="kg/t SAR",(R$28*$B32),IF(R$27="kg/t DM",((R$28*($B$28/100))*$B32),IF(R$27="mg/kg SAR",((R$28*0.001)*$B32),IF(R$27="mg/kg DM",(((R$28*0.001)*($B$28/100))*$B32),0))))))</f>
        <v>0</v>
      </c>
      <c r="S32" s="2">
        <f t="shared" si="11"/>
        <v>0.22477500000000003</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56.610000000000014</v>
      </c>
      <c r="D33" s="2">
        <f t="shared" si="7"/>
        <v>58.362079500000007</v>
      </c>
      <c r="E33" s="2">
        <f t="shared" si="8"/>
        <v>0.87275137500000011</v>
      </c>
      <c r="F33" s="2">
        <f t="shared" si="9"/>
        <v>8.9580496500000013</v>
      </c>
      <c r="G33" s="2">
        <f t="shared" si="5"/>
        <v>0.20396250000000002</v>
      </c>
      <c r="H33" s="2">
        <f t="shared" si="5"/>
        <v>0.61688250000000011</v>
      </c>
      <c r="I33" s="2">
        <f t="shared" si="5"/>
        <v>3.2633999999999996E-2</v>
      </c>
      <c r="J33" s="2">
        <f t="shared" si="5"/>
        <v>2.3310000000000006E-3</v>
      </c>
      <c r="K33" s="2">
        <f t="shared" si="5"/>
        <v>5.0782500000000003E-3</v>
      </c>
      <c r="L33" s="2">
        <f t="shared" si="5"/>
        <v>2.1645000000000005E-2</v>
      </c>
      <c r="M33" s="2">
        <f t="shared" si="5"/>
        <v>4.4289000000000002E-2</v>
      </c>
      <c r="N33" s="2">
        <f t="shared" si="5"/>
        <v>1548.45</v>
      </c>
      <c r="O33" s="2">
        <f t="shared" si="5"/>
        <v>45.704250000000009</v>
      </c>
      <c r="P33" s="2">
        <f t="shared" si="5"/>
        <v>0</v>
      </c>
      <c r="Q33" s="2">
        <f t="shared" si="10"/>
        <v>322.59375</v>
      </c>
      <c r="R33" s="2">
        <f t="shared" si="11"/>
        <v>0</v>
      </c>
      <c r="S33" s="2">
        <f t="shared" si="11"/>
        <v>0.22477500000000003</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56.610000000000014</v>
      </c>
      <c r="D34" s="2">
        <f t="shared" si="7"/>
        <v>58.362079500000007</v>
      </c>
      <c r="E34" s="2">
        <f t="shared" si="8"/>
        <v>0.87275137500000011</v>
      </c>
      <c r="F34" s="2">
        <f t="shared" si="9"/>
        <v>8.9580496500000013</v>
      </c>
      <c r="G34" s="2">
        <f t="shared" si="5"/>
        <v>0.20396250000000002</v>
      </c>
      <c r="H34" s="2">
        <f t="shared" si="5"/>
        <v>0.61688250000000011</v>
      </c>
      <c r="I34" s="2">
        <f t="shared" si="5"/>
        <v>3.2633999999999996E-2</v>
      </c>
      <c r="J34" s="2">
        <f t="shared" si="5"/>
        <v>2.3310000000000006E-3</v>
      </c>
      <c r="K34" s="2">
        <f t="shared" si="5"/>
        <v>5.0782500000000003E-3</v>
      </c>
      <c r="L34" s="2">
        <f t="shared" si="5"/>
        <v>2.1645000000000005E-2</v>
      </c>
      <c r="M34" s="2">
        <f t="shared" si="5"/>
        <v>4.4289000000000002E-2</v>
      </c>
      <c r="N34" s="2">
        <f t="shared" si="5"/>
        <v>1548.45</v>
      </c>
      <c r="O34" s="2">
        <f t="shared" si="5"/>
        <v>45.704250000000009</v>
      </c>
      <c r="P34" s="2">
        <f t="shared" si="5"/>
        <v>0</v>
      </c>
      <c r="Q34" s="2">
        <f t="shared" si="10"/>
        <v>322.59375</v>
      </c>
      <c r="R34" s="2">
        <f t="shared" si="11"/>
        <v>0</v>
      </c>
      <c r="S34" s="2">
        <f t="shared" si="11"/>
        <v>0.22477500000000003</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56.610000000000014</v>
      </c>
      <c r="D35" s="2">
        <f t="shared" si="7"/>
        <v>58.362079500000007</v>
      </c>
      <c r="E35" s="2">
        <f t="shared" si="8"/>
        <v>0.87275137500000011</v>
      </c>
      <c r="F35" s="2">
        <f t="shared" si="9"/>
        <v>8.9580496500000013</v>
      </c>
      <c r="G35" s="2">
        <f t="shared" si="5"/>
        <v>0.20396250000000002</v>
      </c>
      <c r="H35" s="2">
        <f t="shared" si="5"/>
        <v>0.61688250000000011</v>
      </c>
      <c r="I35" s="2">
        <f t="shared" si="5"/>
        <v>3.2633999999999996E-2</v>
      </c>
      <c r="J35" s="2">
        <f t="shared" si="5"/>
        <v>2.3310000000000006E-3</v>
      </c>
      <c r="K35" s="2">
        <f t="shared" si="5"/>
        <v>5.0782500000000003E-3</v>
      </c>
      <c r="L35" s="2">
        <f t="shared" si="5"/>
        <v>2.1645000000000005E-2</v>
      </c>
      <c r="M35" s="2">
        <f t="shared" si="5"/>
        <v>4.4289000000000002E-2</v>
      </c>
      <c r="N35" s="2">
        <f t="shared" si="5"/>
        <v>1548.45</v>
      </c>
      <c r="O35" s="2">
        <f t="shared" si="5"/>
        <v>45.704250000000009</v>
      </c>
      <c r="P35" s="2">
        <f t="shared" si="5"/>
        <v>0</v>
      </c>
      <c r="Q35" s="2">
        <f t="shared" si="10"/>
        <v>322.59375</v>
      </c>
      <c r="R35" s="2">
        <f t="shared" si="11"/>
        <v>0</v>
      </c>
      <c r="S35" s="2">
        <f t="shared" si="11"/>
        <v>0.22477500000000003</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56.610000000000014</v>
      </c>
      <c r="D36" s="2">
        <f t="shared" si="7"/>
        <v>58.362079500000007</v>
      </c>
      <c r="E36" s="2">
        <f t="shared" si="8"/>
        <v>0.87275137500000011</v>
      </c>
      <c r="F36" s="2">
        <f t="shared" si="9"/>
        <v>8.9580496500000013</v>
      </c>
      <c r="G36" s="2">
        <f t="shared" si="5"/>
        <v>0.20396250000000002</v>
      </c>
      <c r="H36" s="2">
        <f t="shared" si="5"/>
        <v>0.61688250000000011</v>
      </c>
      <c r="I36" s="2">
        <f t="shared" si="5"/>
        <v>3.2633999999999996E-2</v>
      </c>
      <c r="J36" s="2">
        <f t="shared" si="5"/>
        <v>2.3310000000000006E-3</v>
      </c>
      <c r="K36" s="2">
        <f t="shared" si="5"/>
        <v>5.0782500000000003E-3</v>
      </c>
      <c r="L36" s="2">
        <f t="shared" si="5"/>
        <v>2.1645000000000005E-2</v>
      </c>
      <c r="M36" s="2">
        <f t="shared" si="5"/>
        <v>4.4289000000000002E-2</v>
      </c>
      <c r="N36" s="2">
        <f t="shared" si="5"/>
        <v>1548.45</v>
      </c>
      <c r="O36" s="2">
        <f t="shared" si="5"/>
        <v>45.704250000000009</v>
      </c>
      <c r="P36" s="2">
        <f t="shared" si="5"/>
        <v>0</v>
      </c>
      <c r="Q36" s="2">
        <f t="shared" si="10"/>
        <v>322.59375</v>
      </c>
      <c r="R36" s="2">
        <f t="shared" si="11"/>
        <v>0</v>
      </c>
      <c r="S36" s="2">
        <f t="shared" si="11"/>
        <v>0.22477500000000003</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56.610000000000014</v>
      </c>
      <c r="D37" s="2">
        <f t="shared" si="7"/>
        <v>58.362079500000007</v>
      </c>
      <c r="E37" s="2">
        <f t="shared" si="8"/>
        <v>0.87275137500000011</v>
      </c>
      <c r="F37" s="2">
        <f t="shared" si="9"/>
        <v>8.9580496500000013</v>
      </c>
      <c r="G37" s="2">
        <f t="shared" si="5"/>
        <v>0.20396250000000002</v>
      </c>
      <c r="H37" s="2">
        <f t="shared" si="5"/>
        <v>0.61688250000000011</v>
      </c>
      <c r="I37" s="2">
        <f t="shared" si="5"/>
        <v>3.2633999999999996E-2</v>
      </c>
      <c r="J37" s="2">
        <f t="shared" si="5"/>
        <v>2.3310000000000006E-3</v>
      </c>
      <c r="K37" s="2">
        <f t="shared" si="5"/>
        <v>5.0782500000000003E-3</v>
      </c>
      <c r="L37" s="2">
        <f t="shared" si="5"/>
        <v>2.1645000000000005E-2</v>
      </c>
      <c r="M37" s="2">
        <f t="shared" si="5"/>
        <v>4.4289000000000002E-2</v>
      </c>
      <c r="N37" s="2">
        <f t="shared" si="5"/>
        <v>1548.45</v>
      </c>
      <c r="O37" s="2">
        <f t="shared" si="5"/>
        <v>45.704250000000009</v>
      </c>
      <c r="P37" s="2">
        <f t="shared" si="5"/>
        <v>0</v>
      </c>
      <c r="Q37" s="2">
        <f t="shared" si="10"/>
        <v>322.59375</v>
      </c>
      <c r="R37" s="2">
        <f t="shared" si="11"/>
        <v>0</v>
      </c>
      <c r="S37" s="2">
        <f t="shared" si="11"/>
        <v>0.22477500000000003</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56.610000000000014</v>
      </c>
      <c r="D38" s="2">
        <f t="shared" si="7"/>
        <v>58.362079500000007</v>
      </c>
      <c r="E38" s="2">
        <f t="shared" si="8"/>
        <v>0.87275137500000011</v>
      </c>
      <c r="F38" s="2">
        <f t="shared" si="9"/>
        <v>8.9580496500000013</v>
      </c>
      <c r="G38" s="2">
        <f t="shared" si="5"/>
        <v>0.20396250000000002</v>
      </c>
      <c r="H38" s="2">
        <f t="shared" si="5"/>
        <v>0.61688250000000011</v>
      </c>
      <c r="I38" s="2">
        <f t="shared" si="5"/>
        <v>3.2633999999999996E-2</v>
      </c>
      <c r="J38" s="2">
        <f t="shared" si="5"/>
        <v>2.3310000000000006E-3</v>
      </c>
      <c r="K38" s="2">
        <f t="shared" si="5"/>
        <v>5.0782500000000003E-3</v>
      </c>
      <c r="L38" s="2">
        <f t="shared" si="5"/>
        <v>2.1645000000000005E-2</v>
      </c>
      <c r="M38" s="2">
        <f t="shared" si="5"/>
        <v>4.4289000000000002E-2</v>
      </c>
      <c r="N38" s="2">
        <f t="shared" si="5"/>
        <v>1548.45</v>
      </c>
      <c r="O38" s="2">
        <f t="shared" si="5"/>
        <v>45.704250000000009</v>
      </c>
      <c r="P38" s="2">
        <f t="shared" si="5"/>
        <v>0</v>
      </c>
      <c r="Q38" s="2">
        <f t="shared" si="10"/>
        <v>322.59375</v>
      </c>
      <c r="R38" s="2">
        <f t="shared" si="11"/>
        <v>0</v>
      </c>
      <c r="S38" s="2">
        <f t="shared" si="11"/>
        <v>0.22477500000000003</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56.610000000000014</v>
      </c>
      <c r="D39" s="2">
        <f t="shared" si="7"/>
        <v>58.362079500000007</v>
      </c>
      <c r="E39" s="2">
        <f t="shared" si="8"/>
        <v>0.87275137500000011</v>
      </c>
      <c r="F39" s="2">
        <f t="shared" si="9"/>
        <v>8.9580496500000013</v>
      </c>
      <c r="G39" s="2">
        <f t="shared" si="5"/>
        <v>0.20396250000000002</v>
      </c>
      <c r="H39" s="2">
        <f t="shared" si="5"/>
        <v>0.61688250000000011</v>
      </c>
      <c r="I39" s="2">
        <f t="shared" si="5"/>
        <v>3.2633999999999996E-2</v>
      </c>
      <c r="J39" s="2">
        <f t="shared" si="5"/>
        <v>2.3310000000000006E-3</v>
      </c>
      <c r="K39" s="2">
        <f t="shared" si="5"/>
        <v>5.0782500000000003E-3</v>
      </c>
      <c r="L39" s="2">
        <f t="shared" si="5"/>
        <v>2.1645000000000005E-2</v>
      </c>
      <c r="M39" s="2">
        <f t="shared" si="5"/>
        <v>4.4289000000000002E-2</v>
      </c>
      <c r="N39" s="2">
        <f t="shared" si="5"/>
        <v>1548.45</v>
      </c>
      <c r="O39" s="2">
        <f t="shared" si="5"/>
        <v>45.704250000000009</v>
      </c>
      <c r="P39" s="2">
        <f t="shared" si="5"/>
        <v>0</v>
      </c>
      <c r="Q39" s="2">
        <f t="shared" si="10"/>
        <v>322.59375</v>
      </c>
      <c r="R39" s="2">
        <f t="shared" si="11"/>
        <v>0</v>
      </c>
      <c r="S39" s="2">
        <f t="shared" si="11"/>
        <v>0.22477500000000003</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56.610000000000014</v>
      </c>
      <c r="D40" s="2">
        <f t="shared" si="7"/>
        <v>58.362079500000007</v>
      </c>
      <c r="E40" s="2">
        <f t="shared" si="8"/>
        <v>0.87275137500000011</v>
      </c>
      <c r="F40" s="2">
        <f t="shared" si="9"/>
        <v>8.9580496500000013</v>
      </c>
      <c r="G40" s="2">
        <f t="shared" si="5"/>
        <v>0.20396250000000002</v>
      </c>
      <c r="H40" s="2">
        <f t="shared" si="5"/>
        <v>0.61688250000000011</v>
      </c>
      <c r="I40" s="2">
        <f t="shared" si="5"/>
        <v>3.2633999999999996E-2</v>
      </c>
      <c r="J40" s="2">
        <f t="shared" si="5"/>
        <v>2.3310000000000006E-3</v>
      </c>
      <c r="K40" s="2">
        <f t="shared" si="5"/>
        <v>5.0782500000000003E-3</v>
      </c>
      <c r="L40" s="2">
        <f t="shared" si="5"/>
        <v>2.1645000000000005E-2</v>
      </c>
      <c r="M40" s="2">
        <f t="shared" si="5"/>
        <v>4.4289000000000002E-2</v>
      </c>
      <c r="N40" s="2">
        <f t="shared" si="5"/>
        <v>1548.45</v>
      </c>
      <c r="O40" s="2">
        <f t="shared" si="5"/>
        <v>45.704250000000009</v>
      </c>
      <c r="P40" s="2">
        <f t="shared" si="5"/>
        <v>0</v>
      </c>
      <c r="Q40" s="2">
        <f t="shared" si="10"/>
        <v>322.59375</v>
      </c>
      <c r="R40" s="2">
        <f t="shared" si="11"/>
        <v>0</v>
      </c>
      <c r="S40" s="2">
        <f t="shared" si="11"/>
        <v>0.22477500000000003</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56.610000000000014</v>
      </c>
      <c r="D41" s="2">
        <f t="shared" si="7"/>
        <v>58.362079500000007</v>
      </c>
      <c r="E41" s="2">
        <f t="shared" si="8"/>
        <v>0.87275137500000011</v>
      </c>
      <c r="F41" s="2">
        <f t="shared" si="9"/>
        <v>8.9580496500000013</v>
      </c>
      <c r="G41" s="2">
        <f t="shared" si="5"/>
        <v>0.20396250000000002</v>
      </c>
      <c r="H41" s="2">
        <f t="shared" si="5"/>
        <v>0.61688250000000011</v>
      </c>
      <c r="I41" s="2">
        <f t="shared" si="5"/>
        <v>3.2633999999999996E-2</v>
      </c>
      <c r="J41" s="2">
        <f t="shared" si="5"/>
        <v>2.3310000000000006E-3</v>
      </c>
      <c r="K41" s="2">
        <f t="shared" si="5"/>
        <v>5.0782500000000003E-3</v>
      </c>
      <c r="L41" s="2">
        <f t="shared" si="5"/>
        <v>2.1645000000000005E-2</v>
      </c>
      <c r="M41" s="2">
        <f t="shared" si="5"/>
        <v>4.4289000000000002E-2</v>
      </c>
      <c r="N41" s="2">
        <f t="shared" si="5"/>
        <v>1548.45</v>
      </c>
      <c r="O41" s="2">
        <f t="shared" si="5"/>
        <v>45.704250000000009</v>
      </c>
      <c r="P41" s="2">
        <f t="shared" si="5"/>
        <v>0</v>
      </c>
      <c r="Q41" s="2">
        <f t="shared" si="10"/>
        <v>322.59375</v>
      </c>
      <c r="R41" s="2">
        <f t="shared" si="11"/>
        <v>0</v>
      </c>
      <c r="S41" s="2">
        <f t="shared" si="11"/>
        <v>0.22477500000000003</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"&amp;(VLOOKUP(C14,Table24567[],6,FALSE))</f>
        <v>Medium/Clay I Grass</v>
      </c>
      <c r="C58" s="44" t="str">
        <f>D16&amp;" I "&amp;(VLOOKUP(D14,Table24567[],6,FALSE))</f>
        <v>Medium/Clay I Grass</v>
      </c>
      <c r="D58" s="21" t="str">
        <f>E16&amp;" I "&amp;(VLOOKUP(E14,Table24567[],6,FALSE))</f>
        <v>Medium/Clay I Grass</v>
      </c>
      <c r="E58" s="21" t="str">
        <f>F16&amp;" I "&amp;(VLOOKUP(F14,Table24567[],6,FALSE))</f>
        <v>Medium/Clay I Grass</v>
      </c>
      <c r="F58" s="21" t="str">
        <f>G16&amp;" I "&amp;(VLOOKUP(G14,Table24567[],6,FALSE))</f>
        <v>Medium/Clay I Grass</v>
      </c>
      <c r="G58" s="21" t="str">
        <f>H16&amp;" I "&amp;(VLOOKUP(H14,Table24567[],6,FALSE))</f>
        <v>Medium/Clay I Grass</v>
      </c>
      <c r="H58" s="21" t="str">
        <f>I16&amp;" I "&amp;(VLOOKUP(I14,Table24567[],6,FALSE))</f>
        <v>Medium/Clay I Grass</v>
      </c>
      <c r="I58" s="21" t="str">
        <f>J16&amp;" I "&amp;(VLOOKUP(J14,Table24567[],6,FALSE))</f>
        <v>Medium/Clay I Grass</v>
      </c>
      <c r="J58" s="21" t="str">
        <f>K16&amp;" I "&amp;(VLOOKUP(K14,Table24567[],6,FALSE))</f>
        <v>Medium/Clay I Grass</v>
      </c>
      <c r="K58" s="21" t="str">
        <f>L16&amp;" I "&amp;(VLOOKUP(L14,Table24567[],6,FALSE))</f>
        <v>Medium/Clay I Grass</v>
      </c>
      <c r="L58" s="21" t="str">
        <f>M16&amp;" I "&amp;(VLOOKUP(M14,Table24567[],6,FALSE))</f>
        <v>Medium/Clay I Grass</v>
      </c>
      <c r="M58" s="21" t="e">
        <f>N16&amp;" I "&amp;(VLOOKUP(N14,Table24567[],6,FALSE))</f>
        <v>#N/A</v>
      </c>
      <c r="N58" s="21" t="e">
        <f>O16&amp;" I "&amp;(VLOOKUP(O14,Table24567[],6,FALSE))</f>
        <v>#N/A</v>
      </c>
      <c r="O58" s="21" t="e">
        <f>P16&amp;" I "&amp;(VLOOKUP(P14,Table24567[],6,FALSE))</f>
        <v>#N/A</v>
      </c>
      <c r="P58" s="21" t="e">
        <f>Q16&amp;" I "&amp;(VLOOKUP(Q14,Table24567[],6,FALSE))</f>
        <v>#N/A</v>
      </c>
      <c r="Q58" s="21" t="e">
        <f>R16&amp;" I "&amp;(VLOOKUP(R14,Table24567[],6,FALSE))</f>
        <v>#N/A</v>
      </c>
      <c r="R58" s="21" t="e">
        <f>S16&amp;" I "&amp;(VLOOKUP(S14,Table24567[],6,FALSE))</f>
        <v>#N/A</v>
      </c>
      <c r="S58" s="21" t="e">
        <f>T16&amp;" I "&amp;(VLOOKUP(T14,Table24567[],6,FALSE))</f>
        <v>#N/A</v>
      </c>
      <c r="T58" s="21" t="e">
        <f>U16&amp;" I "&amp;(VLOOKUP(U14,Table24567[],6,FALSE))</f>
        <v>#N/A</v>
      </c>
      <c r="U58" s="21" t="e">
        <f>V16&amp;" I "&amp;(VLOOKUP(V14,Table24567[],6,FALSE))</f>
        <v>#N/A</v>
      </c>
    </row>
    <row r="59" spans="1:35" s="27" customFormat="1" hidden="1" x14ac:dyDescent="0.2">
      <c r="A59" s="92" t="s">
        <v>130</v>
      </c>
      <c r="B59" s="93">
        <f>VLOOKUP(C$14,Table24567[],5,FALSE)</f>
        <v>6.2</v>
      </c>
      <c r="C59" s="93">
        <f>VLOOKUP(D$14,Table24567[],5,FALSE)</f>
        <v>6.2</v>
      </c>
      <c r="D59" s="93">
        <f>VLOOKUP(E$14,Table24567[],5,FALSE)</f>
        <v>6.2</v>
      </c>
      <c r="E59" s="93">
        <f>VLOOKUP(F$14,Table24567[],5,FALSE)</f>
        <v>6.2</v>
      </c>
      <c r="F59" s="93">
        <f>VLOOKUP(G$14,Table24567[],5,FALSE)</f>
        <v>6.2</v>
      </c>
      <c r="G59" s="93">
        <f>VLOOKUP(H$14,Table24567[],5,FALSE)</f>
        <v>6.2</v>
      </c>
      <c r="H59" s="93">
        <f>VLOOKUP(I$14,Table24567[],5,FALSE)</f>
        <v>6.2</v>
      </c>
      <c r="I59" s="93">
        <f>VLOOKUP(J$14,Table24567[],5,FALSE)</f>
        <v>6.2</v>
      </c>
      <c r="J59" s="93">
        <f>VLOOKUP(K$14,Table24567[],5,FALSE)</f>
        <v>6.2</v>
      </c>
      <c r="K59" s="93">
        <f>VLOOKUP(L$14,Table24567[],5,FALSE)</f>
        <v>6.2</v>
      </c>
      <c r="L59" s="93">
        <f>VLOOKUP(M$14,Table24567[],5,FALSE)</f>
        <v>6.2</v>
      </c>
      <c r="M59" s="93" t="e">
        <f>VLOOKUP(N$14,Table24567[],5,FALSE)</f>
        <v>#N/A</v>
      </c>
      <c r="N59" s="93" t="e">
        <f>VLOOKUP(O$14,Table24567[],5,FALSE)</f>
        <v>#N/A</v>
      </c>
      <c r="O59" s="93" t="e">
        <f>VLOOKUP(P$14,Table24567[],5,FALSE)</f>
        <v>#N/A</v>
      </c>
      <c r="P59" s="93" t="e">
        <f>VLOOKUP(Q$14,Table24567[],5,FALSE)</f>
        <v>#N/A</v>
      </c>
      <c r="Q59" s="93" t="e">
        <f>VLOOKUP(R$14,Table24567[],5,FALSE)</f>
        <v>#N/A</v>
      </c>
      <c r="R59" s="93" t="e">
        <f>VLOOKUP(S$14,Table24567[],5,FALSE)</f>
        <v>#N/A</v>
      </c>
      <c r="S59" s="93" t="e">
        <f>VLOOKUP(T$14,Table24567[],5,FALSE)</f>
        <v>#N/A</v>
      </c>
      <c r="T59" s="93" t="e">
        <f>VLOOKUP(U$14,Table24567[],5,FALSE)</f>
        <v>#N/A</v>
      </c>
      <c r="U59" s="93" t="e">
        <f>VLOOKUP(V$14,Table24567[],5,FALSE)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77" priority="29" operator="equal">
      <formula>"DECREASE"</formula>
    </cfRule>
    <cfRule type="cellIs" dxfId="76" priority="30" operator="equal">
      <formula>"INCREASE"</formula>
    </cfRule>
  </conditionalFormatting>
  <conditionalFormatting sqref="B62:U65 B31:B50">
    <cfRule type="cellIs" dxfId="75" priority="28" operator="greaterThan">
      <formula>$B$51</formula>
    </cfRule>
  </conditionalFormatting>
  <conditionalFormatting sqref="C31:C50">
    <cfRule type="cellIs" dxfId="74" priority="27" operator="greaterThan">
      <formula>$C$51</formula>
    </cfRule>
  </conditionalFormatting>
  <conditionalFormatting sqref="C18:V18">
    <cfRule type="cellIs" dxfId="73" priority="26" operator="equal">
      <formula>0</formula>
    </cfRule>
  </conditionalFormatting>
  <conditionalFormatting sqref="C17:V17">
    <cfRule type="cellIs" dxfId="72" priority="25" operator="equal">
      <formula>0</formula>
    </cfRule>
  </conditionalFormatting>
  <conditionalFormatting sqref="C19:V19">
    <cfRule type="cellIs" dxfId="71" priority="24" operator="equal">
      <formula>0</formula>
    </cfRule>
  </conditionalFormatting>
  <conditionalFormatting sqref="G31:G50">
    <cfRule type="cellIs" dxfId="70" priority="23" operator="greaterThan">
      <formula>$G$51</formula>
    </cfRule>
  </conditionalFormatting>
  <conditionalFormatting sqref="H31:H50">
    <cfRule type="cellIs" dxfId="69" priority="22" operator="greaterThan">
      <formula>$H$51</formula>
    </cfRule>
  </conditionalFormatting>
  <conditionalFormatting sqref="I31:I50">
    <cfRule type="cellIs" dxfId="68" priority="21" operator="greaterThan">
      <formula>$I$51</formula>
    </cfRule>
  </conditionalFormatting>
  <conditionalFormatting sqref="K31:K50">
    <cfRule type="cellIs" dxfId="67" priority="20" operator="greaterThan">
      <formula>$K$51</formula>
    </cfRule>
  </conditionalFormatting>
  <conditionalFormatting sqref="L31:L50">
    <cfRule type="cellIs" dxfId="66" priority="19" operator="greaterThan">
      <formula>$L$51</formula>
    </cfRule>
  </conditionalFormatting>
  <conditionalFormatting sqref="M31:M50">
    <cfRule type="cellIs" dxfId="65" priority="18" operator="greaterThan">
      <formula>$M$51</formula>
    </cfRule>
  </conditionalFormatting>
  <conditionalFormatting sqref="P31:P50">
    <cfRule type="cellIs" dxfId="64" priority="17" operator="greaterThan">
      <formula>$P$51</formula>
    </cfRule>
  </conditionalFormatting>
  <conditionalFormatting sqref="R31:R50">
    <cfRule type="cellIs" dxfId="63" priority="16" operator="greaterThan">
      <formula>$R$51</formula>
    </cfRule>
  </conditionalFormatting>
  <conditionalFormatting sqref="S31:S50">
    <cfRule type="cellIs" dxfId="62" priority="15" operator="greaterThan">
      <formula>$S$51</formula>
    </cfRule>
  </conditionalFormatting>
  <conditionalFormatting sqref="T31:T50">
    <cfRule type="cellIs" dxfId="61" priority="14" operator="greaterThan">
      <formula>$T$51</formula>
    </cfRule>
  </conditionalFormatting>
  <conditionalFormatting sqref="U31:U50">
    <cfRule type="cellIs" dxfId="60" priority="13" operator="greaterThan">
      <formula>$U$51</formula>
    </cfRule>
  </conditionalFormatting>
  <conditionalFormatting sqref="C22:V22">
    <cfRule type="cellIs" dxfId="59" priority="12" operator="equal">
      <formula>0</formula>
    </cfRule>
  </conditionalFormatting>
  <conditionalFormatting sqref="C24:V24">
    <cfRule type="cellIs" dxfId="58" priority="10" operator="equal">
      <formula>"DECREASE"</formula>
    </cfRule>
    <cfRule type="cellIs" dxfId="57" priority="11" operator="equal">
      <formula>"INCREASE"</formula>
    </cfRule>
  </conditionalFormatting>
  <conditionalFormatting sqref="C23:V23">
    <cfRule type="cellIs" dxfId="56" priority="9" operator="equal">
      <formula>0</formula>
    </cfRule>
  </conditionalFormatting>
  <conditionalFormatting sqref="I1">
    <cfRule type="cellIs" dxfId="55" priority="8" operator="lessThan">
      <formula>5</formula>
    </cfRule>
  </conditionalFormatting>
  <conditionalFormatting sqref="C21:V21">
    <cfRule type="cellIs" dxfId="54" priority="5" operator="equal">
      <formula>0</formula>
    </cfRule>
  </conditionalFormatting>
  <conditionalFormatting sqref="B65:U65">
    <cfRule type="cellIs" dxfId="53" priority="3" operator="equal">
      <formula>"UNDER"</formula>
    </cfRule>
    <cfRule type="cellIs" dxfId="52" priority="4" operator="equal">
      <formula>"OVER"</formula>
    </cfRule>
  </conditionalFormatting>
  <conditionalFormatting sqref="I2">
    <cfRule type="cellIs" dxfId="51" priority="2" operator="greaterThan">
      <formula>5000.1</formula>
    </cfRule>
  </conditionalFormatting>
  <conditionalFormatting sqref="I3">
    <cfRule type="cellIs" dxfId="50" priority="1" operator="greaterThan">
      <formula>4.1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5"/>
  <sheetViews>
    <sheetView tabSelected="1" zoomScale="90" zoomScaleNormal="90" workbookViewId="0">
      <selection activeCell="M5" sqref="M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PAN-010732</v>
      </c>
      <c r="D1" s="127"/>
      <c r="E1" s="37" t="s">
        <v>45</v>
      </c>
      <c r="F1" s="46">
        <f>'Field data and Waste 1'!F1</f>
        <v>30.8</v>
      </c>
      <c r="G1" s="106" t="s">
        <v>43</v>
      </c>
      <c r="H1" s="107"/>
      <c r="I1" s="35">
        <v>4.9000000000000004</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GP3792SK</v>
      </c>
      <c r="D2" s="129"/>
      <c r="E2" s="37" t="s">
        <v>106</v>
      </c>
      <c r="F2" s="35" t="s">
        <v>158</v>
      </c>
      <c r="G2" s="108" t="s">
        <v>107</v>
      </c>
      <c r="H2" s="109"/>
      <c r="I2" s="35"/>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ByProduct Recovery Ltd</v>
      </c>
      <c r="D3" s="129"/>
      <c r="E3" s="37" t="s">
        <v>105</v>
      </c>
      <c r="F3" s="45" t="s">
        <v>78</v>
      </c>
      <c r="G3" s="106" t="s">
        <v>108</v>
      </c>
      <c r="H3" s="107"/>
      <c r="I3" s="35"/>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Cefn Naw Clawdd, Dolgellau, Gwynedd, LL40 2SG</v>
      </c>
      <c r="D4" s="127"/>
      <c r="E4" s="38" t="s">
        <v>1</v>
      </c>
      <c r="F4" s="35" t="s">
        <v>168</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1416</v>
      </c>
      <c r="D8" s="67">
        <f>'Field data and Waste 1'!D8</f>
        <v>9846</v>
      </c>
      <c r="E8" s="67">
        <f>'Field data and Waste 1'!E8</f>
        <v>865</v>
      </c>
      <c r="F8" s="67">
        <f>'Field data and Waste 1'!F8</f>
        <v>9678</v>
      </c>
      <c r="G8" s="67">
        <f>'Field data and Waste 1'!G8</f>
        <v>1285</v>
      </c>
      <c r="H8" s="67">
        <f>'Field data and Waste 1'!H8</f>
        <v>2488</v>
      </c>
      <c r="I8" s="67">
        <f>'Field data and Waste 1'!I8</f>
        <v>9216</v>
      </c>
      <c r="J8" s="67">
        <f>'Field data and Waste 1'!J8</f>
        <v>1113</v>
      </c>
      <c r="K8" s="67">
        <f>'Field data and Waste 1'!K8</f>
        <v>2585</v>
      </c>
      <c r="L8" s="67">
        <f>'Field data and Waste 1'!L8</f>
        <v>264</v>
      </c>
      <c r="M8" s="67">
        <f>'Field data and Waste 1'!M8</f>
        <v>6854</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6.3</v>
      </c>
      <c r="D10" s="67">
        <f>'Field data and Waste 1'!D10</f>
        <v>6.2</v>
      </c>
      <c r="E10" s="67">
        <f>'Field data and Waste 1'!E10</f>
        <v>6.6</v>
      </c>
      <c r="F10" s="67">
        <f>'Field data and Waste 1'!F10</f>
        <v>6.6</v>
      </c>
      <c r="G10" s="67">
        <f>'Field data and Waste 1'!G10</f>
        <v>6.5</v>
      </c>
      <c r="H10" s="67">
        <f>'Field data and Waste 1'!H10</f>
        <v>6.1</v>
      </c>
      <c r="I10" s="67">
        <f>'Field data and Waste 1'!I10</f>
        <v>6.5</v>
      </c>
      <c r="J10" s="67">
        <f>'Field data and Waste 1'!J10</f>
        <v>6.3</v>
      </c>
      <c r="K10" s="67">
        <f>'Field data and Waste 1'!K10</f>
        <v>6.9</v>
      </c>
      <c r="L10" s="67">
        <f>'Field data and Waste 1'!L10</f>
        <v>6.6</v>
      </c>
      <c r="M10" s="67">
        <f>'Field data and Waste 1'!M10</f>
        <v>6.6</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2</v>
      </c>
      <c r="E11" s="67">
        <f>'Field data and Waste 1'!E11</f>
        <v>3</v>
      </c>
      <c r="F11" s="67">
        <f>'Field data and Waste 1'!F11</f>
        <v>2</v>
      </c>
      <c r="G11" s="67">
        <f>'Field data and Waste 1'!G11</f>
        <v>2</v>
      </c>
      <c r="H11" s="67">
        <f>'Field data and Waste 1'!H11</f>
        <v>3</v>
      </c>
      <c r="I11" s="67">
        <f>'Field data and Waste 1'!I11</f>
        <v>3</v>
      </c>
      <c r="J11" s="67">
        <f>'Field data and Waste 1'!J11</f>
        <v>3</v>
      </c>
      <c r="K11" s="67">
        <f>'Field data and Waste 1'!K11</f>
        <v>2</v>
      </c>
      <c r="L11" s="67">
        <f>'Field data and Waste 1'!L11</f>
        <v>2</v>
      </c>
      <c r="M11" s="67">
        <f>'Field data and Waste 1'!M11</f>
        <v>2</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1</v>
      </c>
      <c r="D12" s="67">
        <f>'Field data and Waste 1'!D12</f>
        <v>1</v>
      </c>
      <c r="E12" s="67">
        <f>'Field data and Waste 1'!E12</f>
        <v>1</v>
      </c>
      <c r="F12" s="67">
        <f>'Field data and Waste 1'!F12</f>
        <v>1</v>
      </c>
      <c r="G12" s="67">
        <f>'Field data and Waste 1'!G12</f>
        <v>0</v>
      </c>
      <c r="H12" s="67">
        <f>'Field data and Waste 1'!H12</f>
        <v>0</v>
      </c>
      <c r="I12" s="67">
        <f>'Field data and Waste 1'!I12</f>
        <v>1</v>
      </c>
      <c r="J12" s="67">
        <f>'Field data and Waste 1'!J12</f>
        <v>1</v>
      </c>
      <c r="K12" s="67">
        <f>'Field data and Waste 1'!K12</f>
        <v>1</v>
      </c>
      <c r="L12" s="67">
        <f>'Field data and Waste 1'!L12</f>
        <v>1</v>
      </c>
      <c r="M12" s="67">
        <f>'Field data and Waste 1'!M12</f>
        <v>1</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4</v>
      </c>
      <c r="D13" s="67">
        <f>'Field data and Waste 1'!D13</f>
        <v>4</v>
      </c>
      <c r="E13" s="67">
        <f>'Field data and Waste 1'!E13</f>
        <v>4</v>
      </c>
      <c r="F13" s="67">
        <f>'Field data and Waste 1'!F13</f>
        <v>4</v>
      </c>
      <c r="G13" s="67">
        <f>'Field data and Waste 1'!G13</f>
        <v>4</v>
      </c>
      <c r="H13" s="67">
        <f>'Field data and Waste 1'!H13</f>
        <v>4</v>
      </c>
      <c r="I13" s="67">
        <f>'Field data and Waste 1'!I13</f>
        <v>4</v>
      </c>
      <c r="J13" s="67">
        <f>'Field data and Waste 1'!J13</f>
        <v>4</v>
      </c>
      <c r="K13" s="67">
        <f>'Field data and Waste 1'!K13</f>
        <v>5</v>
      </c>
      <c r="L13" s="67">
        <f>'Field data and Waste 1'!L13</f>
        <v>5</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4.3691661000000002</v>
      </c>
      <c r="D18" s="24">
        <f>$D32</f>
        <v>4.3691661000000002</v>
      </c>
      <c r="E18" s="24">
        <f>$D33</f>
        <v>4.3691661000000002</v>
      </c>
      <c r="F18" s="24">
        <f>$D34</f>
        <v>4.3691661000000002</v>
      </c>
      <c r="G18" s="24">
        <f>$D35</f>
        <v>4.3691661000000002</v>
      </c>
      <c r="H18" s="24">
        <f>$D36</f>
        <v>4.3691661000000002</v>
      </c>
      <c r="I18" s="24">
        <f>$D37</f>
        <v>4.3691661000000002</v>
      </c>
      <c r="J18" s="24">
        <f>$D38</f>
        <v>4.3691661000000002</v>
      </c>
      <c r="K18" s="24">
        <f>$D39</f>
        <v>4.3691661000000002</v>
      </c>
      <c r="L18" s="24">
        <f>$D40</f>
        <v>4.3691661000000002</v>
      </c>
      <c r="M18" s="24">
        <f>$D41</f>
        <v>4.3691661000000002</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-75.53083389999999</v>
      </c>
      <c r="D19" s="24">
        <f t="shared" ref="D19:V19" si="1">D18-D17</f>
        <v>-75.53083389999999</v>
      </c>
      <c r="E19" s="24">
        <f t="shared" si="1"/>
        <v>-75.53083389999999</v>
      </c>
      <c r="F19" s="24">
        <f t="shared" si="1"/>
        <v>-75.53083389999999</v>
      </c>
      <c r="G19" s="24">
        <f t="shared" si="1"/>
        <v>-75.53083389999999</v>
      </c>
      <c r="H19" s="24">
        <f t="shared" si="1"/>
        <v>-75.53083389999999</v>
      </c>
      <c r="I19" s="24">
        <f t="shared" si="1"/>
        <v>-75.53083389999999</v>
      </c>
      <c r="J19" s="24">
        <f t="shared" si="1"/>
        <v>-75.53083389999999</v>
      </c>
      <c r="K19" s="24">
        <f t="shared" si="1"/>
        <v>-75.53083389999999</v>
      </c>
      <c r="L19" s="24">
        <f t="shared" si="1"/>
        <v>-75.53083389999999</v>
      </c>
      <c r="M19" s="24">
        <f t="shared" si="1"/>
        <v>-75.53083389999999</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0.40885650000000001</v>
      </c>
      <c r="D22" s="24">
        <f>$E32</f>
        <v>0.40885650000000001</v>
      </c>
      <c r="E22" s="24">
        <f>$E33</f>
        <v>0.40885650000000001</v>
      </c>
      <c r="F22" s="24">
        <f>$E34</f>
        <v>0.40885650000000001</v>
      </c>
      <c r="G22" s="24">
        <f>$E35</f>
        <v>0.40885650000000001</v>
      </c>
      <c r="H22" s="24">
        <f>$E36</f>
        <v>0.40885650000000001</v>
      </c>
      <c r="I22" s="24">
        <f>$E37</f>
        <v>0.40885650000000001</v>
      </c>
      <c r="J22" s="24">
        <f>$E38</f>
        <v>0.40885650000000001</v>
      </c>
      <c r="K22" s="24">
        <f>$E39</f>
        <v>0.40885650000000001</v>
      </c>
      <c r="L22" s="24">
        <f>$E40</f>
        <v>0.40885650000000001</v>
      </c>
      <c r="M22" s="24">
        <f>$E41</f>
        <v>0.40885650000000001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-281.59114349999999</v>
      </c>
      <c r="D23" s="24">
        <f t="shared" ref="D23:V23" si="3">D22-D21</f>
        <v>-281.59114349999999</v>
      </c>
      <c r="E23" s="24">
        <f t="shared" si="3"/>
        <v>-281.59114349999999</v>
      </c>
      <c r="F23" s="24">
        <f t="shared" si="3"/>
        <v>-281.59114349999999</v>
      </c>
      <c r="G23" s="24">
        <f t="shared" si="3"/>
        <v>-281.59114349999999</v>
      </c>
      <c r="H23" s="24">
        <f t="shared" si="3"/>
        <v>-281.59114349999999</v>
      </c>
      <c r="I23" s="24">
        <f t="shared" si="3"/>
        <v>-281.59114349999999</v>
      </c>
      <c r="J23" s="24">
        <f t="shared" si="3"/>
        <v>-281.59114349999999</v>
      </c>
      <c r="K23" s="24">
        <f t="shared" si="3"/>
        <v>-281.59114349999999</v>
      </c>
      <c r="L23" s="24">
        <f t="shared" si="3"/>
        <v>-281.59114349999999</v>
      </c>
      <c r="M23" s="24">
        <f t="shared" si="3"/>
        <v>-281.59114349999999</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1.56</v>
      </c>
      <c r="C28" s="23">
        <v>1.18</v>
      </c>
      <c r="D28" s="23">
        <v>4.8899999999999999E-2</v>
      </c>
      <c r="E28" s="23">
        <v>8.6999999999999994E-3</v>
      </c>
      <c r="F28" s="23">
        <v>415</v>
      </c>
      <c r="G28" s="23">
        <v>41.4</v>
      </c>
      <c r="H28" s="23">
        <v>160</v>
      </c>
      <c r="I28" s="23">
        <v>16</v>
      </c>
      <c r="J28" s="23">
        <v>0.7</v>
      </c>
      <c r="K28" s="30">
        <v>1.28</v>
      </c>
      <c r="L28" s="23">
        <v>5.51</v>
      </c>
      <c r="M28" s="23">
        <v>4.3600000000000003</v>
      </c>
      <c r="N28" s="23">
        <v>3200</v>
      </c>
      <c r="O28" s="23">
        <v>371000</v>
      </c>
      <c r="P28" s="23"/>
      <c r="Q28" s="23">
        <v>8490</v>
      </c>
      <c r="R28" s="23"/>
      <c r="S28" s="23">
        <v>83.9</v>
      </c>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1416</v>
      </c>
      <c r="B31" s="23">
        <v>250</v>
      </c>
      <c r="C31" s="2">
        <f>IF(C$27="%w/w SAR",((C$28*10)*$B31),IF(C$27="%w/w DM",(((C$28*10)*($B$28/100))*$B31),IF(C$27="kg/t SAR",(C$28*$B31),IF(C$27="kg/t DM",((C$28*($B$28/100))*$B31),IF(C$27="mg/kg SAR",((C$28*0.001)*$B31),IF(C$27="mg/kg DM",(((C$28*0.001)*($B$28/100))*$B31),0))))))</f>
        <v>46.019999999999996</v>
      </c>
      <c r="D31" s="2">
        <f>(IF(D$27="%w/w SAR",((D$28*10)*$B31),IF(D$27="%w/w DM",(((D$28*10)*($B$28/100))*$B31),IF(D$27="kg/t SAR",(D$28*$B31),IF(D$27="kg/t DM",((D$28*($B$28/100))*$B31),IF(D$27="mg/kg SAR",((D$28*0.001)*$B31),IF(D$27="mg/kg DM",(((D$28*0.001)*($B$28/100))*$B31),"0")))))))*2.291</f>
        <v>4.3691661000000002</v>
      </c>
      <c r="E31" s="2">
        <f>(IF(E$27="%w/w SAR",((E$28*10)*$B31),IF(E$27="%w/w DM",(((E$28*10)*($B$28/100))*$B31),IF(E$27="kg/t SAR",(E$28*$B31),IF(E$27="kg/t DM",((E$28*($B$28/100))*$B31),IF(E$27="mg/kg SAR",((E$28*0.001)*$B31),IF(E$27="mg/kg DM",(((E$28*0.001)*($B$28/100))*$B31),"0")))))))*1.205</f>
        <v>0.40885650000000001</v>
      </c>
      <c r="F31" s="2">
        <f>(IF(F$27="%w/w SAR",((F$28*10)*$B31),IF(F$27="%w/w DM",(((F$28*10)*($B$28/100))*$B31),IF(F$27="kg/t SAR",(F$28*$B31),IF(F$27="kg/t DM",((F$28*($B$28/100))*$B31),IF(F$27="mg/kg SAR",((F$28*0.001)*$B31),IF(F$27="mg/kg DM",(((F$28*0.001)*($B$28/100))*$B31),"0")))))))*1.658</f>
        <v>2.6834729999999998</v>
      </c>
      <c r="G31" s="2">
        <f t="shared" ref="G31:P46" si="5">IF(G$27="%w/w SAR",((G$28*10)*$B31),IF(G$27="%w/w DM",(((G$28*10)*($B$28/100))*$B31),IF(G$27="kg/t SAR",(G$28*$B31),IF(G$27="kg/t DM",((G$28*($B$28/100))*$B31),IF(G$27="mg/kg SAR",((G$28*0.001)*$B31),IF(G$27="mg/kg DM",(((G$28*0.001)*($B$28/100))*$B31),0))))))</f>
        <v>0.16146000000000002</v>
      </c>
      <c r="H31" s="2">
        <f t="shared" si="5"/>
        <v>0.62400000000000011</v>
      </c>
      <c r="I31" s="2">
        <f t="shared" si="5"/>
        <v>6.2399999999999997E-2</v>
      </c>
      <c r="J31" s="2">
        <f t="shared" si="5"/>
        <v>2.7300000000000002E-3</v>
      </c>
      <c r="K31" s="2">
        <f t="shared" si="5"/>
        <v>4.9920000000000008E-3</v>
      </c>
      <c r="L31" s="2">
        <f t="shared" si="5"/>
        <v>2.1489000000000001E-2</v>
      </c>
      <c r="M31" s="2">
        <f t="shared" si="5"/>
        <v>1.7004000000000002E-2</v>
      </c>
      <c r="N31" s="2">
        <f t="shared" si="5"/>
        <v>12.480000000000002</v>
      </c>
      <c r="O31" s="2">
        <f t="shared" si="5"/>
        <v>1446.9</v>
      </c>
      <c r="P31" s="2">
        <f t="shared" si="5"/>
        <v>0</v>
      </c>
      <c r="Q31" s="2">
        <f>(IF(Q$27="%w/w SAR",((Q$28*10)*$B31),IF(Q$27="%w/w DM",(((Q$28*10)*($B$28/100))*$B31),IF(Q$27="kg/t SAR",(Q$28*$B31),IF(Q$27="kg/t DM",((Q$28*($B$28/100))*$B31),IF(Q$27="mg/kg SAR",((Q$28*0.001)*$B31),IF(Q$27="mg/kg DM",(((Q$28*0.001)*($B$28/100))*$B31),0)))))))*2.5</f>
        <v>82.777500000000003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0.32721000000000006</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9846</v>
      </c>
      <c r="B32" s="23">
        <v>250</v>
      </c>
      <c r="C32" s="2">
        <f t="shared" ref="C32:C50" si="6">IF(C$27="%w/w SAR",((C$28*10)*$B32),IF(C$27="%w/w DM",(((C$28*10)*($B$28/100))*$B32),IF(C$27="kg/t SAR",(C$28*$B32),IF(C$27="kg/t DM",((C$28*($B$28/100))*$B32),IF(C$27="mg/kg SAR",((C$28*0.001)*$B32),IF(C$27="mg/kg DM",(((C$28*0.001)*($B$28/100))*$B32),0))))))</f>
        <v>46.019999999999996</v>
      </c>
      <c r="D32" s="2">
        <f t="shared" ref="D32:D50" si="7">(IF(D$27="%w/w SAR",((D$28*10)*$B32),IF(D$27="%w/w DM",(((D$28*10)*($B$28/100))*$B32),IF(D$27="kg/t SAR",(D$28*$B32),IF(D$27="kg/t DM",((D$28*($B$28/100))*$B32),IF(D$27="mg/kg SAR",((D$28*0.001)*$B32),IF(D$27="mg/kg DM",(((D$28*0.001)*($B$28/100))*$B32),"0")))))))*2.291</f>
        <v>4.3691661000000002</v>
      </c>
      <c r="E32" s="2">
        <f t="shared" ref="E32:E50" si="8">(IF(E$27="%w/w SAR",((E$28*10)*$B32),IF(E$27="%w/w DM",(((E$28*10)*($B$28/100))*$B32),IF(E$27="kg/t SAR",(E$28*$B32),IF(E$27="kg/t DM",((E$28*($B$28/100))*$B32),IF(E$27="mg/kg SAR",((E$28*0.001)*$B32),IF(E$27="mg/kg DM",(((E$28*0.001)*($B$28/100))*$B32),"0")))))))*1.205</f>
        <v>0.40885650000000001</v>
      </c>
      <c r="F32" s="2">
        <f t="shared" ref="F32:F50" si="9">(IF(F$27="%w/w SAR",((F$28*10)*$B32),IF(F$27="%w/w DM",(((F$28*10)*($B$28/100))*$B32),IF(F$27="kg/t SAR",(F$28*$B32),IF(F$27="kg/t DM",((F$28*($B$28/100))*$B32),IF(F$27="mg/kg SAR",((F$28*0.001)*$B32),IF(F$27="mg/kg DM",(((F$28*0.001)*($B$28/100))*$B32),"0")))))))*1.658</f>
        <v>2.6834729999999998</v>
      </c>
      <c r="G32" s="2">
        <f t="shared" si="5"/>
        <v>0.16146000000000002</v>
      </c>
      <c r="H32" s="2">
        <f t="shared" si="5"/>
        <v>0.62400000000000011</v>
      </c>
      <c r="I32" s="2">
        <f t="shared" si="5"/>
        <v>6.2399999999999997E-2</v>
      </c>
      <c r="J32" s="2">
        <f t="shared" si="5"/>
        <v>2.7300000000000002E-3</v>
      </c>
      <c r="K32" s="2">
        <f t="shared" si="5"/>
        <v>4.9920000000000008E-3</v>
      </c>
      <c r="L32" s="2">
        <f t="shared" si="5"/>
        <v>2.1489000000000001E-2</v>
      </c>
      <c r="M32" s="2">
        <f t="shared" si="5"/>
        <v>1.7004000000000002E-2</v>
      </c>
      <c r="N32" s="2">
        <f t="shared" si="5"/>
        <v>12.480000000000002</v>
      </c>
      <c r="O32" s="2">
        <f t="shared" si="5"/>
        <v>1446.9</v>
      </c>
      <c r="P32" s="2">
        <f t="shared" si="5"/>
        <v>0</v>
      </c>
      <c r="Q32" s="2">
        <f t="shared" ref="Q32:Q50" si="10">(IF(Q$27="%w/w SAR",((Q$28*10)*$B32),IF(Q$27="%w/w DM",(((Q$28*10)*($B$28/100))*$B32),IF(Q$27="kg/t SAR",(Q$28*$B32),IF(Q$27="kg/t DM",((Q$28*($B$28/100))*$B32),IF(Q$27="mg/kg SAR",((Q$28*0.001)*$B32),IF(Q$27="mg/kg DM",(((Q$28*0.001)*($B$28/100))*$B32),0)))))))*2.5</f>
        <v>82.777500000000003</v>
      </c>
      <c r="R32" s="2">
        <f t="shared" ref="R32:U50" si="11">IF(R$27="%w/w SAR",((R$28*10)*$B32),IF(R$27="%w/w DM",(((R$28*10)*($B$28/100))*$B32),IF(R$27="kg/t SAR",(R$28*$B32),IF(R$27="kg/t DM",((R$28*($B$28/100))*$B32),IF(R$27="mg/kg SAR",((R$28*0.001)*$B32),IF(R$27="mg/kg DM",(((R$28*0.001)*($B$28/100))*$B32),0))))))</f>
        <v>0</v>
      </c>
      <c r="S32" s="2">
        <f t="shared" si="11"/>
        <v>0.32721000000000006</v>
      </c>
      <c r="T32" s="2">
        <f t="shared" si="11"/>
        <v>0</v>
      </c>
      <c r="U32" s="2">
        <f t="shared" si="11"/>
        <v>0</v>
      </c>
      <c r="AB32" s="66"/>
      <c r="AC32" s="66"/>
      <c r="AD32" s="66"/>
      <c r="AE32" s="66"/>
      <c r="AF32" s="66"/>
      <c r="AG32" s="66"/>
      <c r="AH32" s="66"/>
      <c r="AI32" s="66"/>
    </row>
    <row r="33" spans="1:35" s="83" customFormat="1" x14ac:dyDescent="0.25">
      <c r="A33" s="21">
        <f>E8</f>
        <v>865</v>
      </c>
      <c r="B33" s="23">
        <v>250</v>
      </c>
      <c r="C33" s="2">
        <f t="shared" si="6"/>
        <v>46.019999999999996</v>
      </c>
      <c r="D33" s="2">
        <f t="shared" si="7"/>
        <v>4.3691661000000002</v>
      </c>
      <c r="E33" s="2">
        <f t="shared" si="8"/>
        <v>0.40885650000000001</v>
      </c>
      <c r="F33" s="2">
        <f t="shared" si="9"/>
        <v>2.6834729999999998</v>
      </c>
      <c r="G33" s="2">
        <f t="shared" si="5"/>
        <v>0.16146000000000002</v>
      </c>
      <c r="H33" s="2">
        <f t="shared" si="5"/>
        <v>0.62400000000000011</v>
      </c>
      <c r="I33" s="2">
        <f t="shared" si="5"/>
        <v>6.2399999999999997E-2</v>
      </c>
      <c r="J33" s="2">
        <f t="shared" si="5"/>
        <v>2.7300000000000002E-3</v>
      </c>
      <c r="K33" s="2">
        <f t="shared" si="5"/>
        <v>4.9920000000000008E-3</v>
      </c>
      <c r="L33" s="2">
        <f t="shared" si="5"/>
        <v>2.1489000000000001E-2</v>
      </c>
      <c r="M33" s="2">
        <f t="shared" si="5"/>
        <v>1.7004000000000002E-2</v>
      </c>
      <c r="N33" s="2">
        <f t="shared" si="5"/>
        <v>12.480000000000002</v>
      </c>
      <c r="O33" s="2">
        <f t="shared" si="5"/>
        <v>1446.9</v>
      </c>
      <c r="P33" s="2">
        <f t="shared" si="5"/>
        <v>0</v>
      </c>
      <c r="Q33" s="2">
        <f t="shared" si="10"/>
        <v>82.777500000000003</v>
      </c>
      <c r="R33" s="2">
        <f t="shared" si="11"/>
        <v>0</v>
      </c>
      <c r="S33" s="2">
        <f t="shared" si="11"/>
        <v>0.32721000000000006</v>
      </c>
      <c r="T33" s="2">
        <f t="shared" si="11"/>
        <v>0</v>
      </c>
      <c r="U33" s="2">
        <f t="shared" si="11"/>
        <v>0</v>
      </c>
      <c r="AB33" s="66"/>
      <c r="AC33" s="66"/>
      <c r="AD33" s="66"/>
      <c r="AE33" s="66"/>
      <c r="AF33" s="66"/>
      <c r="AG33" s="66"/>
      <c r="AH33" s="66"/>
      <c r="AI33" s="66"/>
    </row>
    <row r="34" spans="1:35" s="83" customFormat="1" x14ac:dyDescent="0.25">
      <c r="A34" s="21">
        <f>F8</f>
        <v>9678</v>
      </c>
      <c r="B34" s="23">
        <v>250</v>
      </c>
      <c r="C34" s="2">
        <f t="shared" si="6"/>
        <v>46.019999999999996</v>
      </c>
      <c r="D34" s="2">
        <f t="shared" si="7"/>
        <v>4.3691661000000002</v>
      </c>
      <c r="E34" s="2">
        <f t="shared" si="8"/>
        <v>0.40885650000000001</v>
      </c>
      <c r="F34" s="2">
        <f t="shared" si="9"/>
        <v>2.6834729999999998</v>
      </c>
      <c r="G34" s="2">
        <f t="shared" si="5"/>
        <v>0.16146000000000002</v>
      </c>
      <c r="H34" s="2">
        <f t="shared" si="5"/>
        <v>0.62400000000000011</v>
      </c>
      <c r="I34" s="2">
        <f t="shared" si="5"/>
        <v>6.2399999999999997E-2</v>
      </c>
      <c r="J34" s="2">
        <f t="shared" si="5"/>
        <v>2.7300000000000002E-3</v>
      </c>
      <c r="K34" s="2">
        <f t="shared" si="5"/>
        <v>4.9920000000000008E-3</v>
      </c>
      <c r="L34" s="2">
        <f t="shared" si="5"/>
        <v>2.1489000000000001E-2</v>
      </c>
      <c r="M34" s="2">
        <f t="shared" si="5"/>
        <v>1.7004000000000002E-2</v>
      </c>
      <c r="N34" s="2">
        <f t="shared" si="5"/>
        <v>12.480000000000002</v>
      </c>
      <c r="O34" s="2">
        <f t="shared" si="5"/>
        <v>1446.9</v>
      </c>
      <c r="P34" s="2">
        <f t="shared" si="5"/>
        <v>0</v>
      </c>
      <c r="Q34" s="2">
        <f t="shared" si="10"/>
        <v>82.777500000000003</v>
      </c>
      <c r="R34" s="2">
        <f t="shared" si="11"/>
        <v>0</v>
      </c>
      <c r="S34" s="2">
        <f t="shared" si="11"/>
        <v>0.32721000000000006</v>
      </c>
      <c r="T34" s="2">
        <f t="shared" si="11"/>
        <v>0</v>
      </c>
      <c r="U34" s="2">
        <f t="shared" si="11"/>
        <v>0</v>
      </c>
      <c r="AB34" s="66"/>
      <c r="AC34" s="66"/>
      <c r="AD34" s="66"/>
      <c r="AE34" s="66"/>
      <c r="AF34" s="66"/>
      <c r="AG34" s="66"/>
      <c r="AH34" s="66"/>
      <c r="AI34" s="66"/>
    </row>
    <row r="35" spans="1:35" s="83" customFormat="1" x14ac:dyDescent="0.25">
      <c r="A35" s="21">
        <f>G8</f>
        <v>1285</v>
      </c>
      <c r="B35" s="23">
        <v>250</v>
      </c>
      <c r="C35" s="2">
        <f t="shared" si="6"/>
        <v>46.019999999999996</v>
      </c>
      <c r="D35" s="2">
        <f t="shared" si="7"/>
        <v>4.3691661000000002</v>
      </c>
      <c r="E35" s="2">
        <f t="shared" si="8"/>
        <v>0.40885650000000001</v>
      </c>
      <c r="F35" s="2">
        <f t="shared" si="9"/>
        <v>2.6834729999999998</v>
      </c>
      <c r="G35" s="2">
        <f t="shared" si="5"/>
        <v>0.16146000000000002</v>
      </c>
      <c r="H35" s="2">
        <f t="shared" si="5"/>
        <v>0.62400000000000011</v>
      </c>
      <c r="I35" s="2">
        <f t="shared" si="5"/>
        <v>6.2399999999999997E-2</v>
      </c>
      <c r="J35" s="2">
        <f t="shared" si="5"/>
        <v>2.7300000000000002E-3</v>
      </c>
      <c r="K35" s="2">
        <f t="shared" si="5"/>
        <v>4.9920000000000008E-3</v>
      </c>
      <c r="L35" s="2">
        <f t="shared" si="5"/>
        <v>2.1489000000000001E-2</v>
      </c>
      <c r="M35" s="2">
        <f t="shared" si="5"/>
        <v>1.7004000000000002E-2</v>
      </c>
      <c r="N35" s="2">
        <f t="shared" si="5"/>
        <v>12.480000000000002</v>
      </c>
      <c r="O35" s="2">
        <f t="shared" si="5"/>
        <v>1446.9</v>
      </c>
      <c r="P35" s="2">
        <f t="shared" si="5"/>
        <v>0</v>
      </c>
      <c r="Q35" s="2">
        <f t="shared" si="10"/>
        <v>82.777500000000003</v>
      </c>
      <c r="R35" s="2">
        <f t="shared" si="11"/>
        <v>0</v>
      </c>
      <c r="S35" s="2">
        <f t="shared" si="11"/>
        <v>0.32721000000000006</v>
      </c>
      <c r="T35" s="2">
        <f t="shared" si="11"/>
        <v>0</v>
      </c>
      <c r="U35" s="2">
        <f t="shared" si="11"/>
        <v>0</v>
      </c>
      <c r="AB35" s="66"/>
      <c r="AC35" s="66"/>
      <c r="AD35" s="66"/>
      <c r="AE35" s="66"/>
      <c r="AF35" s="66"/>
      <c r="AG35" s="66"/>
      <c r="AH35" s="66"/>
      <c r="AI35" s="66"/>
    </row>
    <row r="36" spans="1:35" s="83" customFormat="1" x14ac:dyDescent="0.25">
      <c r="A36" s="21">
        <f>H8</f>
        <v>2488</v>
      </c>
      <c r="B36" s="23">
        <v>250</v>
      </c>
      <c r="C36" s="2">
        <f t="shared" si="6"/>
        <v>46.019999999999996</v>
      </c>
      <c r="D36" s="2">
        <f t="shared" si="7"/>
        <v>4.3691661000000002</v>
      </c>
      <c r="E36" s="2">
        <f t="shared" si="8"/>
        <v>0.40885650000000001</v>
      </c>
      <c r="F36" s="2">
        <f t="shared" si="9"/>
        <v>2.6834729999999998</v>
      </c>
      <c r="G36" s="2">
        <f t="shared" si="5"/>
        <v>0.16146000000000002</v>
      </c>
      <c r="H36" s="2">
        <f t="shared" si="5"/>
        <v>0.62400000000000011</v>
      </c>
      <c r="I36" s="2">
        <f t="shared" si="5"/>
        <v>6.2399999999999997E-2</v>
      </c>
      <c r="J36" s="2">
        <f t="shared" si="5"/>
        <v>2.7300000000000002E-3</v>
      </c>
      <c r="K36" s="2">
        <f t="shared" si="5"/>
        <v>4.9920000000000008E-3</v>
      </c>
      <c r="L36" s="2">
        <f t="shared" si="5"/>
        <v>2.1489000000000001E-2</v>
      </c>
      <c r="M36" s="2">
        <f t="shared" si="5"/>
        <v>1.7004000000000002E-2</v>
      </c>
      <c r="N36" s="2">
        <f t="shared" si="5"/>
        <v>12.480000000000002</v>
      </c>
      <c r="O36" s="2">
        <f t="shared" si="5"/>
        <v>1446.9</v>
      </c>
      <c r="P36" s="2">
        <f t="shared" si="5"/>
        <v>0</v>
      </c>
      <c r="Q36" s="2">
        <f t="shared" si="10"/>
        <v>82.777500000000003</v>
      </c>
      <c r="R36" s="2">
        <f t="shared" si="11"/>
        <v>0</v>
      </c>
      <c r="S36" s="2">
        <f t="shared" si="11"/>
        <v>0.32721000000000006</v>
      </c>
      <c r="T36" s="2">
        <f t="shared" si="11"/>
        <v>0</v>
      </c>
      <c r="U36" s="2">
        <f t="shared" si="11"/>
        <v>0</v>
      </c>
      <c r="AB36" s="66"/>
      <c r="AC36" s="66"/>
      <c r="AD36" s="66"/>
      <c r="AE36" s="66"/>
      <c r="AF36" s="66"/>
      <c r="AG36" s="66"/>
      <c r="AH36" s="66"/>
      <c r="AI36" s="66"/>
    </row>
    <row r="37" spans="1:35" s="83" customFormat="1" x14ac:dyDescent="0.25">
      <c r="A37" s="21">
        <f>I8</f>
        <v>9216</v>
      </c>
      <c r="B37" s="23">
        <v>250</v>
      </c>
      <c r="C37" s="2">
        <f t="shared" si="6"/>
        <v>46.019999999999996</v>
      </c>
      <c r="D37" s="2">
        <f t="shared" si="7"/>
        <v>4.3691661000000002</v>
      </c>
      <c r="E37" s="2">
        <f t="shared" si="8"/>
        <v>0.40885650000000001</v>
      </c>
      <c r="F37" s="2">
        <f t="shared" si="9"/>
        <v>2.6834729999999998</v>
      </c>
      <c r="G37" s="2">
        <f t="shared" si="5"/>
        <v>0.16146000000000002</v>
      </c>
      <c r="H37" s="2">
        <f t="shared" si="5"/>
        <v>0.62400000000000011</v>
      </c>
      <c r="I37" s="2">
        <f t="shared" si="5"/>
        <v>6.2399999999999997E-2</v>
      </c>
      <c r="J37" s="2">
        <f t="shared" si="5"/>
        <v>2.7300000000000002E-3</v>
      </c>
      <c r="K37" s="2">
        <f t="shared" si="5"/>
        <v>4.9920000000000008E-3</v>
      </c>
      <c r="L37" s="2">
        <f t="shared" si="5"/>
        <v>2.1489000000000001E-2</v>
      </c>
      <c r="M37" s="2">
        <f t="shared" si="5"/>
        <v>1.7004000000000002E-2</v>
      </c>
      <c r="N37" s="2">
        <f t="shared" si="5"/>
        <v>12.480000000000002</v>
      </c>
      <c r="O37" s="2">
        <f t="shared" si="5"/>
        <v>1446.9</v>
      </c>
      <c r="P37" s="2">
        <f t="shared" si="5"/>
        <v>0</v>
      </c>
      <c r="Q37" s="2">
        <f t="shared" si="10"/>
        <v>82.777500000000003</v>
      </c>
      <c r="R37" s="2">
        <f t="shared" si="11"/>
        <v>0</v>
      </c>
      <c r="S37" s="2">
        <f t="shared" si="11"/>
        <v>0.32721000000000006</v>
      </c>
      <c r="T37" s="2">
        <f t="shared" si="11"/>
        <v>0</v>
      </c>
      <c r="U37" s="2">
        <f t="shared" si="11"/>
        <v>0</v>
      </c>
      <c r="AB37" s="66"/>
      <c r="AC37" s="66"/>
      <c r="AD37" s="66"/>
      <c r="AE37" s="66"/>
      <c r="AF37" s="66"/>
      <c r="AG37" s="66"/>
      <c r="AH37" s="66"/>
      <c r="AI37" s="66"/>
    </row>
    <row r="38" spans="1:35" s="83" customFormat="1" x14ac:dyDescent="0.25">
      <c r="A38" s="21">
        <f>J8</f>
        <v>1113</v>
      </c>
      <c r="B38" s="23">
        <v>250</v>
      </c>
      <c r="C38" s="2">
        <f t="shared" si="6"/>
        <v>46.019999999999996</v>
      </c>
      <c r="D38" s="2">
        <f t="shared" si="7"/>
        <v>4.3691661000000002</v>
      </c>
      <c r="E38" s="2">
        <f t="shared" si="8"/>
        <v>0.40885650000000001</v>
      </c>
      <c r="F38" s="2">
        <f t="shared" si="9"/>
        <v>2.6834729999999998</v>
      </c>
      <c r="G38" s="2">
        <f t="shared" si="5"/>
        <v>0.16146000000000002</v>
      </c>
      <c r="H38" s="2">
        <f t="shared" si="5"/>
        <v>0.62400000000000011</v>
      </c>
      <c r="I38" s="2">
        <f t="shared" si="5"/>
        <v>6.2399999999999997E-2</v>
      </c>
      <c r="J38" s="2">
        <f t="shared" si="5"/>
        <v>2.7300000000000002E-3</v>
      </c>
      <c r="K38" s="2">
        <f t="shared" si="5"/>
        <v>4.9920000000000008E-3</v>
      </c>
      <c r="L38" s="2">
        <f t="shared" si="5"/>
        <v>2.1489000000000001E-2</v>
      </c>
      <c r="M38" s="2">
        <f t="shared" si="5"/>
        <v>1.7004000000000002E-2</v>
      </c>
      <c r="N38" s="2">
        <f t="shared" si="5"/>
        <v>12.480000000000002</v>
      </c>
      <c r="O38" s="2">
        <f t="shared" si="5"/>
        <v>1446.9</v>
      </c>
      <c r="P38" s="2">
        <f t="shared" si="5"/>
        <v>0</v>
      </c>
      <c r="Q38" s="2">
        <f t="shared" si="10"/>
        <v>82.777500000000003</v>
      </c>
      <c r="R38" s="2">
        <f t="shared" si="11"/>
        <v>0</v>
      </c>
      <c r="S38" s="2">
        <f t="shared" si="11"/>
        <v>0.32721000000000006</v>
      </c>
      <c r="T38" s="2">
        <f t="shared" si="11"/>
        <v>0</v>
      </c>
      <c r="U38" s="2">
        <f t="shared" si="11"/>
        <v>0</v>
      </c>
      <c r="AB38" s="66"/>
      <c r="AC38" s="66"/>
      <c r="AD38" s="66"/>
      <c r="AE38" s="66"/>
      <c r="AF38" s="66"/>
      <c r="AG38" s="66"/>
      <c r="AH38" s="66"/>
      <c r="AI38" s="66"/>
    </row>
    <row r="39" spans="1:35" s="83" customFormat="1" x14ac:dyDescent="0.25">
      <c r="A39" s="21">
        <f>K8</f>
        <v>2585</v>
      </c>
      <c r="B39" s="23">
        <v>250</v>
      </c>
      <c r="C39" s="2">
        <f t="shared" si="6"/>
        <v>46.019999999999996</v>
      </c>
      <c r="D39" s="2">
        <f t="shared" si="7"/>
        <v>4.3691661000000002</v>
      </c>
      <c r="E39" s="2">
        <f t="shared" si="8"/>
        <v>0.40885650000000001</v>
      </c>
      <c r="F39" s="2">
        <f t="shared" si="9"/>
        <v>2.6834729999999998</v>
      </c>
      <c r="G39" s="2">
        <f t="shared" si="5"/>
        <v>0.16146000000000002</v>
      </c>
      <c r="H39" s="2">
        <f t="shared" si="5"/>
        <v>0.62400000000000011</v>
      </c>
      <c r="I39" s="2">
        <f t="shared" si="5"/>
        <v>6.2399999999999997E-2</v>
      </c>
      <c r="J39" s="2">
        <f t="shared" si="5"/>
        <v>2.7300000000000002E-3</v>
      </c>
      <c r="K39" s="2">
        <f t="shared" si="5"/>
        <v>4.9920000000000008E-3</v>
      </c>
      <c r="L39" s="2">
        <f t="shared" si="5"/>
        <v>2.1489000000000001E-2</v>
      </c>
      <c r="M39" s="2">
        <f t="shared" si="5"/>
        <v>1.7004000000000002E-2</v>
      </c>
      <c r="N39" s="2">
        <f t="shared" si="5"/>
        <v>12.480000000000002</v>
      </c>
      <c r="O39" s="2">
        <f t="shared" si="5"/>
        <v>1446.9</v>
      </c>
      <c r="P39" s="2">
        <f t="shared" si="5"/>
        <v>0</v>
      </c>
      <c r="Q39" s="2">
        <f t="shared" si="10"/>
        <v>82.777500000000003</v>
      </c>
      <c r="R39" s="2">
        <f t="shared" si="11"/>
        <v>0</v>
      </c>
      <c r="S39" s="2">
        <f t="shared" si="11"/>
        <v>0.32721000000000006</v>
      </c>
      <c r="T39" s="2">
        <f t="shared" si="11"/>
        <v>0</v>
      </c>
      <c r="U39" s="2">
        <f t="shared" si="11"/>
        <v>0</v>
      </c>
      <c r="AB39" s="66"/>
      <c r="AC39" s="66"/>
      <c r="AD39" s="66"/>
      <c r="AE39" s="66"/>
      <c r="AF39" s="66"/>
      <c r="AG39" s="66"/>
      <c r="AH39" s="66"/>
      <c r="AI39" s="66"/>
    </row>
    <row r="40" spans="1:35" s="83" customFormat="1" x14ac:dyDescent="0.25">
      <c r="A40" s="21">
        <f>L8</f>
        <v>264</v>
      </c>
      <c r="B40" s="23">
        <v>250</v>
      </c>
      <c r="C40" s="2">
        <f t="shared" si="6"/>
        <v>46.019999999999996</v>
      </c>
      <c r="D40" s="2">
        <f t="shared" si="7"/>
        <v>4.3691661000000002</v>
      </c>
      <c r="E40" s="2">
        <f t="shared" si="8"/>
        <v>0.40885650000000001</v>
      </c>
      <c r="F40" s="2">
        <f t="shared" si="9"/>
        <v>2.6834729999999998</v>
      </c>
      <c r="G40" s="2">
        <f t="shared" si="5"/>
        <v>0.16146000000000002</v>
      </c>
      <c r="H40" s="2">
        <f t="shared" si="5"/>
        <v>0.62400000000000011</v>
      </c>
      <c r="I40" s="2">
        <f t="shared" si="5"/>
        <v>6.2399999999999997E-2</v>
      </c>
      <c r="J40" s="2">
        <f t="shared" si="5"/>
        <v>2.7300000000000002E-3</v>
      </c>
      <c r="K40" s="2">
        <f t="shared" si="5"/>
        <v>4.9920000000000008E-3</v>
      </c>
      <c r="L40" s="2">
        <f t="shared" si="5"/>
        <v>2.1489000000000001E-2</v>
      </c>
      <c r="M40" s="2">
        <f t="shared" si="5"/>
        <v>1.7004000000000002E-2</v>
      </c>
      <c r="N40" s="2">
        <f t="shared" si="5"/>
        <v>12.480000000000002</v>
      </c>
      <c r="O40" s="2">
        <f t="shared" si="5"/>
        <v>1446.9</v>
      </c>
      <c r="P40" s="2">
        <f t="shared" si="5"/>
        <v>0</v>
      </c>
      <c r="Q40" s="2">
        <f t="shared" si="10"/>
        <v>82.777500000000003</v>
      </c>
      <c r="R40" s="2">
        <f t="shared" si="11"/>
        <v>0</v>
      </c>
      <c r="S40" s="2">
        <f t="shared" si="11"/>
        <v>0.32721000000000006</v>
      </c>
      <c r="T40" s="2">
        <f t="shared" si="11"/>
        <v>0</v>
      </c>
      <c r="U40" s="2">
        <f t="shared" si="11"/>
        <v>0</v>
      </c>
      <c r="AB40" s="66"/>
      <c r="AC40" s="66"/>
      <c r="AD40" s="66"/>
      <c r="AE40" s="66"/>
      <c r="AF40" s="66"/>
      <c r="AG40" s="66"/>
      <c r="AH40" s="66"/>
      <c r="AI40" s="66"/>
    </row>
    <row r="41" spans="1:35" s="83" customFormat="1" x14ac:dyDescent="0.25">
      <c r="A41" s="21">
        <f>M8</f>
        <v>6854</v>
      </c>
      <c r="B41" s="23">
        <v>250</v>
      </c>
      <c r="C41" s="2">
        <f t="shared" si="6"/>
        <v>46.019999999999996</v>
      </c>
      <c r="D41" s="2">
        <f t="shared" si="7"/>
        <v>4.3691661000000002</v>
      </c>
      <c r="E41" s="2">
        <f t="shared" si="8"/>
        <v>0.40885650000000001</v>
      </c>
      <c r="F41" s="2">
        <f t="shared" si="9"/>
        <v>2.6834729999999998</v>
      </c>
      <c r="G41" s="2">
        <f t="shared" si="5"/>
        <v>0.16146000000000002</v>
      </c>
      <c r="H41" s="2">
        <f t="shared" si="5"/>
        <v>0.62400000000000011</v>
      </c>
      <c r="I41" s="2">
        <f t="shared" si="5"/>
        <v>6.2399999999999997E-2</v>
      </c>
      <c r="J41" s="2">
        <f t="shared" si="5"/>
        <v>2.7300000000000002E-3</v>
      </c>
      <c r="K41" s="2">
        <f t="shared" si="5"/>
        <v>4.9920000000000008E-3</v>
      </c>
      <c r="L41" s="2">
        <f t="shared" si="5"/>
        <v>2.1489000000000001E-2</v>
      </c>
      <c r="M41" s="2">
        <f t="shared" si="5"/>
        <v>1.7004000000000002E-2</v>
      </c>
      <c r="N41" s="2">
        <f t="shared" si="5"/>
        <v>12.480000000000002</v>
      </c>
      <c r="O41" s="2">
        <f t="shared" si="5"/>
        <v>1446.9</v>
      </c>
      <c r="P41" s="2">
        <f t="shared" si="5"/>
        <v>0</v>
      </c>
      <c r="Q41" s="2">
        <f t="shared" si="10"/>
        <v>82.777500000000003</v>
      </c>
      <c r="R41" s="2">
        <f t="shared" si="11"/>
        <v>0</v>
      </c>
      <c r="S41" s="2">
        <f t="shared" si="11"/>
        <v>0.32721000000000006</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1416</v>
      </c>
      <c r="C57" s="16">
        <f t="shared" ref="C57:U57" si="13">D8</f>
        <v>9846</v>
      </c>
      <c r="D57" s="16">
        <f t="shared" si="13"/>
        <v>865</v>
      </c>
      <c r="E57" s="16">
        <f t="shared" si="13"/>
        <v>9678</v>
      </c>
      <c r="F57" s="16">
        <f t="shared" si="13"/>
        <v>1285</v>
      </c>
      <c r="G57" s="16">
        <f t="shared" si="13"/>
        <v>2488</v>
      </c>
      <c r="H57" s="16">
        <f t="shared" si="13"/>
        <v>9216</v>
      </c>
      <c r="I57" s="16">
        <f t="shared" si="13"/>
        <v>1113</v>
      </c>
      <c r="J57" s="16">
        <f t="shared" si="13"/>
        <v>2585</v>
      </c>
      <c r="K57" s="16">
        <f t="shared" si="13"/>
        <v>264</v>
      </c>
      <c r="L57" s="16">
        <f t="shared" si="13"/>
        <v>6854</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"&amp;(VLOOKUP(C14,Table2456[],6,FALSE))</f>
        <v>Medium/Clay I Grass</v>
      </c>
      <c r="C58" s="44" t="str">
        <f>D16&amp;" I "&amp;(VLOOKUP(D14,Table2456[],6,FALSE))</f>
        <v>Medium/Clay I Grass</v>
      </c>
      <c r="D58" s="21" t="str">
        <f>E16&amp;" I "&amp;(VLOOKUP(E14,Table2456[],6,FALSE))</f>
        <v>Medium/Clay I Grass</v>
      </c>
      <c r="E58" s="21" t="str">
        <f>F16&amp;" I "&amp;(VLOOKUP(F14,Table2456[],6,FALSE))</f>
        <v>Medium/Clay I Grass</v>
      </c>
      <c r="F58" s="21" t="str">
        <f>G16&amp;" I "&amp;(VLOOKUP(G14,Table2456[],6,FALSE))</f>
        <v>Medium/Clay I Grass</v>
      </c>
      <c r="G58" s="21" t="str">
        <f>H16&amp;" I "&amp;(VLOOKUP(H14,Table2456[],6,FALSE))</f>
        <v>Medium/Clay I Grass</v>
      </c>
      <c r="H58" s="21" t="str">
        <f>I16&amp;" I "&amp;(VLOOKUP(I14,Table2456[],6,FALSE))</f>
        <v>Medium/Clay I Grass</v>
      </c>
      <c r="I58" s="21" t="str">
        <f>J16&amp;" I "&amp;(VLOOKUP(J14,Table2456[],6,FALSE))</f>
        <v>Medium/Clay I Grass</v>
      </c>
      <c r="J58" s="21" t="str">
        <f>K16&amp;" I "&amp;(VLOOKUP(K14,Table2456[],6,FALSE))</f>
        <v>Medium/Clay I Grass</v>
      </c>
      <c r="K58" s="21" t="str">
        <f>L16&amp;" I "&amp;(VLOOKUP(L14,Table2456[],6,FALSE))</f>
        <v>Medium/Clay I Grass</v>
      </c>
      <c r="L58" s="21" t="str">
        <f>M16&amp;" I "&amp;(VLOOKUP(M14,Table2456[],6,FALSE))</f>
        <v>Medium/Clay I Grass</v>
      </c>
      <c r="M58" s="21" t="e">
        <f>N16&amp;" I "&amp;(VLOOKUP(N14,Table2456[],6,FALSE))</f>
        <v>#N/A</v>
      </c>
      <c r="N58" s="21" t="e">
        <f>O16&amp;" I "&amp;(VLOOKUP(O14,Table2456[],6,FALSE))</f>
        <v>#N/A</v>
      </c>
      <c r="O58" s="21" t="e">
        <f>P16&amp;" I "&amp;(VLOOKUP(P14,Table2456[],6,FALSE))</f>
        <v>#N/A</v>
      </c>
      <c r="P58" s="21" t="e">
        <f>Q16&amp;" I "&amp;(VLOOKUP(Q14,Table2456[],6,FALSE))</f>
        <v>#N/A</v>
      </c>
      <c r="Q58" s="21" t="e">
        <f>R16&amp;" I "&amp;(VLOOKUP(R14,Table2456[],6,FALSE))</f>
        <v>#N/A</v>
      </c>
      <c r="R58" s="21" t="e">
        <f>S16&amp;" I "&amp;(VLOOKUP(S14,Table2456[],6,FALSE))</f>
        <v>#N/A</v>
      </c>
      <c r="S58" s="21" t="e">
        <f>T16&amp;" I "&amp;(VLOOKUP(T14,Table2456[],6,FALSE))</f>
        <v>#N/A</v>
      </c>
      <c r="T58" s="21" t="e">
        <f>U16&amp;" I "&amp;(VLOOKUP(U14,Table2456[],6,FALSE))</f>
        <v>#N/A</v>
      </c>
      <c r="U58" s="21" t="e">
        <f>V16&amp;" I "&amp;(VLOOKUP(V14,Table2456[],6,FALSE))</f>
        <v>#N/A</v>
      </c>
    </row>
    <row r="59" spans="1:35" s="27" customFormat="1" hidden="1" x14ac:dyDescent="0.2">
      <c r="A59" s="92" t="s">
        <v>130</v>
      </c>
      <c r="B59" s="93">
        <f>VLOOKUP(C$14,Table2456[],5,FALSE)</f>
        <v>6.2</v>
      </c>
      <c r="C59" s="93">
        <f>VLOOKUP(D$14,Table2456[],5,FALSE)</f>
        <v>6.2</v>
      </c>
      <c r="D59" s="93">
        <f>VLOOKUP(E$14,Table2456[],5,FALSE)</f>
        <v>6.2</v>
      </c>
      <c r="E59" s="93">
        <f>VLOOKUP(F$14,Table2456[],5,FALSE)</f>
        <v>6.2</v>
      </c>
      <c r="F59" s="93">
        <f>VLOOKUP(G$14,Table2456[],5,FALSE)</f>
        <v>6.2</v>
      </c>
      <c r="G59" s="93">
        <f>VLOOKUP(H$14,Table2456[],5,FALSE)</f>
        <v>6.2</v>
      </c>
      <c r="H59" s="93">
        <f>VLOOKUP(I$14,Table2456[],5,FALSE)</f>
        <v>6.2</v>
      </c>
      <c r="I59" s="93">
        <f>VLOOKUP(J$14,Table2456[],5,FALSE)</f>
        <v>6.2</v>
      </c>
      <c r="J59" s="93">
        <f>VLOOKUP(K$14,Table2456[],5,FALSE)</f>
        <v>6.2</v>
      </c>
      <c r="K59" s="93">
        <f>VLOOKUP(L$14,Table2456[],5,FALSE)</f>
        <v>6.2</v>
      </c>
      <c r="L59" s="93">
        <f>VLOOKUP(M$14,Table2456[],5,FALSE)</f>
        <v>6.2</v>
      </c>
      <c r="M59" s="93" t="e">
        <f>VLOOKUP(N$14,Table2456[],5,FALSE)</f>
        <v>#N/A</v>
      </c>
      <c r="N59" s="93" t="e">
        <f>VLOOKUP(O$14,Table2456[],5,FALSE)</f>
        <v>#N/A</v>
      </c>
      <c r="O59" s="93" t="e">
        <f>VLOOKUP(P$14,Table2456[],5,FALSE)</f>
        <v>#N/A</v>
      </c>
      <c r="P59" s="93" t="e">
        <f>VLOOKUP(Q$14,Table2456[],5,FALSE)</f>
        <v>#N/A</v>
      </c>
      <c r="Q59" s="93" t="e">
        <f>VLOOKUP(R$14,Table2456[],5,FALSE)</f>
        <v>#N/A</v>
      </c>
      <c r="R59" s="93" t="e">
        <f>VLOOKUP(S$14,Table2456[],5,FALSE)</f>
        <v>#N/A</v>
      </c>
      <c r="S59" s="93" t="e">
        <f>VLOOKUP(T$14,Table2456[],5,FALSE)</f>
        <v>#N/A</v>
      </c>
      <c r="T59" s="93" t="e">
        <f>VLOOKUP(U$14,Table2456[],5,FALSE)</f>
        <v>#N/A</v>
      </c>
      <c r="U59" s="93" t="e">
        <f>VLOOKUP(V$14,Table2456[],5,FALSE)</f>
        <v>#N/A</v>
      </c>
    </row>
    <row r="60" spans="1:35" s="27" customFormat="1" hidden="1" x14ac:dyDescent="0.2">
      <c r="A60" s="92" t="s">
        <v>4</v>
      </c>
      <c r="B60" s="93">
        <f>C10</f>
        <v>6.3</v>
      </c>
      <c r="C60" s="93">
        <f t="shared" ref="C60:U60" si="14">D10</f>
        <v>6.2</v>
      </c>
      <c r="D60" s="93">
        <f t="shared" si="14"/>
        <v>6.6</v>
      </c>
      <c r="E60" s="93">
        <f t="shared" si="14"/>
        <v>6.6</v>
      </c>
      <c r="F60" s="93">
        <f t="shared" si="14"/>
        <v>6.5</v>
      </c>
      <c r="G60" s="93">
        <f t="shared" si="14"/>
        <v>6.1</v>
      </c>
      <c r="H60" s="93">
        <f t="shared" si="14"/>
        <v>6.5</v>
      </c>
      <c r="I60" s="93">
        <f t="shared" si="14"/>
        <v>6.3</v>
      </c>
      <c r="J60" s="93">
        <f t="shared" si="14"/>
        <v>6.9</v>
      </c>
      <c r="K60" s="93">
        <f t="shared" si="14"/>
        <v>6.6</v>
      </c>
      <c r="L60" s="93">
        <f t="shared" si="14"/>
        <v>6.6</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250</v>
      </c>
      <c r="C62" s="94">
        <f>B32</f>
        <v>250</v>
      </c>
      <c r="D62" s="94">
        <f>B33</f>
        <v>250</v>
      </c>
      <c r="E62" s="94">
        <f>B34</f>
        <v>250</v>
      </c>
      <c r="F62" s="94">
        <f>B35</f>
        <v>250</v>
      </c>
      <c r="G62" s="94">
        <f>B36</f>
        <v>250</v>
      </c>
      <c r="H62" s="94">
        <f>B37</f>
        <v>250</v>
      </c>
      <c r="I62" s="94">
        <f>B38</f>
        <v>250</v>
      </c>
      <c r="J62" s="94">
        <f>B39</f>
        <v>250</v>
      </c>
      <c r="K62" s="94">
        <f>B40</f>
        <v>250</v>
      </c>
      <c r="L62" s="94">
        <f>B41</f>
        <v>250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-0.59999999999999787</v>
      </c>
      <c r="C64" s="94">
        <f t="shared" ref="C64:U64" si="17">(C59-C60)*C61</f>
        <v>0</v>
      </c>
      <c r="D64" s="94">
        <f t="shared" si="17"/>
        <v>-2.3999999999999968</v>
      </c>
      <c r="E64" s="94">
        <f t="shared" si="17"/>
        <v>-2.3999999999999968</v>
      </c>
      <c r="F64" s="94">
        <f t="shared" si="17"/>
        <v>-1.7999999999999989</v>
      </c>
      <c r="G64" s="94">
        <f t="shared" si="17"/>
        <v>0.6000000000000032</v>
      </c>
      <c r="H64" s="94">
        <f t="shared" si="17"/>
        <v>-1.7999999999999989</v>
      </c>
      <c r="I64" s="94">
        <f t="shared" si="17"/>
        <v>-0.59999999999999787</v>
      </c>
      <c r="J64" s="94">
        <f t="shared" si="17"/>
        <v>-4.2000000000000011</v>
      </c>
      <c r="K64" s="94">
        <f t="shared" si="17"/>
        <v>-2.3999999999999968</v>
      </c>
      <c r="L64" s="94">
        <f t="shared" si="17"/>
        <v>-2.3999999999999968</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OVER</v>
      </c>
      <c r="C65" s="95" t="str">
        <f t="shared" ref="C65:U65" si="18">IF(C64&lt;=C63,"OVER","UNDER")</f>
        <v>OVER</v>
      </c>
      <c r="D65" s="95" t="str">
        <f t="shared" si="18"/>
        <v>OVER</v>
      </c>
      <c r="E65" s="95" t="str">
        <f t="shared" si="18"/>
        <v>OVER</v>
      </c>
      <c r="F65" s="95" t="str">
        <f t="shared" si="18"/>
        <v>OVER</v>
      </c>
      <c r="G65" s="95" t="str">
        <f t="shared" si="18"/>
        <v>UNDER</v>
      </c>
      <c r="H65" s="95" t="str">
        <f t="shared" si="18"/>
        <v>OVER</v>
      </c>
      <c r="I65" s="95" t="str">
        <f t="shared" si="18"/>
        <v>OVER</v>
      </c>
      <c r="J65" s="95" t="str">
        <f t="shared" si="18"/>
        <v>OVER</v>
      </c>
      <c r="K65" s="95" t="str">
        <f t="shared" si="18"/>
        <v>OVER</v>
      </c>
      <c r="L65" s="95" t="str">
        <f t="shared" si="18"/>
        <v>OVER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Cefn Naw Clawdd</Site_x0020_Name>
    <Internal_x002f_External xmlns="859f7ad6-93f6-4205-b62b-a17f28acbbac">Internal document</Internal_x002f_External>
    <Post_x0020_code xmlns="859f7ad6-93f6-4205-b62b-a17f28acbbac">LL40 2SG</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A1 Business Park, Knottingley, West Yorkshire,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2020-07-07T23:00:00+00:00</Document_x0020_Date>
    <Facility_x0020_Address xmlns="859f7ad6-93f6-4205-b62b-a17f28acbbac">Dolgellau, Gwynedd</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05" ma:contentTypeDescription="Permitting &amp; Compliance Excel Document" ma:contentTypeScope="" ma:versionID="692bb2ba45cc6e360e72b11e600d5a34">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D22B0D-91F5-43CB-BB7B-13EBA7634D1D}"/>
</file>

<file path=customXml/itemProps2.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D25A004C-3B9E-4073-B96D-0D27E6BCBD77}"/>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Waste 1</vt:lpstr>
      <vt:lpstr>Waste 2</vt:lpstr>
      <vt:lpstr>Waste 3</vt:lpstr>
      <vt:lpstr>Waste 4</vt:lpstr>
      <vt:lpstr>Waste 5</vt:lpstr>
      <vt:lpstr>Waste 6</vt:lpstr>
      <vt:lpstr>Waste 7</vt:lpstr>
      <vt:lpstr>Waste 8</vt:lpstr>
      <vt:lpstr>Waste 9</vt:lpstr>
      <vt:lpstr>Waste 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sion.sleep</cp:lastModifiedBy>
  <dcterms:created xsi:type="dcterms:W3CDTF">2016-09-26T10:07:59Z</dcterms:created>
  <dcterms:modified xsi:type="dcterms:W3CDTF">2020-07-08T08:42:00Z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02cb99cf-d232-4c73-a3fb-18496cfa43da</vt:lpwstr>
  </property>
  <property fmtid="{D5CDD505-2E9C-101B-9397-08002B2CF9AE}" pid="4" name="_dlc_DocId">
    <vt:lpwstr>REGU-415-1609767</vt:lpwstr>
  </property>
  <property fmtid="{D5CDD505-2E9C-101B-9397-08002B2CF9AE}" pid="5" name="_dlc_DocIdUrl">
    <vt:lpwstr>https://cyfoethnaturiolcymru.sharepoint.com/teams/Regulatory/Permitting/_layouts/15/DocIdRedir.aspx?ID=REGU-415-1609767, REGU-415-1609767</vt:lpwstr>
  </property>
</Properties>
</file>