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Sion Sleep/PAN-010907/"/>
    </mc:Choice>
  </mc:AlternateContent>
  <xr:revisionPtr revIDLastSave="0" documentId="13_ncr:1_{8935DF90-53AD-49C0-8162-CBD4DC3D3993}" xr6:coauthVersionLast="41" xr6:coauthVersionMax="41" xr10:uidLastSave="{00000000-0000-0000-0000-000000000000}"/>
  <bookViews>
    <workbookView xWindow="-120" yWindow="-120" windowWidth="20730" windowHeight="11160" tabRatio="777" xr2:uid="{00000000-000D-0000-FFFF-FFFF00000000}"/>
  </bookViews>
  <sheets>
    <sheet name="Field data and Waste 1" sheetId="1" r:id="rId1"/>
    <sheet name="Waste 2" sheetId="21" r:id="rId2"/>
    <sheet name="Waste 3" sheetId="27" r:id="rId3"/>
    <sheet name="Waste 4" sheetId="28" r:id="rId4"/>
    <sheet name="Waste 5" sheetId="30"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62" i="30" l="1"/>
  <c r="T62" i="30"/>
  <c r="S62" i="30"/>
  <c r="R62" i="30"/>
  <c r="Q62" i="30"/>
  <c r="P62" i="30"/>
  <c r="O62" i="30"/>
  <c r="N62" i="30"/>
  <c r="M62" i="30"/>
  <c r="L62" i="30"/>
  <c r="K62" i="30"/>
  <c r="J62" i="30"/>
  <c r="I62" i="30"/>
  <c r="H62" i="30"/>
  <c r="G62" i="30"/>
  <c r="F62" i="30"/>
  <c r="E62" i="30"/>
  <c r="D62" i="30"/>
  <c r="C62" i="30"/>
  <c r="B62" i="30"/>
  <c r="G55" i="30"/>
  <c r="E55" i="30"/>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T31" i="30"/>
  <c r="S31" i="30"/>
  <c r="R31" i="30"/>
  <c r="Q31" i="30"/>
  <c r="P31" i="30"/>
  <c r="O31" i="30"/>
  <c r="N31" i="30"/>
  <c r="M31" i="30"/>
  <c r="L31" i="30"/>
  <c r="K31" i="30"/>
  <c r="J31" i="30"/>
  <c r="I31" i="30"/>
  <c r="H31" i="30"/>
  <c r="G31" i="30"/>
  <c r="F31" i="30"/>
  <c r="E31" i="30"/>
  <c r="C22" i="30" s="1"/>
  <c r="D31" i="30"/>
  <c r="C18" i="30" s="1"/>
  <c r="C31" i="30"/>
  <c r="V24" i="30"/>
  <c r="U24" i="30"/>
  <c r="T24" i="30"/>
  <c r="S24" i="30"/>
  <c r="R24" i="30"/>
  <c r="Q24" i="30"/>
  <c r="P24" i="30"/>
  <c r="O24" i="30"/>
  <c r="N24" i="30"/>
  <c r="M24" i="30"/>
  <c r="L24" i="30"/>
  <c r="V22" i="30"/>
  <c r="O22" i="30"/>
  <c r="N22" i="30"/>
  <c r="V20" i="30"/>
  <c r="U20" i="30"/>
  <c r="T20" i="30"/>
  <c r="S20" i="30"/>
  <c r="R20" i="30"/>
  <c r="Q20" i="30"/>
  <c r="P20" i="30"/>
  <c r="O20" i="30"/>
  <c r="N20" i="30"/>
  <c r="M20" i="30"/>
  <c r="L20" i="30"/>
  <c r="R18" i="30"/>
  <c r="Q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59" i="30" s="1"/>
  <c r="U14" i="30"/>
  <c r="T59" i="30" s="1"/>
  <c r="T14" i="30"/>
  <c r="S59" i="30" s="1"/>
  <c r="S14" i="30"/>
  <c r="R59" i="30" s="1"/>
  <c r="R14" i="30"/>
  <c r="Q59" i="30" s="1"/>
  <c r="Q14" i="30"/>
  <c r="P14" i="30"/>
  <c r="O14" i="30"/>
  <c r="O21" i="30" s="1"/>
  <c r="N14" i="30"/>
  <c r="M59" i="30" s="1"/>
  <c r="M14" i="30"/>
  <c r="L59" i="30" s="1"/>
  <c r="L14" i="30"/>
  <c r="K59" i="30" s="1"/>
  <c r="K14" i="30"/>
  <c r="J59" i="30" s="1"/>
  <c r="J14" i="30"/>
  <c r="I59" i="30" s="1"/>
  <c r="I14" i="30"/>
  <c r="H59" i="30" s="1"/>
  <c r="H14" i="30"/>
  <c r="G14" i="30"/>
  <c r="F14" i="30"/>
  <c r="E59" i="30" s="1"/>
  <c r="E14" i="30"/>
  <c r="D59" i="30" s="1"/>
  <c r="D14" i="30"/>
  <c r="C59" i="30" s="1"/>
  <c r="C14" i="30"/>
  <c r="B59" i="30" s="1"/>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C43" i="28"/>
  <c r="U42" i="28"/>
  <c r="T42" i="28"/>
  <c r="S42" i="28"/>
  <c r="R42" i="28"/>
  <c r="Q42" i="28"/>
  <c r="P42" i="28"/>
  <c r="O42" i="28"/>
  <c r="N42" i="28"/>
  <c r="M42" i="28"/>
  <c r="L42" i="28"/>
  <c r="K42" i="28"/>
  <c r="J42" i="28"/>
  <c r="I42" i="28"/>
  <c r="H42" i="28"/>
  <c r="G42" i="28"/>
  <c r="F42" i="28"/>
  <c r="E42" i="28"/>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4" i="28"/>
  <c r="U24" i="28"/>
  <c r="T24" i="28"/>
  <c r="S24" i="28"/>
  <c r="R24" i="28"/>
  <c r="Q24" i="28"/>
  <c r="P24" i="28"/>
  <c r="O24" i="28"/>
  <c r="N24" i="28"/>
  <c r="M24" i="28"/>
  <c r="L24" i="28"/>
  <c r="V22" i="28"/>
  <c r="N22" i="28"/>
  <c r="K22" i="28"/>
  <c r="V20" i="28"/>
  <c r="U20" i="28"/>
  <c r="T20" i="28"/>
  <c r="S20" i="28"/>
  <c r="R20" i="28"/>
  <c r="Q20" i="28"/>
  <c r="P20" i="28"/>
  <c r="O20" i="28"/>
  <c r="N20" i="28"/>
  <c r="M20" i="28"/>
  <c r="L20" i="28"/>
  <c r="V18" i="28"/>
  <c r="R18" i="28"/>
  <c r="O18" i="28"/>
  <c r="N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59" i="28" s="1"/>
  <c r="U14" i="28"/>
  <c r="T59" i="28" s="1"/>
  <c r="T14" i="28"/>
  <c r="S59" i="28" s="1"/>
  <c r="S14" i="28"/>
  <c r="R59" i="28" s="1"/>
  <c r="R14" i="28"/>
  <c r="Q59" i="28" s="1"/>
  <c r="Q14" i="28"/>
  <c r="P14" i="28"/>
  <c r="O14" i="28"/>
  <c r="N59" i="28" s="1"/>
  <c r="N14" i="28"/>
  <c r="M59" i="28" s="1"/>
  <c r="M14" i="28"/>
  <c r="L59" i="28" s="1"/>
  <c r="L14" i="28"/>
  <c r="K59" i="28" s="1"/>
  <c r="K14" i="28"/>
  <c r="J59" i="28" s="1"/>
  <c r="J14" i="28"/>
  <c r="I59" i="28" s="1"/>
  <c r="I14" i="28"/>
  <c r="H14" i="28"/>
  <c r="G14" i="28"/>
  <c r="F59" i="28" s="1"/>
  <c r="F14" i="28"/>
  <c r="E59" i="28" s="1"/>
  <c r="E14" i="28"/>
  <c r="D59" i="28" s="1"/>
  <c r="D14" i="28"/>
  <c r="C59" i="28" s="1"/>
  <c r="C14" i="28"/>
  <c r="B59" i="28" s="1"/>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N24" i="27"/>
  <c r="M24" i="27"/>
  <c r="L24" i="27"/>
  <c r="V20" i="27"/>
  <c r="U20" i="27"/>
  <c r="T20" i="27"/>
  <c r="S20" i="27"/>
  <c r="R20" i="27"/>
  <c r="Q20" i="27"/>
  <c r="P20" i="27"/>
  <c r="O20" i="27"/>
  <c r="N20" i="27"/>
  <c r="M20" i="27"/>
  <c r="L20" i="27"/>
  <c r="V18" i="27"/>
  <c r="S18" i="27"/>
  <c r="O18" i="27"/>
  <c r="N18" i="27"/>
  <c r="L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G8" i="21"/>
  <c r="H8" i="21"/>
  <c r="A36" i="21" s="1"/>
  <c r="I8" i="21"/>
  <c r="H57" i="21" s="1"/>
  <c r="J8" i="21"/>
  <c r="I57" i="21" s="1"/>
  <c r="K8" i="21"/>
  <c r="A39" i="21" s="1"/>
  <c r="L8" i="21"/>
  <c r="A40" i="21" s="1"/>
  <c r="M8" i="21"/>
  <c r="L57" i="21" s="1"/>
  <c r="N8" i="2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F14" i="21"/>
  <c r="E59" i="21" s="1"/>
  <c r="G14" i="21"/>
  <c r="F59" i="21" s="1"/>
  <c r="H14" i="21"/>
  <c r="I14" i="21"/>
  <c r="J14" i="21"/>
  <c r="I59" i="21" s="1"/>
  <c r="K14" i="21"/>
  <c r="J59" i="21" s="1"/>
  <c r="L14" i="21"/>
  <c r="K59" i="21" s="1"/>
  <c r="M14" i="21"/>
  <c r="N14" i="21"/>
  <c r="M59" i="21" s="1"/>
  <c r="O14" i="21"/>
  <c r="N59" i="21" s="1"/>
  <c r="P14" i="21"/>
  <c r="O59" i="21" s="1"/>
  <c r="Q14" i="21"/>
  <c r="P59" i="21" s="1"/>
  <c r="R14" i="21"/>
  <c r="Q59" i="21" s="1"/>
  <c r="S14" i="21"/>
  <c r="R59" i="21" s="1"/>
  <c r="T14" i="21"/>
  <c r="S59" i="21" s="1"/>
  <c r="U14" i="21"/>
  <c r="T59" i="21" s="1"/>
  <c r="V14" i="21"/>
  <c r="U59" i="21" s="1"/>
  <c r="D15" i="21"/>
  <c r="D21" i="21" s="1"/>
  <c r="E15" i="21"/>
  <c r="F15" i="21"/>
  <c r="G15" i="21"/>
  <c r="H15" i="21"/>
  <c r="I15" i="21"/>
  <c r="J15" i="21"/>
  <c r="K15" i="21"/>
  <c r="L15" i="21"/>
  <c r="M15" i="21"/>
  <c r="N15" i="21"/>
  <c r="O15" i="21"/>
  <c r="P15" i="21"/>
  <c r="Q15" i="21"/>
  <c r="R15" i="21"/>
  <c r="S15" i="21"/>
  <c r="T15" i="21"/>
  <c r="U15" i="21"/>
  <c r="V15" i="21"/>
  <c r="D16" i="21"/>
  <c r="E16" i="21"/>
  <c r="D58" i="21" s="1"/>
  <c r="D61" i="21" s="1"/>
  <c r="F16" i="21"/>
  <c r="G16" i="21"/>
  <c r="F58" i="21" s="1"/>
  <c r="F61" i="21" s="1"/>
  <c r="H16" i="21"/>
  <c r="I16" i="21"/>
  <c r="J16" i="21"/>
  <c r="K16" i="21"/>
  <c r="L16" i="21"/>
  <c r="M16" i="21"/>
  <c r="L58" i="21" s="1"/>
  <c r="L61" i="21" s="1"/>
  <c r="N16" i="21"/>
  <c r="O16" i="2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N63" i="21"/>
  <c r="U62" i="21"/>
  <c r="T62" i="21"/>
  <c r="S62" i="21"/>
  <c r="R62" i="21"/>
  <c r="Q62" i="21"/>
  <c r="P62" i="21"/>
  <c r="O62" i="21"/>
  <c r="N62" i="21"/>
  <c r="M62" i="21"/>
  <c r="L62" i="21"/>
  <c r="K62" i="21"/>
  <c r="J62" i="21"/>
  <c r="I62" i="21"/>
  <c r="H62" i="21"/>
  <c r="G62" i="21"/>
  <c r="F62" i="21"/>
  <c r="F63" i="21" s="1"/>
  <c r="E62" i="21"/>
  <c r="D62" i="21"/>
  <c r="C62" i="21"/>
  <c r="B62" i="21"/>
  <c r="U60" i="21"/>
  <c r="P60" i="21"/>
  <c r="O60" i="21"/>
  <c r="H60" i="21"/>
  <c r="G60" i="21"/>
  <c r="L59" i="21"/>
  <c r="D59" i="21"/>
  <c r="N58" i="21"/>
  <c r="N61" i="21" s="1"/>
  <c r="U57" i="21"/>
  <c r="M57" i="21"/>
  <c r="F57" i="21"/>
  <c r="E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A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V20" i="21"/>
  <c r="U20" i="21"/>
  <c r="T20" i="21"/>
  <c r="S20" i="21"/>
  <c r="R20" i="21"/>
  <c r="Q20" i="21"/>
  <c r="P20" i="21"/>
  <c r="O20" i="21"/>
  <c r="N20" i="21"/>
  <c r="M20" i="21"/>
  <c r="L20" i="21"/>
  <c r="V18" i="21"/>
  <c r="F17" i="21"/>
  <c r="G58" i="21" l="1"/>
  <c r="G61" i="21" s="1"/>
  <c r="G21" i="30"/>
  <c r="L21" i="21"/>
  <c r="S58" i="21"/>
  <c r="S61" i="21" s="1"/>
  <c r="C58" i="21"/>
  <c r="C61" i="21" s="1"/>
  <c r="I17" i="21"/>
  <c r="I19" i="21" s="1"/>
  <c r="I20" i="21" s="1"/>
  <c r="T21" i="21"/>
  <c r="L17" i="21"/>
  <c r="D17" i="21"/>
  <c r="K58" i="21"/>
  <c r="K61" i="21" s="1"/>
  <c r="I21" i="27"/>
  <c r="Q21" i="27"/>
  <c r="U21" i="21"/>
  <c r="U23" i="21" s="1"/>
  <c r="U24" i="21" s="1"/>
  <c r="T17" i="21"/>
  <c r="R58" i="21"/>
  <c r="R61" i="21" s="1"/>
  <c r="S21" i="21"/>
  <c r="S23" i="21" s="1"/>
  <c r="S24" i="21" s="1"/>
  <c r="S17" i="21"/>
  <c r="O57" i="21"/>
  <c r="O21" i="21"/>
  <c r="O23" i="21" s="1"/>
  <c r="O24" i="21" s="1"/>
  <c r="A43" i="21"/>
  <c r="M21" i="21"/>
  <c r="J58" i="21"/>
  <c r="J61" i="21" s="1"/>
  <c r="K21" i="21"/>
  <c r="G21" i="21"/>
  <c r="G23" i="21" s="1"/>
  <c r="G24" i="21" s="1"/>
  <c r="E17" i="21"/>
  <c r="E19" i="21" s="1"/>
  <c r="E20" i="21" s="1"/>
  <c r="G17" i="21"/>
  <c r="J17" i="21"/>
  <c r="G21" i="27"/>
  <c r="O21" i="27"/>
  <c r="O23" i="27" s="1"/>
  <c r="D58" i="30"/>
  <c r="D61" i="30" s="1"/>
  <c r="L58" i="30"/>
  <c r="L61" i="30" s="1"/>
  <c r="L64" i="30" s="1"/>
  <c r="H21" i="27"/>
  <c r="H23" i="27" s="1"/>
  <c r="H24" i="27" s="1"/>
  <c r="P21" i="27"/>
  <c r="H21" i="28"/>
  <c r="H23" i="28" s="1"/>
  <c r="H24" i="28" s="1"/>
  <c r="P21" i="28"/>
  <c r="O17" i="21"/>
  <c r="R17" i="21"/>
  <c r="D19" i="21"/>
  <c r="D20" i="21" s="1"/>
  <c r="J58" i="27"/>
  <c r="J61" i="27" s="1"/>
  <c r="J64" i="27" s="1"/>
  <c r="R58" i="27"/>
  <c r="R61" i="27" s="1"/>
  <c r="R64" i="27" s="1"/>
  <c r="R58" i="28"/>
  <c r="R61" i="28" s="1"/>
  <c r="R64" i="28" s="1"/>
  <c r="H21" i="21"/>
  <c r="H23" i="21" s="1"/>
  <c r="H24" i="21" s="1"/>
  <c r="D17" i="27"/>
  <c r="D19" i="27" s="1"/>
  <c r="D20" i="27" s="1"/>
  <c r="L21" i="27"/>
  <c r="L23" i="27" s="1"/>
  <c r="T21" i="27"/>
  <c r="J21" i="30"/>
  <c r="J23" i="30" s="1"/>
  <c r="J24" i="30" s="1"/>
  <c r="R21" i="30"/>
  <c r="R23" i="30" s="1"/>
  <c r="P58" i="21"/>
  <c r="P61" i="21" s="1"/>
  <c r="H58" i="21"/>
  <c r="H61" i="21" s="1"/>
  <c r="R57" i="21"/>
  <c r="H21" i="30"/>
  <c r="H23" i="30" s="1"/>
  <c r="H24" i="30" s="1"/>
  <c r="P21" i="30"/>
  <c r="P23" i="30" s="1"/>
  <c r="I21" i="30"/>
  <c r="I23" i="30" s="1"/>
  <c r="I24" i="30" s="1"/>
  <c r="Q21" i="30"/>
  <c r="Q23" i="30" s="1"/>
  <c r="E21" i="30"/>
  <c r="E23" i="30" s="1"/>
  <c r="E24" i="30" s="1"/>
  <c r="M21" i="30"/>
  <c r="M23" i="30" s="1"/>
  <c r="U21" i="30"/>
  <c r="U23" i="30" s="1"/>
  <c r="J58" i="28"/>
  <c r="J61" i="28" s="1"/>
  <c r="J64" i="28" s="1"/>
  <c r="T58" i="30"/>
  <c r="T61" i="30" s="1"/>
  <c r="T64" i="30" s="1"/>
  <c r="D58" i="27"/>
  <c r="D61" i="27" s="1"/>
  <c r="D64" i="27" s="1"/>
  <c r="L58" i="27"/>
  <c r="L61" i="27" s="1"/>
  <c r="L64" i="27" s="1"/>
  <c r="T58" i="27"/>
  <c r="T61" i="27" s="1"/>
  <c r="T64" i="27" s="1"/>
  <c r="J58" i="30"/>
  <c r="J61" i="30" s="1"/>
  <c r="J64" i="30" s="1"/>
  <c r="R58" i="30"/>
  <c r="R61" i="30" s="1"/>
  <c r="R64" i="30" s="1"/>
  <c r="P57" i="30"/>
  <c r="J57" i="21"/>
  <c r="H59" i="21"/>
  <c r="H64" i="21" s="1"/>
  <c r="J17" i="27"/>
  <c r="J19" i="27" s="1"/>
  <c r="J20" i="27" s="1"/>
  <c r="R21" i="27"/>
  <c r="R23" i="27" s="1"/>
  <c r="O64" i="21"/>
  <c r="E58" i="27"/>
  <c r="E61" i="27" s="1"/>
  <c r="E64" i="27" s="1"/>
  <c r="M58" i="27"/>
  <c r="M61" i="27" s="1"/>
  <c r="M64" i="27" s="1"/>
  <c r="U58" i="27"/>
  <c r="U61" i="27" s="1"/>
  <c r="U64" i="27" s="1"/>
  <c r="U65" i="27" s="1"/>
  <c r="F58" i="30"/>
  <c r="F61" i="30" s="1"/>
  <c r="N58" i="30"/>
  <c r="N61" i="30" s="1"/>
  <c r="P21" i="21"/>
  <c r="G59" i="21"/>
  <c r="F58" i="27"/>
  <c r="F61" i="27" s="1"/>
  <c r="N58" i="27"/>
  <c r="N61" i="27" s="1"/>
  <c r="C58" i="28"/>
  <c r="C61" i="28" s="1"/>
  <c r="C64" i="28" s="1"/>
  <c r="K58" i="28"/>
  <c r="K61" i="28" s="1"/>
  <c r="K64" i="28" s="1"/>
  <c r="S58" i="28"/>
  <c r="S61" i="28" s="1"/>
  <c r="S64" i="28" s="1"/>
  <c r="D21" i="30"/>
  <c r="L21" i="30"/>
  <c r="L23" i="30" s="1"/>
  <c r="T21" i="30"/>
  <c r="T23" i="30" s="1"/>
  <c r="G58" i="30"/>
  <c r="G61" i="30" s="1"/>
  <c r="O58" i="30"/>
  <c r="O61" i="30" s="1"/>
  <c r="Q57" i="30"/>
  <c r="E21" i="21"/>
  <c r="E23" i="21" s="1"/>
  <c r="E24" i="21" s="1"/>
  <c r="G58" i="27"/>
  <c r="G61" i="27" s="1"/>
  <c r="T58" i="28"/>
  <c r="T61" i="28" s="1"/>
  <c r="H58" i="30"/>
  <c r="H61" i="30" s="1"/>
  <c r="H64" i="30" s="1"/>
  <c r="N59" i="30"/>
  <c r="K17" i="21"/>
  <c r="K19" i="21" s="1"/>
  <c r="K20" i="21" s="1"/>
  <c r="Q57" i="21"/>
  <c r="B58" i="21"/>
  <c r="B61" i="21" s="1"/>
  <c r="B64" i="21" s="1"/>
  <c r="H58" i="27"/>
  <c r="H61" i="27" s="1"/>
  <c r="P58" i="27"/>
  <c r="P61" i="27" s="1"/>
  <c r="F57" i="27"/>
  <c r="J21" i="28"/>
  <c r="J23" i="28" s="1"/>
  <c r="J24" i="28" s="1"/>
  <c r="R21" i="28"/>
  <c r="E58" i="28"/>
  <c r="E61" i="28" s="1"/>
  <c r="E64" i="28" s="1"/>
  <c r="M58" i="28"/>
  <c r="M61" i="28" s="1"/>
  <c r="M64" i="28" s="1"/>
  <c r="U58" i="28"/>
  <c r="U61" i="28" s="1"/>
  <c r="U64" i="28" s="1"/>
  <c r="U65" i="28" s="1"/>
  <c r="I58" i="30"/>
  <c r="I61" i="30" s="1"/>
  <c r="I64" i="30" s="1"/>
  <c r="Q58" i="30"/>
  <c r="Q61" i="30" s="1"/>
  <c r="Q64" i="30" s="1"/>
  <c r="Q65" i="30" s="1"/>
  <c r="P59" i="30"/>
  <c r="O58" i="27"/>
  <c r="O61" i="27" s="1"/>
  <c r="U17" i="21"/>
  <c r="U19" i="21" s="1"/>
  <c r="V17" i="21"/>
  <c r="V19" i="21" s="1"/>
  <c r="A38" i="21"/>
  <c r="I58" i="27"/>
  <c r="I61" i="27" s="1"/>
  <c r="I64" i="27" s="1"/>
  <c r="Q58" i="27"/>
  <c r="Q61" i="27" s="1"/>
  <c r="Q64" i="27" s="1"/>
  <c r="H57" i="27"/>
  <c r="F59" i="27"/>
  <c r="G21" i="28"/>
  <c r="G23" i="28" s="1"/>
  <c r="G24" i="28" s="1"/>
  <c r="O21" i="28"/>
  <c r="O23" i="28" s="1"/>
  <c r="F58" i="28"/>
  <c r="F61" i="28" s="1"/>
  <c r="F64" i="28" s="1"/>
  <c r="F65" i="28" s="1"/>
  <c r="N58" i="28"/>
  <c r="N61" i="28" s="1"/>
  <c r="F57" i="30"/>
  <c r="L58" i="28"/>
  <c r="L61" i="28" s="1"/>
  <c r="P17" i="21"/>
  <c r="P19" i="21" s="1"/>
  <c r="H17" i="21"/>
  <c r="H19" i="21" s="1"/>
  <c r="H20" i="21" s="1"/>
  <c r="P23" i="27"/>
  <c r="N57" i="27"/>
  <c r="H59" i="27"/>
  <c r="G58" i="28"/>
  <c r="G61" i="28" s="1"/>
  <c r="O58" i="28"/>
  <c r="O61" i="28" s="1"/>
  <c r="R23" i="28"/>
  <c r="F57" i="28"/>
  <c r="C58" i="30"/>
  <c r="C61" i="30" s="1"/>
  <c r="C64" i="30" s="1"/>
  <c r="K58" i="30"/>
  <c r="K61" i="30" s="1"/>
  <c r="K64" i="30" s="1"/>
  <c r="S58" i="30"/>
  <c r="S61" i="30" s="1"/>
  <c r="S64" i="30" s="1"/>
  <c r="H57" i="30"/>
  <c r="F19" i="21"/>
  <c r="F20" i="21" s="1"/>
  <c r="D58" i="28"/>
  <c r="D61" i="28" s="1"/>
  <c r="D64" i="28" s="1"/>
  <c r="P58" i="30"/>
  <c r="P61" i="30" s="1"/>
  <c r="N17" i="21"/>
  <c r="Q58" i="21"/>
  <c r="Q61" i="21" s="1"/>
  <c r="I58" i="21"/>
  <c r="I61" i="21" s="1"/>
  <c r="I64" i="21" s="1"/>
  <c r="C58" i="27"/>
  <c r="C61" i="27" s="1"/>
  <c r="C64" i="27" s="1"/>
  <c r="K58" i="27"/>
  <c r="K61" i="27" s="1"/>
  <c r="S58" i="27"/>
  <c r="S61" i="27" s="1"/>
  <c r="S64" i="27" s="1"/>
  <c r="P57" i="27"/>
  <c r="N59" i="27"/>
  <c r="I21" i="28"/>
  <c r="I23" i="28" s="1"/>
  <c r="I24" i="28" s="1"/>
  <c r="Q21" i="28"/>
  <c r="Q23" i="28" s="1"/>
  <c r="H58" i="28"/>
  <c r="H61" i="28" s="1"/>
  <c r="P58" i="28"/>
  <c r="P61" i="28" s="1"/>
  <c r="N57" i="28"/>
  <c r="D64" i="30"/>
  <c r="I57" i="30"/>
  <c r="M17" i="21"/>
  <c r="M19" i="21" s="1"/>
  <c r="G57" i="21"/>
  <c r="G23" i="27"/>
  <c r="G24" i="27" s="1"/>
  <c r="P59" i="27"/>
  <c r="P64" i="27" s="1"/>
  <c r="I58" i="28"/>
  <c r="I61" i="28" s="1"/>
  <c r="I64" i="28" s="1"/>
  <c r="Q58" i="28"/>
  <c r="Q61" i="28" s="1"/>
  <c r="Q64" i="28" s="1"/>
  <c r="P23" i="28"/>
  <c r="E58" i="30"/>
  <c r="E61" i="30" s="1"/>
  <c r="E64" i="30" s="1"/>
  <c r="M58" i="30"/>
  <c r="M61" i="30" s="1"/>
  <c r="M64" i="30" s="1"/>
  <c r="U58" i="30"/>
  <c r="U61" i="30" s="1"/>
  <c r="U64" i="30" s="1"/>
  <c r="U65" i="30" s="1"/>
  <c r="N57" i="30"/>
  <c r="F59" i="30"/>
  <c r="F64" i="30" s="1"/>
  <c r="B58" i="30"/>
  <c r="B61" i="30" s="1"/>
  <c r="B64" i="30" s="1"/>
  <c r="B58" i="27"/>
  <c r="B61" i="27" s="1"/>
  <c r="B64" i="27" s="1"/>
  <c r="B58" i="28"/>
  <c r="B61" i="28" s="1"/>
  <c r="B64" i="28" s="1"/>
  <c r="C21" i="21"/>
  <c r="C23" i="21" s="1"/>
  <c r="C24" i="21" s="1"/>
  <c r="C17" i="21"/>
  <c r="C19" i="21" s="1"/>
  <c r="C20" i="21" s="1"/>
  <c r="D23" i="30"/>
  <c r="D24" i="30" s="1"/>
  <c r="O23" i="30"/>
  <c r="G23" i="30"/>
  <c r="G24" i="30" s="1"/>
  <c r="J17" i="30"/>
  <c r="J19" i="30" s="1"/>
  <c r="J20" i="30" s="1"/>
  <c r="R17" i="30"/>
  <c r="R19" i="30" s="1"/>
  <c r="F63" i="30"/>
  <c r="N63" i="30"/>
  <c r="C17" i="30"/>
  <c r="C19" i="30" s="1"/>
  <c r="C20" i="30" s="1"/>
  <c r="K17" i="30"/>
  <c r="K19" i="30" s="1"/>
  <c r="K20" i="30" s="1"/>
  <c r="S17" i="30"/>
  <c r="S19" i="30" s="1"/>
  <c r="C21" i="30"/>
  <c r="C23" i="30" s="1"/>
  <c r="C24" i="30" s="1"/>
  <c r="K21" i="30"/>
  <c r="K23" i="30" s="1"/>
  <c r="K24" i="30" s="1"/>
  <c r="S21" i="30"/>
  <c r="S23" i="30" s="1"/>
  <c r="A31" i="30"/>
  <c r="A33" i="30"/>
  <c r="A39" i="30"/>
  <c r="A41" i="30"/>
  <c r="A47" i="30"/>
  <c r="A49" i="30"/>
  <c r="G57" i="30"/>
  <c r="O57" i="30"/>
  <c r="G59" i="30"/>
  <c r="O59" i="30"/>
  <c r="G63" i="30"/>
  <c r="O63" i="30"/>
  <c r="D17" i="30"/>
  <c r="D19" i="30" s="1"/>
  <c r="D20" i="30" s="1"/>
  <c r="P63" i="30"/>
  <c r="I63" i="30"/>
  <c r="Q63" i="30"/>
  <c r="T17" i="30"/>
  <c r="T19" i="30" s="1"/>
  <c r="E17" i="30"/>
  <c r="E19" i="30" s="1"/>
  <c r="E20" i="30" s="1"/>
  <c r="F17" i="30"/>
  <c r="F19" i="30" s="1"/>
  <c r="F20" i="30" s="1"/>
  <c r="N17" i="30"/>
  <c r="N19" i="30" s="1"/>
  <c r="V17" i="30"/>
  <c r="V19" i="30" s="1"/>
  <c r="F21" i="30"/>
  <c r="F23" i="30" s="1"/>
  <c r="F24" i="30" s="1"/>
  <c r="N21" i="30"/>
  <c r="N23" i="30" s="1"/>
  <c r="V21" i="30"/>
  <c r="V23" i="30" s="1"/>
  <c r="B63" i="30"/>
  <c r="J63" i="30"/>
  <c r="R63" i="30"/>
  <c r="M17" i="30"/>
  <c r="M19" i="30" s="1"/>
  <c r="G17" i="30"/>
  <c r="G19" i="30" s="1"/>
  <c r="G20" i="30" s="1"/>
  <c r="O17" i="30"/>
  <c r="O19" i="30" s="1"/>
  <c r="A32" i="30"/>
  <c r="A34" i="30"/>
  <c r="A40" i="30"/>
  <c r="A42" i="30"/>
  <c r="A48" i="30"/>
  <c r="A50" i="30"/>
  <c r="C63" i="30"/>
  <c r="K63" i="30"/>
  <c r="S63" i="30"/>
  <c r="L17" i="30"/>
  <c r="L19" i="30" s="1"/>
  <c r="H17" i="30"/>
  <c r="H19" i="30" s="1"/>
  <c r="H20" i="30" s="1"/>
  <c r="P17" i="30"/>
  <c r="P19" i="30" s="1"/>
  <c r="D63" i="30"/>
  <c r="L63" i="30"/>
  <c r="T63" i="30"/>
  <c r="H63" i="30"/>
  <c r="U17" i="30"/>
  <c r="U19" i="30" s="1"/>
  <c r="I17" i="30"/>
  <c r="I19" i="30" s="1"/>
  <c r="I20" i="30" s="1"/>
  <c r="Q17" i="30"/>
  <c r="Q19" i="30" s="1"/>
  <c r="E63" i="30"/>
  <c r="M63" i="30"/>
  <c r="L64" i="28"/>
  <c r="T64" i="28"/>
  <c r="N64" i="28"/>
  <c r="N65" i="28" s="1"/>
  <c r="J17" i="28"/>
  <c r="J19" i="28" s="1"/>
  <c r="J20" i="28" s="1"/>
  <c r="C17" i="28"/>
  <c r="C19" i="28" s="1"/>
  <c r="C20" i="28" s="1"/>
  <c r="K17" i="28"/>
  <c r="K19" i="28" s="1"/>
  <c r="K20" i="28" s="1"/>
  <c r="S17" i="28"/>
  <c r="S19" i="28" s="1"/>
  <c r="C21" i="28"/>
  <c r="C23" i="28" s="1"/>
  <c r="C24" i="28" s="1"/>
  <c r="K21" i="28"/>
  <c r="K23" i="28" s="1"/>
  <c r="K24" i="28" s="1"/>
  <c r="S21" i="28"/>
  <c r="S23" i="28" s="1"/>
  <c r="A31" i="28"/>
  <c r="A33" i="28"/>
  <c r="A37" i="28"/>
  <c r="A39" i="28"/>
  <c r="A41" i="28"/>
  <c r="A45" i="28"/>
  <c r="A47" i="28"/>
  <c r="A49" i="28"/>
  <c r="G57" i="28"/>
  <c r="O57" i="28"/>
  <c r="G59" i="28"/>
  <c r="O59" i="28"/>
  <c r="G63" i="28"/>
  <c r="O63" i="28"/>
  <c r="D17" i="28"/>
  <c r="D19" i="28" s="1"/>
  <c r="D20" i="28" s="1"/>
  <c r="L17" i="28"/>
  <c r="L19" i="28" s="1"/>
  <c r="T17" i="28"/>
  <c r="T19" i="28" s="1"/>
  <c r="D21" i="28"/>
  <c r="D23" i="28" s="1"/>
  <c r="D24" i="28" s="1"/>
  <c r="L21" i="28"/>
  <c r="L23" i="28" s="1"/>
  <c r="T21" i="28"/>
  <c r="T23" i="28" s="1"/>
  <c r="H59" i="28"/>
  <c r="P59" i="28"/>
  <c r="P64" i="28" s="1"/>
  <c r="H63" i="28"/>
  <c r="P63" i="28"/>
  <c r="E17" i="28"/>
  <c r="E19" i="28" s="1"/>
  <c r="E20" i="28" s="1"/>
  <c r="M17" i="28"/>
  <c r="M19" i="28" s="1"/>
  <c r="U17" i="28"/>
  <c r="U19" i="28" s="1"/>
  <c r="E21" i="28"/>
  <c r="E23" i="28" s="1"/>
  <c r="E24" i="28" s="1"/>
  <c r="M21" i="28"/>
  <c r="M23" i="28" s="1"/>
  <c r="U21" i="28"/>
  <c r="U23" i="28" s="1"/>
  <c r="I57" i="28"/>
  <c r="Q57" i="28"/>
  <c r="I63" i="28"/>
  <c r="Q63" i="28"/>
  <c r="R17" i="28"/>
  <c r="R19" i="28" s="1"/>
  <c r="F17" i="28"/>
  <c r="F19" i="28" s="1"/>
  <c r="F20" i="28" s="1"/>
  <c r="N17" i="28"/>
  <c r="N19" i="28" s="1"/>
  <c r="V17" i="28"/>
  <c r="V19" i="28" s="1"/>
  <c r="F21" i="28"/>
  <c r="F23" i="28" s="1"/>
  <c r="F24" i="28" s="1"/>
  <c r="N21" i="28"/>
  <c r="N23" i="28" s="1"/>
  <c r="V21" i="28"/>
  <c r="V23" i="28" s="1"/>
  <c r="B63" i="28"/>
  <c r="J63" i="28"/>
  <c r="R63" i="28"/>
  <c r="G17" i="28"/>
  <c r="G19" i="28" s="1"/>
  <c r="G20" i="28" s="1"/>
  <c r="O17" i="28"/>
  <c r="O19" i="28" s="1"/>
  <c r="A32" i="28"/>
  <c r="A34" i="28"/>
  <c r="A40" i="28"/>
  <c r="A42" i="28"/>
  <c r="A48" i="28"/>
  <c r="A50" i="28"/>
  <c r="C63" i="28"/>
  <c r="K63" i="28"/>
  <c r="S63" i="28"/>
  <c r="H17" i="28"/>
  <c r="H19" i="28" s="1"/>
  <c r="H20" i="28" s="1"/>
  <c r="P17" i="28"/>
  <c r="P19" i="28" s="1"/>
  <c r="D63" i="28"/>
  <c r="L63" i="28"/>
  <c r="T63" i="28"/>
  <c r="I17" i="28"/>
  <c r="I19" i="28" s="1"/>
  <c r="I20" i="28" s="1"/>
  <c r="Q17" i="28"/>
  <c r="Q19" i="28" s="1"/>
  <c r="E63" i="28"/>
  <c r="M63" i="28"/>
  <c r="K64" i="27"/>
  <c r="Q23" i="27"/>
  <c r="I23" i="27"/>
  <c r="I24" i="27" s="1"/>
  <c r="T23" i="27"/>
  <c r="R17" i="27"/>
  <c r="R19" i="27" s="1"/>
  <c r="J21" i="27"/>
  <c r="J23" i="27" s="1"/>
  <c r="J24" i="27" s="1"/>
  <c r="F63" i="27"/>
  <c r="N63" i="27"/>
  <c r="C17" i="27"/>
  <c r="C19" i="27" s="1"/>
  <c r="C20" i="27" s="1"/>
  <c r="K17" i="27"/>
  <c r="K19" i="27" s="1"/>
  <c r="K20" i="27" s="1"/>
  <c r="S17" i="27"/>
  <c r="S19" i="27" s="1"/>
  <c r="C21" i="27"/>
  <c r="C23" i="27" s="1"/>
  <c r="C24" i="27" s="1"/>
  <c r="K21" i="27"/>
  <c r="K23" i="27" s="1"/>
  <c r="K24" i="27" s="1"/>
  <c r="S21" i="27"/>
  <c r="S23"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U17" i="27"/>
  <c r="U19" i="27" s="1"/>
  <c r="E21" i="27"/>
  <c r="E23" i="27" s="1"/>
  <c r="E24" i="27" s="1"/>
  <c r="M21" i="27"/>
  <c r="M23" i="27" s="1"/>
  <c r="U21" i="27"/>
  <c r="U23" i="27" s="1"/>
  <c r="I57" i="27"/>
  <c r="Q57" i="27"/>
  <c r="I63" i="27"/>
  <c r="Q63" i="27"/>
  <c r="F17" i="27"/>
  <c r="F19" i="27" s="1"/>
  <c r="F20" i="27" s="1"/>
  <c r="N17" i="27"/>
  <c r="N19" i="27" s="1"/>
  <c r="V17" i="27"/>
  <c r="V19" i="27" s="1"/>
  <c r="F21" i="27"/>
  <c r="F23" i="27" s="1"/>
  <c r="F24" i="27" s="1"/>
  <c r="N21" i="27"/>
  <c r="N23" i="27" s="1"/>
  <c r="V21" i="27"/>
  <c r="V23" i="27" s="1"/>
  <c r="B63" i="27"/>
  <c r="J63" i="27"/>
  <c r="R63" i="27"/>
  <c r="G17" i="27"/>
  <c r="G19" i="27" s="1"/>
  <c r="G20" i="27" s="1"/>
  <c r="O17" i="27"/>
  <c r="O19" i="27" s="1"/>
  <c r="A32" i="27"/>
  <c r="A34" i="27"/>
  <c r="A40" i="27"/>
  <c r="A42" i="27"/>
  <c r="A48" i="27"/>
  <c r="A50" i="27"/>
  <c r="C63" i="27"/>
  <c r="K63" i="27"/>
  <c r="S63" i="27"/>
  <c r="L17" i="27"/>
  <c r="L19" i="27" s="1"/>
  <c r="H17" i="27"/>
  <c r="H19" i="27" s="1"/>
  <c r="H20" i="27" s="1"/>
  <c r="P17" i="27"/>
  <c r="P19" i="27" s="1"/>
  <c r="D63" i="27"/>
  <c r="L63" i="27"/>
  <c r="T63" i="27"/>
  <c r="H63" i="27"/>
  <c r="I17" i="27"/>
  <c r="I19" i="27" s="1"/>
  <c r="I20" i="27" s="1"/>
  <c r="Q17" i="27"/>
  <c r="Q19" i="27" s="1"/>
  <c r="E63" i="27"/>
  <c r="M63" i="27"/>
  <c r="P64" i="21"/>
  <c r="N64" i="21"/>
  <c r="N65" i="21" s="1"/>
  <c r="F64" i="21"/>
  <c r="F65" i="21" s="1"/>
  <c r="N19" i="21"/>
  <c r="D23" i="21"/>
  <c r="D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O19" i="21"/>
  <c r="S19" i="21"/>
  <c r="I21" i="21"/>
  <c r="I23" i="21" s="1"/>
  <c r="I24" i="21" s="1"/>
  <c r="Q21" i="21"/>
  <c r="Q23" i="21" s="1"/>
  <c r="Q24" i="21" s="1"/>
  <c r="K23" i="21"/>
  <c r="K24" i="21" s="1"/>
  <c r="M23" i="21"/>
  <c r="M24" i="21" s="1"/>
  <c r="C57" i="21"/>
  <c r="K57" i="21"/>
  <c r="S57" i="21"/>
  <c r="G19" i="21"/>
  <c r="G20" i="21" s="1"/>
  <c r="Q17" i="21"/>
  <c r="Q19" i="21" s="1"/>
  <c r="J21" i="21"/>
  <c r="J23" i="21" s="1"/>
  <c r="J24" i="21" s="1"/>
  <c r="R21" i="21"/>
  <c r="R23" i="21" s="1"/>
  <c r="R24" i="21" s="1"/>
  <c r="J19" i="21"/>
  <c r="J20" i="21" s="1"/>
  <c r="L19" i="21"/>
  <c r="T19" i="21"/>
  <c r="R19" i="21"/>
  <c r="A31" i="21"/>
  <c r="Q64" i="21"/>
  <c r="J64" i="21"/>
  <c r="D64" i="21"/>
  <c r="L64" i="21"/>
  <c r="T64" i="21"/>
  <c r="R64" i="21"/>
  <c r="C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G64" i="30" l="1"/>
  <c r="G64" i="21"/>
  <c r="G65" i="21" s="1"/>
  <c r="G64" i="28"/>
  <c r="G65" i="28" s="1"/>
  <c r="D65" i="30"/>
  <c r="S65" i="27"/>
  <c r="L65" i="27"/>
  <c r="H64" i="28"/>
  <c r="H65" i="28" s="1"/>
  <c r="H64" i="27"/>
  <c r="H65" i="27" s="1"/>
  <c r="O64" i="27"/>
  <c r="O65" i="27" s="1"/>
  <c r="O64" i="28"/>
  <c r="N64" i="27"/>
  <c r="N65" i="27" s="1"/>
  <c r="N64" i="30"/>
  <c r="N65" i="30" s="1"/>
  <c r="L65" i="30"/>
  <c r="J65" i="28"/>
  <c r="I65" i="21"/>
  <c r="O65" i="28"/>
  <c r="P64" i="30"/>
  <c r="P65" i="30" s="1"/>
  <c r="Q65" i="21"/>
  <c r="P65" i="21"/>
  <c r="K65" i="27"/>
  <c r="R65" i="27"/>
  <c r="C65" i="27"/>
  <c r="J65" i="27"/>
  <c r="G64" i="27"/>
  <c r="G65" i="27" s="1"/>
  <c r="G65" i="30"/>
  <c r="J65" i="30"/>
  <c r="F64" i="27"/>
  <c r="F65" i="27" s="1"/>
  <c r="J65" i="21"/>
  <c r="T65" i="27"/>
  <c r="E65" i="21"/>
  <c r="T65" i="21"/>
  <c r="H65" i="30"/>
  <c r="E65" i="30"/>
  <c r="L65" i="21"/>
  <c r="L65" i="28"/>
  <c r="T65" i="30"/>
  <c r="R65" i="28"/>
  <c r="S64" i="1"/>
  <c r="D65" i="27"/>
  <c r="R65" i="30"/>
  <c r="F65" i="30"/>
  <c r="R64" i="1"/>
  <c r="Q64" i="1"/>
  <c r="U64" i="1"/>
  <c r="P64" i="1"/>
  <c r="E65" i="27"/>
  <c r="C65" i="28"/>
  <c r="O64" i="30"/>
  <c r="B65" i="27"/>
  <c r="B65" i="28"/>
  <c r="B65" i="30"/>
  <c r="O65" i="30"/>
  <c r="S65" i="30"/>
  <c r="M65" i="30"/>
  <c r="K65" i="30"/>
  <c r="C65" i="30"/>
  <c r="I65" i="30"/>
  <c r="T65" i="28"/>
  <c r="E65" i="28"/>
  <c r="D65" i="28"/>
  <c r="M65" i="28"/>
  <c r="P65" i="28"/>
  <c r="Q65" i="28"/>
  <c r="I65" i="28"/>
  <c r="S65" i="28"/>
  <c r="K65" i="28"/>
  <c r="Q65" i="27"/>
  <c r="I65" i="27"/>
  <c r="M65" i="27"/>
  <c r="P65" i="27"/>
  <c r="H65" i="21"/>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<sst xmlns="http://schemas.openxmlformats.org/spreadsheetml/2006/main" count="1109" uniqueCount="170">
  <si>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</si>
  <si>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</si>
  <si>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</si>
  <si>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</si>
  <si>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</si>
  <si>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</si>
  <si>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</si>
  <si>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</si>
  <si>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</si>
  <si>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</si>
  <si>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</si>
  <si>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</si>
  <si>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</si>
  <si>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</si>
  <si>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</si>
  <si>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</si>
  <si>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</si>
  <si>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</si>
  <si>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</si>
  <si>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</si>
  <si>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</si>
  <si>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</si>
  <si>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</si>
  <si>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</si>
  <si>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</si>
  <si>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</si>
  <si>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</si>
  <si>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</si>
  <si>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</si>
  <si>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</si>
  <si>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</si>
  <si>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</si>
  <si>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</si>
  <si>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</si>
  <si>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</si>
  <si>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</si>
  <si>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</si>
  <si>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</si>
  <si>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</si>
  <si>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</si>
  <si>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</si>
  <si>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</si>
  <si>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</si>
  <si>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</si>
  <si>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</si>
  <si>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</si>
  <si>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</si>
  <si>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</si>
  <si>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</si>
  <si>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</si>
  <si>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</si>
  <si>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</si>
  <si>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</si>
  <si>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</si>
  <si>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</si>
  <si>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</si>
  <si>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</si>
  <si>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</si>
  <si>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</si>
  <si>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</si>
  <si>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</si>
  <si>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</si>
  <si>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</si>
  <si>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</si>
  <si>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</si>
  <si>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</si>
  <si>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</si>
  <si>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</si>
  <si>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</si>
  <si>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</si>
  <si>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</si>
  <si>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</si>
  <si>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</si>
  <si>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</si>
  <si>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</si>
  <si>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</si>
  <si>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</si>
  <si>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</si>
  <si>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</si>
  <si>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</si>
  <si>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</si>
  <si>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</si>
  <si>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</si>
  <si>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</si>
  <si>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</si>
  <si>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</si>
  <si>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</si>
  <si>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</si>
  <si>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</si>
  <si>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</si>
  <si>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</si>
  <si>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</si>
  <si>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</si>
  <si>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</si>
  <si>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</si>
  <si>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</si>
  <si>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</si>
  <si>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</si>
  <si>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</si>
  <si>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</si>
  <si>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</si>
  <si>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</si>
  <si>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</si>
  <si>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</si>
  <si>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</si>
  <si>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</si>
  <si>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</si>
  <si>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</si>
  <si>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</si>
  <si>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</si>
  <si>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</si>
  <si>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</si>
  <si>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</si>
  <si>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</si>
  <si>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</si>
  <si>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</si>
  <si>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</si>
  <si>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</si>
  <si>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</si>
  <si>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</si>
  <si>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</si>
  <si>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</si>
  <si>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</si>
  <si>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</si>
  <si>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</si>
  <si>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</si>
  <si>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</si>
  <si>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</si>
  <si>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</si>
  <si>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</si>
  <si>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</si>
  <si>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</si>
  <si>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</si>
  <si>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</si>
  <si>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</si>
  <si>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</si>
  <si>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</si>
  <si>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</si>
  <si>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</si>
  <si>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</si>
  <si>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</si>
  <si>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</si>
  <si>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</si>
  <si>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</si>
  <si>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</si>
  <si>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</si>
  <si>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</si>
  <si>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</si>
  <si>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</si>
  <si>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</si>
  <si>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</si>
  <si>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</si>
  <si>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PAN-010907</t>
  </si>
  <si>
    <t>Simon Jones</t>
  </si>
  <si>
    <t>EPR-JB3533RJ</t>
  </si>
  <si>
    <t>Land at Carreglywd, Llandrygan, Llanerchymedd, Anglesey, LL65 4PA</t>
  </si>
  <si>
    <t>Sion Sleep</t>
  </si>
  <si>
    <t>C1</t>
  </si>
  <si>
    <t>C2</t>
  </si>
  <si>
    <t>C3</t>
  </si>
  <si>
    <t>Moderate</t>
  </si>
  <si>
    <t>02 05 02</t>
  </si>
  <si>
    <t>DAF Sludge</t>
  </si>
  <si>
    <t xml:space="preserve">Whey </t>
  </si>
  <si>
    <t>02 05 01</t>
  </si>
  <si>
    <t xml:space="preserve">Heavy Effluent </t>
  </si>
  <si>
    <t>19 06 06</t>
  </si>
  <si>
    <t>Mona Digestate</t>
  </si>
  <si>
    <t>19 06 05</t>
  </si>
  <si>
    <t>Mona Leach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</si>
</sst>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3"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95">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66" dataDxfId="164" headerRowBorderDxfId="165" tableBorderDxfId="163" totalsRowBorderDxfId="162">
  <autoFilter ref="AI1:AN26" xr:uid="{F8B5EC87-3095-445A-A980-2CFAA0A7B9A2}"/>
  <sortState xmlns:xlrd2="http://schemas.microsoft.com/office/spreadsheetml/2017/richdata2" ref="AI2:AL25">
    <sortCondition ref="AL1:AL25"/>
  </sortState>
  <tableColumns count="6">
    <tableColumn id="1" xr3:uid="{360F44E4-7249-415F-8D5E-41D249F9A162}" name="Crop" dataDxfId="161"/>
    <tableColumn id="2" xr3:uid="{55E07717-B4EC-4E8A-B9A9-34F3CF85E32D}" name="P Offtake" dataDxfId="160"/>
    <tableColumn id="3" xr3:uid="{7B25FA52-8104-4FE3-AED4-B53CBFDF89B2}" name="K Offtake" dataDxfId="159"/>
    <tableColumn id="4" xr3:uid="{0DBAE461-2D09-43C8-9342-3980D552AE4D}" name="Order" dataDxfId="158"/>
    <tableColumn id="5" xr3:uid="{52CACE7B-0CBA-46FC-9F24-02CBD6100239}" name="Lime pH requirement" dataDxfId="157"/>
    <tableColumn id="6" xr3:uid="{F1432630-9B16-4266-8147-CE754A715307}" name="Column1" dataDxfId="15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27" dataDxfId="125" headerRowBorderDxfId="126" tableBorderDxfId="124" totalsRowBorderDxfId="123">
  <autoFilter ref="AI1:AN26" xr:uid="{F8B5EC87-3095-445A-A980-2CFAA0A7B9A2}"/>
  <sortState xmlns:xlrd2="http://schemas.microsoft.com/office/spreadsheetml/2017/richdata2" ref="AI2:AL25">
    <sortCondition ref="AL1:AL25"/>
  </sortState>
  <tableColumns count="6">
    <tableColumn id="1" xr3:uid="{7E96A84B-948F-445F-BD6E-30CC8E6E6DD1}" name="Crop" dataDxfId="122"/>
    <tableColumn id="2" xr3:uid="{12657DDB-F680-47DE-ABB1-8675D5F91E41}" name="P Offtake" dataDxfId="121"/>
    <tableColumn id="3" xr3:uid="{DEB99109-D325-4F98-8A71-E70C03433437}" name="K Offtake" dataDxfId="120"/>
    <tableColumn id="4" xr3:uid="{E96A561F-7E7F-4FB3-97AA-0B35D8C8E93A}" name="Order" dataDxfId="119"/>
    <tableColumn id="5" xr3:uid="{181DD475-0A71-4C52-AF1A-8BFF46F5A827}" name="Lime pH requirement" dataDxfId="118"/>
    <tableColumn id="6" xr3:uid="{AC3FA7E8-D76B-43A3-B715-04446DFF63C6}" name="Column1" dataDxfId="11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88" dataDxfId="86" headerRowBorderDxfId="87" tableBorderDxfId="85" totalsRowBorderDxfId="84">
  <autoFilter ref="AI1:AN26" xr:uid="{F8B5EC87-3095-445A-A980-2CFAA0A7B9A2}"/>
  <sortState xmlns:xlrd2="http://schemas.microsoft.com/office/spreadsheetml/2017/richdata2" ref="AI2:AL25">
    <sortCondition ref="AL1:AL25"/>
  </sortState>
  <tableColumns count="6">
    <tableColumn id="1" xr3:uid="{06008BA1-A1E9-4286-B67A-352533C06A26}" name="Crop" dataDxfId="83"/>
    <tableColumn id="2" xr3:uid="{2AEB5EEB-C9D1-41DC-913E-953A33D1A4AF}" name="P Offtake" dataDxfId="82"/>
    <tableColumn id="3" xr3:uid="{8FA16A0B-1017-4CEE-862E-0A8CBD8EB3D3}" name="K Offtake" dataDxfId="81"/>
    <tableColumn id="4" xr3:uid="{E7A3B8CD-4036-47F4-B818-C3F22E80C749}" name="Order" dataDxfId="80"/>
    <tableColumn id="5" xr3:uid="{8F3EBD84-7904-4559-9B5C-63088B792C98}" name="Lime pH requirement" dataDxfId="79"/>
    <tableColumn id="6" xr3:uid="{A21DD95A-C955-4510-9114-E3F1CB645370}" name="Column1"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49" dataDxfId="47" headerRowBorderDxfId="48" tableBorderDxfId="46" totalsRowBorderDxfId="45">
  <autoFilter ref="AI1:AN26" xr:uid="{F8B5EC87-3095-445A-A980-2CFAA0A7B9A2}"/>
  <sortState xmlns:xlrd2="http://schemas.microsoft.com/office/spreadsheetml/2017/richdata2" ref="AI2:AL25">
    <sortCondition ref="AL1:AL25"/>
  </sortState>
  <tableColumns count="6">
    <tableColumn id="1" xr3:uid="{11579FCC-3D9F-49AD-888D-5D79B801F6AE}" name="Crop" dataDxfId="44"/>
    <tableColumn id="2" xr3:uid="{05C08116-56D5-4CC6-A649-B06AF891B931}" name="P Offtake" dataDxfId="43"/>
    <tableColumn id="3" xr3:uid="{59CDE959-192B-4757-9203-A0F691CF0F96}" name="K Offtake" dataDxfId="42"/>
    <tableColumn id="4" xr3:uid="{9FB8E4F7-B91F-4CE0-AF39-D4895D0ECF2F}" name="Order" dataDxfId="41"/>
    <tableColumn id="5" xr3:uid="{688FF2A4-D7C6-4425-A915-A9ADD700A9EE}" name="Lime pH requirement" dataDxfId="40"/>
    <tableColumn id="6" xr3:uid="{05FC5CFF-3D81-4B5F-87C7-2364076F2714}" name="Column1" dataDxfId="3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973D7FFB-D248-4199-9B2E-B3C6CC09D382}" name="Crop" dataDxfId="5"/>
    <tableColumn id="2" xr3:uid="{7F2A3986-EC86-4CF9-BD10-791170BA6682}" name="P Offtake" dataDxfId="4"/>
    <tableColumn id="3" xr3:uid="{D6129C35-9DC6-42E5-AE3F-EA3A083168E6}" name="K Offtake" dataDxfId="3"/>
    <tableColumn id="4" xr3:uid="{C1CC42B5-564A-4DE7-B817-B7D686FE9A11}" name="Order" dataDxfId="2"/>
    <tableColumn id="5" xr3:uid="{620F3ABD-564C-411A-8DEA-CE1A34F9FC36}" name="Lime pH requirement" dataDxfId="1"/>
    <tableColumn id="6" xr3:uid="{76C9BC4F-4FF3-4AFB-8E7B-16DC0CC3E97C}"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topLeftCell="B1" zoomScaleNormal="100" workbookViewId="0">
      <selection activeCell="E20" sqref="E20"/>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10" t="s">
        <v>41</v>
      </c>
      <c r="B1" s="110"/>
      <c r="C1" s="119" t="s">
        <v>152</v>
      </c>
      <c r="D1" s="120"/>
      <c r="E1" s="37" t="s">
        <v>45</v>
      </c>
      <c r="F1" s="35">
        <v>50</v>
      </c>
      <c r="G1" s="122" t="s">
        <v>43</v>
      </c>
      <c r="H1" s="123"/>
      <c r="I1" s="35">
        <v>6.18</v>
      </c>
      <c r="AB1" s="26"/>
      <c r="AC1" s="26"/>
      <c r="AD1" s="43" t="s">
        <v>124</v>
      </c>
      <c r="AE1" s="25"/>
      <c r="AF1" s="25"/>
      <c r="AG1" s="26"/>
      <c r="AH1" s="26"/>
      <c r="AI1" s="47" t="s">
        <v>79</v>
      </c>
      <c r="AJ1" s="48" t="s">
        <v>91</v>
      </c>
      <c r="AK1" s="49" t="s">
        <v>92</v>
      </c>
      <c r="AL1" s="50" t="s">
        <v>123</v>
      </c>
      <c r="AM1" s="50" t="s">
        <v>129</v>
      </c>
      <c r="AN1" s="50" t="s">
        <v>109</v>
      </c>
    </row>
    <row r="2" spans="1:40" x14ac:dyDescent="0.2">
      <c r="A2" s="110" t="s">
        <v>84</v>
      </c>
      <c r="B2" s="110"/>
      <c r="C2" s="117" t="s">
        <v>154</v>
      </c>
      <c r="D2" s="118"/>
      <c r="E2" s="37" t="s">
        <v>106</v>
      </c>
      <c r="F2" s="35" t="s">
        <v>161</v>
      </c>
      <c r="G2" s="124" t="s">
        <v>107</v>
      </c>
      <c r="H2" s="125"/>
      <c r="I2" s="35">
        <v>275</v>
      </c>
      <c r="AB2" s="43" t="s">
        <v>56</v>
      </c>
      <c r="AC2" s="25"/>
      <c r="AD2" s="43" t="s">
        <v>70</v>
      </c>
      <c r="AE2" s="25"/>
      <c r="AF2" s="25"/>
      <c r="AG2" s="51" t="s">
        <v>76</v>
      </c>
      <c r="AH2" s="26"/>
      <c r="AI2" s="52" t="s">
        <v>124</v>
      </c>
      <c r="AJ2" s="53">
        <v>0</v>
      </c>
      <c r="AK2" s="54">
        <v>0</v>
      </c>
      <c r="AL2" s="18">
        <v>0</v>
      </c>
      <c r="AM2" s="19">
        <v>0</v>
      </c>
      <c r="AN2" s="19">
        <v>0</v>
      </c>
    </row>
    <row r="3" spans="1:40" x14ac:dyDescent="0.2">
      <c r="A3" s="111" t="s">
        <v>42</v>
      </c>
      <c r="B3" s="112"/>
      <c r="C3" s="117" t="s">
        <v>153</v>
      </c>
      <c r="D3" s="118"/>
      <c r="E3" s="37" t="s">
        <v>105</v>
      </c>
      <c r="F3" s="45" t="s">
        <v>78</v>
      </c>
      <c r="G3" s="116" t="s">
        <v>108</v>
      </c>
      <c r="H3" s="116"/>
      <c r="I3" s="35">
        <v>1.214</v>
      </c>
      <c r="AB3" s="43" t="s">
        <v>57</v>
      </c>
      <c r="AC3" s="25"/>
      <c r="AD3" s="43" t="s">
        <v>71</v>
      </c>
      <c r="AE3" s="25"/>
      <c r="AF3" s="25"/>
      <c r="AG3" s="51" t="s">
        <v>77</v>
      </c>
      <c r="AH3" s="26"/>
      <c r="AI3" s="55" t="s">
        <v>111</v>
      </c>
      <c r="AJ3" s="56">
        <v>1.7</v>
      </c>
      <c r="AK3" s="57">
        <v>6</v>
      </c>
      <c r="AL3" s="58">
        <v>1</v>
      </c>
      <c r="AM3" s="19">
        <v>6.2</v>
      </c>
      <c r="AN3" s="19" t="s">
        <v>110</v>
      </c>
    </row>
    <row r="4" spans="1:40" x14ac:dyDescent="0.2">
      <c r="A4" s="110" t="s">
        <v>0</v>
      </c>
      <c r="B4" s="110"/>
      <c r="C4" s="119" t="s">
        <v>155</v>
      </c>
      <c r="D4" s="120"/>
      <c r="E4" s="38" t="s">
        <v>1</v>
      </c>
      <c r="F4" s="100" t="s">
        <v>162</v>
      </c>
      <c r="G4" s="116"/>
      <c r="H4" s="116"/>
      <c r="I4" s="35"/>
      <c r="AB4" s="43" t="s">
        <v>52</v>
      </c>
      <c r="AC4" s="25"/>
      <c r="AD4" s="59" t="s">
        <v>72</v>
      </c>
      <c r="AE4" s="25"/>
      <c r="AF4" s="25"/>
      <c r="AG4" s="51" t="s">
        <v>78</v>
      </c>
      <c r="AH4" s="26"/>
      <c r="AI4" s="60" t="s">
        <v>122</v>
      </c>
      <c r="AJ4" s="61">
        <v>7</v>
      </c>
      <c r="AK4" s="62">
        <v>10.5</v>
      </c>
      <c r="AL4" s="19">
        <v>2</v>
      </c>
      <c r="AM4" s="19">
        <v>6.7</v>
      </c>
      <c r="AN4" s="19" t="s">
        <v>135</v>
      </c>
    </row>
    <row r="5" spans="1:40" x14ac:dyDescent="0.2">
      <c r="A5" s="110" t="s">
        <v>47</v>
      </c>
      <c r="B5" s="110"/>
      <c r="C5" s="121" t="s">
        <v>156</v>
      </c>
      <c r="D5" s="121"/>
      <c r="E5" s="38"/>
      <c r="F5" s="100"/>
      <c r="G5" s="116"/>
      <c r="H5" s="116"/>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05" t="s">
        <v>63</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0" t="s">
        <v>2</v>
      </c>
      <c r="B8" s="110"/>
      <c r="C8" s="23" t="s">
        <v>157</v>
      </c>
      <c r="D8" s="23" t="s">
        <v>158</v>
      </c>
      <c r="E8" s="23" t="s">
        <v>159</v>
      </c>
      <c r="F8" s="23">
        <v>1</v>
      </c>
      <c r="G8" s="23">
        <v>2</v>
      </c>
      <c r="H8" s="23">
        <v>3</v>
      </c>
      <c r="I8" s="23">
        <v>4</v>
      </c>
      <c r="J8" s="23">
        <v>5</v>
      </c>
      <c r="K8" s="23">
        <v>6</v>
      </c>
      <c r="L8" s="23"/>
      <c r="M8" s="23"/>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0" t="s">
        <v>3</v>
      </c>
      <c r="B9" s="110"/>
      <c r="C9" s="23" t="s">
        <v>160</v>
      </c>
      <c r="D9" s="23" t="s">
        <v>160</v>
      </c>
      <c r="E9" s="23" t="s">
        <v>160</v>
      </c>
      <c r="F9" s="23" t="s">
        <v>160</v>
      </c>
      <c r="G9" s="23" t="s">
        <v>160</v>
      </c>
      <c r="H9" s="23">
        <v>1</v>
      </c>
      <c r="I9" s="23" t="s">
        <v>160</v>
      </c>
      <c r="J9" s="23" t="s">
        <v>160</v>
      </c>
      <c r="K9" s="23" t="s">
        <v>160</v>
      </c>
      <c r="L9" s="23"/>
      <c r="M9" s="23"/>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0" t="s">
        <v>4</v>
      </c>
      <c r="B10" s="110"/>
      <c r="C10" s="23">
        <v>5.3</v>
      </c>
      <c r="D10" s="23">
        <v>5.2</v>
      </c>
      <c r="E10" s="23">
        <v>5.7</v>
      </c>
      <c r="F10" s="23">
        <v>5.5</v>
      </c>
      <c r="G10" s="23">
        <v>5.6</v>
      </c>
      <c r="H10" s="23">
        <v>5.3</v>
      </c>
      <c r="I10" s="23">
        <v>5.7</v>
      </c>
      <c r="J10" s="23">
        <v>5.5</v>
      </c>
      <c r="K10" s="23">
        <v>5.9</v>
      </c>
      <c r="L10" s="23"/>
      <c r="M10" s="23"/>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0" t="s">
        <v>5</v>
      </c>
      <c r="B11" s="110"/>
      <c r="C11" s="23">
        <v>1</v>
      </c>
      <c r="D11" s="23">
        <v>1</v>
      </c>
      <c r="E11" s="23">
        <v>1</v>
      </c>
      <c r="F11" s="23">
        <v>2</v>
      </c>
      <c r="G11" s="23">
        <v>2</v>
      </c>
      <c r="H11" s="23">
        <v>2</v>
      </c>
      <c r="I11" s="23">
        <v>2</v>
      </c>
      <c r="J11" s="23">
        <v>2</v>
      </c>
      <c r="K11" s="23">
        <v>2</v>
      </c>
      <c r="L11" s="23"/>
      <c r="M11" s="23"/>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0" t="s">
        <v>6</v>
      </c>
      <c r="B12" s="110"/>
      <c r="C12" s="23">
        <v>2</v>
      </c>
      <c r="D12" s="23">
        <v>2</v>
      </c>
      <c r="E12" s="23">
        <v>3</v>
      </c>
      <c r="F12" s="23">
        <v>2</v>
      </c>
      <c r="G12" s="23">
        <v>2</v>
      </c>
      <c r="H12" s="23">
        <v>2</v>
      </c>
      <c r="I12" s="23">
        <v>2</v>
      </c>
      <c r="J12" s="23">
        <v>3</v>
      </c>
      <c r="K12" s="23">
        <v>1</v>
      </c>
      <c r="L12" s="23"/>
      <c r="M12" s="23"/>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0" t="s">
        <v>7</v>
      </c>
      <c r="B13" s="110"/>
      <c r="C13" s="23">
        <v>2</v>
      </c>
      <c r="D13" s="23">
        <v>2</v>
      </c>
      <c r="E13" s="23">
        <v>2</v>
      </c>
      <c r="F13" s="23">
        <v>2</v>
      </c>
      <c r="G13" s="23">
        <v>2</v>
      </c>
      <c r="H13" s="23">
        <v>2</v>
      </c>
      <c r="I13" s="23">
        <v>2</v>
      </c>
      <c r="J13" s="23">
        <v>3</v>
      </c>
      <c r="K13" s="23">
        <v>3</v>
      </c>
      <c r="L13" s="23"/>
      <c r="M13" s="23"/>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14" t="s">
        <v>8</v>
      </c>
      <c r="B14" s="114"/>
      <c r="C14" s="36" t="s">
        <v>111</v>
      </c>
      <c r="D14" s="36" t="s">
        <v>111</v>
      </c>
      <c r="E14" s="36" t="s">
        <v>111</v>
      </c>
      <c r="F14" s="36" t="s">
        <v>111</v>
      </c>
      <c r="G14" s="36" t="s">
        <v>111</v>
      </c>
      <c r="H14" s="36" t="s">
        <v>100</v>
      </c>
      <c r="I14" s="36" t="s">
        <v>111</v>
      </c>
      <c r="J14" s="36" t="s">
        <v>111</v>
      </c>
      <c r="K14" s="36" t="s">
        <v>111</v>
      </c>
      <c r="L14" s="36"/>
      <c r="M14" s="36"/>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13" t="s">
        <v>9</v>
      </c>
      <c r="B15" s="113"/>
      <c r="C15" s="23">
        <v>54</v>
      </c>
      <c r="D15" s="23">
        <v>54</v>
      </c>
      <c r="E15" s="23">
        <v>54</v>
      </c>
      <c r="F15" s="23">
        <v>54</v>
      </c>
      <c r="G15" s="23">
        <v>54</v>
      </c>
      <c r="H15" s="23">
        <v>85</v>
      </c>
      <c r="I15" s="23">
        <v>54</v>
      </c>
      <c r="J15" s="23">
        <v>54</v>
      </c>
      <c r="K15" s="23">
        <v>54</v>
      </c>
      <c r="L15" s="23"/>
      <c r="M15" s="23"/>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15" t="s">
        <v>44</v>
      </c>
      <c r="B16" s="115"/>
      <c r="C16" s="41" t="s">
        <v>72</v>
      </c>
      <c r="D16" s="41" t="s">
        <v>72</v>
      </c>
      <c r="E16" s="41" t="s">
        <v>72</v>
      </c>
      <c r="F16" s="41" t="s">
        <v>72</v>
      </c>
      <c r="G16" s="41" t="s">
        <v>72</v>
      </c>
      <c r="H16" s="41" t="s">
        <v>72</v>
      </c>
      <c r="I16" s="41" t="s">
        <v>72</v>
      </c>
      <c r="J16" s="41" t="s">
        <v>72</v>
      </c>
      <c r="K16" s="41" t="s">
        <v>72</v>
      </c>
      <c r="L16" s="41"/>
      <c r="M16" s="41"/>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02" t="s">
        <v>69</v>
      </c>
      <c r="B17" s="103"/>
      <c r="C17" s="39">
        <f t="shared" ref="C17:V17" si="0">(VLOOKUP(C$14,$AI2:$AK24,2,FALSE))*C$15</f>
        <v>91.8</v>
      </c>
      <c r="D17" s="39">
        <f t="shared" si="0"/>
        <v>91.8</v>
      </c>
      <c r="E17" s="39">
        <f t="shared" si="0"/>
        <v>91.8</v>
      </c>
      <c r="F17" s="39">
        <f t="shared" si="0"/>
        <v>91.8</v>
      </c>
      <c r="G17" s="39">
        <f t="shared" si="0"/>
        <v>91.8</v>
      </c>
      <c r="H17" s="39">
        <f t="shared" si="0"/>
        <v>59.499999999999993</v>
      </c>
      <c r="I17" s="39">
        <f t="shared" si="0"/>
        <v>91.8</v>
      </c>
      <c r="J17" s="39">
        <f t="shared" si="0"/>
        <v>91.8</v>
      </c>
      <c r="K17" s="39">
        <f t="shared" si="0"/>
        <v>91.8</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4" t="s">
        <v>23</v>
      </c>
      <c r="B18" s="105"/>
      <c r="C18" s="24">
        <f>$D31</f>
        <v>227.2672</v>
      </c>
      <c r="D18" s="24">
        <f>$D32</f>
        <v>227.2672</v>
      </c>
      <c r="E18" s="24">
        <f>$D33</f>
        <v>227.2672</v>
      </c>
      <c r="F18" s="24">
        <f>$D34</f>
        <v>113.6336</v>
      </c>
      <c r="G18" s="24">
        <f>$D35</f>
        <v>113.6336</v>
      </c>
      <c r="H18" s="24">
        <f>$D36</f>
        <v>113.6336</v>
      </c>
      <c r="I18" s="24">
        <f>$D37</f>
        <v>113.6336</v>
      </c>
      <c r="J18" s="24">
        <f>$D38</f>
        <v>113.6336</v>
      </c>
      <c r="K18" s="24">
        <f>$D39</f>
        <v>113.6336</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4" t="s">
        <v>87</v>
      </c>
      <c r="B19" s="105"/>
      <c r="C19" s="24">
        <f>C18-C17</f>
        <v>135.46719999999999</v>
      </c>
      <c r="D19" s="24">
        <f t="shared" ref="D19:V19" si="1">D18-D17</f>
        <v>135.46719999999999</v>
      </c>
      <c r="E19" s="24">
        <f t="shared" si="1"/>
        <v>135.46719999999999</v>
      </c>
      <c r="F19" s="24">
        <f t="shared" si="1"/>
        <v>21.833600000000004</v>
      </c>
      <c r="G19" s="24">
        <f t="shared" si="1"/>
        <v>21.833600000000004</v>
      </c>
      <c r="H19" s="24">
        <f t="shared" si="1"/>
        <v>54.133600000000008</v>
      </c>
      <c r="I19" s="24">
        <f t="shared" si="1"/>
        <v>21.833600000000004</v>
      </c>
      <c r="J19" s="24">
        <f t="shared" si="1"/>
        <v>21.833600000000004</v>
      </c>
      <c r="K19" s="24">
        <f t="shared" si="1"/>
        <v>21.833600000000004</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6" t="s">
        <v>88</v>
      </c>
      <c r="B20" s="107"/>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INCREASE</v>
      </c>
      <c r="J20" s="33" t="str">
        <f>IF($B38="","",IF(J$19&gt;=0,"INCREASE","DECREASE"))</f>
        <v>INCREASE</v>
      </c>
      <c r="K20" s="33" t="str">
        <f>IF($B39="","",IF(K$19&gt;=0,"INCREASE","DECREASE"))</f>
        <v>INCREASE</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2" t="s">
        <v>85</v>
      </c>
      <c r="B21" s="103"/>
      <c r="C21" s="39">
        <f t="shared" ref="C21:V21" si="2">(VLOOKUP(C$14,$AI2:$AK24,3,FALSE))*C$15</f>
        <v>324</v>
      </c>
      <c r="D21" s="39">
        <f t="shared" si="2"/>
        <v>324</v>
      </c>
      <c r="E21" s="39">
        <f t="shared" si="2"/>
        <v>324</v>
      </c>
      <c r="F21" s="39">
        <f t="shared" si="2"/>
        <v>324</v>
      </c>
      <c r="G21" s="39">
        <f t="shared" si="2"/>
        <v>324</v>
      </c>
      <c r="H21" s="39">
        <f t="shared" si="2"/>
        <v>340</v>
      </c>
      <c r="I21" s="39">
        <f t="shared" si="2"/>
        <v>324</v>
      </c>
      <c r="J21" s="39">
        <f t="shared" si="2"/>
        <v>324</v>
      </c>
      <c r="K21" s="39">
        <f t="shared" si="2"/>
        <v>324</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4" t="s">
        <v>86</v>
      </c>
      <c r="B22" s="105"/>
      <c r="C22" s="24">
        <f>$E31</f>
        <v>11.037800000000001</v>
      </c>
      <c r="D22" s="24">
        <f>$E32</f>
        <v>11.037800000000001</v>
      </c>
      <c r="E22" s="24">
        <f>$E33</f>
        <v>11.037800000000001</v>
      </c>
      <c r="F22" s="24">
        <f>$E34</f>
        <v>5.5189000000000004</v>
      </c>
      <c r="G22" s="24">
        <f>$E35</f>
        <v>5.5189000000000004</v>
      </c>
      <c r="H22" s="24">
        <f>$E36</f>
        <v>5.5189000000000004</v>
      </c>
      <c r="I22" s="24">
        <f>$E37</f>
        <v>5.5189000000000004</v>
      </c>
      <c r="J22" s="24">
        <f>$E38</f>
        <v>5.5189000000000004</v>
      </c>
      <c r="K22" s="24">
        <f>$E39</f>
        <v>5.5189000000000004</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4" t="s">
        <v>89</v>
      </c>
      <c r="B23" s="105"/>
      <c r="C23" s="24">
        <f>C22-C21</f>
        <v>-312.9622</v>
      </c>
      <c r="D23" s="24">
        <f t="shared" ref="D23:V23" si="3">D22-D21</f>
        <v>-312.9622</v>
      </c>
      <c r="E23" s="24">
        <f t="shared" si="3"/>
        <v>-312.9622</v>
      </c>
      <c r="F23" s="24">
        <f t="shared" si="3"/>
        <v>-318.48110000000003</v>
      </c>
      <c r="G23" s="24">
        <f t="shared" si="3"/>
        <v>-318.48110000000003</v>
      </c>
      <c r="H23" s="24">
        <f t="shared" si="3"/>
        <v>-334.48110000000003</v>
      </c>
      <c r="I23" s="24">
        <f t="shared" si="3"/>
        <v>-318.48110000000003</v>
      </c>
      <c r="J23" s="24">
        <f t="shared" si="3"/>
        <v>-318.48110000000003</v>
      </c>
      <c r="K23" s="24">
        <f t="shared" si="3"/>
        <v>-318.48110000000003</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6" t="s">
        <v>90</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t="s">
        <v>54</v>
      </c>
      <c r="T27" s="101"/>
      <c r="U27" s="101"/>
    </row>
    <row r="28" spans="1:40" s="64" customFormat="1" x14ac:dyDescent="0.25">
      <c r="A28" s="82"/>
      <c r="B28" s="31">
        <v>5.01</v>
      </c>
      <c r="C28" s="23">
        <v>0.24</v>
      </c>
      <c r="D28" s="23">
        <v>992</v>
      </c>
      <c r="E28" s="23">
        <v>91.6</v>
      </c>
      <c r="F28" s="23">
        <v>16.600000000000001</v>
      </c>
      <c r="G28" s="23">
        <v>0.2</v>
      </c>
      <c r="H28" s="23">
        <v>0.53900000000000003</v>
      </c>
      <c r="I28" s="23">
        <v>0.5</v>
      </c>
      <c r="J28" s="23">
        <v>0.01</v>
      </c>
      <c r="K28" s="30">
        <v>0.05</v>
      </c>
      <c r="L28" s="23">
        <v>0.2</v>
      </c>
      <c r="M28" s="23">
        <v>0.30299999999999999</v>
      </c>
      <c r="N28" s="23"/>
      <c r="O28" s="23"/>
      <c r="P28" s="23">
        <v>299</v>
      </c>
      <c r="Q28" s="23">
        <v>152</v>
      </c>
      <c r="R28" s="23"/>
      <c r="S28" s="23">
        <v>0.5</v>
      </c>
      <c r="T28" s="23"/>
      <c r="U28" s="23"/>
    </row>
    <row r="29" spans="1:40" s="15" customFormat="1" ht="27" x14ac:dyDescent="0.25">
      <c r="A29" s="108"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09"/>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C1</v>
      </c>
      <c r="B31" s="23">
        <v>100</v>
      </c>
      <c r="C31" s="2">
        <f>IF(C$27="%w/w SAR",((C$28*10)*$B31),IF(C$27="%w/w DM",(((C$28*10)*($B$28/100))*$B31),IF(C$27="kg/t SAR",(C$28*$B31),IF(C$27="kg/t DM",((C$28*($B$28/100))*$B31),IF(C$27="mg/kg SAR",((C$28*0.001)*$B31),IF(C$27="mg/kg DM",(((C$28*0.001)*($B$28/100))*$B31),0))))))</f>
        <v>240</v>
      </c>
      <c r="D31" s="2">
        <f>(IF(D$27="%w/w SAR",((D$28*10)*$B31),IF(D$27="%w/w DM",(((D$28*10)*($B$28/100))*$B31),IF(D$27="kg/t SAR",(D$28*$B31),IF(D$27="kg/t DM",((D$28*($B$28/100))*$B31),IF(D$27="mg/kg SAR",((D$28*0.001)*$B31),IF(D$27="mg/kg DM",(((D$28*0.001)*($B$28/100))*$B31),"0")))))))*2.291</f>
        <v>227.2672</v>
      </c>
      <c r="E31" s="2">
        <f>(IF(E$27="%w/w SAR",((E$28*10)*$B31),IF(E$27="%w/w DM",(((E$28*10)*($B$28/100))*$B31),IF(E$27="kg/t SAR",(E$28*$B31),IF(E$27="kg/t DM",((E$28*($B$28/100))*$B31),IF(E$27="mg/kg SAR",((E$28*0.001)*$B31),IF(E$27="mg/kg DM",(((E$28*0.001)*($B$28/100))*$B31),"0")))))))*1.205</f>
        <v>11.037800000000001</v>
      </c>
      <c r="F31" s="2">
        <f>(IF(F$27="%w/w SAR",((F$28*10)*$B31),IF(F$27="%w/w DM",(((F$28*10)*($B$28/100))*$B31),IF(F$27="kg/t SAR",(F$28*$B31),IF(F$27="kg/t DM",((F$28*($B$28/100))*$B31),IF(F$27="mg/kg SAR",((F$28*0.001)*$B31),IF(F$27="mg/kg DM",(((F$28*0.001)*($B$28/100))*$B31),"0")))))))*1.658</f>
        <v>2.7522799999999998</v>
      </c>
      <c r="G31" s="2">
        <f t="shared" ref="G31:P31" si="5">IF(G$27="%w/w SAR",((G$28*10)*$B31),IF(G$27="%w/w DM",(((G$28*10)*($B$28/100))*$B31),IF(G$27="kg/t SAR",(G$28*$B31),IF(G$27="kg/t DM",((G$28*($B$28/100))*$B31),IF(G$27="mg/kg SAR",((G$28*0.001)*$B31),IF(G$27="mg/kg DM",(((G$28*0.001)*($B$28/100))*$B31),0))))))</f>
        <v>0.02</v>
      </c>
      <c r="H31" s="2">
        <f t="shared" si="5"/>
        <v>5.390000000000001E-2</v>
      </c>
      <c r="I31" s="2">
        <f t="shared" si="5"/>
        <v>0.05</v>
      </c>
      <c r="J31" s="2">
        <f t="shared" si="5"/>
        <v>1E-3</v>
      </c>
      <c r="K31" s="2">
        <f t="shared" si="5"/>
        <v>5.0000000000000001E-3</v>
      </c>
      <c r="L31" s="2">
        <f t="shared" si="5"/>
        <v>0.02</v>
      </c>
      <c r="M31" s="2">
        <f t="shared" si="5"/>
        <v>3.0300000000000001E-2</v>
      </c>
      <c r="N31" s="2">
        <f t="shared" si="5"/>
        <v>0</v>
      </c>
      <c r="O31" s="2">
        <f t="shared" si="5"/>
        <v>0</v>
      </c>
      <c r="P31" s="2">
        <f t="shared" si="5"/>
        <v>29.9</v>
      </c>
      <c r="Q31" s="2">
        <f>(IF(Q$27="%w/w SAR",((Q$28*10)*$B31),IF(Q$27="%w/w DM",(((Q$28*10)*($B$28/100))*$B31),IF(Q$27="kg/t SAR",(Q$28*$B31),IF(Q$27="kg/t DM",((Q$28*($B$28/100))*$B31),IF(Q$27="mg/kg SAR",((Q$28*0.001)*$B31),IF(Q$27="mg/kg DM",(((Q$28*0.001)*($B$28/100))*$B31),0)))))))*2.5</f>
        <v>38</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0.05</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C2</v>
      </c>
      <c r="B32" s="23">
        <v>100</v>
      </c>
      <c r="C32" s="2">
        <f t="shared" ref="C32:C50" si="6">IF(C$27="%w/w SAR",((C$28*10)*$B32),IF(C$27="%w/w DM",(((C$28*10)*($B$28/100))*$B32),IF(C$27="kg/t SAR",(C$28*$B32),IF(C$27="kg/t DM",((C$28*($B$28/100))*$B32),IF(C$27="mg/kg SAR",((C$28*0.001)*$B32),IF(C$27="mg/kg DM",(((C$28*0.001)*($B$28/100))*$B32),0))))))</f>
        <v>240</v>
      </c>
      <c r="D32" s="2">
        <f t="shared" ref="D32:D50" si="7">(IF(D$27="%w/w SAR",((D$28*10)*$B32),IF(D$27="%w/w DM",(((D$28*10)*($B$28/100))*$B32),IF(D$27="kg/t SAR",(D$28*$B32),IF(D$27="kg/t DM",((D$28*($B$28/100))*$B32),IF(D$27="mg/kg SAR",((D$28*0.001)*$B32),IF(D$27="mg/kg DM",(((D$28*0.001)*($B$28/100))*$B32),"0")))))))*2.291</f>
        <v>227.2672</v>
      </c>
      <c r="E32" s="2">
        <f t="shared" ref="E32:E50" si="8">(IF(E$27="%w/w SAR",((E$28*10)*$B32),IF(E$27="%w/w DM",(((E$28*10)*($B$28/100))*$B32),IF(E$27="kg/t SAR",(E$28*$B32),IF(E$27="kg/t DM",((E$28*($B$28/100))*$B32),IF(E$27="mg/kg SAR",((E$28*0.001)*$B32),IF(E$27="mg/kg DM",(((E$28*0.001)*($B$28/100))*$B32),"0")))))))*1.205</f>
        <v>11.037800000000001</v>
      </c>
      <c r="F32" s="2">
        <f t="shared" ref="F32:F50" si="9">(IF(F$27="%w/w SAR",((F$28*10)*$B32),IF(F$27="%w/w DM",(((F$28*10)*($B$28/100))*$B32),IF(F$27="kg/t SAR",(F$28*$B32),IF(F$27="kg/t DM",((F$28*($B$28/100))*$B32),IF(F$27="mg/kg SAR",((F$28*0.001)*$B32),IF(F$27="mg/kg DM",(((F$28*0.001)*($B$28/100))*$B32),"0")))))))*1.658</f>
        <v>2.7522799999999998</v>
      </c>
      <c r="G32" s="2">
        <f t="shared" ref="G32:P50" si="10">IF(G$27="%w/w SAR",((G$28*10)*$B32),IF(G$27="%w/w DM",(((G$28*10)*($B$28/100))*$B32),IF(G$27="kg/t SAR",(G$28*$B32),IF(G$27="kg/t DM",((G$28*($B$28/100))*$B32),IF(G$27="mg/kg SAR",((G$28*0.001)*$B32),IF(G$27="mg/kg DM",(((G$28*0.001)*($B$28/100))*$B32),0))))))</f>
        <v>0.02</v>
      </c>
      <c r="H32" s="2">
        <f t="shared" si="10"/>
        <v>5.390000000000001E-2</v>
      </c>
      <c r="I32" s="2">
        <f t="shared" si="10"/>
        <v>0.05</v>
      </c>
      <c r="J32" s="2">
        <f t="shared" si="10"/>
        <v>1E-3</v>
      </c>
      <c r="K32" s="2">
        <f t="shared" si="10"/>
        <v>5.0000000000000001E-3</v>
      </c>
      <c r="L32" s="2">
        <f t="shared" si="10"/>
        <v>0.02</v>
      </c>
      <c r="M32" s="2">
        <f t="shared" si="10"/>
        <v>3.0300000000000001E-2</v>
      </c>
      <c r="N32" s="2">
        <f t="shared" si="10"/>
        <v>0</v>
      </c>
      <c r="O32" s="2">
        <f t="shared" si="10"/>
        <v>0</v>
      </c>
      <c r="P32" s="2">
        <f t="shared" si="10"/>
        <v>29.9</v>
      </c>
      <c r="Q32" s="2">
        <f t="shared" ref="Q32:Q50" si="11">(IF(Q$27="%w/w SAR",((Q$28*10)*$B32),IF(Q$27="%w/w DM",(((Q$28*10)*($B$28/100))*$B32),IF(Q$27="kg/t SAR",(Q$28*$B32),IF(Q$27="kg/t DM",((Q$28*($B$28/100))*$B32),IF(Q$27="mg/kg SAR",((Q$28*0.001)*$B32),IF(Q$27="mg/kg DM",(((Q$28*0.001)*($B$28/100))*$B32),0)))))))*2.5</f>
        <v>38</v>
      </c>
      <c r="R32" s="2">
        <f t="shared" ref="R32:U50" si="12">IF(R$27="%w/w SAR",((R$28*10)*$B32),IF(R$27="%w/w DM",(((R$28*10)*($B$28/100))*$B32),IF(R$27="kg/t SAR",(R$28*$B32),IF(R$27="kg/t DM",((R$28*($B$28/100))*$B32),IF(R$27="mg/kg SAR",((R$28*0.001)*$B32),IF(R$27="mg/kg DM",(((R$28*0.001)*($B$28/100))*$B32),0))))))</f>
        <v>0</v>
      </c>
      <c r="S32" s="2">
        <f t="shared" si="12"/>
        <v>0.05</v>
      </c>
      <c r="T32" s="2">
        <f t="shared" si="12"/>
        <v>0</v>
      </c>
      <c r="U32" s="2">
        <f t="shared" si="12"/>
        <v>0</v>
      </c>
      <c r="AB32" s="66"/>
      <c r="AC32" s="66"/>
      <c r="AD32" s="66"/>
      <c r="AE32" s="66"/>
      <c r="AF32" s="66"/>
      <c r="AG32" s="66"/>
      <c r="AH32" s="66"/>
      <c r="AI32" s="66"/>
    </row>
    <row r="33" spans="1:35" s="83" customFormat="1" x14ac:dyDescent="0.25">
      <c r="A33" s="21" t="str">
        <f>E8</f>
        <v>C3</v>
      </c>
      <c r="B33" s="23">
        <v>100</v>
      </c>
      <c r="C33" s="2">
        <f t="shared" si="6"/>
        <v>240</v>
      </c>
      <c r="D33" s="2">
        <f t="shared" si="7"/>
        <v>227.2672</v>
      </c>
      <c r="E33" s="2">
        <f t="shared" si="8"/>
        <v>11.037800000000001</v>
      </c>
      <c r="F33" s="2">
        <f t="shared" si="9"/>
        <v>2.7522799999999998</v>
      </c>
      <c r="G33" s="2">
        <f t="shared" si="10"/>
        <v>0.02</v>
      </c>
      <c r="H33" s="2">
        <f t="shared" si="10"/>
        <v>5.390000000000001E-2</v>
      </c>
      <c r="I33" s="2">
        <f t="shared" si="10"/>
        <v>0.05</v>
      </c>
      <c r="J33" s="2">
        <f t="shared" si="10"/>
        <v>1E-3</v>
      </c>
      <c r="K33" s="2">
        <f t="shared" si="10"/>
        <v>5.0000000000000001E-3</v>
      </c>
      <c r="L33" s="2">
        <f t="shared" si="10"/>
        <v>0.02</v>
      </c>
      <c r="M33" s="2">
        <f t="shared" si="10"/>
        <v>3.0300000000000001E-2</v>
      </c>
      <c r="N33" s="2">
        <f t="shared" si="10"/>
        <v>0</v>
      </c>
      <c r="O33" s="2">
        <f t="shared" si="10"/>
        <v>0</v>
      </c>
      <c r="P33" s="2">
        <f t="shared" si="10"/>
        <v>29.9</v>
      </c>
      <c r="Q33" s="2">
        <f t="shared" si="11"/>
        <v>38</v>
      </c>
      <c r="R33" s="2">
        <f t="shared" si="12"/>
        <v>0</v>
      </c>
      <c r="S33" s="2">
        <f t="shared" si="12"/>
        <v>0.05</v>
      </c>
      <c r="T33" s="2">
        <f t="shared" si="12"/>
        <v>0</v>
      </c>
      <c r="U33" s="2">
        <f t="shared" si="12"/>
        <v>0</v>
      </c>
      <c r="AB33" s="66"/>
      <c r="AC33" s="66"/>
      <c r="AD33" s="66"/>
      <c r="AE33" s="66"/>
      <c r="AF33" s="66"/>
      <c r="AG33" s="66"/>
      <c r="AH33" s="66"/>
      <c r="AI33" s="66"/>
    </row>
    <row r="34" spans="1:35" s="83" customFormat="1" x14ac:dyDescent="0.25">
      <c r="A34" s="21">
        <f>F8</f>
        <v>1</v>
      </c>
      <c r="B34" s="23">
        <v>50</v>
      </c>
      <c r="C34" s="2">
        <f t="shared" si="6"/>
        <v>120</v>
      </c>
      <c r="D34" s="2">
        <f t="shared" si="7"/>
        <v>113.6336</v>
      </c>
      <c r="E34" s="2">
        <f t="shared" si="8"/>
        <v>5.5189000000000004</v>
      </c>
      <c r="F34" s="2">
        <f t="shared" si="9"/>
        <v>1.3761399999999999</v>
      </c>
      <c r="G34" s="2">
        <f t="shared" si="10"/>
        <v>0.01</v>
      </c>
      <c r="H34" s="2">
        <f t="shared" si="10"/>
        <v>2.6950000000000005E-2</v>
      </c>
      <c r="I34" s="2">
        <f t="shared" si="10"/>
        <v>2.5000000000000001E-2</v>
      </c>
      <c r="J34" s="2">
        <f t="shared" si="10"/>
        <v>5.0000000000000001E-4</v>
      </c>
      <c r="K34" s="2">
        <f t="shared" si="10"/>
        <v>2.5000000000000001E-3</v>
      </c>
      <c r="L34" s="2">
        <f t="shared" si="10"/>
        <v>0.01</v>
      </c>
      <c r="M34" s="2">
        <f t="shared" si="10"/>
        <v>1.515E-2</v>
      </c>
      <c r="N34" s="2">
        <f t="shared" si="10"/>
        <v>0</v>
      </c>
      <c r="O34" s="2">
        <f t="shared" si="10"/>
        <v>0</v>
      </c>
      <c r="P34" s="2">
        <f t="shared" si="10"/>
        <v>14.95</v>
      </c>
      <c r="Q34" s="2">
        <f t="shared" si="11"/>
        <v>19</v>
      </c>
      <c r="R34" s="2">
        <f t="shared" si="12"/>
        <v>0</v>
      </c>
      <c r="S34" s="2">
        <f t="shared" si="12"/>
        <v>2.5000000000000001E-2</v>
      </c>
      <c r="T34" s="2">
        <f t="shared" si="12"/>
        <v>0</v>
      </c>
      <c r="U34" s="2">
        <f t="shared" si="12"/>
        <v>0</v>
      </c>
      <c r="AB34" s="66"/>
      <c r="AC34" s="66"/>
      <c r="AD34" s="66"/>
      <c r="AE34" s="66"/>
      <c r="AF34" s="66"/>
      <c r="AG34" s="66"/>
      <c r="AH34" s="66"/>
      <c r="AI34" s="66"/>
    </row>
    <row r="35" spans="1:35" s="83" customFormat="1" x14ac:dyDescent="0.25">
      <c r="A35" s="21">
        <f>G8</f>
        <v>2</v>
      </c>
      <c r="B35" s="23">
        <v>50</v>
      </c>
      <c r="C35" s="2">
        <f t="shared" si="6"/>
        <v>120</v>
      </c>
      <c r="D35" s="2">
        <f t="shared" si="7"/>
        <v>113.6336</v>
      </c>
      <c r="E35" s="2">
        <f t="shared" si="8"/>
        <v>5.5189000000000004</v>
      </c>
      <c r="F35" s="2">
        <f t="shared" si="9"/>
        <v>1.3761399999999999</v>
      </c>
      <c r="G35" s="2">
        <f t="shared" si="10"/>
        <v>0.01</v>
      </c>
      <c r="H35" s="2">
        <f t="shared" si="10"/>
        <v>2.6950000000000005E-2</v>
      </c>
      <c r="I35" s="2">
        <f t="shared" si="10"/>
        <v>2.5000000000000001E-2</v>
      </c>
      <c r="J35" s="2">
        <f t="shared" si="10"/>
        <v>5.0000000000000001E-4</v>
      </c>
      <c r="K35" s="2">
        <f t="shared" si="10"/>
        <v>2.5000000000000001E-3</v>
      </c>
      <c r="L35" s="2">
        <f t="shared" si="10"/>
        <v>0.01</v>
      </c>
      <c r="M35" s="2">
        <f t="shared" si="10"/>
        <v>1.515E-2</v>
      </c>
      <c r="N35" s="2">
        <f t="shared" si="10"/>
        <v>0</v>
      </c>
      <c r="O35" s="2">
        <f t="shared" si="10"/>
        <v>0</v>
      </c>
      <c r="P35" s="2">
        <f t="shared" si="10"/>
        <v>14.95</v>
      </c>
      <c r="Q35" s="2">
        <f t="shared" si="11"/>
        <v>19</v>
      </c>
      <c r="R35" s="2">
        <f t="shared" si="12"/>
        <v>0</v>
      </c>
      <c r="S35" s="2">
        <f t="shared" si="12"/>
        <v>2.5000000000000001E-2</v>
      </c>
      <c r="T35" s="2">
        <f t="shared" si="12"/>
        <v>0</v>
      </c>
      <c r="U35" s="2">
        <f t="shared" si="12"/>
        <v>0</v>
      </c>
      <c r="AB35" s="66"/>
      <c r="AC35" s="66"/>
      <c r="AD35" s="66"/>
      <c r="AE35" s="66"/>
      <c r="AF35" s="66"/>
      <c r="AG35" s="66"/>
      <c r="AH35" s="66"/>
      <c r="AI35" s="66"/>
    </row>
    <row r="36" spans="1:35" s="83" customFormat="1" x14ac:dyDescent="0.25">
      <c r="A36" s="21">
        <f>H8</f>
        <v>3</v>
      </c>
      <c r="B36" s="23">
        <v>50</v>
      </c>
      <c r="C36" s="2">
        <f t="shared" si="6"/>
        <v>120</v>
      </c>
      <c r="D36" s="2">
        <f t="shared" si="7"/>
        <v>113.6336</v>
      </c>
      <c r="E36" s="2">
        <f t="shared" si="8"/>
        <v>5.5189000000000004</v>
      </c>
      <c r="F36" s="2">
        <f t="shared" si="9"/>
        <v>1.3761399999999999</v>
      </c>
      <c r="G36" s="2">
        <f t="shared" si="10"/>
        <v>0.01</v>
      </c>
      <c r="H36" s="2">
        <f t="shared" si="10"/>
        <v>2.6950000000000005E-2</v>
      </c>
      <c r="I36" s="2">
        <f t="shared" si="10"/>
        <v>2.5000000000000001E-2</v>
      </c>
      <c r="J36" s="2">
        <f t="shared" si="10"/>
        <v>5.0000000000000001E-4</v>
      </c>
      <c r="K36" s="2">
        <f t="shared" si="10"/>
        <v>2.5000000000000001E-3</v>
      </c>
      <c r="L36" s="2">
        <f t="shared" si="10"/>
        <v>0.01</v>
      </c>
      <c r="M36" s="2">
        <f t="shared" si="10"/>
        <v>1.515E-2</v>
      </c>
      <c r="N36" s="2">
        <f t="shared" si="10"/>
        <v>0</v>
      </c>
      <c r="O36" s="2">
        <f t="shared" si="10"/>
        <v>0</v>
      </c>
      <c r="P36" s="2">
        <f t="shared" si="10"/>
        <v>14.95</v>
      </c>
      <c r="Q36" s="2">
        <f t="shared" si="11"/>
        <v>19</v>
      </c>
      <c r="R36" s="2">
        <f t="shared" si="12"/>
        <v>0</v>
      </c>
      <c r="S36" s="2">
        <f t="shared" si="12"/>
        <v>2.5000000000000001E-2</v>
      </c>
      <c r="T36" s="2">
        <f t="shared" si="12"/>
        <v>0</v>
      </c>
      <c r="U36" s="2">
        <f t="shared" si="12"/>
        <v>0</v>
      </c>
      <c r="AB36" s="66"/>
      <c r="AC36" s="66"/>
      <c r="AD36" s="66"/>
      <c r="AE36" s="66"/>
      <c r="AF36" s="66"/>
      <c r="AG36" s="66"/>
      <c r="AH36" s="66"/>
      <c r="AI36" s="66"/>
    </row>
    <row r="37" spans="1:35" s="83" customFormat="1" x14ac:dyDescent="0.25">
      <c r="A37" s="21">
        <f>I8</f>
        <v>4</v>
      </c>
      <c r="B37" s="23">
        <v>50</v>
      </c>
      <c r="C37" s="2">
        <f t="shared" si="6"/>
        <v>120</v>
      </c>
      <c r="D37" s="2">
        <f t="shared" si="7"/>
        <v>113.6336</v>
      </c>
      <c r="E37" s="2">
        <f t="shared" si="8"/>
        <v>5.5189000000000004</v>
      </c>
      <c r="F37" s="2">
        <f t="shared" si="9"/>
        <v>1.3761399999999999</v>
      </c>
      <c r="G37" s="2">
        <f t="shared" si="10"/>
        <v>0.01</v>
      </c>
      <c r="H37" s="2">
        <f t="shared" si="10"/>
        <v>2.6950000000000005E-2</v>
      </c>
      <c r="I37" s="2">
        <f t="shared" si="10"/>
        <v>2.5000000000000001E-2</v>
      </c>
      <c r="J37" s="2">
        <f t="shared" si="10"/>
        <v>5.0000000000000001E-4</v>
      </c>
      <c r="K37" s="2">
        <f t="shared" si="10"/>
        <v>2.5000000000000001E-3</v>
      </c>
      <c r="L37" s="2">
        <f t="shared" si="10"/>
        <v>0.01</v>
      </c>
      <c r="M37" s="2">
        <f t="shared" si="10"/>
        <v>1.515E-2</v>
      </c>
      <c r="N37" s="2">
        <f t="shared" si="10"/>
        <v>0</v>
      </c>
      <c r="O37" s="2">
        <f t="shared" si="10"/>
        <v>0</v>
      </c>
      <c r="P37" s="2">
        <f t="shared" si="10"/>
        <v>14.95</v>
      </c>
      <c r="Q37" s="2">
        <f t="shared" si="11"/>
        <v>19</v>
      </c>
      <c r="R37" s="2">
        <f t="shared" si="12"/>
        <v>0</v>
      </c>
      <c r="S37" s="2">
        <f t="shared" si="12"/>
        <v>2.5000000000000001E-2</v>
      </c>
      <c r="T37" s="2">
        <f t="shared" si="12"/>
        <v>0</v>
      </c>
      <c r="U37" s="2">
        <f t="shared" si="12"/>
        <v>0</v>
      </c>
      <c r="AB37" s="66"/>
      <c r="AC37" s="66"/>
      <c r="AD37" s="66"/>
      <c r="AE37" s="66"/>
      <c r="AF37" s="66"/>
      <c r="AG37" s="66"/>
      <c r="AH37" s="66"/>
      <c r="AI37" s="66"/>
    </row>
    <row r="38" spans="1:35" s="83" customFormat="1" x14ac:dyDescent="0.25">
      <c r="A38" s="21">
        <f>J8</f>
        <v>5</v>
      </c>
      <c r="B38" s="23">
        <v>50</v>
      </c>
      <c r="C38" s="2">
        <f t="shared" si="6"/>
        <v>120</v>
      </c>
      <c r="D38" s="2">
        <f t="shared" si="7"/>
        <v>113.6336</v>
      </c>
      <c r="E38" s="2">
        <f t="shared" si="8"/>
        <v>5.5189000000000004</v>
      </c>
      <c r="F38" s="2">
        <f t="shared" si="9"/>
        <v>1.3761399999999999</v>
      </c>
      <c r="G38" s="2">
        <f t="shared" si="10"/>
        <v>0.01</v>
      </c>
      <c r="H38" s="2">
        <f t="shared" si="10"/>
        <v>2.6950000000000005E-2</v>
      </c>
      <c r="I38" s="2">
        <f t="shared" si="10"/>
        <v>2.5000000000000001E-2</v>
      </c>
      <c r="J38" s="2">
        <f t="shared" si="10"/>
        <v>5.0000000000000001E-4</v>
      </c>
      <c r="K38" s="2">
        <f t="shared" si="10"/>
        <v>2.5000000000000001E-3</v>
      </c>
      <c r="L38" s="2">
        <f t="shared" si="10"/>
        <v>0.01</v>
      </c>
      <c r="M38" s="2">
        <f t="shared" si="10"/>
        <v>1.515E-2</v>
      </c>
      <c r="N38" s="2">
        <f t="shared" si="10"/>
        <v>0</v>
      </c>
      <c r="O38" s="2">
        <f t="shared" si="10"/>
        <v>0</v>
      </c>
      <c r="P38" s="2">
        <f t="shared" si="10"/>
        <v>14.95</v>
      </c>
      <c r="Q38" s="2">
        <f t="shared" si="11"/>
        <v>19</v>
      </c>
      <c r="R38" s="2">
        <f t="shared" si="12"/>
        <v>0</v>
      </c>
      <c r="S38" s="2">
        <f t="shared" si="12"/>
        <v>2.5000000000000001E-2</v>
      </c>
      <c r="T38" s="2">
        <f t="shared" si="12"/>
        <v>0</v>
      </c>
      <c r="U38" s="2">
        <f t="shared" si="12"/>
        <v>0</v>
      </c>
      <c r="AB38" s="66"/>
      <c r="AC38" s="66"/>
      <c r="AD38" s="66"/>
      <c r="AE38" s="66"/>
      <c r="AF38" s="66"/>
      <c r="AG38" s="66"/>
      <c r="AH38" s="66"/>
      <c r="AI38" s="66"/>
    </row>
    <row r="39" spans="1:35" s="83" customFormat="1" x14ac:dyDescent="0.25">
      <c r="A39" s="21">
        <f>K8</f>
        <v>6</v>
      </c>
      <c r="B39" s="23">
        <v>50</v>
      </c>
      <c r="C39" s="2">
        <f t="shared" si="6"/>
        <v>120</v>
      </c>
      <c r="D39" s="2">
        <f t="shared" si="7"/>
        <v>113.6336</v>
      </c>
      <c r="E39" s="2">
        <f t="shared" si="8"/>
        <v>5.5189000000000004</v>
      </c>
      <c r="F39" s="2">
        <f t="shared" si="9"/>
        <v>1.3761399999999999</v>
      </c>
      <c r="G39" s="2">
        <f t="shared" si="10"/>
        <v>0.01</v>
      </c>
      <c r="H39" s="2">
        <f t="shared" si="10"/>
        <v>2.6950000000000005E-2</v>
      </c>
      <c r="I39" s="2">
        <f t="shared" si="10"/>
        <v>2.5000000000000001E-2</v>
      </c>
      <c r="J39" s="2">
        <f t="shared" si="10"/>
        <v>5.0000000000000001E-4</v>
      </c>
      <c r="K39" s="2">
        <f t="shared" si="10"/>
        <v>2.5000000000000001E-3</v>
      </c>
      <c r="L39" s="2">
        <f t="shared" si="10"/>
        <v>0.01</v>
      </c>
      <c r="M39" s="2">
        <f t="shared" si="10"/>
        <v>1.515E-2</v>
      </c>
      <c r="N39" s="2">
        <f t="shared" si="10"/>
        <v>0</v>
      </c>
      <c r="O39" s="2">
        <f t="shared" si="10"/>
        <v>0</v>
      </c>
      <c r="P39" s="2">
        <f t="shared" si="10"/>
        <v>14.95</v>
      </c>
      <c r="Q39" s="2">
        <f t="shared" si="11"/>
        <v>19</v>
      </c>
      <c r="R39" s="2">
        <f t="shared" si="12"/>
        <v>0</v>
      </c>
      <c r="S39" s="2">
        <f t="shared" si="12"/>
        <v>2.5000000000000001E-2</v>
      </c>
      <c r="T39" s="2">
        <f t="shared" si="12"/>
        <v>0</v>
      </c>
      <c r="U39" s="2">
        <f t="shared" si="12"/>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10"/>
        <v>0</v>
      </c>
      <c r="H40" s="2">
        <f t="shared" si="10"/>
        <v>0</v>
      </c>
      <c r="I40" s="2">
        <f t="shared" si="10"/>
        <v>0</v>
      </c>
      <c r="J40" s="2">
        <f t="shared" si="10"/>
        <v>0</v>
      </c>
      <c r="K40" s="2">
        <f t="shared" si="10"/>
        <v>0</v>
      </c>
      <c r="L40" s="2">
        <f t="shared" si="10"/>
        <v>0</v>
      </c>
      <c r="M40" s="2">
        <f t="shared" si="10"/>
        <v>0</v>
      </c>
      <c r="N40" s="2">
        <f t="shared" si="10"/>
        <v>0</v>
      </c>
      <c r="O40" s="2">
        <f t="shared" si="10"/>
        <v>0</v>
      </c>
      <c r="P40" s="2">
        <f t="shared" si="10"/>
        <v>0</v>
      </c>
      <c r="Q40" s="2">
        <f t="shared" si="11"/>
        <v>0</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C1</v>
      </c>
      <c r="C57" s="16" t="str">
        <f t="shared" ref="C57:U57" si="13">D8</f>
        <v>C2</v>
      </c>
      <c r="D57" s="16" t="str">
        <f t="shared" si="13"/>
        <v>C3</v>
      </c>
      <c r="E57" s="16">
        <f t="shared" si="13"/>
        <v>1</v>
      </c>
      <c r="F57" s="16">
        <f t="shared" si="13"/>
        <v>2</v>
      </c>
      <c r="G57" s="16">
        <f t="shared" si="13"/>
        <v>3</v>
      </c>
      <c r="H57" s="16">
        <f t="shared" si="13"/>
        <v>4</v>
      </c>
      <c r="I57" s="16">
        <f t="shared" si="13"/>
        <v>5</v>
      </c>
      <c r="J57" s="16">
        <f t="shared" si="13"/>
        <v>6</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Arable</v>
      </c>
      <c r="H58" s="21" t="str">
        <f>I16&amp;" I "&amp;(VLOOKUP(I14,Table24[],6,FALSE))</f>
        <v>Medium/Clay I Grass</v>
      </c>
      <c r="I58" s="21" t="str">
        <f>J16&amp;" I "&amp;(VLOOKUP(J14,Table24[],6,FALSE))</f>
        <v>Medium/Clay I Grass</v>
      </c>
      <c r="J58" s="21" t="str">
        <f>K16&amp;" I "&amp;(VLOOKUP(K14,Table24[],6,FALSE))</f>
        <v>Medium/Clay I Grass</v>
      </c>
      <c r="K58" s="21" t="e">
        <f>L16&amp;" I "&amp;(VLOOKUP(L14,Table24[],6,FALSE))</f>
        <v>#N/A</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6.7</v>
      </c>
      <c r="H59" s="93">
        <f>VLOOKUP(I$14,Table24[],5,FALSE)</f>
        <v>6.2</v>
      </c>
      <c r="I59" s="93">
        <f>VLOOKUP(J$14,Table24[],5,FALSE)</f>
        <v>6.2</v>
      </c>
      <c r="J59" s="93">
        <f>VLOOKUP(K$14,Table24[],5,FALSE)</f>
        <v>6.2</v>
      </c>
      <c r="K59" s="93" t="e">
        <f>VLOOKUP(L$14,Table24[],5,FALSE)</f>
        <v>#N/A</v>
      </c>
      <c r="L59" s="93" t="e">
        <f>VLOOKUP(M$14,Table24[],5,FALSE)</f>
        <v>#N/A</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5.3</v>
      </c>
      <c r="C60" s="93">
        <f t="shared" ref="C60:U60" si="14">D10</f>
        <v>5.2</v>
      </c>
      <c r="D60" s="93">
        <f t="shared" si="14"/>
        <v>5.7</v>
      </c>
      <c r="E60" s="93">
        <f t="shared" si="14"/>
        <v>5.5</v>
      </c>
      <c r="F60" s="93">
        <f t="shared" si="14"/>
        <v>5.6</v>
      </c>
      <c r="G60" s="93">
        <f t="shared" si="14"/>
        <v>5.3</v>
      </c>
      <c r="H60" s="93">
        <f t="shared" si="14"/>
        <v>5.7</v>
      </c>
      <c r="I60" s="93">
        <f t="shared" si="14"/>
        <v>5.5</v>
      </c>
      <c r="J60" s="93">
        <f t="shared" si="14"/>
        <v>5.9</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6</v>
      </c>
      <c r="I61" s="93">
        <f t="shared" si="15"/>
        <v>6</v>
      </c>
      <c r="J61" s="93">
        <f t="shared" si="15"/>
        <v>6</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100</v>
      </c>
      <c r="C62" s="94">
        <f>B32</f>
        <v>100</v>
      </c>
      <c r="D62" s="94">
        <f>B33</f>
        <v>100</v>
      </c>
      <c r="E62" s="94">
        <f>B34</f>
        <v>50</v>
      </c>
      <c r="F62" s="94">
        <f>B35</f>
        <v>50</v>
      </c>
      <c r="G62" s="94">
        <f>B36</f>
        <v>50</v>
      </c>
      <c r="H62" s="94">
        <f>B37</f>
        <v>50</v>
      </c>
      <c r="I62" s="94">
        <f>B38</f>
        <v>50</v>
      </c>
      <c r="J62" s="94">
        <f>B39</f>
        <v>50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5.4000000000000021</v>
      </c>
      <c r="C64" s="94">
        <f t="shared" ref="C64:U64" si="17">(C59-C60)*C61</f>
        <v>6</v>
      </c>
      <c r="D64" s="94">
        <f t="shared" si="17"/>
        <v>3</v>
      </c>
      <c r="E64" s="94">
        <f t="shared" si="17"/>
        <v>4.2000000000000011</v>
      </c>
      <c r="F64" s="94">
        <f t="shared" si="17"/>
        <v>3.6000000000000032</v>
      </c>
      <c r="G64" s="94">
        <f t="shared" si="17"/>
        <v>11.200000000000003</v>
      </c>
      <c r="H64" s="94">
        <f t="shared" si="17"/>
        <v>3</v>
      </c>
      <c r="I64" s="94">
        <f t="shared" si="17"/>
        <v>4.2000000000000011</v>
      </c>
      <c r="J64" s="94">
        <f t="shared" si="17"/>
        <v>1.7999999999999989</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s>
  <conditionalFormatting sqref="C20:V21">
    <cfRule type="cellIs" dxfId="194" priority="40" operator="equal">
      <formula>"DECREASE"</formula>
    </cfRule>
    <cfRule type="cellIs" dxfId="193" priority="41" operator="equal">
      <formula>"INCREASE"</formula>
    </cfRule>
  </conditionalFormatting>
  <conditionalFormatting sqref="B62:U65 B31:B50">
    <cfRule type="cellIs" dxfId="192" priority="39" operator="greaterThan">
      <formula>$B$51</formula>
    </cfRule>
  </conditionalFormatting>
  <conditionalFormatting sqref="C31:C50">
    <cfRule type="cellIs" dxfId="191" priority="38" operator="greaterThan">
      <formula>$C$51</formula>
    </cfRule>
  </conditionalFormatting>
  <conditionalFormatting sqref="C18:V18">
    <cfRule type="cellIs" dxfId="190" priority="34" operator="equal">
      <formula>0</formula>
    </cfRule>
  </conditionalFormatting>
  <conditionalFormatting sqref="C17:V17">
    <cfRule type="cellIs" dxfId="189" priority="32" operator="equal">
      <formula>0</formula>
    </cfRule>
  </conditionalFormatting>
  <conditionalFormatting sqref="C19:V19">
    <cfRule type="cellIs" dxfId="188" priority="31" operator="equal">
      <formula>0</formula>
    </cfRule>
  </conditionalFormatting>
  <conditionalFormatting sqref="G31:G50">
    <cfRule type="cellIs" dxfId="187" priority="28" operator="greaterThan">
      <formula>$G$51</formula>
    </cfRule>
  </conditionalFormatting>
  <conditionalFormatting sqref="H31:H50">
    <cfRule type="cellIs" dxfId="186" priority="27" operator="greaterThan">
      <formula>$H$51</formula>
    </cfRule>
  </conditionalFormatting>
  <conditionalFormatting sqref="I31:I50">
    <cfRule type="cellIs" dxfId="185" priority="26" operator="greaterThan">
      <formula>$I$51</formula>
    </cfRule>
  </conditionalFormatting>
  <conditionalFormatting sqref="K31:K50">
    <cfRule type="cellIs" dxfId="184" priority="24" operator="greaterThan">
      <formula>$K$51</formula>
    </cfRule>
  </conditionalFormatting>
  <conditionalFormatting sqref="L31:L50">
    <cfRule type="cellIs" dxfId="183" priority="23" operator="greaterThan">
      <formula>$L$51</formula>
    </cfRule>
  </conditionalFormatting>
  <conditionalFormatting sqref="M31:M50">
    <cfRule type="cellIs" dxfId="182" priority="22" operator="greaterThan">
      <formula>$M$51</formula>
    </cfRule>
  </conditionalFormatting>
  <conditionalFormatting sqref="P31:P50">
    <cfRule type="cellIs" dxfId="181" priority="21" operator="greaterThan">
      <formula>$P$51</formula>
    </cfRule>
  </conditionalFormatting>
  <conditionalFormatting sqref="R31:R50">
    <cfRule type="cellIs" dxfId="180" priority="20" operator="greaterThan">
      <formula>$R$51</formula>
    </cfRule>
  </conditionalFormatting>
  <conditionalFormatting sqref="S31:S50">
    <cfRule type="cellIs" dxfId="179" priority="19" operator="greaterThan">
      <formula>$S$51</formula>
    </cfRule>
  </conditionalFormatting>
  <conditionalFormatting sqref="T31:T50">
    <cfRule type="cellIs" dxfId="178" priority="18" operator="greaterThan">
      <formula>$T$51</formula>
    </cfRule>
  </conditionalFormatting>
  <conditionalFormatting sqref="U31:U50">
    <cfRule type="cellIs" dxfId="177" priority="17" operator="greaterThan">
      <formula>$U$51</formula>
    </cfRule>
  </conditionalFormatting>
  <conditionalFormatting sqref="C22:V22">
    <cfRule type="cellIs" dxfId="176" priority="15" operator="equal">
      <formula>0</formula>
    </cfRule>
  </conditionalFormatting>
  <conditionalFormatting sqref="C24:V24">
    <cfRule type="cellIs" dxfId="175" priority="13" operator="equal">
      <formula>"DECREASE"</formula>
    </cfRule>
    <cfRule type="cellIs" dxfId="174" priority="14" operator="equal">
      <formula>"INCREASE"</formula>
    </cfRule>
  </conditionalFormatting>
  <conditionalFormatting sqref="C23:V23">
    <cfRule type="cellIs" dxfId="173" priority="12" operator="equal">
      <formula>0</formula>
    </cfRule>
  </conditionalFormatting>
  <conditionalFormatting sqref="I1">
    <cfRule type="cellIs" dxfId="172" priority="8" operator="lessThan">
      <formula>5</formula>
    </cfRule>
  </conditionalFormatting>
  <conditionalFormatting sqref="I2">
    <cfRule type="cellIs" dxfId="171" priority="7" operator="greaterThan">
      <formula>5000.1</formula>
    </cfRule>
  </conditionalFormatting>
  <conditionalFormatting sqref="I3">
    <cfRule type="cellIs" dxfId="170" priority="6" operator="greaterThan">
      <formula>4.1</formula>
    </cfRule>
  </conditionalFormatting>
  <conditionalFormatting sqref="C21:V21">
    <cfRule type="cellIs" dxfId="169" priority="5" operator="equal">
      <formula>0</formula>
    </cfRule>
  </conditionalFormatting>
  <conditionalFormatting sqref="B65:U65">
    <cfRule type="cellIs" dxfId="168" priority="1" operator="equal">
      <formula>"UNDER"</formula>
    </cfRule>
    <cfRule type="cellIs" dxfId="167" priority="2" operator="equal">
      <formula>"OVER"</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topLeftCell="B1" zoomScale="90" zoomScaleNormal="90" workbookViewId="0">
      <selection activeCell="H19" sqref="H19"/>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0" t="s">
        <v>41</v>
      </c>
      <c r="B1" s="110"/>
      <c r="C1" s="126" t="str">
        <f>'Field data and Waste 1'!C1:D1</f>
        <v>PAN-010907</v>
      </c>
      <c r="D1" s="127"/>
      <c r="E1" s="37" t="s">
        <v>45</v>
      </c>
      <c r="F1" s="46">
        <f>'Field data and Waste 1'!F1</f>
        <v>50</v>
      </c>
      <c r="G1" s="122" t="s">
        <v>43</v>
      </c>
      <c r="H1" s="123"/>
      <c r="I1" s="35">
        <v>5.39</v>
      </c>
      <c r="AB1" s="26"/>
      <c r="AC1" s="26"/>
      <c r="AD1" s="43" t="s">
        <v>124</v>
      </c>
      <c r="AE1" s="25"/>
      <c r="AF1" s="25"/>
      <c r="AG1" s="26"/>
      <c r="AH1" s="26"/>
      <c r="AI1" s="47" t="s">
        <v>79</v>
      </c>
      <c r="AJ1" s="48" t="s">
        <v>91</v>
      </c>
      <c r="AK1" s="49" t="s">
        <v>92</v>
      </c>
      <c r="AL1" s="50" t="s">
        <v>123</v>
      </c>
      <c r="AM1" s="50" t="s">
        <v>129</v>
      </c>
      <c r="AN1" s="50" t="s">
        <v>109</v>
      </c>
    </row>
    <row r="2" spans="1:41" x14ac:dyDescent="0.2">
      <c r="A2" s="110" t="s">
        <v>84</v>
      </c>
      <c r="B2" s="110"/>
      <c r="C2" s="128" t="str">
        <f>'Field data and Waste 1'!C2:D2</f>
        <v>EPR-JB3533RJ</v>
      </c>
      <c r="D2" s="129"/>
      <c r="E2" s="37" t="s">
        <v>106</v>
      </c>
      <c r="F2" s="35" t="s">
        <v>164</v>
      </c>
      <c r="G2" s="124" t="s">
        <v>107</v>
      </c>
      <c r="H2" s="125"/>
      <c r="I2" s="35">
        <v>459</v>
      </c>
      <c r="AB2" s="43" t="s">
        <v>56</v>
      </c>
      <c r="AC2" s="25"/>
      <c r="AD2" s="43" t="s">
        <v>70</v>
      </c>
      <c r="AE2" s="25"/>
      <c r="AF2" s="25"/>
      <c r="AG2" s="51" t="s">
        <v>76</v>
      </c>
      <c r="AH2" s="26"/>
      <c r="AI2" s="52" t="s">
        <v>124</v>
      </c>
      <c r="AJ2" s="53">
        <v>0</v>
      </c>
      <c r="AK2" s="54">
        <v>0</v>
      </c>
      <c r="AL2" s="18">
        <v>0</v>
      </c>
      <c r="AM2" s="19">
        <v>0</v>
      </c>
      <c r="AN2" s="19">
        <v>0</v>
      </c>
    </row>
    <row r="3" spans="1:41" x14ac:dyDescent="0.2">
      <c r="A3" s="111" t="s">
        <v>42</v>
      </c>
      <c r="B3" s="112"/>
      <c r="C3" s="128" t="str">
        <f>'Field data and Waste 1'!C3:D3</f>
        <v>Simon Jones</v>
      </c>
      <c r="D3" s="129"/>
      <c r="E3" s="37" t="s">
        <v>105</v>
      </c>
      <c r="F3" s="45" t="s">
        <v>78</v>
      </c>
      <c r="G3" s="122" t="s">
        <v>108</v>
      </c>
      <c r="H3" s="123"/>
      <c r="I3" s="35">
        <v>0.16200000000000001</v>
      </c>
      <c r="AB3" s="43" t="s">
        <v>57</v>
      </c>
      <c r="AC3" s="25"/>
      <c r="AD3" s="43" t="s">
        <v>71</v>
      </c>
      <c r="AE3" s="25"/>
      <c r="AF3" s="25"/>
      <c r="AG3" s="51" t="s">
        <v>77</v>
      </c>
      <c r="AH3" s="26"/>
      <c r="AI3" s="55" t="s">
        <v>111</v>
      </c>
      <c r="AJ3" s="56">
        <v>1.7</v>
      </c>
      <c r="AK3" s="57">
        <v>6</v>
      </c>
      <c r="AL3" s="58">
        <v>1</v>
      </c>
      <c r="AM3" s="19">
        <v>6.2</v>
      </c>
      <c r="AN3" s="19" t="s">
        <v>110</v>
      </c>
    </row>
    <row r="4" spans="1:41" x14ac:dyDescent="0.2">
      <c r="A4" s="110" t="s">
        <v>0</v>
      </c>
      <c r="B4" s="110"/>
      <c r="C4" s="126" t="str">
        <f>'Field data and Waste 1'!C4:D4</f>
        <v>Land at Carreglywd, Llandrygan, Llanerchymedd, Anglesey, LL65 4PA</v>
      </c>
      <c r="D4" s="127"/>
      <c r="E4" s="38" t="s">
        <v>1</v>
      </c>
      <c r="F4" s="35" t="s">
        <v>163</v>
      </c>
      <c r="G4" s="122"/>
      <c r="H4" s="123"/>
      <c r="I4" s="46"/>
      <c r="AB4" s="43" t="s">
        <v>52</v>
      </c>
      <c r="AC4" s="25"/>
      <c r="AD4" s="59" t="s">
        <v>72</v>
      </c>
      <c r="AE4" s="25"/>
      <c r="AF4" s="25"/>
      <c r="AG4" s="51" t="s">
        <v>78</v>
      </c>
      <c r="AH4" s="26"/>
      <c r="AI4" s="60" t="s">
        <v>122</v>
      </c>
      <c r="AJ4" s="61">
        <v>7</v>
      </c>
      <c r="AK4" s="62">
        <v>10.5</v>
      </c>
      <c r="AL4" s="19">
        <v>2</v>
      </c>
      <c r="AM4" s="19">
        <v>6.7</v>
      </c>
      <c r="AN4" s="19" t="s">
        <v>135</v>
      </c>
    </row>
    <row r="5" spans="1:41" x14ac:dyDescent="0.2">
      <c r="A5" s="110" t="s">
        <v>47</v>
      </c>
      <c r="B5" s="110"/>
      <c r="C5" s="126" t="str">
        <f>'Field data and Waste 1'!C5:D5</f>
        <v>Sion Sleep</v>
      </c>
      <c r="D5" s="127"/>
      <c r="E5" s="37"/>
      <c r="F5" s="46"/>
      <c r="G5" s="122"/>
      <c r="H5" s="123"/>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5" t="s">
        <v>63</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0" t="s">
        <v>2</v>
      </c>
      <c r="B8" s="110"/>
      <c r="C8" s="67" t="str">
        <f>'Field data and Waste 1'!C8</f>
        <v>C1</v>
      </c>
      <c r="D8" s="67" t="str">
        <f>'Field data and Waste 1'!D8</f>
        <v>C2</v>
      </c>
      <c r="E8" s="67" t="str">
        <f>'Field data and Waste 1'!E8</f>
        <v>C3</v>
      </c>
      <c r="F8" s="67">
        <f>'Field data and Waste 1'!F8</f>
        <v>1</v>
      </c>
      <c r="G8" s="67">
        <f>'Field data and Waste 1'!G8</f>
        <v>2</v>
      </c>
      <c r="H8" s="67">
        <f>'Field data and Waste 1'!H8</f>
        <v>3</v>
      </c>
      <c r="I8" s="67">
        <f>'Field data and Waste 1'!I8</f>
        <v>4</v>
      </c>
      <c r="J8" s="67">
        <f>'Field data and Waste 1'!J8</f>
        <v>5</v>
      </c>
      <c r="K8" s="67">
        <f>'Field data and Waste 1'!K8</f>
        <v>6</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0" t="s">
        <v>3</v>
      </c>
      <c r="B9" s="110"/>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1</v>
      </c>
      <c r="I9" s="67" t="str">
        <f>'Field data and Waste 1'!I9</f>
        <v>Moderate</v>
      </c>
      <c r="J9" s="67" t="str">
        <f>'Field data and Waste 1'!J9</f>
        <v>Moderate</v>
      </c>
      <c r="K9" s="67" t="str">
        <f>'Field data and Waste 1'!K9</f>
        <v>Moderate</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0" t="s">
        <v>4</v>
      </c>
      <c r="B10" s="110"/>
      <c r="C10" s="67">
        <f>'Field data and Waste 1'!C10</f>
        <v>5.3</v>
      </c>
      <c r="D10" s="67">
        <f>'Field data and Waste 1'!D10</f>
        <v>5.2</v>
      </c>
      <c r="E10" s="67">
        <f>'Field data and Waste 1'!E10</f>
        <v>5.7</v>
      </c>
      <c r="F10" s="67">
        <f>'Field data and Waste 1'!F10</f>
        <v>5.5</v>
      </c>
      <c r="G10" s="67">
        <f>'Field data and Waste 1'!G10</f>
        <v>5.6</v>
      </c>
      <c r="H10" s="67">
        <f>'Field data and Waste 1'!H10</f>
        <v>5.3</v>
      </c>
      <c r="I10" s="67">
        <f>'Field data and Waste 1'!I10</f>
        <v>5.7</v>
      </c>
      <c r="J10" s="67">
        <f>'Field data and Waste 1'!J10</f>
        <v>5.5</v>
      </c>
      <c r="K10" s="67">
        <f>'Field data and Waste 1'!K10</f>
        <v>5.9</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0" t="s">
        <v>5</v>
      </c>
      <c r="B11" s="110"/>
      <c r="C11" s="67">
        <f>'Field data and Waste 1'!C11</f>
        <v>1</v>
      </c>
      <c r="D11" s="67">
        <f>'Field data and Waste 1'!D11</f>
        <v>1</v>
      </c>
      <c r="E11" s="67">
        <f>'Field data and Waste 1'!E11</f>
        <v>1</v>
      </c>
      <c r="F11" s="67">
        <f>'Field data and Waste 1'!F11</f>
        <v>2</v>
      </c>
      <c r="G11" s="67">
        <f>'Field data and Waste 1'!G11</f>
        <v>2</v>
      </c>
      <c r="H11" s="67">
        <f>'Field data and Waste 1'!H11</f>
        <v>2</v>
      </c>
      <c r="I11" s="67">
        <f>'Field data and Waste 1'!I11</f>
        <v>2</v>
      </c>
      <c r="J11" s="67">
        <f>'Field data and Waste 1'!J11</f>
        <v>2</v>
      </c>
      <c r="K11" s="67">
        <f>'Field data and Waste 1'!K11</f>
        <v>2</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0" t="s">
        <v>6</v>
      </c>
      <c r="B12" s="110"/>
      <c r="C12" s="67">
        <f>'Field data and Waste 1'!C12</f>
        <v>2</v>
      </c>
      <c r="D12" s="67">
        <f>'Field data and Waste 1'!D12</f>
        <v>2</v>
      </c>
      <c r="E12" s="67">
        <f>'Field data and Waste 1'!E12</f>
        <v>3</v>
      </c>
      <c r="F12" s="67">
        <f>'Field data and Waste 1'!F12</f>
        <v>2</v>
      </c>
      <c r="G12" s="67">
        <f>'Field data and Waste 1'!G12</f>
        <v>2</v>
      </c>
      <c r="H12" s="67">
        <f>'Field data and Waste 1'!H12</f>
        <v>2</v>
      </c>
      <c r="I12" s="67">
        <f>'Field data and Waste 1'!I12</f>
        <v>2</v>
      </c>
      <c r="J12" s="67">
        <f>'Field data and Waste 1'!J12</f>
        <v>3</v>
      </c>
      <c r="K12" s="67">
        <f>'Field data and Waste 1'!K12</f>
        <v>1</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0" t="s">
        <v>7</v>
      </c>
      <c r="B13" s="110"/>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2</v>
      </c>
      <c r="J13" s="67">
        <f>'Field data and Waste 1'!J13</f>
        <v>3</v>
      </c>
      <c r="K13" s="67">
        <f>'Field data and Waste 1'!K13</f>
        <v>3</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4" t="s">
        <v>8</v>
      </c>
      <c r="B14" s="114"/>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Fodder beet (roots only)</v>
      </c>
      <c r="I14" s="73" t="str">
        <f>'Field data and Waste 1'!I14</f>
        <v xml:space="preserve">Grass Silage (25% DM) </v>
      </c>
      <c r="J14" s="73" t="str">
        <f>'Field data and Waste 1'!J14</f>
        <v xml:space="preserve">Grass Silage (25% DM) </v>
      </c>
      <c r="K14" s="73" t="str">
        <f>'Field data and Waste 1'!K14</f>
        <v xml:space="preserve">Grass Silage (25% DM) </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3" t="s">
        <v>9</v>
      </c>
      <c r="B15" s="113"/>
      <c r="C15" s="67">
        <f>'Field data and Waste 1'!C15</f>
        <v>54</v>
      </c>
      <c r="D15" s="67">
        <f>'Field data and Waste 1'!D15</f>
        <v>54</v>
      </c>
      <c r="E15" s="67">
        <f>'Field data and Waste 1'!E15</f>
        <v>54</v>
      </c>
      <c r="F15" s="67">
        <f>'Field data and Waste 1'!F15</f>
        <v>54</v>
      </c>
      <c r="G15" s="67">
        <f>'Field data and Waste 1'!G15</f>
        <v>54</v>
      </c>
      <c r="H15" s="67">
        <f>'Field data and Waste 1'!H15</f>
        <v>85</v>
      </c>
      <c r="I15" s="67">
        <f>'Field data and Waste 1'!I15</f>
        <v>54</v>
      </c>
      <c r="J15" s="67">
        <f>'Field data and Waste 1'!J15</f>
        <v>54</v>
      </c>
      <c r="K15" s="67">
        <f>'Field data and Waste 1'!K15</f>
        <v>54</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5" t="s">
        <v>44</v>
      </c>
      <c r="B16" s="115"/>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2" t="s">
        <v>69</v>
      </c>
      <c r="B17" s="103"/>
      <c r="C17" s="39">
        <f t="shared" ref="C17:V17" si="0">(VLOOKUP(C$14,$AI2:$AK24,2,FALSE))*C$15</f>
        <v>91.8</v>
      </c>
      <c r="D17" s="39">
        <f t="shared" si="0"/>
        <v>91.8</v>
      </c>
      <c r="E17" s="39">
        <f t="shared" si="0"/>
        <v>91.8</v>
      </c>
      <c r="F17" s="39">
        <f t="shared" si="0"/>
        <v>91.8</v>
      </c>
      <c r="G17" s="39">
        <f t="shared" si="0"/>
        <v>91.8</v>
      </c>
      <c r="H17" s="39">
        <f t="shared" si="0"/>
        <v>59.499999999999993</v>
      </c>
      <c r="I17" s="39">
        <f t="shared" si="0"/>
        <v>91.8</v>
      </c>
      <c r="J17" s="39">
        <f t="shared" si="0"/>
        <v>91.8</v>
      </c>
      <c r="K17" s="39">
        <f t="shared" si="0"/>
        <v>91.8</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4" t="s">
        <v>23</v>
      </c>
      <c r="B18" s="105"/>
      <c r="C18" s="24">
        <f>$D31</f>
        <v>62.429749999999999</v>
      </c>
      <c r="D18" s="24">
        <f>$D32</f>
        <v>62.429749999999999</v>
      </c>
      <c r="E18" s="24">
        <f>$D33</f>
        <v>62.429749999999999</v>
      </c>
      <c r="F18" s="24">
        <f>$D34</f>
        <v>62.429749999999999</v>
      </c>
      <c r="G18" s="24">
        <f>$D35</f>
        <v>62.429749999999999</v>
      </c>
      <c r="H18" s="24">
        <f>$D36</f>
        <v>62.429749999999999</v>
      </c>
      <c r="I18" s="24">
        <f>$D37</f>
        <v>62.429749999999999</v>
      </c>
      <c r="J18" s="24">
        <f>$D38</f>
        <v>62.429749999999999</v>
      </c>
      <c r="K18" s="24">
        <f>$D39</f>
        <v>62.429749999999999</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4" t="s">
        <v>87</v>
      </c>
      <c r="B19" s="105"/>
      <c r="C19" s="24">
        <f>C18-C17</f>
        <v>-29.370249999999999</v>
      </c>
      <c r="D19" s="24">
        <f t="shared" ref="D19:V19" si="1">D18-D17</f>
        <v>-29.370249999999999</v>
      </c>
      <c r="E19" s="24">
        <f t="shared" si="1"/>
        <v>-29.370249999999999</v>
      </c>
      <c r="F19" s="24">
        <f t="shared" si="1"/>
        <v>-29.370249999999999</v>
      </c>
      <c r="G19" s="24">
        <f t="shared" si="1"/>
        <v>-29.370249999999999</v>
      </c>
      <c r="H19" s="24">
        <f t="shared" si="1"/>
        <v>2.9297500000000056</v>
      </c>
      <c r="I19" s="24">
        <f t="shared" si="1"/>
        <v>-29.370249999999999</v>
      </c>
      <c r="J19" s="24">
        <f t="shared" si="1"/>
        <v>-29.370249999999999</v>
      </c>
      <c r="K19" s="24">
        <f t="shared" si="1"/>
        <v>-29.370249999999999</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6" t="s">
        <v>88</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INCREASE</v>
      </c>
      <c r="I20" s="33" t="str">
        <f>IF($B37="","",IF(I$19&gt;=0,"INCREASE","DECREASE"))</f>
        <v>DECREASE</v>
      </c>
      <c r="J20" s="33" t="str">
        <f>IF($B38="","",IF(J$19&gt;=0,"INCREASE","DECREASE"))</f>
        <v>DECREASE</v>
      </c>
      <c r="K20" s="33" t="str">
        <f>IF($B39="","",IF(K$19&gt;=0,"INCREASE","DECREASE"))</f>
        <v>DECREASE</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2" t="s">
        <v>85</v>
      </c>
      <c r="B21" s="103"/>
      <c r="C21" s="39">
        <f t="shared" ref="C21:V21" si="2">(VLOOKUP(C$14,$AI2:$AK24,3,FALSE))*C$15</f>
        <v>324</v>
      </c>
      <c r="D21" s="39">
        <f t="shared" si="2"/>
        <v>324</v>
      </c>
      <c r="E21" s="39">
        <f t="shared" si="2"/>
        <v>324</v>
      </c>
      <c r="F21" s="39">
        <f t="shared" si="2"/>
        <v>324</v>
      </c>
      <c r="G21" s="39">
        <f t="shared" si="2"/>
        <v>324</v>
      </c>
      <c r="H21" s="39">
        <f t="shared" si="2"/>
        <v>340</v>
      </c>
      <c r="I21" s="39">
        <f t="shared" si="2"/>
        <v>324</v>
      </c>
      <c r="J21" s="39">
        <f t="shared" si="2"/>
        <v>324</v>
      </c>
      <c r="K21" s="39">
        <f t="shared" si="2"/>
        <v>324</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4" t="s">
        <v>86</v>
      </c>
      <c r="B22" s="105"/>
      <c r="C22" s="24">
        <f>$E31</f>
        <v>14.068375000000001</v>
      </c>
      <c r="D22" s="24">
        <f>$E32</f>
        <v>14.068375000000001</v>
      </c>
      <c r="E22" s="24">
        <f>$E33</f>
        <v>14.068375000000001</v>
      </c>
      <c r="F22" s="24">
        <f>$E34</f>
        <v>14.068375000000001</v>
      </c>
      <c r="G22" s="24">
        <f>$E35</f>
        <v>14.068375000000001</v>
      </c>
      <c r="H22" s="24">
        <f>$E36</f>
        <v>14.068375000000001</v>
      </c>
      <c r="I22" s="24">
        <f>$E37</f>
        <v>14.068375000000001</v>
      </c>
      <c r="J22" s="24">
        <f>$E38</f>
        <v>14.068375000000001</v>
      </c>
      <c r="K22" s="24">
        <f>$E39</f>
        <v>14.068375000000001</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4" t="s">
        <v>89</v>
      </c>
      <c r="B23" s="105"/>
      <c r="C23" s="24">
        <f>C22-C21</f>
        <v>-309.931625</v>
      </c>
      <c r="D23" s="24">
        <f t="shared" ref="D23:V23" si="3">D22-D21</f>
        <v>-309.931625</v>
      </c>
      <c r="E23" s="24">
        <f t="shared" si="3"/>
        <v>-309.931625</v>
      </c>
      <c r="F23" s="24">
        <f t="shared" si="3"/>
        <v>-309.931625</v>
      </c>
      <c r="G23" s="24">
        <f t="shared" si="3"/>
        <v>-309.931625</v>
      </c>
      <c r="H23" s="24">
        <f t="shared" si="3"/>
        <v>-325.931625</v>
      </c>
      <c r="I23" s="24">
        <f t="shared" si="3"/>
        <v>-309.931625</v>
      </c>
      <c r="J23" s="24">
        <f t="shared" si="3"/>
        <v>-309.931625</v>
      </c>
      <c r="K23" s="24">
        <f t="shared" si="3"/>
        <v>-309.931625</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6" t="s">
        <v>90</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t="s">
        <v>54</v>
      </c>
      <c r="T27" s="101"/>
      <c r="U27" s="101"/>
    </row>
    <row r="28" spans="1:40" s="64" customFormat="1" x14ac:dyDescent="0.25">
      <c r="A28" s="82"/>
      <c r="B28" s="31">
        <v>0.88</v>
      </c>
      <c r="C28" s="23">
        <v>0.03</v>
      </c>
      <c r="D28" s="23">
        <v>109</v>
      </c>
      <c r="E28" s="23">
        <v>46.7</v>
      </c>
      <c r="F28" s="23">
        <v>10</v>
      </c>
      <c r="G28" s="23">
        <v>0.2</v>
      </c>
      <c r="H28" s="23">
        <v>0.5</v>
      </c>
      <c r="I28" s="23">
        <v>0.5</v>
      </c>
      <c r="J28" s="23">
        <v>0.01</v>
      </c>
      <c r="K28" s="30">
        <v>0.05</v>
      </c>
      <c r="L28" s="23">
        <v>0.2</v>
      </c>
      <c r="M28" s="23">
        <v>0.22</v>
      </c>
      <c r="N28" s="23"/>
      <c r="O28" s="23"/>
      <c r="P28" s="23">
        <v>561</v>
      </c>
      <c r="Q28" s="23">
        <v>40.1</v>
      </c>
      <c r="R28" s="23"/>
      <c r="S28" s="23">
        <v>0.05</v>
      </c>
      <c r="T28" s="23"/>
      <c r="U28" s="23"/>
    </row>
    <row r="29" spans="1:40" s="15" customFormat="1" ht="27" x14ac:dyDescent="0.25">
      <c r="A29" s="108"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09"/>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C1</v>
      </c>
      <c r="B31" s="23">
        <v>250</v>
      </c>
      <c r="C31" s="2">
        <f>IF(C$27="%w/w SAR",((C$28*10)*$B31),IF(C$27="%w/w DM",(((C$28*10)*($B$28/100))*$B31),IF(C$27="kg/t SAR",(C$28*$B31),IF(C$27="kg/t DM",((C$28*($B$28/100))*$B31),IF(C$27="mg/kg SAR",((C$28*0.001)*$B31),IF(C$27="mg/kg DM",(((C$28*0.001)*($B$28/100))*$B31),0))))))</f>
        <v>75</v>
      </c>
      <c r="D31" s="2">
        <f>(IF(D$27="%w/w SAR",((D$28*10)*$B31),IF(D$27="%w/w DM",(((D$28*10)*($B$28/100))*$B31),IF(D$27="kg/t SAR",(D$28*$B31),IF(D$27="kg/t DM",((D$28*($B$28/100))*$B31),IF(D$27="mg/kg SAR",((D$28*0.001)*$B31),IF(D$27="mg/kg DM",(((D$28*0.001)*($B$28/100))*$B31),"0")))))))*2.291</f>
        <v>62.429749999999999</v>
      </c>
      <c r="E31" s="2">
        <f>(IF(E$27="%w/w SAR",((E$28*10)*$B31),IF(E$27="%w/w DM",(((E$28*10)*($B$28/100))*$B31),IF(E$27="kg/t SAR",(E$28*$B31),IF(E$27="kg/t DM",((E$28*($B$28/100))*$B31),IF(E$27="mg/kg SAR",((E$28*0.001)*$B31),IF(E$27="mg/kg DM",(((E$28*0.001)*($B$28/100))*$B31),"0")))))))*1.205</f>
        <v>14.068375000000001</v>
      </c>
      <c r="F31" s="2">
        <f>(IF(F$27="%w/w SAR",((F$28*10)*$B31),IF(F$27="%w/w DM",(((F$28*10)*($B$28/100))*$B31),IF(F$27="kg/t SAR",(F$28*$B31),IF(F$27="kg/t DM",((F$28*($B$28/100))*$B31),IF(F$27="mg/kg SAR",((F$28*0.001)*$B31),IF(F$27="mg/kg DM",(((F$28*0.001)*($B$28/100))*$B31),"0")))))))*1.658</f>
        <v>4.1449999999999996</v>
      </c>
      <c r="G31" s="2">
        <f t="shared" ref="G31:P46" si="5">IF(G$27="%w/w SAR",((G$28*10)*$B31),IF(G$27="%w/w DM",(((G$28*10)*($B$28/100))*$B31),IF(G$27="kg/t SAR",(G$28*$B31),IF(G$27="kg/t DM",((G$28*($B$28/100))*$B31),IF(G$27="mg/kg SAR",((G$28*0.001)*$B31),IF(G$27="mg/kg DM",(((G$28*0.001)*($B$28/100))*$B31),0))))))</f>
        <v>0.05</v>
      </c>
      <c r="H31" s="2">
        <f t="shared" si="5"/>
        <v>0.125</v>
      </c>
      <c r="I31" s="2">
        <f t="shared" si="5"/>
        <v>0.125</v>
      </c>
      <c r="J31" s="2">
        <f t="shared" si="5"/>
        <v>2.5000000000000001E-3</v>
      </c>
      <c r="K31" s="2">
        <f t="shared" si="5"/>
        <v>1.2500000000000001E-2</v>
      </c>
      <c r="L31" s="2">
        <f t="shared" si="5"/>
        <v>0.05</v>
      </c>
      <c r="M31" s="2">
        <f t="shared" si="5"/>
        <v>5.5E-2</v>
      </c>
      <c r="N31" s="2">
        <f t="shared" si="5"/>
        <v>0</v>
      </c>
      <c r="O31" s="2">
        <f t="shared" si="5"/>
        <v>0</v>
      </c>
      <c r="P31" s="2">
        <f t="shared" si="5"/>
        <v>140.25</v>
      </c>
      <c r="Q31" s="2">
        <f>(IF(Q$27="%w/w SAR",((Q$28*10)*$B31),IF(Q$27="%w/w DM",(((Q$28*10)*($B$28/100))*$B31),IF(Q$27="kg/t SAR",(Q$28*$B31),IF(Q$27="kg/t DM",((Q$28*($B$28/100))*$B31),IF(Q$27="mg/kg SAR",((Q$28*0.001)*$B31),IF(Q$27="mg/kg DM",(((Q$28*0.001)*($B$28/100))*$B31),0)))))))*2.5</f>
        <v>25.0625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1.2500000000000001E-2</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C2</v>
      </c>
      <c r="B32" s="23">
        <v>250</v>
      </c>
      <c r="C32" s="2">
        <f t="shared" ref="C32:C50" si="6">IF(C$27="%w/w SAR",((C$28*10)*$B32),IF(C$27="%w/w DM",(((C$28*10)*($B$28/100))*$B32),IF(C$27="kg/t SAR",(C$28*$B32),IF(C$27="kg/t DM",((C$28*($B$28/100))*$B32),IF(C$27="mg/kg SAR",((C$28*0.001)*$B32),IF(C$27="mg/kg DM",(((C$28*0.001)*($B$28/100))*$B32),0))))))</f>
        <v>75</v>
      </c>
      <c r="D32" s="2">
        <f t="shared" ref="D32:D50" si="7">(IF(D$27="%w/w SAR",((D$28*10)*$B32),IF(D$27="%w/w DM",(((D$28*10)*($B$28/100))*$B32),IF(D$27="kg/t SAR",(D$28*$B32),IF(D$27="kg/t DM",((D$28*($B$28/100))*$B32),IF(D$27="mg/kg SAR",((D$28*0.001)*$B32),IF(D$27="mg/kg DM",(((D$28*0.001)*($B$28/100))*$B32),"0")))))))*2.291</f>
        <v>62.429749999999999</v>
      </c>
      <c r="E32" s="2">
        <f t="shared" ref="E32:E50" si="8">(IF(E$27="%w/w SAR",((E$28*10)*$B32),IF(E$27="%w/w DM",(((E$28*10)*($B$28/100))*$B32),IF(E$27="kg/t SAR",(E$28*$B32),IF(E$27="kg/t DM",((E$28*($B$28/100))*$B32),IF(E$27="mg/kg SAR",((E$28*0.001)*$B32),IF(E$27="mg/kg DM",(((E$28*0.001)*($B$28/100))*$B32),"0")))))))*1.205</f>
        <v>14.068375000000001</v>
      </c>
      <c r="F32" s="2">
        <f t="shared" ref="F32:F50" si="9">(IF(F$27="%w/w SAR",((F$28*10)*$B32),IF(F$27="%w/w DM",(((F$28*10)*($B$28/100))*$B32),IF(F$27="kg/t SAR",(F$28*$B32),IF(F$27="kg/t DM",((F$28*($B$28/100))*$B32),IF(F$27="mg/kg SAR",((F$28*0.001)*$B32),IF(F$27="mg/kg DM",(((F$28*0.001)*($B$28/100))*$B32),"0")))))))*1.658</f>
        <v>4.1449999999999996</v>
      </c>
      <c r="G32" s="2">
        <f t="shared" si="5"/>
        <v>0.05</v>
      </c>
      <c r="H32" s="2">
        <f t="shared" si="5"/>
        <v>0.125</v>
      </c>
      <c r="I32" s="2">
        <f t="shared" si="5"/>
        <v>0.125</v>
      </c>
      <c r="J32" s="2">
        <f t="shared" si="5"/>
        <v>2.5000000000000001E-3</v>
      </c>
      <c r="K32" s="2">
        <f t="shared" si="5"/>
        <v>1.2500000000000001E-2</v>
      </c>
      <c r="L32" s="2">
        <f t="shared" si="5"/>
        <v>0.05</v>
      </c>
      <c r="M32" s="2">
        <f t="shared" si="5"/>
        <v>5.5E-2</v>
      </c>
      <c r="N32" s="2">
        <f t="shared" si="5"/>
        <v>0</v>
      </c>
      <c r="O32" s="2">
        <f t="shared" si="5"/>
        <v>0</v>
      </c>
      <c r="P32" s="2">
        <f t="shared" si="5"/>
        <v>140.25</v>
      </c>
      <c r="Q32" s="2">
        <f t="shared" ref="Q32:Q50" si="10">(IF(Q$27="%w/w SAR",((Q$28*10)*$B32),IF(Q$27="%w/w DM",(((Q$28*10)*($B$28/100))*$B32),IF(Q$27="kg/t SAR",(Q$28*$B32),IF(Q$27="kg/t DM",((Q$28*($B$28/100))*$B32),IF(Q$27="mg/kg SAR",((Q$28*0.001)*$B32),IF(Q$27="mg/kg DM",(((Q$28*0.001)*($B$28/100))*$B32),0)))))))*2.5</f>
        <v>25.0625</v>
      </c>
      <c r="R32" s="2">
        <f t="shared" ref="R32:U50" si="11">IF(R$27="%w/w SAR",((R$28*10)*$B32),IF(R$27="%w/w DM",(((R$28*10)*($B$28/100))*$B32),IF(R$27="kg/t SAR",(R$28*$B32),IF(R$27="kg/t DM",((R$28*($B$28/100))*$B32),IF(R$27="mg/kg SAR",((R$28*0.001)*$B32),IF(R$27="mg/kg DM",(((R$28*0.001)*($B$28/100))*$B32),0))))))</f>
        <v>0</v>
      </c>
      <c r="S32" s="2">
        <f t="shared" si="11"/>
        <v>1.2500000000000001E-2</v>
      </c>
      <c r="T32" s="2">
        <f t="shared" si="11"/>
        <v>0</v>
      </c>
      <c r="U32" s="2">
        <f t="shared" si="11"/>
        <v>0</v>
      </c>
      <c r="AB32" s="66"/>
      <c r="AC32" s="66"/>
      <c r="AD32" s="66"/>
      <c r="AE32" s="66"/>
      <c r="AF32" s="66"/>
      <c r="AG32" s="66"/>
      <c r="AH32" s="66"/>
      <c r="AI32" s="66"/>
    </row>
    <row r="33" spans="1:35" s="83" customFormat="1" x14ac:dyDescent="0.25">
      <c r="A33" s="21" t="str">
        <f>E8</f>
        <v>C3</v>
      </c>
      <c r="B33" s="23">
        <v>250</v>
      </c>
      <c r="C33" s="2">
        <f t="shared" si="6"/>
        <v>75</v>
      </c>
      <c r="D33" s="2">
        <f t="shared" si="7"/>
        <v>62.429749999999999</v>
      </c>
      <c r="E33" s="2">
        <f t="shared" si="8"/>
        <v>14.068375000000001</v>
      </c>
      <c r="F33" s="2">
        <f t="shared" si="9"/>
        <v>4.1449999999999996</v>
      </c>
      <c r="G33" s="2">
        <f t="shared" si="5"/>
        <v>0.05</v>
      </c>
      <c r="H33" s="2">
        <f t="shared" si="5"/>
        <v>0.125</v>
      </c>
      <c r="I33" s="2">
        <f t="shared" si="5"/>
        <v>0.125</v>
      </c>
      <c r="J33" s="2">
        <f t="shared" si="5"/>
        <v>2.5000000000000001E-3</v>
      </c>
      <c r="K33" s="2">
        <f t="shared" si="5"/>
        <v>1.2500000000000001E-2</v>
      </c>
      <c r="L33" s="2">
        <f t="shared" si="5"/>
        <v>0.05</v>
      </c>
      <c r="M33" s="2">
        <f t="shared" si="5"/>
        <v>5.5E-2</v>
      </c>
      <c r="N33" s="2">
        <f t="shared" si="5"/>
        <v>0</v>
      </c>
      <c r="O33" s="2">
        <f t="shared" si="5"/>
        <v>0</v>
      </c>
      <c r="P33" s="2">
        <f t="shared" si="5"/>
        <v>140.25</v>
      </c>
      <c r="Q33" s="2">
        <f t="shared" si="10"/>
        <v>25.0625</v>
      </c>
      <c r="R33" s="2">
        <f t="shared" si="11"/>
        <v>0</v>
      </c>
      <c r="S33" s="2">
        <f t="shared" si="11"/>
        <v>1.2500000000000001E-2</v>
      </c>
      <c r="T33" s="2">
        <f t="shared" si="11"/>
        <v>0</v>
      </c>
      <c r="U33" s="2">
        <f t="shared" si="11"/>
        <v>0</v>
      </c>
      <c r="AB33" s="66"/>
      <c r="AC33" s="66"/>
      <c r="AD33" s="66"/>
      <c r="AE33" s="66"/>
      <c r="AF33" s="66"/>
      <c r="AG33" s="66"/>
      <c r="AH33" s="66"/>
      <c r="AI33" s="66"/>
    </row>
    <row r="34" spans="1:35" s="83" customFormat="1" x14ac:dyDescent="0.25">
      <c r="A34" s="21">
        <f>F8</f>
        <v>1</v>
      </c>
      <c r="B34" s="23">
        <v>250</v>
      </c>
      <c r="C34" s="2">
        <f t="shared" si="6"/>
        <v>75</v>
      </c>
      <c r="D34" s="2">
        <f t="shared" si="7"/>
        <v>62.429749999999999</v>
      </c>
      <c r="E34" s="2">
        <f t="shared" si="8"/>
        <v>14.068375000000001</v>
      </c>
      <c r="F34" s="2">
        <f t="shared" si="9"/>
        <v>4.1449999999999996</v>
      </c>
      <c r="G34" s="2">
        <f t="shared" si="5"/>
        <v>0.05</v>
      </c>
      <c r="H34" s="2">
        <f t="shared" si="5"/>
        <v>0.125</v>
      </c>
      <c r="I34" s="2">
        <f t="shared" si="5"/>
        <v>0.125</v>
      </c>
      <c r="J34" s="2">
        <f t="shared" si="5"/>
        <v>2.5000000000000001E-3</v>
      </c>
      <c r="K34" s="2">
        <f t="shared" si="5"/>
        <v>1.2500000000000001E-2</v>
      </c>
      <c r="L34" s="2">
        <f t="shared" si="5"/>
        <v>0.05</v>
      </c>
      <c r="M34" s="2">
        <f t="shared" si="5"/>
        <v>5.5E-2</v>
      </c>
      <c r="N34" s="2">
        <f t="shared" si="5"/>
        <v>0</v>
      </c>
      <c r="O34" s="2">
        <f t="shared" si="5"/>
        <v>0</v>
      </c>
      <c r="P34" s="2">
        <f t="shared" si="5"/>
        <v>140.25</v>
      </c>
      <c r="Q34" s="2">
        <f t="shared" si="10"/>
        <v>25.0625</v>
      </c>
      <c r="R34" s="2">
        <f t="shared" si="11"/>
        <v>0</v>
      </c>
      <c r="S34" s="2">
        <f t="shared" si="11"/>
        <v>1.2500000000000001E-2</v>
      </c>
      <c r="T34" s="2">
        <f t="shared" si="11"/>
        <v>0</v>
      </c>
      <c r="U34" s="2">
        <f t="shared" si="11"/>
        <v>0</v>
      </c>
      <c r="AB34" s="66"/>
      <c r="AC34" s="66"/>
      <c r="AD34" s="66"/>
      <c r="AE34" s="66"/>
      <c r="AF34" s="66"/>
      <c r="AG34" s="66"/>
      <c r="AH34" s="66"/>
      <c r="AI34" s="66"/>
    </row>
    <row r="35" spans="1:35" s="83" customFormat="1" x14ac:dyDescent="0.25">
      <c r="A35" s="21">
        <f>G8</f>
        <v>2</v>
      </c>
      <c r="B35" s="23">
        <v>250</v>
      </c>
      <c r="C35" s="2">
        <f t="shared" si="6"/>
        <v>75</v>
      </c>
      <c r="D35" s="2">
        <f t="shared" si="7"/>
        <v>62.429749999999999</v>
      </c>
      <c r="E35" s="2">
        <f t="shared" si="8"/>
        <v>14.068375000000001</v>
      </c>
      <c r="F35" s="2">
        <f t="shared" si="9"/>
        <v>4.1449999999999996</v>
      </c>
      <c r="G35" s="2">
        <f t="shared" si="5"/>
        <v>0.05</v>
      </c>
      <c r="H35" s="2">
        <f t="shared" si="5"/>
        <v>0.125</v>
      </c>
      <c r="I35" s="2">
        <f t="shared" si="5"/>
        <v>0.125</v>
      </c>
      <c r="J35" s="2">
        <f t="shared" si="5"/>
        <v>2.5000000000000001E-3</v>
      </c>
      <c r="K35" s="2">
        <f t="shared" si="5"/>
        <v>1.2500000000000001E-2</v>
      </c>
      <c r="L35" s="2">
        <f t="shared" si="5"/>
        <v>0.05</v>
      </c>
      <c r="M35" s="2">
        <f t="shared" si="5"/>
        <v>5.5E-2</v>
      </c>
      <c r="N35" s="2">
        <f t="shared" si="5"/>
        <v>0</v>
      </c>
      <c r="O35" s="2">
        <f t="shared" si="5"/>
        <v>0</v>
      </c>
      <c r="P35" s="2">
        <f t="shared" si="5"/>
        <v>140.25</v>
      </c>
      <c r="Q35" s="2">
        <f t="shared" si="10"/>
        <v>25.0625</v>
      </c>
      <c r="R35" s="2">
        <f t="shared" si="11"/>
        <v>0</v>
      </c>
      <c r="S35" s="2">
        <f t="shared" si="11"/>
        <v>1.2500000000000001E-2</v>
      </c>
      <c r="T35" s="2">
        <f t="shared" si="11"/>
        <v>0</v>
      </c>
      <c r="U35" s="2">
        <f t="shared" si="11"/>
        <v>0</v>
      </c>
      <c r="AB35" s="66"/>
      <c r="AC35" s="66"/>
      <c r="AD35" s="66"/>
      <c r="AE35" s="66"/>
      <c r="AF35" s="66"/>
      <c r="AG35" s="66"/>
      <c r="AH35" s="66"/>
      <c r="AI35" s="66"/>
    </row>
    <row r="36" spans="1:35" s="83" customFormat="1" x14ac:dyDescent="0.25">
      <c r="A36" s="21">
        <f>H8</f>
        <v>3</v>
      </c>
      <c r="B36" s="23">
        <v>250</v>
      </c>
      <c r="C36" s="2">
        <f t="shared" si="6"/>
        <v>75</v>
      </c>
      <c r="D36" s="2">
        <f t="shared" si="7"/>
        <v>62.429749999999999</v>
      </c>
      <c r="E36" s="2">
        <f t="shared" si="8"/>
        <v>14.068375000000001</v>
      </c>
      <c r="F36" s="2">
        <f t="shared" si="9"/>
        <v>4.1449999999999996</v>
      </c>
      <c r="G36" s="2">
        <f t="shared" si="5"/>
        <v>0.05</v>
      </c>
      <c r="H36" s="2">
        <f t="shared" si="5"/>
        <v>0.125</v>
      </c>
      <c r="I36" s="2">
        <f t="shared" si="5"/>
        <v>0.125</v>
      </c>
      <c r="J36" s="2">
        <f t="shared" si="5"/>
        <v>2.5000000000000001E-3</v>
      </c>
      <c r="K36" s="2">
        <f t="shared" si="5"/>
        <v>1.2500000000000001E-2</v>
      </c>
      <c r="L36" s="2">
        <f t="shared" si="5"/>
        <v>0.05</v>
      </c>
      <c r="M36" s="2">
        <f t="shared" si="5"/>
        <v>5.5E-2</v>
      </c>
      <c r="N36" s="2">
        <f t="shared" si="5"/>
        <v>0</v>
      </c>
      <c r="O36" s="2">
        <f t="shared" si="5"/>
        <v>0</v>
      </c>
      <c r="P36" s="2">
        <f t="shared" si="5"/>
        <v>140.25</v>
      </c>
      <c r="Q36" s="2">
        <f t="shared" si="10"/>
        <v>25.0625</v>
      </c>
      <c r="R36" s="2">
        <f t="shared" si="11"/>
        <v>0</v>
      </c>
      <c r="S36" s="2">
        <f t="shared" si="11"/>
        <v>1.2500000000000001E-2</v>
      </c>
      <c r="T36" s="2">
        <f t="shared" si="11"/>
        <v>0</v>
      </c>
      <c r="U36" s="2">
        <f t="shared" si="11"/>
        <v>0</v>
      </c>
      <c r="AB36" s="66"/>
      <c r="AC36" s="66"/>
      <c r="AD36" s="66"/>
      <c r="AE36" s="66"/>
      <c r="AF36" s="66"/>
      <c r="AG36" s="66"/>
      <c r="AH36" s="66"/>
      <c r="AI36" s="66"/>
    </row>
    <row r="37" spans="1:35" s="83" customFormat="1" x14ac:dyDescent="0.25">
      <c r="A37" s="21">
        <f>I8</f>
        <v>4</v>
      </c>
      <c r="B37" s="23">
        <v>250</v>
      </c>
      <c r="C37" s="2">
        <f t="shared" si="6"/>
        <v>75</v>
      </c>
      <c r="D37" s="2">
        <f t="shared" si="7"/>
        <v>62.429749999999999</v>
      </c>
      <c r="E37" s="2">
        <f t="shared" si="8"/>
        <v>14.068375000000001</v>
      </c>
      <c r="F37" s="2">
        <f t="shared" si="9"/>
        <v>4.1449999999999996</v>
      </c>
      <c r="G37" s="2">
        <f t="shared" si="5"/>
        <v>0.05</v>
      </c>
      <c r="H37" s="2">
        <f t="shared" si="5"/>
        <v>0.125</v>
      </c>
      <c r="I37" s="2">
        <f t="shared" si="5"/>
        <v>0.125</v>
      </c>
      <c r="J37" s="2">
        <f t="shared" si="5"/>
        <v>2.5000000000000001E-3</v>
      </c>
      <c r="K37" s="2">
        <f t="shared" si="5"/>
        <v>1.2500000000000001E-2</v>
      </c>
      <c r="L37" s="2">
        <f t="shared" si="5"/>
        <v>0.05</v>
      </c>
      <c r="M37" s="2">
        <f t="shared" si="5"/>
        <v>5.5E-2</v>
      </c>
      <c r="N37" s="2">
        <f t="shared" si="5"/>
        <v>0</v>
      </c>
      <c r="O37" s="2">
        <f t="shared" si="5"/>
        <v>0</v>
      </c>
      <c r="P37" s="2">
        <f t="shared" si="5"/>
        <v>140.25</v>
      </c>
      <c r="Q37" s="2">
        <f t="shared" si="10"/>
        <v>25.0625</v>
      </c>
      <c r="R37" s="2">
        <f t="shared" si="11"/>
        <v>0</v>
      </c>
      <c r="S37" s="2">
        <f t="shared" si="11"/>
        <v>1.2500000000000001E-2</v>
      </c>
      <c r="T37" s="2">
        <f t="shared" si="11"/>
        <v>0</v>
      </c>
      <c r="U37" s="2">
        <f t="shared" si="11"/>
        <v>0</v>
      </c>
      <c r="AB37" s="66"/>
      <c r="AC37" s="66"/>
      <c r="AD37" s="66"/>
      <c r="AE37" s="66"/>
      <c r="AF37" s="66"/>
      <c r="AG37" s="66"/>
      <c r="AH37" s="66"/>
      <c r="AI37" s="66"/>
    </row>
    <row r="38" spans="1:35" s="83" customFormat="1" x14ac:dyDescent="0.25">
      <c r="A38" s="21">
        <f>J8</f>
        <v>5</v>
      </c>
      <c r="B38" s="23">
        <v>250</v>
      </c>
      <c r="C38" s="2">
        <f t="shared" si="6"/>
        <v>75</v>
      </c>
      <c r="D38" s="2">
        <f t="shared" si="7"/>
        <v>62.429749999999999</v>
      </c>
      <c r="E38" s="2">
        <f t="shared" si="8"/>
        <v>14.068375000000001</v>
      </c>
      <c r="F38" s="2">
        <f t="shared" si="9"/>
        <v>4.1449999999999996</v>
      </c>
      <c r="G38" s="2">
        <f t="shared" si="5"/>
        <v>0.05</v>
      </c>
      <c r="H38" s="2">
        <f t="shared" si="5"/>
        <v>0.125</v>
      </c>
      <c r="I38" s="2">
        <f t="shared" si="5"/>
        <v>0.125</v>
      </c>
      <c r="J38" s="2">
        <f t="shared" si="5"/>
        <v>2.5000000000000001E-3</v>
      </c>
      <c r="K38" s="2">
        <f t="shared" si="5"/>
        <v>1.2500000000000001E-2</v>
      </c>
      <c r="L38" s="2">
        <f t="shared" si="5"/>
        <v>0.05</v>
      </c>
      <c r="M38" s="2">
        <f t="shared" si="5"/>
        <v>5.5E-2</v>
      </c>
      <c r="N38" s="2">
        <f t="shared" si="5"/>
        <v>0</v>
      </c>
      <c r="O38" s="2">
        <f t="shared" si="5"/>
        <v>0</v>
      </c>
      <c r="P38" s="2">
        <f t="shared" si="5"/>
        <v>140.25</v>
      </c>
      <c r="Q38" s="2">
        <f t="shared" si="10"/>
        <v>25.0625</v>
      </c>
      <c r="R38" s="2">
        <f t="shared" si="11"/>
        <v>0</v>
      </c>
      <c r="S38" s="2">
        <f t="shared" si="11"/>
        <v>1.2500000000000001E-2</v>
      </c>
      <c r="T38" s="2">
        <f t="shared" si="11"/>
        <v>0</v>
      </c>
      <c r="U38" s="2">
        <f t="shared" si="11"/>
        <v>0</v>
      </c>
      <c r="AB38" s="66"/>
      <c r="AC38" s="66"/>
      <c r="AD38" s="66"/>
      <c r="AE38" s="66"/>
      <c r="AF38" s="66"/>
      <c r="AG38" s="66"/>
      <c r="AH38" s="66"/>
      <c r="AI38" s="66"/>
    </row>
    <row r="39" spans="1:35" s="83" customFormat="1" x14ac:dyDescent="0.25">
      <c r="A39" s="21">
        <f>K8</f>
        <v>6</v>
      </c>
      <c r="B39" s="23">
        <v>250</v>
      </c>
      <c r="C39" s="2">
        <f t="shared" si="6"/>
        <v>75</v>
      </c>
      <c r="D39" s="2">
        <f t="shared" si="7"/>
        <v>62.429749999999999</v>
      </c>
      <c r="E39" s="2">
        <f t="shared" si="8"/>
        <v>14.068375000000001</v>
      </c>
      <c r="F39" s="2">
        <f t="shared" si="9"/>
        <v>4.1449999999999996</v>
      </c>
      <c r="G39" s="2">
        <f t="shared" si="5"/>
        <v>0.05</v>
      </c>
      <c r="H39" s="2">
        <f t="shared" si="5"/>
        <v>0.125</v>
      </c>
      <c r="I39" s="2">
        <f t="shared" si="5"/>
        <v>0.125</v>
      </c>
      <c r="J39" s="2">
        <f t="shared" si="5"/>
        <v>2.5000000000000001E-3</v>
      </c>
      <c r="K39" s="2">
        <f t="shared" si="5"/>
        <v>1.2500000000000001E-2</v>
      </c>
      <c r="L39" s="2">
        <f t="shared" si="5"/>
        <v>0.05</v>
      </c>
      <c r="M39" s="2">
        <f t="shared" si="5"/>
        <v>5.5E-2</v>
      </c>
      <c r="N39" s="2">
        <f t="shared" si="5"/>
        <v>0</v>
      </c>
      <c r="O39" s="2">
        <f t="shared" si="5"/>
        <v>0</v>
      </c>
      <c r="P39" s="2">
        <f t="shared" si="5"/>
        <v>140.25</v>
      </c>
      <c r="Q39" s="2">
        <f t="shared" si="10"/>
        <v>25.0625</v>
      </c>
      <c r="R39" s="2">
        <f t="shared" si="11"/>
        <v>0</v>
      </c>
      <c r="S39" s="2">
        <f t="shared" si="11"/>
        <v>1.2500000000000001E-2</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C1</v>
      </c>
      <c r="C57" s="16" t="str">
        <f t="shared" ref="C57:U57" si="13">D8</f>
        <v>C2</v>
      </c>
      <c r="D57" s="16" t="str">
        <f t="shared" si="13"/>
        <v>C3</v>
      </c>
      <c r="E57" s="16">
        <f t="shared" si="13"/>
        <v>1</v>
      </c>
      <c r="F57" s="16">
        <f t="shared" si="13"/>
        <v>2</v>
      </c>
      <c r="G57" s="16">
        <f t="shared" si="13"/>
        <v>3</v>
      </c>
      <c r="H57" s="16">
        <f t="shared" si="13"/>
        <v>4</v>
      </c>
      <c r="I57" s="16">
        <f t="shared" si="13"/>
        <v>5</v>
      </c>
      <c r="J57" s="16">
        <f t="shared" si="13"/>
        <v>6</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Arable</v>
      </c>
      <c r="H58" s="21" t="str">
        <f>I16&amp;" I "&amp;(VLOOKUP(I14,Table245[],6,FALSE))</f>
        <v>Medium/Clay I Grass</v>
      </c>
      <c r="I58" s="21" t="str">
        <f>J16&amp;" I "&amp;(VLOOKUP(J14,Table245[],6,FALSE))</f>
        <v>Medium/Clay I Grass</v>
      </c>
      <c r="J58" s="21" t="str">
        <f>K16&amp;" I "&amp;(VLOOKUP(K14,Table245[],6,FALSE))</f>
        <v>Medium/Clay I Grass</v>
      </c>
      <c r="K58" s="21" t="e">
        <f>L16&amp;" I "&amp;(VLOOKUP(L14,Table245[],6,FALSE))</f>
        <v>#N/A</v>
      </c>
      <c r="L58" s="21" t="e">
        <f>M16&amp;" I "&amp;(VLOOKUP(M14,Table245[],6,FALSE))</f>
        <v>#N/A</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6.7</v>
      </c>
      <c r="H59" s="93">
        <f>VLOOKUP(I$14,Table245[],5,FALSE)</f>
        <v>6.2</v>
      </c>
      <c r="I59" s="93">
        <f>VLOOKUP(J$14,Table245[],5,FALSE)</f>
        <v>6.2</v>
      </c>
      <c r="J59" s="93">
        <f>VLOOKUP(K$14,Table245[],5,FALSE)</f>
        <v>6.2</v>
      </c>
      <c r="K59" s="93" t="e">
        <f>VLOOKUP(L$14,Table245[],5,FALSE)</f>
        <v>#N/A</v>
      </c>
      <c r="L59" s="93" t="e">
        <f>VLOOKUP(M$14,Table245[],5,FALSE)</f>
        <v>#N/A</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5.3</v>
      </c>
      <c r="C60" s="93">
        <f t="shared" ref="C60:U60" si="14">D10</f>
        <v>5.2</v>
      </c>
      <c r="D60" s="93">
        <f t="shared" si="14"/>
        <v>5.7</v>
      </c>
      <c r="E60" s="93">
        <f t="shared" si="14"/>
        <v>5.5</v>
      </c>
      <c r="F60" s="93">
        <f t="shared" si="14"/>
        <v>5.6</v>
      </c>
      <c r="G60" s="93">
        <f t="shared" si="14"/>
        <v>5.3</v>
      </c>
      <c r="H60" s="93">
        <f t="shared" si="14"/>
        <v>5.7</v>
      </c>
      <c r="I60" s="93">
        <f t="shared" si="14"/>
        <v>5.5</v>
      </c>
      <c r="J60" s="93">
        <f t="shared" si="14"/>
        <v>5.9</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6</v>
      </c>
      <c r="I61" s="93">
        <f t="shared" si="15"/>
        <v>6</v>
      </c>
      <c r="J61" s="93">
        <f t="shared" si="15"/>
        <v>6</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5.4000000000000021</v>
      </c>
      <c r="C64" s="94">
        <f t="shared" ref="C64:U64" si="17">(C59-C60)*C61</f>
        <v>6</v>
      </c>
      <c r="D64" s="94">
        <f t="shared" si="17"/>
        <v>3</v>
      </c>
      <c r="E64" s="94">
        <f t="shared" si="17"/>
        <v>4.2000000000000011</v>
      </c>
      <c r="F64" s="94">
        <f t="shared" si="17"/>
        <v>3.6000000000000032</v>
      </c>
      <c r="G64" s="94">
        <f t="shared" si="17"/>
        <v>11.200000000000003</v>
      </c>
      <c r="H64" s="94">
        <f t="shared" si="17"/>
        <v>3</v>
      </c>
      <c r="I64" s="94">
        <f t="shared" si="17"/>
        <v>4.2000000000000011</v>
      </c>
      <c r="J64" s="94">
        <f t="shared" si="17"/>
        <v>1.7999999999999989</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55" priority="29" operator="equal">
      <formula>"DECREASE"</formula>
    </cfRule>
    <cfRule type="cellIs" dxfId="154" priority="30" operator="equal">
      <formula>"INCREASE"</formula>
    </cfRule>
  </conditionalFormatting>
  <conditionalFormatting sqref="B62:U65 B31:B50">
    <cfRule type="cellIs" dxfId="153" priority="28" operator="greaterThan">
      <formula>$B$51</formula>
    </cfRule>
  </conditionalFormatting>
  <conditionalFormatting sqref="C31:C50">
    <cfRule type="cellIs" dxfId="152" priority="27" operator="greaterThan">
      <formula>$C$51</formula>
    </cfRule>
  </conditionalFormatting>
  <conditionalFormatting sqref="C18:V18">
    <cfRule type="cellIs" dxfId="151" priority="26" operator="equal">
      <formula>0</formula>
    </cfRule>
  </conditionalFormatting>
  <conditionalFormatting sqref="C17:V17">
    <cfRule type="cellIs" dxfId="150" priority="25" operator="equal">
      <formula>0</formula>
    </cfRule>
  </conditionalFormatting>
  <conditionalFormatting sqref="C19:V19">
    <cfRule type="cellIs" dxfId="149" priority="24" operator="equal">
      <formula>0</formula>
    </cfRule>
  </conditionalFormatting>
  <conditionalFormatting sqref="G31:G50">
    <cfRule type="cellIs" dxfId="148" priority="23" operator="greaterThan">
      <formula>$G$51</formula>
    </cfRule>
  </conditionalFormatting>
  <conditionalFormatting sqref="H31:H50">
    <cfRule type="cellIs" dxfId="147" priority="22" operator="greaterThan">
      <formula>$H$51</formula>
    </cfRule>
  </conditionalFormatting>
  <conditionalFormatting sqref="I31:I50">
    <cfRule type="cellIs" dxfId="146" priority="21" operator="greaterThan">
      <formula>$I$51</formula>
    </cfRule>
  </conditionalFormatting>
  <conditionalFormatting sqref="K31:K50">
    <cfRule type="cellIs" dxfId="145" priority="20" operator="greaterThan">
      <formula>$K$51</formula>
    </cfRule>
  </conditionalFormatting>
  <conditionalFormatting sqref="L31:L50">
    <cfRule type="cellIs" dxfId="144" priority="19" operator="greaterThan">
      <formula>$L$51</formula>
    </cfRule>
  </conditionalFormatting>
  <conditionalFormatting sqref="M31:M50">
    <cfRule type="cellIs" dxfId="143" priority="18" operator="greaterThan">
      <formula>$M$51</formula>
    </cfRule>
  </conditionalFormatting>
  <conditionalFormatting sqref="P31:P50">
    <cfRule type="cellIs" dxfId="142" priority="17" operator="greaterThan">
      <formula>$P$51</formula>
    </cfRule>
  </conditionalFormatting>
  <conditionalFormatting sqref="R31:R50">
    <cfRule type="cellIs" dxfId="141" priority="16" operator="greaterThan">
      <formula>$R$51</formula>
    </cfRule>
  </conditionalFormatting>
  <conditionalFormatting sqref="S31:S50">
    <cfRule type="cellIs" dxfId="140" priority="15" operator="greaterThan">
      <formula>$S$51</formula>
    </cfRule>
  </conditionalFormatting>
  <conditionalFormatting sqref="T31:T50">
    <cfRule type="cellIs" dxfId="139" priority="14" operator="greaterThan">
      <formula>$T$51</formula>
    </cfRule>
  </conditionalFormatting>
  <conditionalFormatting sqref="U31:U50">
    <cfRule type="cellIs" dxfId="138" priority="13" operator="greaterThan">
      <formula>$U$51</formula>
    </cfRule>
  </conditionalFormatting>
  <conditionalFormatting sqref="C22:V22">
    <cfRule type="cellIs" dxfId="137" priority="12" operator="equal">
      <formula>0</formula>
    </cfRule>
  </conditionalFormatting>
  <conditionalFormatting sqref="C24:V24">
    <cfRule type="cellIs" dxfId="136" priority="10" operator="equal">
      <formula>"DECREASE"</formula>
    </cfRule>
    <cfRule type="cellIs" dxfId="135" priority="11" operator="equal">
      <formula>"INCREASE"</formula>
    </cfRule>
  </conditionalFormatting>
  <conditionalFormatting sqref="C23:V23">
    <cfRule type="cellIs" dxfId="134" priority="9" operator="equal">
      <formula>0</formula>
    </cfRule>
  </conditionalFormatting>
  <conditionalFormatting sqref="I1">
    <cfRule type="cellIs" dxfId="133" priority="8" operator="lessThan">
      <formula>5</formula>
    </cfRule>
  </conditionalFormatting>
  <conditionalFormatting sqref="C21:V21">
    <cfRule type="cellIs" dxfId="132" priority="5" operator="equal">
      <formula>0</formula>
    </cfRule>
  </conditionalFormatting>
  <conditionalFormatting sqref="B65:U65">
    <cfRule type="cellIs" dxfId="131" priority="3" operator="equal">
      <formula>"UNDER"</formula>
    </cfRule>
    <cfRule type="cellIs" dxfId="130" priority="4" operator="equal">
      <formula>"OVER"</formula>
    </cfRule>
  </conditionalFormatting>
  <conditionalFormatting sqref="I2">
    <cfRule type="cellIs" dxfId="129" priority="2" operator="greaterThan">
      <formula>5000.1</formula>
    </cfRule>
  </conditionalFormatting>
  <conditionalFormatting sqref="I3">
    <cfRule type="cellIs" dxfId="128" priority="1" operator="greaterThan">
      <formula>4.1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H18" sqref="H18"/>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0" t="s">
        <v>41</v>
      </c>
      <c r="B1" s="110"/>
      <c r="C1" s="126" t="str">
        <f>'Field data and Waste 1'!C1:D1</f>
        <v>PAN-010907</v>
      </c>
      <c r="D1" s="127"/>
      <c r="E1" s="37" t="s">
        <v>45</v>
      </c>
      <c r="F1" s="46">
        <f>'Field data and Waste 1'!F1</f>
        <v>50</v>
      </c>
      <c r="G1" s="122" t="s">
        <v>43</v>
      </c>
      <c r="H1" s="123"/>
      <c r="I1" s="35">
        <v>6.81</v>
      </c>
      <c r="AB1" s="26"/>
      <c r="AC1" s="26"/>
      <c r="AD1" s="43" t="s">
        <v>124</v>
      </c>
      <c r="AE1" s="25"/>
      <c r="AF1" s="25"/>
      <c r="AG1" s="26"/>
      <c r="AH1" s="26"/>
      <c r="AI1" s="47" t="s">
        <v>79</v>
      </c>
      <c r="AJ1" s="48" t="s">
        <v>91</v>
      </c>
      <c r="AK1" s="49" t="s">
        <v>92</v>
      </c>
      <c r="AL1" s="50" t="s">
        <v>123</v>
      </c>
      <c r="AM1" s="50" t="s">
        <v>129</v>
      </c>
      <c r="AN1" s="50" t="s">
        <v>109</v>
      </c>
    </row>
    <row r="2" spans="1:41" x14ac:dyDescent="0.2">
      <c r="A2" s="110" t="s">
        <v>84</v>
      </c>
      <c r="B2" s="110"/>
      <c r="C2" s="128" t="str">
        <f>'Field data and Waste 1'!C2:D2</f>
        <v>EPR-JB3533RJ</v>
      </c>
      <c r="D2" s="129"/>
      <c r="E2" s="37" t="s">
        <v>106</v>
      </c>
      <c r="F2" s="35" t="s">
        <v>164</v>
      </c>
      <c r="G2" s="124" t="s">
        <v>107</v>
      </c>
      <c r="H2" s="125"/>
      <c r="I2" s="35">
        <v>545</v>
      </c>
      <c r="AB2" s="43" t="s">
        <v>56</v>
      </c>
      <c r="AC2" s="25"/>
      <c r="AD2" s="43" t="s">
        <v>70</v>
      </c>
      <c r="AE2" s="25"/>
      <c r="AF2" s="25"/>
      <c r="AG2" s="51" t="s">
        <v>76</v>
      </c>
      <c r="AH2" s="26"/>
      <c r="AI2" s="52" t="s">
        <v>124</v>
      </c>
      <c r="AJ2" s="53">
        <v>0</v>
      </c>
      <c r="AK2" s="54">
        <v>0</v>
      </c>
      <c r="AL2" s="18">
        <v>0</v>
      </c>
      <c r="AM2" s="19">
        <v>0</v>
      </c>
      <c r="AN2" s="19">
        <v>0</v>
      </c>
    </row>
    <row r="3" spans="1:41" x14ac:dyDescent="0.2">
      <c r="A3" s="111" t="s">
        <v>42</v>
      </c>
      <c r="B3" s="112"/>
      <c r="C3" s="128" t="str">
        <f>'Field data and Waste 1'!C3:D3</f>
        <v>Simon Jones</v>
      </c>
      <c r="D3" s="129"/>
      <c r="E3" s="37" t="s">
        <v>105</v>
      </c>
      <c r="F3" s="45" t="s">
        <v>78</v>
      </c>
      <c r="G3" s="122" t="s">
        <v>108</v>
      </c>
      <c r="H3" s="123"/>
      <c r="I3" s="35">
        <v>0.374</v>
      </c>
      <c r="AB3" s="43" t="s">
        <v>57</v>
      </c>
      <c r="AC3" s="25"/>
      <c r="AD3" s="43" t="s">
        <v>71</v>
      </c>
      <c r="AE3" s="25"/>
      <c r="AF3" s="25"/>
      <c r="AG3" s="51" t="s">
        <v>77</v>
      </c>
      <c r="AH3" s="26"/>
      <c r="AI3" s="55" t="s">
        <v>111</v>
      </c>
      <c r="AJ3" s="56">
        <v>1.7</v>
      </c>
      <c r="AK3" s="57">
        <v>6</v>
      </c>
      <c r="AL3" s="58">
        <v>1</v>
      </c>
      <c r="AM3" s="19">
        <v>6.2</v>
      </c>
      <c r="AN3" s="19" t="s">
        <v>110</v>
      </c>
    </row>
    <row r="4" spans="1:41" x14ac:dyDescent="0.2">
      <c r="A4" s="110" t="s">
        <v>0</v>
      </c>
      <c r="B4" s="110"/>
      <c r="C4" s="126" t="str">
        <f>'Field data and Waste 1'!C4:D4</f>
        <v>Land at Carreglywd, Llandrygan, Llanerchymedd, Anglesey, LL65 4PA</v>
      </c>
      <c r="D4" s="127"/>
      <c r="E4" s="38" t="s">
        <v>1</v>
      </c>
      <c r="F4" s="35" t="s">
        <v>165</v>
      </c>
      <c r="G4" s="122"/>
      <c r="H4" s="123"/>
      <c r="I4" s="46"/>
      <c r="AB4" s="43" t="s">
        <v>52</v>
      </c>
      <c r="AC4" s="25"/>
      <c r="AD4" s="59" t="s">
        <v>72</v>
      </c>
      <c r="AE4" s="25"/>
      <c r="AF4" s="25"/>
      <c r="AG4" s="51" t="s">
        <v>78</v>
      </c>
      <c r="AH4" s="26"/>
      <c r="AI4" s="60" t="s">
        <v>122</v>
      </c>
      <c r="AJ4" s="61">
        <v>7</v>
      </c>
      <c r="AK4" s="62">
        <v>10.5</v>
      </c>
      <c r="AL4" s="19">
        <v>2</v>
      </c>
      <c r="AM4" s="19">
        <v>6.7</v>
      </c>
      <c r="AN4" s="19" t="s">
        <v>135</v>
      </c>
    </row>
    <row r="5" spans="1:41" x14ac:dyDescent="0.2">
      <c r="A5" s="110" t="s">
        <v>47</v>
      </c>
      <c r="B5" s="110"/>
      <c r="C5" s="126" t="str">
        <f>'Field data and Waste 1'!C5:D5</f>
        <v>Sion Sleep</v>
      </c>
      <c r="D5" s="127"/>
      <c r="E5" s="37"/>
      <c r="F5" s="46"/>
      <c r="G5" s="122"/>
      <c r="H5" s="123"/>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5" t="s">
        <v>63</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0" t="s">
        <v>2</v>
      </c>
      <c r="B8" s="110"/>
      <c r="C8" s="67" t="str">
        <f>'Field data and Waste 1'!C8</f>
        <v>C1</v>
      </c>
      <c r="D8" s="67" t="str">
        <f>'Field data and Waste 1'!D8</f>
        <v>C2</v>
      </c>
      <c r="E8" s="67" t="str">
        <f>'Field data and Waste 1'!E8</f>
        <v>C3</v>
      </c>
      <c r="F8" s="67">
        <f>'Field data and Waste 1'!F8</f>
        <v>1</v>
      </c>
      <c r="G8" s="67">
        <f>'Field data and Waste 1'!G8</f>
        <v>2</v>
      </c>
      <c r="H8" s="67">
        <f>'Field data and Waste 1'!H8</f>
        <v>3</v>
      </c>
      <c r="I8" s="67">
        <f>'Field data and Waste 1'!I8</f>
        <v>4</v>
      </c>
      <c r="J8" s="67">
        <f>'Field data and Waste 1'!J8</f>
        <v>5</v>
      </c>
      <c r="K8" s="67">
        <f>'Field data and Waste 1'!K8</f>
        <v>6</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0" t="s">
        <v>3</v>
      </c>
      <c r="B9" s="110"/>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1</v>
      </c>
      <c r="I9" s="67" t="str">
        <f>'Field data and Waste 1'!I9</f>
        <v>Moderate</v>
      </c>
      <c r="J9" s="67" t="str">
        <f>'Field data and Waste 1'!J9</f>
        <v>Moderate</v>
      </c>
      <c r="K9" s="67" t="str">
        <f>'Field data and Waste 1'!K9</f>
        <v>Moderate</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0" t="s">
        <v>4</v>
      </c>
      <c r="B10" s="110"/>
      <c r="C10" s="67">
        <f>'Field data and Waste 1'!C10</f>
        <v>5.3</v>
      </c>
      <c r="D10" s="67">
        <f>'Field data and Waste 1'!D10</f>
        <v>5.2</v>
      </c>
      <c r="E10" s="67">
        <f>'Field data and Waste 1'!E10</f>
        <v>5.7</v>
      </c>
      <c r="F10" s="67">
        <f>'Field data and Waste 1'!F10</f>
        <v>5.5</v>
      </c>
      <c r="G10" s="67">
        <f>'Field data and Waste 1'!G10</f>
        <v>5.6</v>
      </c>
      <c r="H10" s="67">
        <f>'Field data and Waste 1'!H10</f>
        <v>5.3</v>
      </c>
      <c r="I10" s="67">
        <f>'Field data and Waste 1'!I10</f>
        <v>5.7</v>
      </c>
      <c r="J10" s="67">
        <f>'Field data and Waste 1'!J10</f>
        <v>5.5</v>
      </c>
      <c r="K10" s="67">
        <f>'Field data and Waste 1'!K10</f>
        <v>5.9</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0" t="s">
        <v>5</v>
      </c>
      <c r="B11" s="110"/>
      <c r="C11" s="67">
        <f>'Field data and Waste 1'!C11</f>
        <v>1</v>
      </c>
      <c r="D11" s="67">
        <f>'Field data and Waste 1'!D11</f>
        <v>1</v>
      </c>
      <c r="E11" s="67">
        <f>'Field data and Waste 1'!E11</f>
        <v>1</v>
      </c>
      <c r="F11" s="67">
        <f>'Field data and Waste 1'!F11</f>
        <v>2</v>
      </c>
      <c r="G11" s="67">
        <f>'Field data and Waste 1'!G11</f>
        <v>2</v>
      </c>
      <c r="H11" s="67">
        <f>'Field data and Waste 1'!H11</f>
        <v>2</v>
      </c>
      <c r="I11" s="67">
        <f>'Field data and Waste 1'!I11</f>
        <v>2</v>
      </c>
      <c r="J11" s="67">
        <f>'Field data and Waste 1'!J11</f>
        <v>2</v>
      </c>
      <c r="K11" s="67">
        <f>'Field data and Waste 1'!K11</f>
        <v>2</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0" t="s">
        <v>6</v>
      </c>
      <c r="B12" s="110"/>
      <c r="C12" s="67">
        <f>'Field data and Waste 1'!C12</f>
        <v>2</v>
      </c>
      <c r="D12" s="67">
        <f>'Field data and Waste 1'!D12</f>
        <v>2</v>
      </c>
      <c r="E12" s="67">
        <f>'Field data and Waste 1'!E12</f>
        <v>3</v>
      </c>
      <c r="F12" s="67">
        <f>'Field data and Waste 1'!F12</f>
        <v>2</v>
      </c>
      <c r="G12" s="67">
        <f>'Field data and Waste 1'!G12</f>
        <v>2</v>
      </c>
      <c r="H12" s="67">
        <f>'Field data and Waste 1'!H12</f>
        <v>2</v>
      </c>
      <c r="I12" s="67">
        <f>'Field data and Waste 1'!I12</f>
        <v>2</v>
      </c>
      <c r="J12" s="67">
        <f>'Field data and Waste 1'!J12</f>
        <v>3</v>
      </c>
      <c r="K12" s="67">
        <f>'Field data and Waste 1'!K12</f>
        <v>1</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0" t="s">
        <v>7</v>
      </c>
      <c r="B13" s="110"/>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2</v>
      </c>
      <c r="J13" s="67">
        <f>'Field data and Waste 1'!J13</f>
        <v>3</v>
      </c>
      <c r="K13" s="67">
        <f>'Field data and Waste 1'!K13</f>
        <v>3</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4" t="s">
        <v>8</v>
      </c>
      <c r="B14" s="114"/>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Fodder beet (roots only)</v>
      </c>
      <c r="I14" s="73" t="str">
        <f>'Field data and Waste 1'!I14</f>
        <v xml:space="preserve">Grass Silage (25% DM) </v>
      </c>
      <c r="J14" s="73" t="str">
        <f>'Field data and Waste 1'!J14</f>
        <v xml:space="preserve">Grass Silage (25% DM) </v>
      </c>
      <c r="K14" s="73" t="str">
        <f>'Field data and Waste 1'!K14</f>
        <v xml:space="preserve">Grass Silage (25% DM) </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3" t="s">
        <v>9</v>
      </c>
      <c r="B15" s="113"/>
      <c r="C15" s="67">
        <f>'Field data and Waste 1'!C15</f>
        <v>54</v>
      </c>
      <c r="D15" s="67">
        <f>'Field data and Waste 1'!D15</f>
        <v>54</v>
      </c>
      <c r="E15" s="67">
        <f>'Field data and Waste 1'!E15</f>
        <v>54</v>
      </c>
      <c r="F15" s="67">
        <f>'Field data and Waste 1'!F15</f>
        <v>54</v>
      </c>
      <c r="G15" s="67">
        <f>'Field data and Waste 1'!G15</f>
        <v>54</v>
      </c>
      <c r="H15" s="67">
        <f>'Field data and Waste 1'!H15</f>
        <v>85</v>
      </c>
      <c r="I15" s="67">
        <f>'Field data and Waste 1'!I15</f>
        <v>54</v>
      </c>
      <c r="J15" s="67">
        <f>'Field data and Waste 1'!J15</f>
        <v>54</v>
      </c>
      <c r="K15" s="67">
        <f>'Field data and Waste 1'!K15</f>
        <v>54</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5" t="s">
        <v>44</v>
      </c>
      <c r="B16" s="115"/>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2" t="s">
        <v>69</v>
      </c>
      <c r="B17" s="103"/>
      <c r="C17" s="39">
        <f t="shared" ref="C17:V17" si="0">(VLOOKUP(C$14,$AI2:$AK24,2,FALSE))*C$15</f>
        <v>91.8</v>
      </c>
      <c r="D17" s="39">
        <f t="shared" si="0"/>
        <v>91.8</v>
      </c>
      <c r="E17" s="39">
        <f t="shared" si="0"/>
        <v>91.8</v>
      </c>
      <c r="F17" s="39">
        <f t="shared" si="0"/>
        <v>91.8</v>
      </c>
      <c r="G17" s="39">
        <f t="shared" si="0"/>
        <v>91.8</v>
      </c>
      <c r="H17" s="39">
        <f t="shared" si="0"/>
        <v>59.499999999999993</v>
      </c>
      <c r="I17" s="39">
        <f t="shared" si="0"/>
        <v>91.8</v>
      </c>
      <c r="J17" s="39">
        <f t="shared" si="0"/>
        <v>91.8</v>
      </c>
      <c r="K17" s="39">
        <f t="shared" si="0"/>
        <v>91.8</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4" t="s">
        <v>23</v>
      </c>
      <c r="B18" s="105"/>
      <c r="C18" s="24">
        <f>$D31</f>
        <v>229.1</v>
      </c>
      <c r="D18" s="24">
        <f>$D32</f>
        <v>229.1</v>
      </c>
      <c r="E18" s="24">
        <f>$D33</f>
        <v>229.1</v>
      </c>
      <c r="F18" s="24">
        <f>$D34</f>
        <v>91.64</v>
      </c>
      <c r="G18" s="24">
        <f>$D35</f>
        <v>91.64</v>
      </c>
      <c r="H18" s="24">
        <f>$D36</f>
        <v>59.565999999999995</v>
      </c>
      <c r="I18" s="24">
        <f>$D37</f>
        <v>91.64</v>
      </c>
      <c r="J18" s="24">
        <f>$D38</f>
        <v>91.64</v>
      </c>
      <c r="K18" s="24">
        <f>$D39</f>
        <v>91.64</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4" t="s">
        <v>87</v>
      </c>
      <c r="B19" s="105"/>
      <c r="C19" s="24">
        <f>C18-C17</f>
        <v>137.30000000000001</v>
      </c>
      <c r="D19" s="24">
        <f t="shared" ref="D19:V19" si="1">D18-D17</f>
        <v>137.30000000000001</v>
      </c>
      <c r="E19" s="24">
        <f t="shared" si="1"/>
        <v>137.30000000000001</v>
      </c>
      <c r="F19" s="24">
        <f t="shared" si="1"/>
        <v>-0.15999999999999659</v>
      </c>
      <c r="G19" s="24">
        <f t="shared" si="1"/>
        <v>-0.15999999999999659</v>
      </c>
      <c r="H19" s="24">
        <f t="shared" si="1"/>
        <v>6.6000000000002501E-2</v>
      </c>
      <c r="I19" s="24">
        <f t="shared" si="1"/>
        <v>-0.15999999999999659</v>
      </c>
      <c r="J19" s="24">
        <f t="shared" si="1"/>
        <v>-0.15999999999999659</v>
      </c>
      <c r="K19" s="24">
        <f t="shared" si="1"/>
        <v>-0.15999999999999659</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6" t="s">
        <v>88</v>
      </c>
      <c r="B20" s="107"/>
      <c r="C20" s="33" t="str">
        <f>IF($B31="","",IF(C$19&gt;=0,"INCREASE","DECREASE"))</f>
        <v>INCREASE</v>
      </c>
      <c r="D20" s="33" t="str">
        <f>IF($B32="","",IF(D$19&gt;=0,"INCREASE","DECREASE"))</f>
        <v>INCREASE</v>
      </c>
      <c r="E20" s="33" t="str">
        <f>IF($B33="","",IF(E$19&gt;=0,"INCREASE","DECREASE"))</f>
        <v>INCREASE</v>
      </c>
      <c r="F20" s="33" t="str">
        <f>IF($B34="","",IF(F$19&gt;=0,"INCREASE","DECREASE"))</f>
        <v>DECREASE</v>
      </c>
      <c r="G20" s="33" t="str">
        <f>IF($B35="","",IF(G$19&gt;=0,"INCREASE","DECREASE"))</f>
        <v>DECREASE</v>
      </c>
      <c r="H20" s="33" t="str">
        <f>IF($B36="","",IF(H$19&gt;=0,"INCREASE","DECREASE"))</f>
        <v>INCREASE</v>
      </c>
      <c r="I20" s="33" t="str">
        <f>IF($B37="","",IF(I$19&gt;=0,"INCREASE","DECREASE"))</f>
        <v>DECREASE</v>
      </c>
      <c r="J20" s="33" t="str">
        <f>IF($B38="","",IF(J$19&gt;=0,"INCREASE","DECREASE"))</f>
        <v>DECREASE</v>
      </c>
      <c r="K20" s="33" t="str">
        <f>IF($B39="","",IF(K$19&gt;=0,"INCREASE","DECREASE"))</f>
        <v>DECREASE</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2" t="s">
        <v>85</v>
      </c>
      <c r="B21" s="103"/>
      <c r="C21" s="39">
        <f t="shared" ref="C21:V21" si="2">(VLOOKUP(C$14,$AI2:$AK24,3,FALSE))*C$15</f>
        <v>324</v>
      </c>
      <c r="D21" s="39">
        <f t="shared" si="2"/>
        <v>324</v>
      </c>
      <c r="E21" s="39">
        <f t="shared" si="2"/>
        <v>324</v>
      </c>
      <c r="F21" s="39">
        <f t="shared" si="2"/>
        <v>324</v>
      </c>
      <c r="G21" s="39">
        <f t="shared" si="2"/>
        <v>324</v>
      </c>
      <c r="H21" s="39">
        <f t="shared" si="2"/>
        <v>340</v>
      </c>
      <c r="I21" s="39">
        <f t="shared" si="2"/>
        <v>324</v>
      </c>
      <c r="J21" s="39">
        <f t="shared" si="2"/>
        <v>324</v>
      </c>
      <c r="K21" s="39">
        <f t="shared" si="2"/>
        <v>324</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4" t="s">
        <v>86</v>
      </c>
      <c r="B22" s="105"/>
      <c r="C22" s="24">
        <f>$E31</f>
        <v>21.087500000000002</v>
      </c>
      <c r="D22" s="24">
        <f>$E32</f>
        <v>21.087500000000002</v>
      </c>
      <c r="E22" s="24">
        <f>$E33</f>
        <v>21.087500000000002</v>
      </c>
      <c r="F22" s="24">
        <f>$E34</f>
        <v>8.4350000000000023</v>
      </c>
      <c r="G22" s="24">
        <f>$E35</f>
        <v>8.4350000000000023</v>
      </c>
      <c r="H22" s="24">
        <f>$E36</f>
        <v>5.4827500000000011</v>
      </c>
      <c r="I22" s="24">
        <f>$E37</f>
        <v>8.4350000000000023</v>
      </c>
      <c r="J22" s="24">
        <f>$E38</f>
        <v>8.4350000000000023</v>
      </c>
      <c r="K22" s="24">
        <f>$E39</f>
        <v>8.4350000000000023</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4" t="s">
        <v>89</v>
      </c>
      <c r="B23" s="105"/>
      <c r="C23" s="24">
        <f>C22-C21</f>
        <v>-302.91250000000002</v>
      </c>
      <c r="D23" s="24">
        <f t="shared" ref="D23:V23" si="3">D22-D21</f>
        <v>-302.91250000000002</v>
      </c>
      <c r="E23" s="24">
        <f t="shared" si="3"/>
        <v>-302.91250000000002</v>
      </c>
      <c r="F23" s="24">
        <f t="shared" si="3"/>
        <v>-315.565</v>
      </c>
      <c r="G23" s="24">
        <f t="shared" si="3"/>
        <v>-315.565</v>
      </c>
      <c r="H23" s="24">
        <f t="shared" si="3"/>
        <v>-334.51724999999999</v>
      </c>
      <c r="I23" s="24">
        <f t="shared" si="3"/>
        <v>-315.565</v>
      </c>
      <c r="J23" s="24">
        <f t="shared" si="3"/>
        <v>-315.565</v>
      </c>
      <c r="K23" s="24">
        <f t="shared" si="3"/>
        <v>-315.565</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6" t="s">
        <v>90</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56</v>
      </c>
      <c r="E27" s="101" t="s">
        <v>56</v>
      </c>
      <c r="F27" s="101" t="s">
        <v>56</v>
      </c>
      <c r="G27" s="101" t="s">
        <v>54</v>
      </c>
      <c r="H27" s="101" t="s">
        <v>54</v>
      </c>
      <c r="I27" s="101" t="s">
        <v>54</v>
      </c>
      <c r="J27" s="101" t="s">
        <v>54</v>
      </c>
      <c r="K27" s="101" t="s">
        <v>54</v>
      </c>
      <c r="L27" s="101" t="s">
        <v>54</v>
      </c>
      <c r="M27" s="101" t="s">
        <v>54</v>
      </c>
      <c r="N27" s="101"/>
      <c r="O27" s="101"/>
      <c r="P27" s="101" t="s">
        <v>56</v>
      </c>
      <c r="Q27" s="101" t="s">
        <v>56</v>
      </c>
      <c r="R27" s="101"/>
      <c r="S27" s="101" t="s">
        <v>54</v>
      </c>
      <c r="T27" s="101"/>
      <c r="U27" s="101"/>
    </row>
    <row r="28" spans="1:40" s="64" customFormat="1" x14ac:dyDescent="0.25">
      <c r="A28" s="82"/>
      <c r="B28" s="31">
        <v>1.98</v>
      </c>
      <c r="C28" s="23">
        <v>0.1</v>
      </c>
      <c r="D28" s="23">
        <v>0.04</v>
      </c>
      <c r="E28" s="23">
        <v>7.0000000000000001E-3</v>
      </c>
      <c r="F28" s="23">
        <v>1E-3</v>
      </c>
      <c r="G28" s="23">
        <v>0.2</v>
      </c>
      <c r="H28" s="23">
        <v>0.5</v>
      </c>
      <c r="I28" s="23">
        <v>0.5</v>
      </c>
      <c r="J28" s="23">
        <v>0.01</v>
      </c>
      <c r="K28" s="30">
        <v>0.05</v>
      </c>
      <c r="L28" s="23">
        <v>0.2</v>
      </c>
      <c r="M28" s="23">
        <v>0.248</v>
      </c>
      <c r="N28" s="23"/>
      <c r="O28" s="23"/>
      <c r="P28" s="23">
        <v>0.08</v>
      </c>
      <c r="Q28" s="23">
        <v>8.0000000000000002E-3</v>
      </c>
      <c r="R28" s="23"/>
      <c r="S28" s="23">
        <v>0.5</v>
      </c>
      <c r="T28" s="23"/>
      <c r="U28" s="23"/>
    </row>
    <row r="29" spans="1:40" s="15" customFormat="1" ht="27" x14ac:dyDescent="0.25">
      <c r="A29" s="108"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09"/>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C1</v>
      </c>
      <c r="B31" s="23">
        <v>250</v>
      </c>
      <c r="C31" s="2">
        <f>IF(C$27="%w/w SAR",((C$28*10)*$B31),IF(C$27="%w/w DM",(((C$28*10)*($B$28/100))*$B31),IF(C$27="kg/t SAR",(C$28*$B31),IF(C$27="kg/t DM",((C$28*($B$28/100))*$B31),IF(C$27="mg/kg SAR",((C$28*0.001)*$B31),IF(C$27="mg/kg DM",(((C$28*0.001)*($B$28/100))*$B31),0))))))</f>
        <v>250</v>
      </c>
      <c r="D31" s="2">
        <f>(IF(D$27="%w/w SAR",((D$28*10)*$B31),IF(D$27="%w/w DM",(((D$28*10)*($B$28/100))*$B31),IF(D$27="kg/t SAR",(D$28*$B31),IF(D$27="kg/t DM",((D$28*($B$28/100))*$B31),IF(D$27="mg/kg SAR",((D$28*0.001)*$B31),IF(D$27="mg/kg DM",(((D$28*0.001)*($B$28/100))*$B31),"0")))))))*2.291</f>
        <v>229.1</v>
      </c>
      <c r="E31" s="2">
        <f>(IF(E$27="%w/w SAR",((E$28*10)*$B31),IF(E$27="%w/w DM",(((E$28*10)*($B$28/100))*$B31),IF(E$27="kg/t SAR",(E$28*$B31),IF(E$27="kg/t DM",((E$28*($B$28/100))*$B31),IF(E$27="mg/kg SAR",((E$28*0.001)*$B31),IF(E$27="mg/kg DM",(((E$28*0.001)*($B$28/100))*$B31),"0")))))))*1.205</f>
        <v>21.087500000000002</v>
      </c>
      <c r="F31" s="2">
        <f>(IF(F$27="%w/w SAR",((F$28*10)*$B31),IF(F$27="%w/w DM",(((F$28*10)*($B$28/100))*$B31),IF(F$27="kg/t SAR",(F$28*$B31),IF(F$27="kg/t DM",((F$28*($B$28/100))*$B31),IF(F$27="mg/kg SAR",((F$28*0.001)*$B31),IF(F$27="mg/kg DM",(((F$28*0.001)*($B$28/100))*$B31),"0")))))))*1.658</f>
        <v>4.1449999999999996</v>
      </c>
      <c r="G31" s="2">
        <f t="shared" ref="G31:P46" si="5">IF(G$27="%w/w SAR",((G$28*10)*$B31),IF(G$27="%w/w DM",(((G$28*10)*($B$28/100))*$B31),IF(G$27="kg/t SAR",(G$28*$B31),IF(G$27="kg/t DM",((G$28*($B$28/100))*$B31),IF(G$27="mg/kg SAR",((G$28*0.001)*$B31),IF(G$27="mg/kg DM",(((G$28*0.001)*($B$28/100))*$B31),0))))))</f>
        <v>0.05</v>
      </c>
      <c r="H31" s="2">
        <f t="shared" si="5"/>
        <v>0.125</v>
      </c>
      <c r="I31" s="2">
        <f t="shared" si="5"/>
        <v>0.125</v>
      </c>
      <c r="J31" s="2">
        <f t="shared" si="5"/>
        <v>2.5000000000000001E-3</v>
      </c>
      <c r="K31" s="2">
        <f t="shared" si="5"/>
        <v>1.2500000000000001E-2</v>
      </c>
      <c r="L31" s="2">
        <f t="shared" si="5"/>
        <v>0.05</v>
      </c>
      <c r="M31" s="2">
        <f t="shared" si="5"/>
        <v>6.2E-2</v>
      </c>
      <c r="N31" s="2">
        <f t="shared" si="5"/>
        <v>0</v>
      </c>
      <c r="O31" s="2">
        <f t="shared" si="5"/>
        <v>0</v>
      </c>
      <c r="P31" s="2">
        <f t="shared" si="5"/>
        <v>200</v>
      </c>
      <c r="Q31" s="2">
        <f>(IF(Q$27="%w/w SAR",((Q$28*10)*$B31),IF(Q$27="%w/w DM",(((Q$28*10)*($B$28/100))*$B31),IF(Q$27="kg/t SAR",(Q$28*$B31),IF(Q$27="kg/t DM",((Q$28*($B$28/100))*$B31),IF(Q$27="mg/kg SAR",((Q$28*0.001)*$B31),IF(Q$27="mg/kg DM",(((Q$28*0.001)*($B$28/100))*$B31),0)))))))*2.5</f>
        <v>50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0.125</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C2</v>
      </c>
      <c r="B32" s="23">
        <v>250</v>
      </c>
      <c r="C32" s="2">
        <f t="shared" ref="C32:C50" si="6">IF(C$27="%w/w SAR",((C$28*10)*$B32),IF(C$27="%w/w DM",(((C$28*10)*($B$28/100))*$B32),IF(C$27="kg/t SAR",(C$28*$B32),IF(C$27="kg/t DM",((C$28*($B$28/100))*$B32),IF(C$27="mg/kg SAR",((C$28*0.001)*$B32),IF(C$27="mg/kg DM",(((C$28*0.001)*($B$28/100))*$B32),0))))))</f>
        <v>250</v>
      </c>
      <c r="D32" s="2">
        <f t="shared" ref="D32:D50" si="7">(IF(D$27="%w/w SAR",((D$28*10)*$B32),IF(D$27="%w/w DM",(((D$28*10)*($B$28/100))*$B32),IF(D$27="kg/t SAR",(D$28*$B32),IF(D$27="kg/t DM",((D$28*($B$28/100))*$B32),IF(D$27="mg/kg SAR",((D$28*0.001)*$B32),IF(D$27="mg/kg DM",(((D$28*0.001)*($B$28/100))*$B32),"0")))))))*2.291</f>
        <v>229.1</v>
      </c>
      <c r="E32" s="2">
        <f t="shared" ref="E32:E50" si="8">(IF(E$27="%w/w SAR",((E$28*10)*$B32),IF(E$27="%w/w DM",(((E$28*10)*($B$28/100))*$B32),IF(E$27="kg/t SAR",(E$28*$B32),IF(E$27="kg/t DM",((E$28*($B$28/100))*$B32),IF(E$27="mg/kg SAR",((E$28*0.001)*$B32),IF(E$27="mg/kg DM",(((E$28*0.001)*($B$28/100))*$B32),"0")))))))*1.205</f>
        <v>21.087500000000002</v>
      </c>
      <c r="F32" s="2">
        <f t="shared" ref="F32:F50" si="9">(IF(F$27="%w/w SAR",((F$28*10)*$B32),IF(F$27="%w/w DM",(((F$28*10)*($B$28/100))*$B32),IF(F$27="kg/t SAR",(F$28*$B32),IF(F$27="kg/t DM",((F$28*($B$28/100))*$B32),IF(F$27="mg/kg SAR",((F$28*0.001)*$B32),IF(F$27="mg/kg DM",(((F$28*0.001)*($B$28/100))*$B32),"0")))))))*1.658</f>
        <v>4.1449999999999996</v>
      </c>
      <c r="G32" s="2">
        <f t="shared" si="5"/>
        <v>0.05</v>
      </c>
      <c r="H32" s="2">
        <f t="shared" si="5"/>
        <v>0.125</v>
      </c>
      <c r="I32" s="2">
        <f t="shared" si="5"/>
        <v>0.125</v>
      </c>
      <c r="J32" s="2">
        <f t="shared" si="5"/>
        <v>2.5000000000000001E-3</v>
      </c>
      <c r="K32" s="2">
        <f t="shared" si="5"/>
        <v>1.2500000000000001E-2</v>
      </c>
      <c r="L32" s="2">
        <f t="shared" si="5"/>
        <v>0.05</v>
      </c>
      <c r="M32" s="2">
        <f t="shared" si="5"/>
        <v>6.2E-2</v>
      </c>
      <c r="N32" s="2">
        <f t="shared" si="5"/>
        <v>0</v>
      </c>
      <c r="O32" s="2">
        <f t="shared" si="5"/>
        <v>0</v>
      </c>
      <c r="P32" s="2">
        <f t="shared" si="5"/>
        <v>200</v>
      </c>
      <c r="Q32" s="2">
        <f t="shared" ref="Q32:Q50" si="10">(IF(Q$27="%w/w SAR",((Q$28*10)*$B32),IF(Q$27="%w/w DM",(((Q$28*10)*($B$28/100))*$B32),IF(Q$27="kg/t SAR",(Q$28*$B32),IF(Q$27="kg/t DM",((Q$28*($B$28/100))*$B32),IF(Q$27="mg/kg SAR",((Q$28*0.001)*$B32),IF(Q$27="mg/kg DM",(((Q$28*0.001)*($B$28/100))*$B32),0)))))))*2.5</f>
        <v>50</v>
      </c>
      <c r="R32" s="2">
        <f t="shared" ref="R32:S50" si="11">IF(R$27="%w/w SAR",((R$28*10)*$B32),IF(R$27="%w/w DM",(((R$28*10)*($B$28/100))*$B32),IF(R$27="kg/t SAR",(R$28*$B32),IF(R$27="kg/t DM",((R$28*($B$28/100))*$B32),IF(R$27="mg/kg SAR",((R$28*0.001)*$B32),IF(R$27="mg/kg DM",(((R$28*0.001)*($B$28/100))*$B32),0))))))</f>
        <v>0</v>
      </c>
      <c r="S32" s="2">
        <f t="shared" si="11"/>
        <v>0.125</v>
      </c>
      <c r="T32" s="2">
        <f t="shared" ref="T32:U50" si="12">IF(T$27="%w/w SAR",((T$28*10)*$B32),IF(T$27="%w/w DM",(((T$28*10)*($B$28/100))*$B32),IF(T$27="kg/t SAR",(T$28*$B32),IF(T$27="kg/t DM",((T$28*($B$28/100))*$B32),IF(T$27="mg/kg SAR",((T$28*0.001)*$B32),IF(T$27="mg/kg DM",(((T$28*0.001)*($B$28/100))*$B32),0))))))</f>
        <v>0</v>
      </c>
      <c r="U32" s="2">
        <f t="shared" si="12"/>
        <v>0</v>
      </c>
      <c r="AB32" s="66"/>
      <c r="AC32" s="66"/>
      <c r="AD32" s="66"/>
      <c r="AE32" s="66"/>
      <c r="AF32" s="66"/>
      <c r="AG32" s="66"/>
      <c r="AH32" s="66"/>
      <c r="AI32" s="66"/>
    </row>
    <row r="33" spans="1:35" s="83" customFormat="1" x14ac:dyDescent="0.25">
      <c r="A33" s="21" t="str">
        <f>E8</f>
        <v>C3</v>
      </c>
      <c r="B33" s="23">
        <v>250</v>
      </c>
      <c r="C33" s="2">
        <f t="shared" si="6"/>
        <v>250</v>
      </c>
      <c r="D33" s="2">
        <f t="shared" si="7"/>
        <v>229.1</v>
      </c>
      <c r="E33" s="2">
        <f t="shared" si="8"/>
        <v>21.087500000000002</v>
      </c>
      <c r="F33" s="2">
        <f t="shared" si="9"/>
        <v>4.1449999999999996</v>
      </c>
      <c r="G33" s="2">
        <f t="shared" si="5"/>
        <v>0.05</v>
      </c>
      <c r="H33" s="2">
        <f t="shared" si="5"/>
        <v>0.125</v>
      </c>
      <c r="I33" s="2">
        <f t="shared" si="5"/>
        <v>0.125</v>
      </c>
      <c r="J33" s="2">
        <f t="shared" si="5"/>
        <v>2.5000000000000001E-3</v>
      </c>
      <c r="K33" s="2">
        <f t="shared" si="5"/>
        <v>1.2500000000000001E-2</v>
      </c>
      <c r="L33" s="2">
        <f t="shared" si="5"/>
        <v>0.05</v>
      </c>
      <c r="M33" s="2">
        <f t="shared" si="5"/>
        <v>6.2E-2</v>
      </c>
      <c r="N33" s="2">
        <f t="shared" si="5"/>
        <v>0</v>
      </c>
      <c r="O33" s="2">
        <f t="shared" si="5"/>
        <v>0</v>
      </c>
      <c r="P33" s="2">
        <f t="shared" si="5"/>
        <v>200</v>
      </c>
      <c r="Q33" s="2">
        <f t="shared" si="10"/>
        <v>50</v>
      </c>
      <c r="R33" s="2">
        <f t="shared" si="11"/>
        <v>0</v>
      </c>
      <c r="S33" s="2">
        <f t="shared" si="11"/>
        <v>0.125</v>
      </c>
      <c r="T33" s="2">
        <f t="shared" si="12"/>
        <v>0</v>
      </c>
      <c r="U33" s="2">
        <f t="shared" si="12"/>
        <v>0</v>
      </c>
      <c r="AB33" s="66"/>
      <c r="AC33" s="66"/>
      <c r="AD33" s="66"/>
      <c r="AE33" s="66"/>
      <c r="AF33" s="66"/>
      <c r="AG33" s="66"/>
      <c r="AH33" s="66"/>
      <c r="AI33" s="66"/>
    </row>
    <row r="34" spans="1:35" s="83" customFormat="1" x14ac:dyDescent="0.25">
      <c r="A34" s="21">
        <f>F8</f>
        <v>1</v>
      </c>
      <c r="B34" s="23">
        <v>100</v>
      </c>
      <c r="C34" s="2">
        <f t="shared" si="6"/>
        <v>100</v>
      </c>
      <c r="D34" s="2">
        <f t="shared" si="7"/>
        <v>91.64</v>
      </c>
      <c r="E34" s="2">
        <f t="shared" si="8"/>
        <v>8.4350000000000023</v>
      </c>
      <c r="F34" s="2">
        <f t="shared" si="9"/>
        <v>1.6579999999999999</v>
      </c>
      <c r="G34" s="2">
        <f t="shared" si="5"/>
        <v>0.02</v>
      </c>
      <c r="H34" s="2">
        <f t="shared" si="5"/>
        <v>0.05</v>
      </c>
      <c r="I34" s="2">
        <f t="shared" si="5"/>
        <v>0.05</v>
      </c>
      <c r="J34" s="2">
        <f t="shared" si="5"/>
        <v>1E-3</v>
      </c>
      <c r="K34" s="2">
        <f t="shared" si="5"/>
        <v>5.0000000000000001E-3</v>
      </c>
      <c r="L34" s="2">
        <f t="shared" si="5"/>
        <v>0.02</v>
      </c>
      <c r="M34" s="2">
        <f t="shared" si="5"/>
        <v>2.4800000000000003E-2</v>
      </c>
      <c r="N34" s="2">
        <f t="shared" si="5"/>
        <v>0</v>
      </c>
      <c r="O34" s="2">
        <f t="shared" si="5"/>
        <v>0</v>
      </c>
      <c r="P34" s="2">
        <f t="shared" si="5"/>
        <v>80</v>
      </c>
      <c r="Q34" s="2">
        <f t="shared" si="10"/>
        <v>20</v>
      </c>
      <c r="R34" s="2">
        <f t="shared" si="11"/>
        <v>0</v>
      </c>
      <c r="S34" s="2">
        <f t="shared" si="11"/>
        <v>0.05</v>
      </c>
      <c r="T34" s="2">
        <f t="shared" si="12"/>
        <v>0</v>
      </c>
      <c r="U34" s="2">
        <f t="shared" si="12"/>
        <v>0</v>
      </c>
      <c r="AB34" s="66"/>
      <c r="AC34" s="66"/>
      <c r="AD34" s="66"/>
      <c r="AE34" s="66"/>
      <c r="AF34" s="66"/>
      <c r="AG34" s="66"/>
      <c r="AH34" s="66"/>
      <c r="AI34" s="66"/>
    </row>
    <row r="35" spans="1:35" s="83" customFormat="1" x14ac:dyDescent="0.25">
      <c r="A35" s="21">
        <f>G8</f>
        <v>2</v>
      </c>
      <c r="B35" s="23">
        <v>100</v>
      </c>
      <c r="C35" s="2">
        <f t="shared" si="6"/>
        <v>100</v>
      </c>
      <c r="D35" s="2">
        <f t="shared" si="7"/>
        <v>91.64</v>
      </c>
      <c r="E35" s="2">
        <f t="shared" si="8"/>
        <v>8.4350000000000023</v>
      </c>
      <c r="F35" s="2">
        <f t="shared" si="9"/>
        <v>1.6579999999999999</v>
      </c>
      <c r="G35" s="2">
        <f t="shared" si="5"/>
        <v>0.02</v>
      </c>
      <c r="H35" s="2">
        <f t="shared" si="5"/>
        <v>0.05</v>
      </c>
      <c r="I35" s="2">
        <f t="shared" si="5"/>
        <v>0.05</v>
      </c>
      <c r="J35" s="2">
        <f t="shared" si="5"/>
        <v>1E-3</v>
      </c>
      <c r="K35" s="2">
        <f t="shared" si="5"/>
        <v>5.0000000000000001E-3</v>
      </c>
      <c r="L35" s="2">
        <f t="shared" si="5"/>
        <v>0.02</v>
      </c>
      <c r="M35" s="2">
        <f t="shared" si="5"/>
        <v>2.4800000000000003E-2</v>
      </c>
      <c r="N35" s="2">
        <f t="shared" si="5"/>
        <v>0</v>
      </c>
      <c r="O35" s="2">
        <f t="shared" si="5"/>
        <v>0</v>
      </c>
      <c r="P35" s="2">
        <f t="shared" si="5"/>
        <v>80</v>
      </c>
      <c r="Q35" s="2">
        <f t="shared" si="10"/>
        <v>20</v>
      </c>
      <c r="R35" s="2">
        <f t="shared" si="11"/>
        <v>0</v>
      </c>
      <c r="S35" s="2">
        <f t="shared" si="11"/>
        <v>0.05</v>
      </c>
      <c r="T35" s="2">
        <f t="shared" si="12"/>
        <v>0</v>
      </c>
      <c r="U35" s="2">
        <f t="shared" si="12"/>
        <v>0</v>
      </c>
      <c r="AB35" s="66"/>
      <c r="AC35" s="66"/>
      <c r="AD35" s="66"/>
      <c r="AE35" s="66"/>
      <c r="AF35" s="66"/>
      <c r="AG35" s="66"/>
      <c r="AH35" s="66"/>
      <c r="AI35" s="66"/>
    </row>
    <row r="36" spans="1:35" s="83" customFormat="1" x14ac:dyDescent="0.25">
      <c r="A36" s="21">
        <f>H8</f>
        <v>3</v>
      </c>
      <c r="B36" s="23">
        <v>65</v>
      </c>
      <c r="C36" s="2">
        <f t="shared" si="6"/>
        <v>65</v>
      </c>
      <c r="D36" s="2">
        <f t="shared" si="7"/>
        <v>59.565999999999995</v>
      </c>
      <c r="E36" s="2">
        <f t="shared" si="8"/>
        <v>5.4827500000000011</v>
      </c>
      <c r="F36" s="2">
        <f t="shared" si="9"/>
        <v>1.0776999999999999</v>
      </c>
      <c r="G36" s="2">
        <f t="shared" si="5"/>
        <v>1.3000000000000001E-2</v>
      </c>
      <c r="H36" s="2">
        <f t="shared" si="5"/>
        <v>3.2500000000000001E-2</v>
      </c>
      <c r="I36" s="2">
        <f t="shared" si="5"/>
        <v>3.2500000000000001E-2</v>
      </c>
      <c r="J36" s="2">
        <f t="shared" si="5"/>
        <v>6.5000000000000008E-4</v>
      </c>
      <c r="K36" s="2">
        <f t="shared" si="5"/>
        <v>3.2500000000000003E-3</v>
      </c>
      <c r="L36" s="2">
        <f t="shared" si="5"/>
        <v>1.3000000000000001E-2</v>
      </c>
      <c r="M36" s="2">
        <f t="shared" si="5"/>
        <v>1.6120000000000002E-2</v>
      </c>
      <c r="N36" s="2">
        <f t="shared" si="5"/>
        <v>0</v>
      </c>
      <c r="O36" s="2">
        <f t="shared" si="5"/>
        <v>0</v>
      </c>
      <c r="P36" s="2">
        <f t="shared" si="5"/>
        <v>52</v>
      </c>
      <c r="Q36" s="2">
        <f t="shared" si="10"/>
        <v>13</v>
      </c>
      <c r="R36" s="2">
        <f t="shared" si="11"/>
        <v>0</v>
      </c>
      <c r="S36" s="2">
        <f t="shared" si="11"/>
        <v>3.2500000000000001E-2</v>
      </c>
      <c r="T36" s="2">
        <f t="shared" si="12"/>
        <v>0</v>
      </c>
      <c r="U36" s="2">
        <f t="shared" si="12"/>
        <v>0</v>
      </c>
      <c r="AB36" s="66"/>
      <c r="AC36" s="66"/>
      <c r="AD36" s="66"/>
      <c r="AE36" s="66"/>
      <c r="AF36" s="66"/>
      <c r="AG36" s="66"/>
      <c r="AH36" s="66"/>
      <c r="AI36" s="66"/>
    </row>
    <row r="37" spans="1:35" s="83" customFormat="1" x14ac:dyDescent="0.25">
      <c r="A37" s="21">
        <f>I8</f>
        <v>4</v>
      </c>
      <c r="B37" s="23">
        <v>100</v>
      </c>
      <c r="C37" s="2">
        <f t="shared" si="6"/>
        <v>100</v>
      </c>
      <c r="D37" s="2">
        <f t="shared" si="7"/>
        <v>91.64</v>
      </c>
      <c r="E37" s="2">
        <f t="shared" si="8"/>
        <v>8.4350000000000023</v>
      </c>
      <c r="F37" s="2">
        <f t="shared" si="9"/>
        <v>1.6579999999999999</v>
      </c>
      <c r="G37" s="2">
        <f t="shared" si="5"/>
        <v>0.02</v>
      </c>
      <c r="H37" s="2">
        <f t="shared" si="5"/>
        <v>0.05</v>
      </c>
      <c r="I37" s="2">
        <f t="shared" si="5"/>
        <v>0.05</v>
      </c>
      <c r="J37" s="2">
        <f t="shared" si="5"/>
        <v>1E-3</v>
      </c>
      <c r="K37" s="2">
        <f t="shared" si="5"/>
        <v>5.0000000000000001E-3</v>
      </c>
      <c r="L37" s="2">
        <f t="shared" si="5"/>
        <v>0.02</v>
      </c>
      <c r="M37" s="2">
        <f t="shared" si="5"/>
        <v>2.4800000000000003E-2</v>
      </c>
      <c r="N37" s="2">
        <f t="shared" si="5"/>
        <v>0</v>
      </c>
      <c r="O37" s="2">
        <f t="shared" si="5"/>
        <v>0</v>
      </c>
      <c r="P37" s="2">
        <f t="shared" si="5"/>
        <v>80</v>
      </c>
      <c r="Q37" s="2">
        <f t="shared" si="10"/>
        <v>20</v>
      </c>
      <c r="R37" s="2">
        <f t="shared" si="11"/>
        <v>0</v>
      </c>
      <c r="S37" s="2">
        <f t="shared" si="11"/>
        <v>0.05</v>
      </c>
      <c r="T37" s="2">
        <f t="shared" si="12"/>
        <v>0</v>
      </c>
      <c r="U37" s="2">
        <f t="shared" si="12"/>
        <v>0</v>
      </c>
      <c r="AB37" s="66"/>
      <c r="AC37" s="66"/>
      <c r="AD37" s="66"/>
      <c r="AE37" s="66"/>
      <c r="AF37" s="66"/>
      <c r="AG37" s="66"/>
      <c r="AH37" s="66"/>
      <c r="AI37" s="66"/>
    </row>
    <row r="38" spans="1:35" s="83" customFormat="1" x14ac:dyDescent="0.25">
      <c r="A38" s="21">
        <f>J8</f>
        <v>5</v>
      </c>
      <c r="B38" s="23">
        <v>100</v>
      </c>
      <c r="C38" s="2">
        <f t="shared" si="6"/>
        <v>100</v>
      </c>
      <c r="D38" s="2">
        <f t="shared" si="7"/>
        <v>91.64</v>
      </c>
      <c r="E38" s="2">
        <f t="shared" si="8"/>
        <v>8.4350000000000023</v>
      </c>
      <c r="F38" s="2">
        <f t="shared" si="9"/>
        <v>1.6579999999999999</v>
      </c>
      <c r="G38" s="2">
        <f t="shared" si="5"/>
        <v>0.02</v>
      </c>
      <c r="H38" s="2">
        <f t="shared" si="5"/>
        <v>0.05</v>
      </c>
      <c r="I38" s="2">
        <f t="shared" si="5"/>
        <v>0.05</v>
      </c>
      <c r="J38" s="2">
        <f t="shared" si="5"/>
        <v>1E-3</v>
      </c>
      <c r="K38" s="2">
        <f t="shared" si="5"/>
        <v>5.0000000000000001E-3</v>
      </c>
      <c r="L38" s="2">
        <f t="shared" si="5"/>
        <v>0.02</v>
      </c>
      <c r="M38" s="2">
        <f t="shared" si="5"/>
        <v>2.4800000000000003E-2</v>
      </c>
      <c r="N38" s="2">
        <f t="shared" si="5"/>
        <v>0</v>
      </c>
      <c r="O38" s="2">
        <f t="shared" si="5"/>
        <v>0</v>
      </c>
      <c r="P38" s="2">
        <f t="shared" si="5"/>
        <v>80</v>
      </c>
      <c r="Q38" s="2">
        <f t="shared" si="10"/>
        <v>20</v>
      </c>
      <c r="R38" s="2">
        <f t="shared" si="11"/>
        <v>0</v>
      </c>
      <c r="S38" s="2">
        <f t="shared" si="11"/>
        <v>0.05</v>
      </c>
      <c r="T38" s="2">
        <f t="shared" si="12"/>
        <v>0</v>
      </c>
      <c r="U38" s="2">
        <f t="shared" si="12"/>
        <v>0</v>
      </c>
      <c r="AB38" s="66"/>
      <c r="AC38" s="66"/>
      <c r="AD38" s="66"/>
      <c r="AE38" s="66"/>
      <c r="AF38" s="66"/>
      <c r="AG38" s="66"/>
      <c r="AH38" s="66"/>
      <c r="AI38" s="66"/>
    </row>
    <row r="39" spans="1:35" s="83" customFormat="1" x14ac:dyDescent="0.25">
      <c r="A39" s="21">
        <f>K8</f>
        <v>6</v>
      </c>
      <c r="B39" s="23">
        <v>100</v>
      </c>
      <c r="C39" s="2">
        <f t="shared" si="6"/>
        <v>100</v>
      </c>
      <c r="D39" s="2">
        <f t="shared" si="7"/>
        <v>91.64</v>
      </c>
      <c r="E39" s="2">
        <f t="shared" si="8"/>
        <v>8.4350000000000023</v>
      </c>
      <c r="F39" s="2">
        <f t="shared" si="9"/>
        <v>1.6579999999999999</v>
      </c>
      <c r="G39" s="2">
        <f t="shared" si="5"/>
        <v>0.02</v>
      </c>
      <c r="H39" s="2">
        <f t="shared" si="5"/>
        <v>0.05</v>
      </c>
      <c r="I39" s="2">
        <f t="shared" si="5"/>
        <v>0.05</v>
      </c>
      <c r="J39" s="2">
        <f t="shared" si="5"/>
        <v>1E-3</v>
      </c>
      <c r="K39" s="2">
        <f t="shared" si="5"/>
        <v>5.0000000000000001E-3</v>
      </c>
      <c r="L39" s="2">
        <f t="shared" si="5"/>
        <v>0.02</v>
      </c>
      <c r="M39" s="2">
        <f t="shared" si="5"/>
        <v>2.4800000000000003E-2</v>
      </c>
      <c r="N39" s="2">
        <f t="shared" si="5"/>
        <v>0</v>
      </c>
      <c r="O39" s="2">
        <f t="shared" si="5"/>
        <v>0</v>
      </c>
      <c r="P39" s="2">
        <f t="shared" si="5"/>
        <v>80</v>
      </c>
      <c r="Q39" s="2">
        <f t="shared" si="10"/>
        <v>20</v>
      </c>
      <c r="R39" s="2">
        <f t="shared" si="11"/>
        <v>0</v>
      </c>
      <c r="S39" s="2">
        <f t="shared" si="11"/>
        <v>0.05</v>
      </c>
      <c r="T39" s="2">
        <f t="shared" si="12"/>
        <v>0</v>
      </c>
      <c r="U39" s="2">
        <f t="shared" si="12"/>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2"/>
        <v>0</v>
      </c>
      <c r="U40" s="2">
        <f t="shared" si="12"/>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3">IF(G$27="%w/w SAR",((G$28*10)*$B47),IF(G$27="%w/w DM",(((G$28*10)*($B$28/100))*$B47),IF(G$27="kg/t SAR",(G$28*$B47),IF(G$27="kg/t DM",((G$28*($B$28/100))*$B47),IF(G$27="mg/kg SAR",((G$28*0.001)*$B47),IF(G$27="mg/kg DM",(((G$28*0.001)*($B$28/100))*$B47),0))))))</f>
        <v>0</v>
      </c>
      <c r="H47" s="2">
        <f t="shared" si="13"/>
        <v>0</v>
      </c>
      <c r="I47" s="2">
        <f t="shared" si="13"/>
        <v>0</v>
      </c>
      <c r="J47" s="2">
        <f t="shared" si="13"/>
        <v>0</v>
      </c>
      <c r="K47" s="2">
        <f t="shared" si="13"/>
        <v>0</v>
      </c>
      <c r="L47" s="2">
        <f t="shared" si="13"/>
        <v>0</v>
      </c>
      <c r="M47" s="2">
        <f t="shared" si="13"/>
        <v>0</v>
      </c>
      <c r="N47" s="2">
        <f t="shared" si="13"/>
        <v>0</v>
      </c>
      <c r="O47" s="2">
        <f t="shared" si="13"/>
        <v>0</v>
      </c>
      <c r="P47" s="2">
        <f t="shared" si="13"/>
        <v>0</v>
      </c>
      <c r="Q47" s="2">
        <f t="shared" si="10"/>
        <v>0</v>
      </c>
      <c r="R47" s="2">
        <f t="shared" si="11"/>
        <v>0</v>
      </c>
      <c r="S47" s="2">
        <f t="shared" si="11"/>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3"/>
        <v>0</v>
      </c>
      <c r="H48" s="2">
        <f t="shared" si="13"/>
        <v>0</v>
      </c>
      <c r="I48" s="2">
        <f t="shared" si="13"/>
        <v>0</v>
      </c>
      <c r="J48" s="2">
        <f t="shared" si="13"/>
        <v>0</v>
      </c>
      <c r="K48" s="2">
        <f t="shared" si="13"/>
        <v>0</v>
      </c>
      <c r="L48" s="2">
        <f t="shared" si="13"/>
        <v>0</v>
      </c>
      <c r="M48" s="2">
        <f t="shared" si="13"/>
        <v>0</v>
      </c>
      <c r="N48" s="2">
        <f t="shared" si="13"/>
        <v>0</v>
      </c>
      <c r="O48" s="2">
        <f t="shared" si="13"/>
        <v>0</v>
      </c>
      <c r="P48" s="2">
        <f t="shared" si="13"/>
        <v>0</v>
      </c>
      <c r="Q48" s="2">
        <f t="shared" si="10"/>
        <v>0</v>
      </c>
      <c r="R48" s="2">
        <f t="shared" si="11"/>
        <v>0</v>
      </c>
      <c r="S48" s="2">
        <f t="shared" si="11"/>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3"/>
        <v>0</v>
      </c>
      <c r="H49" s="2">
        <f t="shared" si="13"/>
        <v>0</v>
      </c>
      <c r="I49" s="2">
        <f t="shared" si="13"/>
        <v>0</v>
      </c>
      <c r="J49" s="2">
        <f t="shared" si="13"/>
        <v>0</v>
      </c>
      <c r="K49" s="2">
        <f t="shared" si="13"/>
        <v>0</v>
      </c>
      <c r="L49" s="2">
        <f t="shared" si="13"/>
        <v>0</v>
      </c>
      <c r="M49" s="2">
        <f t="shared" si="13"/>
        <v>0</v>
      </c>
      <c r="N49" s="2">
        <f t="shared" si="13"/>
        <v>0</v>
      </c>
      <c r="O49" s="2">
        <f t="shared" si="13"/>
        <v>0</v>
      </c>
      <c r="P49" s="2">
        <f t="shared" si="13"/>
        <v>0</v>
      </c>
      <c r="Q49" s="2">
        <f t="shared" si="10"/>
        <v>0</v>
      </c>
      <c r="R49" s="2">
        <f t="shared" si="11"/>
        <v>0</v>
      </c>
      <c r="S49" s="2">
        <f t="shared" si="11"/>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3"/>
        <v>0</v>
      </c>
      <c r="H50" s="3">
        <f t="shared" si="13"/>
        <v>0</v>
      </c>
      <c r="I50" s="3">
        <f t="shared" si="13"/>
        <v>0</v>
      </c>
      <c r="J50" s="3">
        <f t="shared" si="13"/>
        <v>0</v>
      </c>
      <c r="K50" s="3">
        <f t="shared" si="13"/>
        <v>0</v>
      </c>
      <c r="L50" s="3">
        <f t="shared" si="13"/>
        <v>0</v>
      </c>
      <c r="M50" s="3">
        <f t="shared" si="13"/>
        <v>0</v>
      </c>
      <c r="N50" s="3">
        <f t="shared" si="13"/>
        <v>0</v>
      </c>
      <c r="O50" s="3">
        <f t="shared" si="13"/>
        <v>0</v>
      </c>
      <c r="P50" s="3">
        <f t="shared" si="13"/>
        <v>0</v>
      </c>
      <c r="Q50" s="3">
        <f t="shared" si="10"/>
        <v>0</v>
      </c>
      <c r="R50" s="3">
        <f t="shared" si="11"/>
        <v>0</v>
      </c>
      <c r="S50" s="3">
        <f t="shared" si="11"/>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C1</v>
      </c>
      <c r="C57" s="16" t="str">
        <f t="shared" ref="C57:U57" si="14">D8</f>
        <v>C2</v>
      </c>
      <c r="D57" s="16" t="str">
        <f t="shared" si="14"/>
        <v>C3</v>
      </c>
      <c r="E57" s="16">
        <f t="shared" si="14"/>
        <v>1</v>
      </c>
      <c r="F57" s="16">
        <f t="shared" si="14"/>
        <v>2</v>
      </c>
      <c r="G57" s="16">
        <f t="shared" si="14"/>
        <v>3</v>
      </c>
      <c r="H57" s="16">
        <f t="shared" si="14"/>
        <v>4</v>
      </c>
      <c r="I57" s="16">
        <f t="shared" si="14"/>
        <v>5</v>
      </c>
      <c r="J57" s="16">
        <f t="shared" si="14"/>
        <v>6</v>
      </c>
      <c r="K57" s="16">
        <f t="shared" si="14"/>
        <v>0</v>
      </c>
      <c r="L57" s="16">
        <f t="shared" si="14"/>
        <v>0</v>
      </c>
      <c r="M57" s="16">
        <f t="shared" si="14"/>
        <v>0</v>
      </c>
      <c r="N57" s="16">
        <f t="shared" si="14"/>
        <v>0</v>
      </c>
      <c r="O57" s="16">
        <f t="shared" si="14"/>
        <v>0</v>
      </c>
      <c r="P57" s="16">
        <f t="shared" si="14"/>
        <v>0</v>
      </c>
      <c r="Q57" s="16">
        <f t="shared" si="14"/>
        <v>0</v>
      </c>
      <c r="R57" s="16">
        <f t="shared" si="14"/>
        <v>0</v>
      </c>
      <c r="S57" s="16">
        <f t="shared" si="14"/>
        <v>0</v>
      </c>
      <c r="T57" s="16">
        <f t="shared" si="14"/>
        <v>0</v>
      </c>
      <c r="U57" s="16">
        <f t="shared" si="14"/>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Arable</v>
      </c>
      <c r="H58" s="21" t="str">
        <f>I16&amp;" I "&amp;(VLOOKUP(I14,Table245811[],6,FALSE))</f>
        <v>Medium/Clay I Grass</v>
      </c>
      <c r="I58" s="21" t="str">
        <f>J16&amp;" I "&amp;(VLOOKUP(J14,Table245811[],6,FALSE))</f>
        <v>Medium/Clay I Grass</v>
      </c>
      <c r="J58" s="21" t="str">
        <f>K16&amp;" I "&amp;(VLOOKUP(K14,Table245811[],6,FALSE))</f>
        <v>Medium/Clay I Grass</v>
      </c>
      <c r="K58" s="21" t="e">
        <f>L16&amp;" I "&amp;(VLOOKUP(L14,Table245811[],6,FALSE))</f>
        <v>#N/A</v>
      </c>
      <c r="L58" s="21" t="e">
        <f>M16&amp;" I "&amp;(VLOOKUP(M14,Table245811[],6,FALSE))</f>
        <v>#N/A</v>
      </c>
      <c r="M58" s="21" t="e">
        <f>N16&amp;" I "&amp;(VLOOKUP(N14,Table245811[],6,FALSE))</f>
        <v>#N/A</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6.7</v>
      </c>
      <c r="H59" s="93">
        <f>VLOOKUP(I$14,Table245811[],5,FALSE)</f>
        <v>6.2</v>
      </c>
      <c r="I59" s="93">
        <f>VLOOKUP(J$14,Table245811[],5,FALSE)</f>
        <v>6.2</v>
      </c>
      <c r="J59" s="93">
        <f>VLOOKUP(K$14,Table245811[],5,FALSE)</f>
        <v>6.2</v>
      </c>
      <c r="K59" s="93" t="e">
        <f>VLOOKUP(L$14,Table245811[],5,FALSE)</f>
        <v>#N/A</v>
      </c>
      <c r="L59" s="93" t="e">
        <f>VLOOKUP(M$14,Table245811[],5,FALSE)</f>
        <v>#N/A</v>
      </c>
      <c r="M59" s="93" t="e">
        <f>VLOOKUP(N$14,Table245811[],5,FALSE)</f>
        <v>#N/A</v>
      </c>
      <c r="N59" s="93" t="e">
        <f>VLOOKUP(O$14,Table245811[],5,FALSE)</f>
        <v>#N/A</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5.3</v>
      </c>
      <c r="C60" s="93">
        <f t="shared" ref="C60:U60" si="15">D10</f>
        <v>5.2</v>
      </c>
      <c r="D60" s="93">
        <f t="shared" si="15"/>
        <v>5.7</v>
      </c>
      <c r="E60" s="93">
        <f t="shared" si="15"/>
        <v>5.5</v>
      </c>
      <c r="F60" s="93">
        <f t="shared" si="15"/>
        <v>5.6</v>
      </c>
      <c r="G60" s="93">
        <f t="shared" si="15"/>
        <v>5.3</v>
      </c>
      <c r="H60" s="93">
        <f t="shared" si="15"/>
        <v>5.7</v>
      </c>
      <c r="I60" s="93">
        <f t="shared" si="15"/>
        <v>5.5</v>
      </c>
      <c r="J60" s="93">
        <f t="shared" si="15"/>
        <v>5.9</v>
      </c>
      <c r="K60" s="93">
        <f t="shared" si="15"/>
        <v>0</v>
      </c>
      <c r="L60" s="93">
        <f t="shared" si="15"/>
        <v>0</v>
      </c>
      <c r="M60" s="93">
        <f t="shared" si="15"/>
        <v>0</v>
      </c>
      <c r="N60" s="93">
        <f t="shared" si="15"/>
        <v>0</v>
      </c>
      <c r="O60" s="93">
        <f t="shared" si="15"/>
        <v>0</v>
      </c>
      <c r="P60" s="93">
        <f t="shared" si="15"/>
        <v>0</v>
      </c>
      <c r="Q60" s="93">
        <f t="shared" si="15"/>
        <v>0</v>
      </c>
      <c r="R60" s="93">
        <f t="shared" si="15"/>
        <v>0</v>
      </c>
      <c r="S60" s="93">
        <f t="shared" si="15"/>
        <v>0</v>
      </c>
      <c r="T60" s="93">
        <f t="shared" si="15"/>
        <v>0</v>
      </c>
      <c r="U60" s="93">
        <f t="shared" si="15"/>
        <v>0</v>
      </c>
    </row>
    <row r="61" spans="1:35" s="27" customFormat="1" hidden="1" x14ac:dyDescent="0.2">
      <c r="A61" s="92" t="s">
        <v>131</v>
      </c>
      <c r="B61" s="93">
        <f t="shared" ref="B61:U61" si="16">VLOOKUP(B58,$AD9:$AE18,2,FALSE)</f>
        <v>6</v>
      </c>
      <c r="C61" s="93">
        <f t="shared" si="16"/>
        <v>6</v>
      </c>
      <c r="D61" s="93">
        <f t="shared" si="16"/>
        <v>6</v>
      </c>
      <c r="E61" s="93">
        <f t="shared" si="16"/>
        <v>6</v>
      </c>
      <c r="F61" s="93">
        <f t="shared" si="16"/>
        <v>6</v>
      </c>
      <c r="G61" s="93">
        <f t="shared" si="16"/>
        <v>8</v>
      </c>
      <c r="H61" s="93">
        <f t="shared" si="16"/>
        <v>6</v>
      </c>
      <c r="I61" s="93">
        <f t="shared" si="16"/>
        <v>6</v>
      </c>
      <c r="J61" s="93">
        <f t="shared" si="16"/>
        <v>6</v>
      </c>
      <c r="K61" s="93" t="e">
        <f t="shared" si="16"/>
        <v>#N/A</v>
      </c>
      <c r="L61" s="93" t="e">
        <f t="shared" si="16"/>
        <v>#N/A</v>
      </c>
      <c r="M61" s="93" t="e">
        <f t="shared" si="16"/>
        <v>#N/A</v>
      </c>
      <c r="N61" s="93" t="e">
        <f t="shared" si="16"/>
        <v>#N/A</v>
      </c>
      <c r="O61" s="93" t="e">
        <f t="shared" si="16"/>
        <v>#N/A</v>
      </c>
      <c r="P61" s="93" t="e">
        <f t="shared" si="16"/>
        <v>#N/A</v>
      </c>
      <c r="Q61" s="93" t="e">
        <f t="shared" si="16"/>
        <v>#N/A</v>
      </c>
      <c r="R61" s="93" t="e">
        <f t="shared" si="16"/>
        <v>#N/A</v>
      </c>
      <c r="S61" s="93" t="e">
        <f t="shared" si="16"/>
        <v>#N/A</v>
      </c>
      <c r="T61" s="93" t="e">
        <f t="shared" si="16"/>
        <v>#N/A</v>
      </c>
      <c r="U61" s="93" t="e">
        <f t="shared" si="16"/>
        <v>#N/A</v>
      </c>
    </row>
    <row r="62" spans="1:35" s="27" customFormat="1" hidden="1" x14ac:dyDescent="0.2">
      <c r="A62" s="92" t="s">
        <v>132</v>
      </c>
      <c r="B62" s="94">
        <f>B31</f>
        <v>250</v>
      </c>
      <c r="C62" s="94">
        <f>B32</f>
        <v>250</v>
      </c>
      <c r="D62" s="94">
        <f>B33</f>
        <v>250</v>
      </c>
      <c r="E62" s="94">
        <f>B34</f>
        <v>100</v>
      </c>
      <c r="F62" s="94">
        <f>B35</f>
        <v>100</v>
      </c>
      <c r="G62" s="94">
        <f>B36</f>
        <v>65</v>
      </c>
      <c r="H62" s="94">
        <f>B37</f>
        <v>100</v>
      </c>
      <c r="I62" s="94">
        <f>B38</f>
        <v>100</v>
      </c>
      <c r="J62" s="94">
        <f>B39</f>
        <v>100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7">$E55*(C62/100)</f>
        <v>0</v>
      </c>
      <c r="D63" s="94">
        <f t="shared" si="17"/>
        <v>0</v>
      </c>
      <c r="E63" s="94">
        <f t="shared" si="17"/>
        <v>0</v>
      </c>
      <c r="F63" s="94">
        <f>$E55*(F62/100)</f>
        <v>0</v>
      </c>
      <c r="G63" s="94">
        <f t="shared" si="17"/>
        <v>0</v>
      </c>
      <c r="H63" s="94">
        <f t="shared" si="17"/>
        <v>0</v>
      </c>
      <c r="I63" s="94">
        <f t="shared" si="17"/>
        <v>0</v>
      </c>
      <c r="J63" s="94">
        <f t="shared" si="17"/>
        <v>0</v>
      </c>
      <c r="K63" s="94">
        <f t="shared" si="17"/>
        <v>0</v>
      </c>
      <c r="L63" s="94">
        <f t="shared" si="17"/>
        <v>0</v>
      </c>
      <c r="M63" s="94">
        <f t="shared" si="17"/>
        <v>0</v>
      </c>
      <c r="N63" s="94">
        <f t="shared" si="17"/>
        <v>0</v>
      </c>
      <c r="O63" s="94">
        <f t="shared" si="17"/>
        <v>0</v>
      </c>
      <c r="P63" s="94">
        <f t="shared" si="17"/>
        <v>0</v>
      </c>
      <c r="Q63" s="94">
        <f t="shared" si="17"/>
        <v>0</v>
      </c>
      <c r="R63" s="94">
        <f t="shared" si="17"/>
        <v>0</v>
      </c>
      <c r="S63" s="94">
        <f t="shared" si="17"/>
        <v>0</v>
      </c>
      <c r="T63" s="94">
        <f t="shared" si="17"/>
        <v>0</v>
      </c>
      <c r="U63" s="94">
        <f t="shared" si="17"/>
        <v>0</v>
      </c>
    </row>
    <row r="64" spans="1:35" s="27" customFormat="1" ht="25.5" x14ac:dyDescent="0.2">
      <c r="A64" s="86" t="s">
        <v>133</v>
      </c>
      <c r="B64" s="94">
        <f>(B59-B60)*B61</f>
        <v>5.4000000000000021</v>
      </c>
      <c r="C64" s="94">
        <f t="shared" ref="C64:U64" si="18">(C59-C60)*C61</f>
        <v>6</v>
      </c>
      <c r="D64" s="94">
        <f t="shared" si="18"/>
        <v>3</v>
      </c>
      <c r="E64" s="94">
        <f t="shared" si="18"/>
        <v>4.2000000000000011</v>
      </c>
      <c r="F64" s="94">
        <f t="shared" si="18"/>
        <v>3.6000000000000032</v>
      </c>
      <c r="G64" s="94">
        <f t="shared" si="18"/>
        <v>11.200000000000003</v>
      </c>
      <c r="H64" s="94">
        <f t="shared" si="18"/>
        <v>3</v>
      </c>
      <c r="I64" s="94">
        <f t="shared" si="18"/>
        <v>4.2000000000000011</v>
      </c>
      <c r="J64" s="94">
        <f t="shared" si="18"/>
        <v>1.7999999999999989</v>
      </c>
      <c r="K64" s="94" t="e">
        <f t="shared" si="18"/>
        <v>#N/A</v>
      </c>
      <c r="L64" s="94" t="e">
        <f t="shared" si="18"/>
        <v>#N/A</v>
      </c>
      <c r="M64" s="94" t="e">
        <f t="shared" si="18"/>
        <v>#N/A</v>
      </c>
      <c r="N64" s="94" t="e">
        <f t="shared" si="18"/>
        <v>#N/A</v>
      </c>
      <c r="O64" s="94" t="e">
        <f t="shared" si="18"/>
        <v>#N/A</v>
      </c>
      <c r="P64" s="94" t="e">
        <f t="shared" si="18"/>
        <v>#N/A</v>
      </c>
      <c r="Q64" s="94" t="e">
        <f t="shared" si="18"/>
        <v>#N/A</v>
      </c>
      <c r="R64" s="94" t="e">
        <f t="shared" si="18"/>
        <v>#N/A</v>
      </c>
      <c r="S64" s="94" t="e">
        <f t="shared" si="18"/>
        <v>#N/A</v>
      </c>
      <c r="T64" s="94" t="e">
        <f t="shared" si="18"/>
        <v>#N/A</v>
      </c>
      <c r="U64" s="94" t="e">
        <f t="shared" si="18"/>
        <v>#N/A</v>
      </c>
    </row>
    <row r="65" spans="1:21" s="27" customFormat="1" ht="38.25" x14ac:dyDescent="0.2">
      <c r="A65" s="86" t="s">
        <v>148</v>
      </c>
      <c r="B65" s="95" t="str">
        <f>IF(B64&lt;=B63,"OVER","UNDER")</f>
        <v>UNDER</v>
      </c>
      <c r="C65" s="95" t="str">
        <f t="shared" ref="C65:U65" si="19">IF(C64&lt;=C63,"OVER","UNDER")</f>
        <v>UNDER</v>
      </c>
      <c r="D65" s="95" t="str">
        <f t="shared" si="19"/>
        <v>UNDER</v>
      </c>
      <c r="E65" s="95" t="str">
        <f t="shared" si="19"/>
        <v>UNDER</v>
      </c>
      <c r="F65" s="95" t="str">
        <f t="shared" si="19"/>
        <v>UNDER</v>
      </c>
      <c r="G65" s="95" t="str">
        <f t="shared" si="19"/>
        <v>UNDER</v>
      </c>
      <c r="H65" s="95" t="str">
        <f t="shared" si="19"/>
        <v>UNDER</v>
      </c>
      <c r="I65" s="95" t="str">
        <f t="shared" si="19"/>
        <v>UNDER</v>
      </c>
      <c r="J65" s="95" t="str">
        <f t="shared" si="19"/>
        <v>UNDER</v>
      </c>
      <c r="K65" s="95" t="e">
        <f t="shared" si="19"/>
        <v>#N/A</v>
      </c>
      <c r="L65" s="95" t="e">
        <f t="shared" si="19"/>
        <v>#N/A</v>
      </c>
      <c r="M65" s="95" t="e">
        <f t="shared" si="19"/>
        <v>#N/A</v>
      </c>
      <c r="N65" s="95" t="e">
        <f t="shared" si="19"/>
        <v>#N/A</v>
      </c>
      <c r="O65" s="95" t="e">
        <f t="shared" si="19"/>
        <v>#N/A</v>
      </c>
      <c r="P65" s="95" t="e">
        <f t="shared" si="19"/>
        <v>#N/A</v>
      </c>
      <c r="Q65" s="95" t="e">
        <f t="shared" si="19"/>
        <v>#N/A</v>
      </c>
      <c r="R65" s="95" t="e">
        <f t="shared" si="19"/>
        <v>#N/A</v>
      </c>
      <c r="S65" s="95" t="e">
        <f t="shared" si="19"/>
        <v>#N/A</v>
      </c>
      <c r="T65" s="95" t="e">
        <f t="shared" si="19"/>
        <v>#N/A</v>
      </c>
      <c r="U65" s="95" t="e">
        <f t="shared" si="19"/>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16" priority="29" operator="equal">
      <formula>"DECREASE"</formula>
    </cfRule>
    <cfRule type="cellIs" dxfId="115" priority="30" operator="equal">
      <formula>"INCREASE"</formula>
    </cfRule>
  </conditionalFormatting>
  <conditionalFormatting sqref="B62:U65 B31:B50">
    <cfRule type="cellIs" dxfId="114" priority="28" operator="greaterThan">
      <formula>$B$51</formula>
    </cfRule>
  </conditionalFormatting>
  <conditionalFormatting sqref="C31:C50">
    <cfRule type="cellIs" dxfId="113" priority="27" operator="greaterThan">
      <formula>$C$51</formula>
    </cfRule>
  </conditionalFormatting>
  <conditionalFormatting sqref="C18:V18">
    <cfRule type="cellIs" dxfId="112" priority="26" operator="equal">
      <formula>0</formula>
    </cfRule>
  </conditionalFormatting>
  <conditionalFormatting sqref="C17:V17">
    <cfRule type="cellIs" dxfId="111" priority="25" operator="equal">
      <formula>0</formula>
    </cfRule>
  </conditionalFormatting>
  <conditionalFormatting sqref="C19:V19">
    <cfRule type="cellIs" dxfId="110" priority="24" operator="equal">
      <formula>0</formula>
    </cfRule>
  </conditionalFormatting>
  <conditionalFormatting sqref="G31:G50">
    <cfRule type="cellIs" dxfId="109" priority="23" operator="greaterThan">
      <formula>$G$51</formula>
    </cfRule>
  </conditionalFormatting>
  <conditionalFormatting sqref="H31:H50">
    <cfRule type="cellIs" dxfId="108" priority="22" operator="greaterThan">
      <formula>$H$51</formula>
    </cfRule>
  </conditionalFormatting>
  <conditionalFormatting sqref="I31:I50">
    <cfRule type="cellIs" dxfId="107" priority="21" operator="greaterThan">
      <formula>$I$51</formula>
    </cfRule>
  </conditionalFormatting>
  <conditionalFormatting sqref="K31:K50">
    <cfRule type="cellIs" dxfId="106" priority="20" operator="greaterThan">
      <formula>$K$51</formula>
    </cfRule>
  </conditionalFormatting>
  <conditionalFormatting sqref="L31:L50">
    <cfRule type="cellIs" dxfId="105" priority="19" operator="greaterThan">
      <formula>$L$51</formula>
    </cfRule>
  </conditionalFormatting>
  <conditionalFormatting sqref="M31:M50">
    <cfRule type="cellIs" dxfId="104" priority="18" operator="greaterThan">
      <formula>$M$51</formula>
    </cfRule>
  </conditionalFormatting>
  <conditionalFormatting sqref="P31:P50">
    <cfRule type="cellIs" dxfId="103" priority="17" operator="greaterThan">
      <formula>$P$51</formula>
    </cfRule>
  </conditionalFormatting>
  <conditionalFormatting sqref="R31:R50">
    <cfRule type="cellIs" dxfId="102" priority="16" operator="greaterThan">
      <formula>$R$51</formula>
    </cfRule>
  </conditionalFormatting>
  <conditionalFormatting sqref="S31:S50">
    <cfRule type="cellIs" dxfId="101" priority="15" operator="greaterThan">
      <formula>$S$51</formula>
    </cfRule>
  </conditionalFormatting>
  <conditionalFormatting sqref="T31:T50">
    <cfRule type="cellIs" dxfId="100" priority="14" operator="greaterThan">
      <formula>$T$51</formula>
    </cfRule>
  </conditionalFormatting>
  <conditionalFormatting sqref="U31:U50">
    <cfRule type="cellIs" dxfId="99" priority="13" operator="greaterThan">
      <formula>$U$51</formula>
    </cfRule>
  </conditionalFormatting>
  <conditionalFormatting sqref="C22:V22">
    <cfRule type="cellIs" dxfId="98" priority="12" operator="equal">
      <formula>0</formula>
    </cfRule>
  </conditionalFormatting>
  <conditionalFormatting sqref="C24:V24">
    <cfRule type="cellIs" dxfId="97" priority="10" operator="equal">
      <formula>"DECREASE"</formula>
    </cfRule>
    <cfRule type="cellIs" dxfId="96" priority="11" operator="equal">
      <formula>"INCREASE"</formula>
    </cfRule>
  </conditionalFormatting>
  <conditionalFormatting sqref="C23:V23">
    <cfRule type="cellIs" dxfId="95" priority="9" operator="equal">
      <formula>0</formula>
    </cfRule>
  </conditionalFormatting>
  <conditionalFormatting sqref="I1">
    <cfRule type="cellIs" dxfId="94" priority="8" operator="lessThan">
      <formula>5</formula>
    </cfRule>
  </conditionalFormatting>
  <conditionalFormatting sqref="C21:V21">
    <cfRule type="cellIs" dxfId="93" priority="5" operator="equal">
      <formula>0</formula>
    </cfRule>
  </conditionalFormatting>
  <conditionalFormatting sqref="B65:U65">
    <cfRule type="cellIs" dxfId="92" priority="3" operator="equal">
      <formula>"UNDER"</formula>
    </cfRule>
    <cfRule type="cellIs" dxfId="91" priority="4" operator="equal">
      <formula>"OVER"</formula>
    </cfRule>
  </conditionalFormatting>
  <conditionalFormatting sqref="I2">
    <cfRule type="cellIs" dxfId="90" priority="2" operator="greaterThan">
      <formula>5000.1</formula>
    </cfRule>
  </conditionalFormatting>
  <conditionalFormatting sqref="I3">
    <cfRule type="cellIs" dxfId="89" priority="1" operator="greaterThan">
      <formula>4.1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zoomScale="90" zoomScaleNormal="90" workbookViewId="0">
      <selection activeCell="B40" sqref="B40"/>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0" t="s">
        <v>41</v>
      </c>
      <c r="B1" s="110"/>
      <c r="C1" s="126" t="str">
        <f>'Field data and Waste 1'!C1:D1</f>
        <v>PAN-010907</v>
      </c>
      <c r="D1" s="127"/>
      <c r="E1" s="37" t="s">
        <v>45</v>
      </c>
      <c r="F1" s="46">
        <f>'Field data and Waste 1'!F1</f>
        <v>50</v>
      </c>
      <c r="G1" s="122" t="s">
        <v>43</v>
      </c>
      <c r="H1" s="123"/>
      <c r="I1" s="35">
        <v>8.44</v>
      </c>
      <c r="AB1" s="26"/>
      <c r="AC1" s="26"/>
      <c r="AD1" s="43" t="s">
        <v>124</v>
      </c>
      <c r="AE1" s="25"/>
      <c r="AF1" s="25"/>
      <c r="AG1" s="26"/>
      <c r="AH1" s="26"/>
      <c r="AI1" s="47" t="s">
        <v>79</v>
      </c>
      <c r="AJ1" s="48" t="s">
        <v>91</v>
      </c>
      <c r="AK1" s="49" t="s">
        <v>92</v>
      </c>
      <c r="AL1" s="50" t="s">
        <v>123</v>
      </c>
      <c r="AM1" s="50" t="s">
        <v>129</v>
      </c>
      <c r="AN1" s="50" t="s">
        <v>109</v>
      </c>
    </row>
    <row r="2" spans="1:41" x14ac:dyDescent="0.2">
      <c r="A2" s="110" t="s">
        <v>84</v>
      </c>
      <c r="B2" s="110"/>
      <c r="C2" s="128" t="str">
        <f>'Field data and Waste 1'!C2:D2</f>
        <v>EPR-JB3533RJ</v>
      </c>
      <c r="D2" s="129"/>
      <c r="E2" s="37" t="s">
        <v>106</v>
      </c>
      <c r="F2" s="35" t="s">
        <v>166</v>
      </c>
      <c r="G2" s="124" t="s">
        <v>107</v>
      </c>
      <c r="H2" s="125"/>
      <c r="I2" s="35">
        <v>3405</v>
      </c>
      <c r="AB2" s="43" t="s">
        <v>56</v>
      </c>
      <c r="AC2" s="25"/>
      <c r="AD2" s="43" t="s">
        <v>70</v>
      </c>
      <c r="AE2" s="25"/>
      <c r="AF2" s="25"/>
      <c r="AG2" s="51" t="s">
        <v>76</v>
      </c>
      <c r="AH2" s="26"/>
      <c r="AI2" s="52" t="s">
        <v>124</v>
      </c>
      <c r="AJ2" s="53">
        <v>0</v>
      </c>
      <c r="AK2" s="54">
        <v>0</v>
      </c>
      <c r="AL2" s="18">
        <v>0</v>
      </c>
      <c r="AM2" s="19">
        <v>0</v>
      </c>
      <c r="AN2" s="19">
        <v>0</v>
      </c>
    </row>
    <row r="3" spans="1:41" x14ac:dyDescent="0.2">
      <c r="A3" s="111" t="s">
        <v>42</v>
      </c>
      <c r="B3" s="112"/>
      <c r="C3" s="128" t="str">
        <f>'Field data and Waste 1'!C3:D3</f>
        <v>Simon Jones</v>
      </c>
      <c r="D3" s="129"/>
      <c r="E3" s="37" t="s">
        <v>105</v>
      </c>
      <c r="F3" s="45" t="s">
        <v>78</v>
      </c>
      <c r="G3" s="122" t="s">
        <v>108</v>
      </c>
      <c r="H3" s="123"/>
      <c r="I3" s="35">
        <v>0.124</v>
      </c>
      <c r="AB3" s="43" t="s">
        <v>57</v>
      </c>
      <c r="AC3" s="25"/>
      <c r="AD3" s="43" t="s">
        <v>71</v>
      </c>
      <c r="AE3" s="25"/>
      <c r="AF3" s="25"/>
      <c r="AG3" s="51" t="s">
        <v>77</v>
      </c>
      <c r="AH3" s="26"/>
      <c r="AI3" s="55" t="s">
        <v>111</v>
      </c>
      <c r="AJ3" s="56">
        <v>1.7</v>
      </c>
      <c r="AK3" s="57">
        <v>6</v>
      </c>
      <c r="AL3" s="58">
        <v>1</v>
      </c>
      <c r="AM3" s="19">
        <v>6.2</v>
      </c>
      <c r="AN3" s="19" t="s">
        <v>110</v>
      </c>
    </row>
    <row r="4" spans="1:41" x14ac:dyDescent="0.2">
      <c r="A4" s="110" t="s">
        <v>0</v>
      </c>
      <c r="B4" s="110"/>
      <c r="C4" s="126" t="str">
        <f>'Field data and Waste 1'!C4:D4</f>
        <v>Land at Carreglywd, Llandrygan, Llanerchymedd, Anglesey, LL65 4PA</v>
      </c>
      <c r="D4" s="127"/>
      <c r="E4" s="38" t="s">
        <v>1</v>
      </c>
      <c r="F4" s="35" t="s">
        <v>167</v>
      </c>
      <c r="G4" s="122"/>
      <c r="H4" s="123"/>
      <c r="I4" s="46"/>
      <c r="AB4" s="43" t="s">
        <v>52</v>
      </c>
      <c r="AC4" s="25"/>
      <c r="AD4" s="59" t="s">
        <v>72</v>
      </c>
      <c r="AE4" s="25"/>
      <c r="AF4" s="25"/>
      <c r="AG4" s="51" t="s">
        <v>78</v>
      </c>
      <c r="AH4" s="26"/>
      <c r="AI4" s="60" t="s">
        <v>122</v>
      </c>
      <c r="AJ4" s="61">
        <v>7</v>
      </c>
      <c r="AK4" s="62">
        <v>10.5</v>
      </c>
      <c r="AL4" s="19">
        <v>2</v>
      </c>
      <c r="AM4" s="19">
        <v>6.7</v>
      </c>
      <c r="AN4" s="19" t="s">
        <v>135</v>
      </c>
    </row>
    <row r="5" spans="1:41" x14ac:dyDescent="0.2">
      <c r="A5" s="110" t="s">
        <v>47</v>
      </c>
      <c r="B5" s="110"/>
      <c r="C5" s="126" t="str">
        <f>'Field data and Waste 1'!C5:D5</f>
        <v>Sion Sleep</v>
      </c>
      <c r="D5" s="127"/>
      <c r="E5" s="37"/>
      <c r="F5" s="46"/>
      <c r="G5" s="122"/>
      <c r="H5" s="123"/>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5" t="s">
        <v>63</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0" t="s">
        <v>2</v>
      </c>
      <c r="B8" s="110"/>
      <c r="C8" s="67" t="str">
        <f>'Field data and Waste 1'!C8</f>
        <v>C1</v>
      </c>
      <c r="D8" s="67" t="str">
        <f>'Field data and Waste 1'!D8</f>
        <v>C2</v>
      </c>
      <c r="E8" s="67" t="str">
        <f>'Field data and Waste 1'!E8</f>
        <v>C3</v>
      </c>
      <c r="F8" s="67">
        <f>'Field data and Waste 1'!F8</f>
        <v>1</v>
      </c>
      <c r="G8" s="67">
        <f>'Field data and Waste 1'!G8</f>
        <v>2</v>
      </c>
      <c r="H8" s="67">
        <f>'Field data and Waste 1'!H8</f>
        <v>3</v>
      </c>
      <c r="I8" s="67">
        <f>'Field data and Waste 1'!I8</f>
        <v>4</v>
      </c>
      <c r="J8" s="67">
        <f>'Field data and Waste 1'!J8</f>
        <v>5</v>
      </c>
      <c r="K8" s="67">
        <f>'Field data and Waste 1'!K8</f>
        <v>6</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0" t="s">
        <v>3</v>
      </c>
      <c r="B9" s="110"/>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1</v>
      </c>
      <c r="I9" s="67" t="str">
        <f>'Field data and Waste 1'!I9</f>
        <v>Moderate</v>
      </c>
      <c r="J9" s="67" t="str">
        <f>'Field data and Waste 1'!J9</f>
        <v>Moderate</v>
      </c>
      <c r="K9" s="67" t="str">
        <f>'Field data and Waste 1'!K9</f>
        <v>Moderate</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0" t="s">
        <v>4</v>
      </c>
      <c r="B10" s="110"/>
      <c r="C10" s="67">
        <f>'Field data and Waste 1'!C10</f>
        <v>5.3</v>
      </c>
      <c r="D10" s="67">
        <f>'Field data and Waste 1'!D10</f>
        <v>5.2</v>
      </c>
      <c r="E10" s="67">
        <f>'Field data and Waste 1'!E10</f>
        <v>5.7</v>
      </c>
      <c r="F10" s="67">
        <f>'Field data and Waste 1'!F10</f>
        <v>5.5</v>
      </c>
      <c r="G10" s="67">
        <f>'Field data and Waste 1'!G10</f>
        <v>5.6</v>
      </c>
      <c r="H10" s="67">
        <f>'Field data and Waste 1'!H10</f>
        <v>5.3</v>
      </c>
      <c r="I10" s="67">
        <f>'Field data and Waste 1'!I10</f>
        <v>5.7</v>
      </c>
      <c r="J10" s="67">
        <f>'Field data and Waste 1'!J10</f>
        <v>5.5</v>
      </c>
      <c r="K10" s="67">
        <f>'Field data and Waste 1'!K10</f>
        <v>5.9</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0" t="s">
        <v>5</v>
      </c>
      <c r="B11" s="110"/>
      <c r="C11" s="67">
        <f>'Field data and Waste 1'!C11</f>
        <v>1</v>
      </c>
      <c r="D11" s="67">
        <f>'Field data and Waste 1'!D11</f>
        <v>1</v>
      </c>
      <c r="E11" s="67">
        <f>'Field data and Waste 1'!E11</f>
        <v>1</v>
      </c>
      <c r="F11" s="67">
        <f>'Field data and Waste 1'!F11</f>
        <v>2</v>
      </c>
      <c r="G11" s="67">
        <f>'Field data and Waste 1'!G11</f>
        <v>2</v>
      </c>
      <c r="H11" s="67">
        <f>'Field data and Waste 1'!H11</f>
        <v>2</v>
      </c>
      <c r="I11" s="67">
        <f>'Field data and Waste 1'!I11</f>
        <v>2</v>
      </c>
      <c r="J11" s="67">
        <f>'Field data and Waste 1'!J11</f>
        <v>2</v>
      </c>
      <c r="K11" s="67">
        <f>'Field data and Waste 1'!K11</f>
        <v>2</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0" t="s">
        <v>6</v>
      </c>
      <c r="B12" s="110"/>
      <c r="C12" s="67">
        <f>'Field data and Waste 1'!C12</f>
        <v>2</v>
      </c>
      <c r="D12" s="67">
        <f>'Field data and Waste 1'!D12</f>
        <v>2</v>
      </c>
      <c r="E12" s="67">
        <f>'Field data and Waste 1'!E12</f>
        <v>3</v>
      </c>
      <c r="F12" s="67">
        <f>'Field data and Waste 1'!F12</f>
        <v>2</v>
      </c>
      <c r="G12" s="67">
        <f>'Field data and Waste 1'!G12</f>
        <v>2</v>
      </c>
      <c r="H12" s="67">
        <f>'Field data and Waste 1'!H12</f>
        <v>2</v>
      </c>
      <c r="I12" s="67">
        <f>'Field data and Waste 1'!I12</f>
        <v>2</v>
      </c>
      <c r="J12" s="67">
        <f>'Field data and Waste 1'!J12</f>
        <v>3</v>
      </c>
      <c r="K12" s="67">
        <f>'Field data and Waste 1'!K12</f>
        <v>1</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0" t="s">
        <v>7</v>
      </c>
      <c r="B13" s="110"/>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2</v>
      </c>
      <c r="J13" s="67">
        <f>'Field data and Waste 1'!J13</f>
        <v>3</v>
      </c>
      <c r="K13" s="67">
        <f>'Field data and Waste 1'!K13</f>
        <v>3</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4" t="s">
        <v>8</v>
      </c>
      <c r="B14" s="114"/>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Fodder beet (roots only)</v>
      </c>
      <c r="I14" s="73" t="str">
        <f>'Field data and Waste 1'!I14</f>
        <v xml:space="preserve">Grass Silage (25% DM) </v>
      </c>
      <c r="J14" s="73" t="str">
        <f>'Field data and Waste 1'!J14</f>
        <v xml:space="preserve">Grass Silage (25% DM) </v>
      </c>
      <c r="K14" s="73" t="str">
        <f>'Field data and Waste 1'!K14</f>
        <v xml:space="preserve">Grass Silage (25% DM) </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3" t="s">
        <v>9</v>
      </c>
      <c r="B15" s="113"/>
      <c r="C15" s="67">
        <f>'Field data and Waste 1'!C15</f>
        <v>54</v>
      </c>
      <c r="D15" s="67">
        <f>'Field data and Waste 1'!D15</f>
        <v>54</v>
      </c>
      <c r="E15" s="67">
        <f>'Field data and Waste 1'!E15</f>
        <v>54</v>
      </c>
      <c r="F15" s="67">
        <f>'Field data and Waste 1'!F15</f>
        <v>54</v>
      </c>
      <c r="G15" s="67">
        <f>'Field data and Waste 1'!G15</f>
        <v>54</v>
      </c>
      <c r="H15" s="67">
        <f>'Field data and Waste 1'!H15</f>
        <v>85</v>
      </c>
      <c r="I15" s="67">
        <f>'Field data and Waste 1'!I15</f>
        <v>54</v>
      </c>
      <c r="J15" s="67">
        <f>'Field data and Waste 1'!J15</f>
        <v>54</v>
      </c>
      <c r="K15" s="67">
        <f>'Field data and Waste 1'!K15</f>
        <v>54</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5" t="s">
        <v>44</v>
      </c>
      <c r="B16" s="115"/>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2" t="s">
        <v>69</v>
      </c>
      <c r="B17" s="103"/>
      <c r="C17" s="39">
        <f t="shared" ref="C17:V17" si="0">(VLOOKUP(C$14,$AI2:$AK24,2,FALSE))*C$15</f>
        <v>91.8</v>
      </c>
      <c r="D17" s="39">
        <f t="shared" si="0"/>
        <v>91.8</v>
      </c>
      <c r="E17" s="39">
        <f t="shared" si="0"/>
        <v>91.8</v>
      </c>
      <c r="F17" s="39">
        <f t="shared" si="0"/>
        <v>91.8</v>
      </c>
      <c r="G17" s="39">
        <f t="shared" si="0"/>
        <v>91.8</v>
      </c>
      <c r="H17" s="39">
        <f t="shared" si="0"/>
        <v>59.499999999999993</v>
      </c>
      <c r="I17" s="39">
        <f t="shared" si="0"/>
        <v>91.8</v>
      </c>
      <c r="J17" s="39">
        <f t="shared" si="0"/>
        <v>91.8</v>
      </c>
      <c r="K17" s="39">
        <f t="shared" si="0"/>
        <v>91.8</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4" t="s">
        <v>23</v>
      </c>
      <c r="B18" s="105"/>
      <c r="C18" s="24">
        <f>$D31</f>
        <v>116.84100000000001</v>
      </c>
      <c r="D18" s="24">
        <f>$D32</f>
        <v>116.84100000000001</v>
      </c>
      <c r="E18" s="24">
        <f>$D33</f>
        <v>116.84100000000001</v>
      </c>
      <c r="F18" s="24">
        <f>$D34</f>
        <v>109.05159999999999</v>
      </c>
      <c r="G18" s="24">
        <f>$D35</f>
        <v>109.05159999999999</v>
      </c>
      <c r="H18" s="24">
        <f>$D36</f>
        <v>62.315200000000004</v>
      </c>
      <c r="I18" s="24">
        <f>$D37</f>
        <v>109.05159999999999</v>
      </c>
      <c r="J18" s="24">
        <f>$D38</f>
        <v>109.05159999999999</v>
      </c>
      <c r="K18" s="24">
        <f>$D39</f>
        <v>109.05159999999999</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4" t="s">
        <v>87</v>
      </c>
      <c r="B19" s="105"/>
      <c r="C19" s="24">
        <f>C18-C17</f>
        <v>25.041000000000011</v>
      </c>
      <c r="D19" s="24">
        <f t="shared" ref="D19:V19" si="1">D18-D17</f>
        <v>25.041000000000011</v>
      </c>
      <c r="E19" s="24">
        <f t="shared" si="1"/>
        <v>25.041000000000011</v>
      </c>
      <c r="F19" s="24">
        <f t="shared" si="1"/>
        <v>17.251599999999996</v>
      </c>
      <c r="G19" s="24">
        <f t="shared" si="1"/>
        <v>17.251599999999996</v>
      </c>
      <c r="H19" s="24">
        <f t="shared" si="1"/>
        <v>2.8152000000000115</v>
      </c>
      <c r="I19" s="24">
        <f t="shared" si="1"/>
        <v>17.251599999999996</v>
      </c>
      <c r="J19" s="24">
        <f t="shared" si="1"/>
        <v>17.251599999999996</v>
      </c>
      <c r="K19" s="24">
        <f t="shared" si="1"/>
        <v>17.251599999999996</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6" t="s">
        <v>88</v>
      </c>
      <c r="B20" s="107"/>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INCREASE</v>
      </c>
      <c r="J20" s="33" t="str">
        <f>IF($B38="","",IF(J$19&gt;=0,"INCREASE","DECREASE"))</f>
        <v>INCREASE</v>
      </c>
      <c r="K20" s="33" t="str">
        <f>IF($B39="","",IF(K$19&gt;=0,"INCREASE","DECREASE"))</f>
        <v>INCREASE</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2" t="s">
        <v>85</v>
      </c>
      <c r="B21" s="103"/>
      <c r="C21" s="39">
        <f t="shared" ref="C21:V21" si="2">(VLOOKUP(C$14,$AI2:$AK24,3,FALSE))*C$15</f>
        <v>324</v>
      </c>
      <c r="D21" s="39">
        <f t="shared" si="2"/>
        <v>324</v>
      </c>
      <c r="E21" s="39">
        <f t="shared" si="2"/>
        <v>324</v>
      </c>
      <c r="F21" s="39">
        <f t="shared" si="2"/>
        <v>324</v>
      </c>
      <c r="G21" s="39">
        <f t="shared" si="2"/>
        <v>324</v>
      </c>
      <c r="H21" s="39">
        <f t="shared" si="2"/>
        <v>340</v>
      </c>
      <c r="I21" s="39">
        <f t="shared" si="2"/>
        <v>324</v>
      </c>
      <c r="J21" s="39">
        <f t="shared" si="2"/>
        <v>324</v>
      </c>
      <c r="K21" s="39">
        <f t="shared" si="2"/>
        <v>324</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4" t="s">
        <v>86</v>
      </c>
      <c r="B22" s="105"/>
      <c r="C22" s="24">
        <f>$E31</f>
        <v>204.24750000000006</v>
      </c>
      <c r="D22" s="24">
        <f>$E32</f>
        <v>204.24750000000006</v>
      </c>
      <c r="E22" s="24">
        <f>$E33</f>
        <v>204.24750000000006</v>
      </c>
      <c r="F22" s="24">
        <f>$E34</f>
        <v>190.63100000000003</v>
      </c>
      <c r="G22" s="24">
        <f>$E35</f>
        <v>190.63100000000003</v>
      </c>
      <c r="H22" s="24">
        <f>$E36</f>
        <v>108.93200000000002</v>
      </c>
      <c r="I22" s="24">
        <f>$E37</f>
        <v>190.63100000000003</v>
      </c>
      <c r="J22" s="24">
        <f>$E38</f>
        <v>190.63100000000003</v>
      </c>
      <c r="K22" s="24">
        <f>$E39</f>
        <v>190.63100000000003</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4" t="s">
        <v>89</v>
      </c>
      <c r="B23" s="105"/>
      <c r="C23" s="24">
        <f>C22-C21</f>
        <v>-119.75249999999994</v>
      </c>
      <c r="D23" s="24">
        <f t="shared" ref="D23:V23" si="3">D22-D21</f>
        <v>-119.75249999999994</v>
      </c>
      <c r="E23" s="24">
        <f t="shared" si="3"/>
        <v>-119.75249999999994</v>
      </c>
      <c r="F23" s="24">
        <f t="shared" si="3"/>
        <v>-133.36899999999997</v>
      </c>
      <c r="G23" s="24">
        <f t="shared" si="3"/>
        <v>-133.36899999999997</v>
      </c>
      <c r="H23" s="24">
        <f t="shared" si="3"/>
        <v>-231.06799999999998</v>
      </c>
      <c r="I23" s="24">
        <f t="shared" si="3"/>
        <v>-133.36899999999997</v>
      </c>
      <c r="J23" s="24">
        <f t="shared" si="3"/>
        <v>-133.36899999999997</v>
      </c>
      <c r="K23" s="24">
        <f t="shared" si="3"/>
        <v>-133.36899999999997</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6" t="s">
        <v>90</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56</v>
      </c>
      <c r="E27" s="101" t="s">
        <v>56</v>
      </c>
      <c r="F27" s="101" t="s">
        <v>56</v>
      </c>
      <c r="G27" s="101" t="s">
        <v>54</v>
      </c>
      <c r="H27" s="101" t="s">
        <v>54</v>
      </c>
      <c r="I27" s="101" t="s">
        <v>54</v>
      </c>
      <c r="J27" s="101" t="s">
        <v>54</v>
      </c>
      <c r="K27" s="101" t="s">
        <v>54</v>
      </c>
      <c r="L27" s="101" t="s">
        <v>54</v>
      </c>
      <c r="M27" s="101" t="s">
        <v>54</v>
      </c>
      <c r="N27" s="101"/>
      <c r="O27" s="101"/>
      <c r="P27" s="101" t="s">
        <v>56</v>
      </c>
      <c r="Q27" s="101" t="s">
        <v>56</v>
      </c>
      <c r="R27" s="101"/>
      <c r="S27" s="101" t="s">
        <v>54</v>
      </c>
      <c r="T27" s="101"/>
      <c r="U27" s="101"/>
    </row>
    <row r="28" spans="1:40" s="64" customFormat="1" x14ac:dyDescent="0.25">
      <c r="A28" s="82"/>
      <c r="B28" s="31">
        <v>1.84</v>
      </c>
      <c r="C28" s="23">
        <v>0.31</v>
      </c>
      <c r="D28" s="23">
        <v>6.8000000000000005E-2</v>
      </c>
      <c r="E28" s="23">
        <v>0.22600000000000001</v>
      </c>
      <c r="F28" s="23">
        <v>3.5000000000000003E-2</v>
      </c>
      <c r="G28" s="23">
        <v>5.13</v>
      </c>
      <c r="H28" s="23">
        <v>20.399999999999999</v>
      </c>
      <c r="I28" s="23">
        <v>0.5</v>
      </c>
      <c r="J28" s="23">
        <v>1.4E-2</v>
      </c>
      <c r="K28" s="30">
        <v>0.05</v>
      </c>
      <c r="L28" s="23">
        <v>0.28000000000000003</v>
      </c>
      <c r="M28" s="23">
        <v>0.30299999999999999</v>
      </c>
      <c r="N28" s="23"/>
      <c r="O28" s="23"/>
      <c r="P28" s="23">
        <v>0.02</v>
      </c>
      <c r="Q28" s="23">
        <v>2.3E-2</v>
      </c>
      <c r="R28" s="23"/>
      <c r="S28" s="23">
        <v>0.5</v>
      </c>
      <c r="T28" s="23"/>
      <c r="U28" s="23"/>
    </row>
    <row r="29" spans="1:40" s="15" customFormat="1" ht="27" x14ac:dyDescent="0.25">
      <c r="A29" s="108"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09"/>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C1</v>
      </c>
      <c r="B31" s="23">
        <v>75</v>
      </c>
      <c r="C31" s="2">
        <f>IF(C$27="%w/w SAR",((C$28*10)*$B31),IF(C$27="%w/w DM",(((C$28*10)*($B$28/100))*$B31),IF(C$27="kg/t SAR",(C$28*$B31),IF(C$27="kg/t DM",((C$28*($B$28/100))*$B31),IF(C$27="mg/kg SAR",((C$28*0.001)*$B31),IF(C$27="mg/kg DM",(((C$28*0.001)*($B$28/100))*$B31),0))))))</f>
        <v>232.5</v>
      </c>
      <c r="D31" s="2">
        <f>(IF(D$27="%w/w SAR",((D$28*10)*$B31),IF(D$27="%w/w DM",(((D$28*10)*($B$28/100))*$B31),IF(D$27="kg/t SAR",(D$28*$B31),IF(D$27="kg/t DM",((D$28*($B$28/100))*$B31),IF(D$27="mg/kg SAR",((D$28*0.001)*$B31),IF(D$27="mg/kg DM",(((D$28*0.001)*($B$28/100))*$B31),"0")))))))*2.291</f>
        <v>116.84100000000001</v>
      </c>
      <c r="E31" s="2">
        <f>(IF(E$27="%w/w SAR",((E$28*10)*$B31),IF(E$27="%w/w DM",(((E$28*10)*($B$28/100))*$B31),IF(E$27="kg/t SAR",(E$28*$B31),IF(E$27="kg/t DM",((E$28*($B$28/100))*$B31),IF(E$27="mg/kg SAR",((E$28*0.001)*$B31),IF(E$27="mg/kg DM",(((E$28*0.001)*($B$28/100))*$B31),"0")))))))*1.205</f>
        <v>204.24750000000006</v>
      </c>
      <c r="F31" s="2">
        <f>(IF(F$27="%w/w SAR",((F$28*10)*$B31),IF(F$27="%w/w DM",(((F$28*10)*($B$28/100))*$B31),IF(F$27="kg/t SAR",(F$28*$B31),IF(F$27="kg/t DM",((F$28*($B$28/100))*$B31),IF(F$27="mg/kg SAR",((F$28*0.001)*$B31),IF(F$27="mg/kg DM",(((F$28*0.001)*($B$28/100))*$B31),"0")))))))*1.658</f>
        <v>43.522500000000001</v>
      </c>
      <c r="G31" s="2">
        <f t="shared" ref="G31:P46" si="5">IF(G$27="%w/w SAR",((G$28*10)*$B31),IF(G$27="%w/w DM",(((G$28*10)*($B$28/100))*$B31),IF(G$27="kg/t SAR",(G$28*$B31),IF(G$27="kg/t DM",((G$28*($B$28/100))*$B31),IF(G$27="mg/kg SAR",((G$28*0.001)*$B31),IF(G$27="mg/kg DM",(((G$28*0.001)*($B$28/100))*$B31),0))))))</f>
        <v>0.38474999999999998</v>
      </c>
      <c r="H31" s="2">
        <f t="shared" si="5"/>
        <v>1.5299999999999998</v>
      </c>
      <c r="I31" s="2">
        <f t="shared" si="5"/>
        <v>3.7499999999999999E-2</v>
      </c>
      <c r="J31" s="2">
        <f t="shared" si="5"/>
        <v>1.0499999999999999E-3</v>
      </c>
      <c r="K31" s="2">
        <f t="shared" si="5"/>
        <v>3.7500000000000003E-3</v>
      </c>
      <c r="L31" s="2">
        <f t="shared" si="5"/>
        <v>2.1000000000000001E-2</v>
      </c>
      <c r="M31" s="2">
        <f t="shared" si="5"/>
        <v>2.2724999999999999E-2</v>
      </c>
      <c r="N31" s="2">
        <f t="shared" si="5"/>
        <v>0</v>
      </c>
      <c r="O31" s="2">
        <f t="shared" si="5"/>
        <v>0</v>
      </c>
      <c r="P31" s="2">
        <f t="shared" si="5"/>
        <v>15</v>
      </c>
      <c r="Q31" s="2">
        <f>(IF(Q$27="%w/w SAR",((Q$28*10)*$B31),IF(Q$27="%w/w DM",(((Q$28*10)*($B$28/100))*$B31),IF(Q$27="kg/t SAR",(Q$28*$B31),IF(Q$27="kg/t DM",((Q$28*($B$28/100))*$B31),IF(Q$27="mg/kg SAR",((Q$28*0.001)*$B31),IF(Q$27="mg/kg DM",(((Q$28*0.001)*($B$28/100))*$B31),0)))))))*2.5</f>
        <v>43.125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3.7499999999999999E-2</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C2</v>
      </c>
      <c r="B32" s="23">
        <v>75</v>
      </c>
      <c r="C32" s="2">
        <f t="shared" ref="C32:C50" si="6">IF(C$27="%w/w SAR",((C$28*10)*$B32),IF(C$27="%w/w DM",(((C$28*10)*($B$28/100))*$B32),IF(C$27="kg/t SAR",(C$28*$B32),IF(C$27="kg/t DM",((C$28*($B$28/100))*$B32),IF(C$27="mg/kg SAR",((C$28*0.001)*$B32),IF(C$27="mg/kg DM",(((C$28*0.001)*($B$28/100))*$B32),0))))))</f>
        <v>232.5</v>
      </c>
      <c r="D32" s="2">
        <f t="shared" ref="D32:D50" si="7">(IF(D$27="%w/w SAR",((D$28*10)*$B32),IF(D$27="%w/w DM",(((D$28*10)*($B$28/100))*$B32),IF(D$27="kg/t SAR",(D$28*$B32),IF(D$27="kg/t DM",((D$28*($B$28/100))*$B32),IF(D$27="mg/kg SAR",((D$28*0.001)*$B32),IF(D$27="mg/kg DM",(((D$28*0.001)*($B$28/100))*$B32),"0")))))))*2.291</f>
        <v>116.84100000000001</v>
      </c>
      <c r="E32" s="2">
        <f t="shared" ref="E32:E50" si="8">(IF(E$27="%w/w SAR",((E$28*10)*$B32),IF(E$27="%w/w DM",(((E$28*10)*($B$28/100))*$B32),IF(E$27="kg/t SAR",(E$28*$B32),IF(E$27="kg/t DM",((E$28*($B$28/100))*$B32),IF(E$27="mg/kg SAR",((E$28*0.001)*$B32),IF(E$27="mg/kg DM",(((E$28*0.001)*($B$28/100))*$B32),"0")))))))*1.205</f>
        <v>204.24750000000006</v>
      </c>
      <c r="F32" s="2">
        <f t="shared" ref="F32:F50" si="9">(IF(F$27="%w/w SAR",((F$28*10)*$B32),IF(F$27="%w/w DM",(((F$28*10)*($B$28/100))*$B32),IF(F$27="kg/t SAR",(F$28*$B32),IF(F$27="kg/t DM",((F$28*($B$28/100))*$B32),IF(F$27="mg/kg SAR",((F$28*0.001)*$B32),IF(F$27="mg/kg DM",(((F$28*0.001)*($B$28/100))*$B32),"0")))))))*1.658</f>
        <v>43.522500000000001</v>
      </c>
      <c r="G32" s="2">
        <f t="shared" si="5"/>
        <v>0.38474999999999998</v>
      </c>
      <c r="H32" s="2">
        <f t="shared" si="5"/>
        <v>1.5299999999999998</v>
      </c>
      <c r="I32" s="2">
        <f t="shared" si="5"/>
        <v>3.7499999999999999E-2</v>
      </c>
      <c r="J32" s="2">
        <f t="shared" si="5"/>
        <v>1.0499999999999999E-3</v>
      </c>
      <c r="K32" s="2">
        <f t="shared" si="5"/>
        <v>3.7500000000000003E-3</v>
      </c>
      <c r="L32" s="2">
        <f t="shared" si="5"/>
        <v>2.1000000000000001E-2</v>
      </c>
      <c r="M32" s="2">
        <f t="shared" si="5"/>
        <v>2.2724999999999999E-2</v>
      </c>
      <c r="N32" s="2">
        <f t="shared" si="5"/>
        <v>0</v>
      </c>
      <c r="O32" s="2">
        <f t="shared" si="5"/>
        <v>0</v>
      </c>
      <c r="P32" s="2">
        <f t="shared" si="5"/>
        <v>15</v>
      </c>
      <c r="Q32" s="2">
        <f t="shared" ref="Q32:Q50" si="10">(IF(Q$27="%w/w SAR",((Q$28*10)*$B32),IF(Q$27="%w/w DM",(((Q$28*10)*($B$28/100))*$B32),IF(Q$27="kg/t SAR",(Q$28*$B32),IF(Q$27="kg/t DM",((Q$28*($B$28/100))*$B32),IF(Q$27="mg/kg SAR",((Q$28*0.001)*$B32),IF(Q$27="mg/kg DM",(((Q$28*0.001)*($B$28/100))*$B32),0)))))))*2.5</f>
        <v>43.125</v>
      </c>
      <c r="R32" s="2">
        <f t="shared" ref="R32:U50" si="11">IF(R$27="%w/w SAR",((R$28*10)*$B32),IF(R$27="%w/w DM",(((R$28*10)*($B$28/100))*$B32),IF(R$27="kg/t SAR",(R$28*$B32),IF(R$27="kg/t DM",((R$28*($B$28/100))*$B32),IF(R$27="mg/kg SAR",((R$28*0.001)*$B32),IF(R$27="mg/kg DM",(((R$28*0.001)*($B$28/100))*$B32),0))))))</f>
        <v>0</v>
      </c>
      <c r="S32" s="2">
        <f t="shared" si="11"/>
        <v>3.7499999999999999E-2</v>
      </c>
      <c r="T32" s="2">
        <f t="shared" si="11"/>
        <v>0</v>
      </c>
      <c r="U32" s="2">
        <f t="shared" si="11"/>
        <v>0</v>
      </c>
      <c r="AB32" s="66"/>
      <c r="AC32" s="66"/>
      <c r="AD32" s="66"/>
      <c r="AE32" s="66"/>
      <c r="AF32" s="66"/>
      <c r="AG32" s="66"/>
      <c r="AH32" s="66"/>
      <c r="AI32" s="66"/>
    </row>
    <row r="33" spans="1:35" s="83" customFormat="1" x14ac:dyDescent="0.25">
      <c r="A33" s="21" t="str">
        <f>E8</f>
        <v>C3</v>
      </c>
      <c r="B33" s="23">
        <v>75</v>
      </c>
      <c r="C33" s="2">
        <f t="shared" si="6"/>
        <v>232.5</v>
      </c>
      <c r="D33" s="2">
        <f t="shared" si="7"/>
        <v>116.84100000000001</v>
      </c>
      <c r="E33" s="2">
        <f t="shared" si="8"/>
        <v>204.24750000000006</v>
      </c>
      <c r="F33" s="2">
        <f t="shared" si="9"/>
        <v>43.522500000000001</v>
      </c>
      <c r="G33" s="2">
        <f t="shared" si="5"/>
        <v>0.38474999999999998</v>
      </c>
      <c r="H33" s="2">
        <f t="shared" si="5"/>
        <v>1.5299999999999998</v>
      </c>
      <c r="I33" s="2">
        <f t="shared" si="5"/>
        <v>3.7499999999999999E-2</v>
      </c>
      <c r="J33" s="2">
        <f t="shared" si="5"/>
        <v>1.0499999999999999E-3</v>
      </c>
      <c r="K33" s="2">
        <f t="shared" si="5"/>
        <v>3.7500000000000003E-3</v>
      </c>
      <c r="L33" s="2">
        <f t="shared" si="5"/>
        <v>2.1000000000000001E-2</v>
      </c>
      <c r="M33" s="2">
        <f t="shared" si="5"/>
        <v>2.2724999999999999E-2</v>
      </c>
      <c r="N33" s="2">
        <f t="shared" si="5"/>
        <v>0</v>
      </c>
      <c r="O33" s="2">
        <f t="shared" si="5"/>
        <v>0</v>
      </c>
      <c r="P33" s="2">
        <f t="shared" si="5"/>
        <v>15</v>
      </c>
      <c r="Q33" s="2">
        <f t="shared" si="10"/>
        <v>43.125</v>
      </c>
      <c r="R33" s="2">
        <f t="shared" si="11"/>
        <v>0</v>
      </c>
      <c r="S33" s="2">
        <f t="shared" si="11"/>
        <v>3.7499999999999999E-2</v>
      </c>
      <c r="T33" s="2">
        <f t="shared" si="11"/>
        <v>0</v>
      </c>
      <c r="U33" s="2">
        <f t="shared" si="11"/>
        <v>0</v>
      </c>
      <c r="AB33" s="66"/>
      <c r="AC33" s="66"/>
      <c r="AD33" s="66"/>
      <c r="AE33" s="66"/>
      <c r="AF33" s="66"/>
      <c r="AG33" s="66"/>
      <c r="AH33" s="66"/>
      <c r="AI33" s="66"/>
    </row>
    <row r="34" spans="1:35" s="83" customFormat="1" x14ac:dyDescent="0.25">
      <c r="A34" s="21">
        <f>F8</f>
        <v>1</v>
      </c>
      <c r="B34" s="23">
        <v>70</v>
      </c>
      <c r="C34" s="2">
        <f t="shared" si="6"/>
        <v>217</v>
      </c>
      <c r="D34" s="2">
        <f t="shared" si="7"/>
        <v>109.05159999999999</v>
      </c>
      <c r="E34" s="2">
        <f t="shared" si="8"/>
        <v>190.63100000000003</v>
      </c>
      <c r="F34" s="2">
        <f t="shared" si="9"/>
        <v>40.621000000000002</v>
      </c>
      <c r="G34" s="2">
        <f t="shared" si="5"/>
        <v>0.35909999999999997</v>
      </c>
      <c r="H34" s="2">
        <f t="shared" si="5"/>
        <v>1.4279999999999999</v>
      </c>
      <c r="I34" s="2">
        <f t="shared" si="5"/>
        <v>3.5000000000000003E-2</v>
      </c>
      <c r="J34" s="2">
        <f t="shared" si="5"/>
        <v>9.7999999999999997E-4</v>
      </c>
      <c r="K34" s="2">
        <f t="shared" si="5"/>
        <v>3.5000000000000001E-3</v>
      </c>
      <c r="L34" s="2">
        <f t="shared" si="5"/>
        <v>1.9600000000000003E-2</v>
      </c>
      <c r="M34" s="2">
        <f t="shared" si="5"/>
        <v>2.121E-2</v>
      </c>
      <c r="N34" s="2">
        <f t="shared" si="5"/>
        <v>0</v>
      </c>
      <c r="O34" s="2">
        <f t="shared" si="5"/>
        <v>0</v>
      </c>
      <c r="P34" s="2">
        <f t="shared" si="5"/>
        <v>14</v>
      </c>
      <c r="Q34" s="2">
        <f t="shared" si="10"/>
        <v>40.249999999999993</v>
      </c>
      <c r="R34" s="2">
        <f t="shared" si="11"/>
        <v>0</v>
      </c>
      <c r="S34" s="2">
        <f t="shared" si="11"/>
        <v>3.5000000000000003E-2</v>
      </c>
      <c r="T34" s="2">
        <f t="shared" si="11"/>
        <v>0</v>
      </c>
      <c r="U34" s="2">
        <f t="shared" si="11"/>
        <v>0</v>
      </c>
      <c r="AB34" s="66"/>
      <c r="AC34" s="66"/>
      <c r="AD34" s="66"/>
      <c r="AE34" s="66"/>
      <c r="AF34" s="66"/>
      <c r="AG34" s="66"/>
      <c r="AH34" s="66"/>
      <c r="AI34" s="66"/>
    </row>
    <row r="35" spans="1:35" s="83" customFormat="1" x14ac:dyDescent="0.25">
      <c r="A35" s="21">
        <f>G8</f>
        <v>2</v>
      </c>
      <c r="B35" s="23">
        <v>70</v>
      </c>
      <c r="C35" s="2">
        <f t="shared" si="6"/>
        <v>217</v>
      </c>
      <c r="D35" s="2">
        <f t="shared" si="7"/>
        <v>109.05159999999999</v>
      </c>
      <c r="E35" s="2">
        <f t="shared" si="8"/>
        <v>190.63100000000003</v>
      </c>
      <c r="F35" s="2">
        <f t="shared" si="9"/>
        <v>40.621000000000002</v>
      </c>
      <c r="G35" s="2">
        <f t="shared" si="5"/>
        <v>0.35909999999999997</v>
      </c>
      <c r="H35" s="2">
        <f t="shared" si="5"/>
        <v>1.4279999999999999</v>
      </c>
      <c r="I35" s="2">
        <f t="shared" si="5"/>
        <v>3.5000000000000003E-2</v>
      </c>
      <c r="J35" s="2">
        <f t="shared" si="5"/>
        <v>9.7999999999999997E-4</v>
      </c>
      <c r="K35" s="2">
        <f t="shared" si="5"/>
        <v>3.5000000000000001E-3</v>
      </c>
      <c r="L35" s="2">
        <f t="shared" si="5"/>
        <v>1.9600000000000003E-2</v>
      </c>
      <c r="M35" s="2">
        <f t="shared" si="5"/>
        <v>2.121E-2</v>
      </c>
      <c r="N35" s="2">
        <f t="shared" si="5"/>
        <v>0</v>
      </c>
      <c r="O35" s="2">
        <f t="shared" si="5"/>
        <v>0</v>
      </c>
      <c r="P35" s="2">
        <f t="shared" si="5"/>
        <v>14</v>
      </c>
      <c r="Q35" s="2">
        <f t="shared" si="10"/>
        <v>40.249999999999993</v>
      </c>
      <c r="R35" s="2">
        <f t="shared" si="11"/>
        <v>0</v>
      </c>
      <c r="S35" s="2">
        <f t="shared" si="11"/>
        <v>3.5000000000000003E-2</v>
      </c>
      <c r="T35" s="2">
        <f t="shared" si="11"/>
        <v>0</v>
      </c>
      <c r="U35" s="2">
        <f t="shared" si="11"/>
        <v>0</v>
      </c>
      <c r="AB35" s="66"/>
      <c r="AC35" s="66"/>
      <c r="AD35" s="66"/>
      <c r="AE35" s="66"/>
      <c r="AF35" s="66"/>
      <c r="AG35" s="66"/>
      <c r="AH35" s="66"/>
      <c r="AI35" s="66"/>
    </row>
    <row r="36" spans="1:35" s="83" customFormat="1" x14ac:dyDescent="0.25">
      <c r="A36" s="21">
        <f>H8</f>
        <v>3</v>
      </c>
      <c r="B36" s="23">
        <v>40</v>
      </c>
      <c r="C36" s="2">
        <f t="shared" si="6"/>
        <v>124</v>
      </c>
      <c r="D36" s="2">
        <f t="shared" si="7"/>
        <v>62.315200000000004</v>
      </c>
      <c r="E36" s="2">
        <f t="shared" si="8"/>
        <v>108.93200000000002</v>
      </c>
      <c r="F36" s="2">
        <f t="shared" si="9"/>
        <v>23.212000000000003</v>
      </c>
      <c r="G36" s="2">
        <f t="shared" si="5"/>
        <v>0.20519999999999999</v>
      </c>
      <c r="H36" s="2">
        <f t="shared" si="5"/>
        <v>0.81599999999999995</v>
      </c>
      <c r="I36" s="2">
        <f t="shared" si="5"/>
        <v>0.02</v>
      </c>
      <c r="J36" s="2">
        <f t="shared" si="5"/>
        <v>5.5999999999999995E-4</v>
      </c>
      <c r="K36" s="2">
        <f t="shared" si="5"/>
        <v>2E-3</v>
      </c>
      <c r="L36" s="2">
        <f t="shared" si="5"/>
        <v>1.1200000000000002E-2</v>
      </c>
      <c r="M36" s="2">
        <f t="shared" si="5"/>
        <v>1.2119999999999999E-2</v>
      </c>
      <c r="N36" s="2">
        <f t="shared" si="5"/>
        <v>0</v>
      </c>
      <c r="O36" s="2">
        <f t="shared" si="5"/>
        <v>0</v>
      </c>
      <c r="P36" s="2">
        <f t="shared" si="5"/>
        <v>8</v>
      </c>
      <c r="Q36" s="2">
        <f t="shared" si="10"/>
        <v>23</v>
      </c>
      <c r="R36" s="2">
        <f t="shared" si="11"/>
        <v>0</v>
      </c>
      <c r="S36" s="2">
        <f t="shared" si="11"/>
        <v>0.02</v>
      </c>
      <c r="T36" s="2">
        <f t="shared" si="11"/>
        <v>0</v>
      </c>
      <c r="U36" s="2">
        <f t="shared" si="11"/>
        <v>0</v>
      </c>
      <c r="AB36" s="66"/>
      <c r="AC36" s="66"/>
      <c r="AD36" s="66"/>
      <c r="AE36" s="66"/>
      <c r="AF36" s="66"/>
      <c r="AG36" s="66"/>
      <c r="AH36" s="66"/>
      <c r="AI36" s="66"/>
    </row>
    <row r="37" spans="1:35" s="83" customFormat="1" x14ac:dyDescent="0.25">
      <c r="A37" s="21">
        <f>I8</f>
        <v>4</v>
      </c>
      <c r="B37" s="23">
        <v>70</v>
      </c>
      <c r="C37" s="2">
        <f t="shared" si="6"/>
        <v>217</v>
      </c>
      <c r="D37" s="2">
        <f t="shared" si="7"/>
        <v>109.05159999999999</v>
      </c>
      <c r="E37" s="2">
        <f t="shared" si="8"/>
        <v>190.63100000000003</v>
      </c>
      <c r="F37" s="2">
        <f t="shared" si="9"/>
        <v>40.621000000000002</v>
      </c>
      <c r="G37" s="2">
        <f t="shared" si="5"/>
        <v>0.35909999999999997</v>
      </c>
      <c r="H37" s="2">
        <f t="shared" si="5"/>
        <v>1.4279999999999999</v>
      </c>
      <c r="I37" s="2">
        <f t="shared" si="5"/>
        <v>3.5000000000000003E-2</v>
      </c>
      <c r="J37" s="2">
        <f t="shared" si="5"/>
        <v>9.7999999999999997E-4</v>
      </c>
      <c r="K37" s="2">
        <f t="shared" si="5"/>
        <v>3.5000000000000001E-3</v>
      </c>
      <c r="L37" s="2">
        <f t="shared" si="5"/>
        <v>1.9600000000000003E-2</v>
      </c>
      <c r="M37" s="2">
        <f t="shared" si="5"/>
        <v>2.121E-2</v>
      </c>
      <c r="N37" s="2">
        <f t="shared" si="5"/>
        <v>0</v>
      </c>
      <c r="O37" s="2">
        <f t="shared" si="5"/>
        <v>0</v>
      </c>
      <c r="P37" s="2">
        <f t="shared" si="5"/>
        <v>14</v>
      </c>
      <c r="Q37" s="2">
        <f t="shared" si="10"/>
        <v>40.249999999999993</v>
      </c>
      <c r="R37" s="2">
        <f t="shared" si="11"/>
        <v>0</v>
      </c>
      <c r="S37" s="2">
        <f t="shared" si="11"/>
        <v>3.5000000000000003E-2</v>
      </c>
      <c r="T37" s="2">
        <f t="shared" si="11"/>
        <v>0</v>
      </c>
      <c r="U37" s="2">
        <f t="shared" si="11"/>
        <v>0</v>
      </c>
      <c r="AB37" s="66"/>
      <c r="AC37" s="66"/>
      <c r="AD37" s="66"/>
      <c r="AE37" s="66"/>
      <c r="AF37" s="66"/>
      <c r="AG37" s="66"/>
      <c r="AH37" s="66"/>
      <c r="AI37" s="66"/>
    </row>
    <row r="38" spans="1:35" s="83" customFormat="1" x14ac:dyDescent="0.25">
      <c r="A38" s="21">
        <f>J8</f>
        <v>5</v>
      </c>
      <c r="B38" s="23">
        <v>70</v>
      </c>
      <c r="C38" s="2">
        <f t="shared" si="6"/>
        <v>217</v>
      </c>
      <c r="D38" s="2">
        <f t="shared" si="7"/>
        <v>109.05159999999999</v>
      </c>
      <c r="E38" s="2">
        <f t="shared" si="8"/>
        <v>190.63100000000003</v>
      </c>
      <c r="F38" s="2">
        <f t="shared" si="9"/>
        <v>40.621000000000002</v>
      </c>
      <c r="G38" s="2">
        <f t="shared" si="5"/>
        <v>0.35909999999999997</v>
      </c>
      <c r="H38" s="2">
        <f t="shared" si="5"/>
        <v>1.4279999999999999</v>
      </c>
      <c r="I38" s="2">
        <f t="shared" si="5"/>
        <v>3.5000000000000003E-2</v>
      </c>
      <c r="J38" s="2">
        <f t="shared" si="5"/>
        <v>9.7999999999999997E-4</v>
      </c>
      <c r="K38" s="2">
        <f t="shared" si="5"/>
        <v>3.5000000000000001E-3</v>
      </c>
      <c r="L38" s="2">
        <f t="shared" si="5"/>
        <v>1.9600000000000003E-2</v>
      </c>
      <c r="M38" s="2">
        <f t="shared" si="5"/>
        <v>2.121E-2</v>
      </c>
      <c r="N38" s="2">
        <f t="shared" si="5"/>
        <v>0</v>
      </c>
      <c r="O38" s="2">
        <f t="shared" si="5"/>
        <v>0</v>
      </c>
      <c r="P38" s="2">
        <f t="shared" si="5"/>
        <v>14</v>
      </c>
      <c r="Q38" s="2">
        <f t="shared" si="10"/>
        <v>40.249999999999993</v>
      </c>
      <c r="R38" s="2">
        <f t="shared" si="11"/>
        <v>0</v>
      </c>
      <c r="S38" s="2">
        <f t="shared" si="11"/>
        <v>3.5000000000000003E-2</v>
      </c>
      <c r="T38" s="2">
        <f t="shared" si="11"/>
        <v>0</v>
      </c>
      <c r="U38" s="2">
        <f t="shared" si="11"/>
        <v>0</v>
      </c>
      <c r="AB38" s="66"/>
      <c r="AC38" s="66"/>
      <c r="AD38" s="66"/>
      <c r="AE38" s="66"/>
      <c r="AF38" s="66"/>
      <c r="AG38" s="66"/>
      <c r="AH38" s="66"/>
      <c r="AI38" s="66"/>
    </row>
    <row r="39" spans="1:35" s="83" customFormat="1" x14ac:dyDescent="0.25">
      <c r="A39" s="21">
        <f>K8</f>
        <v>6</v>
      </c>
      <c r="B39" s="23">
        <v>70</v>
      </c>
      <c r="C39" s="2">
        <f t="shared" si="6"/>
        <v>217</v>
      </c>
      <c r="D39" s="2">
        <f t="shared" si="7"/>
        <v>109.05159999999999</v>
      </c>
      <c r="E39" s="2">
        <f t="shared" si="8"/>
        <v>190.63100000000003</v>
      </c>
      <c r="F39" s="2">
        <f t="shared" si="9"/>
        <v>40.621000000000002</v>
      </c>
      <c r="G39" s="2">
        <f t="shared" si="5"/>
        <v>0.35909999999999997</v>
      </c>
      <c r="H39" s="2">
        <f t="shared" si="5"/>
        <v>1.4279999999999999</v>
      </c>
      <c r="I39" s="2">
        <f t="shared" si="5"/>
        <v>3.5000000000000003E-2</v>
      </c>
      <c r="J39" s="2">
        <f t="shared" si="5"/>
        <v>9.7999999999999997E-4</v>
      </c>
      <c r="K39" s="2">
        <f t="shared" si="5"/>
        <v>3.5000000000000001E-3</v>
      </c>
      <c r="L39" s="2">
        <f t="shared" si="5"/>
        <v>1.9600000000000003E-2</v>
      </c>
      <c r="M39" s="2">
        <f t="shared" si="5"/>
        <v>2.121E-2</v>
      </c>
      <c r="N39" s="2">
        <f t="shared" si="5"/>
        <v>0</v>
      </c>
      <c r="O39" s="2">
        <f t="shared" si="5"/>
        <v>0</v>
      </c>
      <c r="P39" s="2">
        <f t="shared" si="5"/>
        <v>14</v>
      </c>
      <c r="Q39" s="2">
        <f t="shared" si="10"/>
        <v>40.249999999999993</v>
      </c>
      <c r="R39" s="2">
        <f t="shared" si="11"/>
        <v>0</v>
      </c>
      <c r="S39" s="2">
        <f t="shared" si="11"/>
        <v>3.5000000000000003E-2</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C1</v>
      </c>
      <c r="C57" s="16" t="str">
        <f t="shared" ref="C57:U57" si="13">D8</f>
        <v>C2</v>
      </c>
      <c r="D57" s="16" t="str">
        <f t="shared" si="13"/>
        <v>C3</v>
      </c>
      <c r="E57" s="16">
        <f t="shared" si="13"/>
        <v>1</v>
      </c>
      <c r="F57" s="16">
        <f t="shared" si="13"/>
        <v>2</v>
      </c>
      <c r="G57" s="16">
        <f t="shared" si="13"/>
        <v>3</v>
      </c>
      <c r="H57" s="16">
        <f t="shared" si="13"/>
        <v>4</v>
      </c>
      <c r="I57" s="16">
        <f t="shared" si="13"/>
        <v>5</v>
      </c>
      <c r="J57" s="16">
        <f t="shared" si="13"/>
        <v>6</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"&amp;(VLOOKUP(C14,Table24581112[],6,FALSE))</f>
        <v>Medium/Clay I Grass</v>
      </c>
      <c r="C58" s="44" t="str">
        <f>D16&amp;" I "&amp;(VLOOKUP(D14,Table24581112[],6,FALSE))</f>
        <v>Medium/Clay I Grass</v>
      </c>
      <c r="D58" s="21" t="str">
        <f>E16&amp;" I "&amp;(VLOOKUP(E14,Table24581112[],6,FALSE))</f>
        <v>Medium/Clay I Grass</v>
      </c>
      <c r="E58" s="21" t="str">
        <f>F16&amp;" I "&amp;(VLOOKUP(F14,Table24581112[],6,FALSE))</f>
        <v>Medium/Clay I Grass</v>
      </c>
      <c r="F58" s="21" t="str">
        <f>G16&amp;" I "&amp;(VLOOKUP(G14,Table24581112[],6,FALSE))</f>
        <v>Medium/Clay I Grass</v>
      </c>
      <c r="G58" s="21" t="str">
        <f>H16&amp;" I "&amp;(VLOOKUP(H14,Table24581112[],6,FALSE))</f>
        <v>Medium/Clay I Arable</v>
      </c>
      <c r="H58" s="21" t="str">
        <f>I16&amp;" I "&amp;(VLOOKUP(I14,Table24581112[],6,FALSE))</f>
        <v>Medium/Clay I Grass</v>
      </c>
      <c r="I58" s="21" t="str">
        <f>J16&amp;" I "&amp;(VLOOKUP(J14,Table24581112[],6,FALSE))</f>
        <v>Medium/Clay I Grass</v>
      </c>
      <c r="J58" s="21" t="str">
        <f>K16&amp;" I "&amp;(VLOOKUP(K14,Table24581112[],6,FALSE))</f>
        <v>Medium/Clay I Grass</v>
      </c>
      <c r="K58" s="21" t="e">
        <f>L16&amp;" I "&amp;(VLOOKUP(L14,Table24581112[],6,FALSE))</f>
        <v>#N/A</v>
      </c>
      <c r="L58" s="21" t="e">
        <f>M16&amp;" I "&amp;(VLOOKUP(M14,Table24581112[],6,FALSE))</f>
        <v>#N/A</v>
      </c>
      <c r="M58" s="21" t="e">
        <f>N16&amp;" I "&amp;(VLOOKUP(N14,Table24581112[],6,FALSE))</f>
        <v>#N/A</v>
      </c>
      <c r="N58" s="21" t="e">
        <f>O16&amp;" I "&amp;(VLOOKUP(O14,Table24581112[],6,FALSE))</f>
        <v>#N/A</v>
      </c>
      <c r="O58" s="21" t="e">
        <f>P16&amp;" I "&amp;(VLOOKUP(P14,Table24581112[],6,FALSE))</f>
        <v>#N/A</v>
      </c>
      <c r="P58" s="21" t="e">
        <f>Q16&amp;" I "&amp;(VLOOKUP(Q14,Table24581112[],6,FALSE))</f>
        <v>#N/A</v>
      </c>
      <c r="Q58" s="21" t="e">
        <f>R16&amp;" I "&amp;(VLOOKUP(R14,Table24581112[],6,FALSE))</f>
        <v>#N/A</v>
      </c>
      <c r="R58" s="21" t="e">
        <f>S16&amp;" I "&amp;(VLOOKUP(S14,Table24581112[],6,FALSE))</f>
        <v>#N/A</v>
      </c>
      <c r="S58" s="21" t="e">
        <f>T16&amp;" I "&amp;(VLOOKUP(T14,Table24581112[],6,FALSE))</f>
        <v>#N/A</v>
      </c>
      <c r="T58" s="21" t="e">
        <f>U16&amp;" I "&amp;(VLOOKUP(U14,Table24581112[],6,FALSE))</f>
        <v>#N/A</v>
      </c>
      <c r="U58" s="21" t="e">
        <f>V16&amp;" I "&amp;(VLOOKUP(V14,Table24581112[],6,FALSE))</f>
        <v>#N/A</v>
      </c>
    </row>
    <row r="59" spans="1:35" s="27" customFormat="1" hidden="1" x14ac:dyDescent="0.2">
      <c r="A59" s="92" t="s">
        <v>130</v>
      </c>
      <c r="B59" s="93">
        <f>VLOOKUP(C$14,Table24581112[],5,FALSE)</f>
        <v>6.2</v>
      </c>
      <c r="C59" s="93">
        <f>VLOOKUP(D$14,Table24581112[],5,FALSE)</f>
        <v>6.2</v>
      </c>
      <c r="D59" s="93">
        <f>VLOOKUP(E$14,Table24581112[],5,FALSE)</f>
        <v>6.2</v>
      </c>
      <c r="E59" s="93">
        <f>VLOOKUP(F$14,Table24581112[],5,FALSE)</f>
        <v>6.2</v>
      </c>
      <c r="F59" s="93">
        <f>VLOOKUP(G$14,Table24581112[],5,FALSE)</f>
        <v>6.2</v>
      </c>
      <c r="G59" s="93">
        <f>VLOOKUP(H$14,Table24581112[],5,FALSE)</f>
        <v>6.7</v>
      </c>
      <c r="H59" s="93">
        <f>VLOOKUP(I$14,Table24581112[],5,FALSE)</f>
        <v>6.2</v>
      </c>
      <c r="I59" s="93">
        <f>VLOOKUP(J$14,Table24581112[],5,FALSE)</f>
        <v>6.2</v>
      </c>
      <c r="J59" s="93">
        <f>VLOOKUP(K$14,Table24581112[],5,FALSE)</f>
        <v>6.2</v>
      </c>
      <c r="K59" s="93" t="e">
        <f>VLOOKUP(L$14,Table24581112[],5,FALSE)</f>
        <v>#N/A</v>
      </c>
      <c r="L59" s="93" t="e">
        <f>VLOOKUP(M$14,Table24581112[],5,FALSE)</f>
        <v>#N/A</v>
      </c>
      <c r="M59" s="93" t="e">
        <f>VLOOKUP(N$14,Table24581112[],5,FALSE)</f>
        <v>#N/A</v>
      </c>
      <c r="N59" s="93" t="e">
        <f>VLOOKUP(O$14,Table24581112[],5,FALSE)</f>
        <v>#N/A</v>
      </c>
      <c r="O59" s="93" t="e">
        <f>VLOOKUP(P$14,Table24581112[],5,FALSE)</f>
        <v>#N/A</v>
      </c>
      <c r="P59" s="93" t="e">
        <f>VLOOKUP(Q$14,Table24581112[],5,FALSE)</f>
        <v>#N/A</v>
      </c>
      <c r="Q59" s="93" t="e">
        <f>VLOOKUP(R$14,Table24581112[],5,FALSE)</f>
        <v>#N/A</v>
      </c>
      <c r="R59" s="93" t="e">
        <f>VLOOKUP(S$14,Table24581112[],5,FALSE)</f>
        <v>#N/A</v>
      </c>
      <c r="S59" s="93" t="e">
        <f>VLOOKUP(T$14,Table24581112[],5,FALSE)</f>
        <v>#N/A</v>
      </c>
      <c r="T59" s="93" t="e">
        <f>VLOOKUP(U$14,Table24581112[],5,FALSE)</f>
        <v>#N/A</v>
      </c>
      <c r="U59" s="93" t="e">
        <f>VLOOKUP(V$14,Table24581112[],5,FALSE)</f>
        <v>#N/A</v>
      </c>
    </row>
    <row r="60" spans="1:35" s="27" customFormat="1" hidden="1" x14ac:dyDescent="0.2">
      <c r="A60" s="92" t="s">
        <v>4</v>
      </c>
      <c r="B60" s="93">
        <f>C10</f>
        <v>5.3</v>
      </c>
      <c r="C60" s="93">
        <f t="shared" ref="C60:U60" si="14">D10</f>
        <v>5.2</v>
      </c>
      <c r="D60" s="93">
        <f t="shared" si="14"/>
        <v>5.7</v>
      </c>
      <c r="E60" s="93">
        <f t="shared" si="14"/>
        <v>5.5</v>
      </c>
      <c r="F60" s="93">
        <f t="shared" si="14"/>
        <v>5.6</v>
      </c>
      <c r="G60" s="93">
        <f t="shared" si="14"/>
        <v>5.3</v>
      </c>
      <c r="H60" s="93">
        <f t="shared" si="14"/>
        <v>5.7</v>
      </c>
      <c r="I60" s="93">
        <f t="shared" si="14"/>
        <v>5.5</v>
      </c>
      <c r="J60" s="93">
        <f t="shared" si="14"/>
        <v>5.9</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6</v>
      </c>
      <c r="I61" s="93">
        <f t="shared" si="15"/>
        <v>6</v>
      </c>
      <c r="J61" s="93">
        <f t="shared" si="15"/>
        <v>6</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75</v>
      </c>
      <c r="C62" s="94">
        <f>B32</f>
        <v>75</v>
      </c>
      <c r="D62" s="94">
        <f>B33</f>
        <v>75</v>
      </c>
      <c r="E62" s="94">
        <f>B34</f>
        <v>70</v>
      </c>
      <c r="F62" s="94">
        <f>B35</f>
        <v>70</v>
      </c>
      <c r="G62" s="94">
        <f>B36</f>
        <v>40</v>
      </c>
      <c r="H62" s="94">
        <f>B37</f>
        <v>70</v>
      </c>
      <c r="I62" s="94">
        <f>B38</f>
        <v>70</v>
      </c>
      <c r="J62" s="94">
        <f>B39</f>
        <v>70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5.4000000000000021</v>
      </c>
      <c r="C64" s="94">
        <f t="shared" ref="C64:U64" si="17">(C59-C60)*C61</f>
        <v>6</v>
      </c>
      <c r="D64" s="94">
        <f t="shared" si="17"/>
        <v>3</v>
      </c>
      <c r="E64" s="94">
        <f t="shared" si="17"/>
        <v>4.2000000000000011</v>
      </c>
      <c r="F64" s="94">
        <f t="shared" si="17"/>
        <v>3.6000000000000032</v>
      </c>
      <c r="G64" s="94">
        <f t="shared" si="17"/>
        <v>11.200000000000003</v>
      </c>
      <c r="H64" s="94">
        <f t="shared" si="17"/>
        <v>3</v>
      </c>
      <c r="I64" s="94">
        <f t="shared" si="17"/>
        <v>4.2000000000000011</v>
      </c>
      <c r="J64" s="94">
        <f t="shared" si="17"/>
        <v>1.7999999999999989</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77" priority="29" operator="equal">
      <formula>"DECREASE"</formula>
    </cfRule>
    <cfRule type="cellIs" dxfId="76" priority="30" operator="equal">
      <formula>"INCREASE"</formula>
    </cfRule>
  </conditionalFormatting>
  <conditionalFormatting sqref="B62:U65 B31:B50">
    <cfRule type="cellIs" dxfId="75" priority="28" operator="greaterThan">
      <formula>$B$51</formula>
    </cfRule>
  </conditionalFormatting>
  <conditionalFormatting sqref="C31:C50">
    <cfRule type="cellIs" dxfId="74" priority="27" operator="greaterThan">
      <formula>$C$51</formula>
    </cfRule>
  </conditionalFormatting>
  <conditionalFormatting sqref="C18:V18">
    <cfRule type="cellIs" dxfId="73" priority="26" operator="equal">
      <formula>0</formula>
    </cfRule>
  </conditionalFormatting>
  <conditionalFormatting sqref="C17:V17">
    <cfRule type="cellIs" dxfId="72" priority="25" operator="equal">
      <formula>0</formula>
    </cfRule>
  </conditionalFormatting>
  <conditionalFormatting sqref="C19:V19">
    <cfRule type="cellIs" dxfId="71" priority="24" operator="equal">
      <formula>0</formula>
    </cfRule>
  </conditionalFormatting>
  <conditionalFormatting sqref="G31:G50">
    <cfRule type="cellIs" dxfId="70" priority="23" operator="greaterThan">
      <formula>$G$51</formula>
    </cfRule>
  </conditionalFormatting>
  <conditionalFormatting sqref="H31:H50">
    <cfRule type="cellIs" dxfId="69" priority="22" operator="greaterThan">
      <formula>$H$51</formula>
    </cfRule>
  </conditionalFormatting>
  <conditionalFormatting sqref="I31:I50">
    <cfRule type="cellIs" dxfId="68" priority="21" operator="greaterThan">
      <formula>$I$51</formula>
    </cfRule>
  </conditionalFormatting>
  <conditionalFormatting sqref="K31:K50">
    <cfRule type="cellIs" dxfId="67" priority="20" operator="greaterThan">
      <formula>$K$51</formula>
    </cfRule>
  </conditionalFormatting>
  <conditionalFormatting sqref="L31:L50">
    <cfRule type="cellIs" dxfId="66" priority="19" operator="greaterThan">
      <formula>$L$51</formula>
    </cfRule>
  </conditionalFormatting>
  <conditionalFormatting sqref="M31:M50">
    <cfRule type="cellIs" dxfId="65" priority="18" operator="greaterThan">
      <formula>$M$51</formula>
    </cfRule>
  </conditionalFormatting>
  <conditionalFormatting sqref="P31:P50">
    <cfRule type="cellIs" dxfId="64" priority="17" operator="greaterThan">
      <formula>$P$51</formula>
    </cfRule>
  </conditionalFormatting>
  <conditionalFormatting sqref="R31:R50">
    <cfRule type="cellIs" dxfId="63" priority="16" operator="greaterThan">
      <formula>$R$51</formula>
    </cfRule>
  </conditionalFormatting>
  <conditionalFormatting sqref="S31:S50">
    <cfRule type="cellIs" dxfId="62" priority="15" operator="greaterThan">
      <formula>$S$51</formula>
    </cfRule>
  </conditionalFormatting>
  <conditionalFormatting sqref="T31:T50">
    <cfRule type="cellIs" dxfId="61" priority="14" operator="greaterThan">
      <formula>$T$51</formula>
    </cfRule>
  </conditionalFormatting>
  <conditionalFormatting sqref="U31:U50">
    <cfRule type="cellIs" dxfId="60" priority="13" operator="greaterThan">
      <formula>$U$51</formula>
    </cfRule>
  </conditionalFormatting>
  <conditionalFormatting sqref="C22:V22">
    <cfRule type="cellIs" dxfId="59" priority="12" operator="equal">
      <formula>0</formula>
    </cfRule>
  </conditionalFormatting>
  <conditionalFormatting sqref="C24:V24">
    <cfRule type="cellIs" dxfId="58" priority="10" operator="equal">
      <formula>"DECREASE"</formula>
    </cfRule>
    <cfRule type="cellIs" dxfId="57" priority="11" operator="equal">
      <formula>"INCREASE"</formula>
    </cfRule>
  </conditionalFormatting>
  <conditionalFormatting sqref="C23:V23">
    <cfRule type="cellIs" dxfId="56" priority="9" operator="equal">
      <formula>0</formula>
    </cfRule>
  </conditionalFormatting>
  <conditionalFormatting sqref="I1">
    <cfRule type="cellIs" dxfId="55" priority="8" operator="lessThan">
      <formula>5</formula>
    </cfRule>
  </conditionalFormatting>
  <conditionalFormatting sqref="C21:V21">
    <cfRule type="cellIs" dxfId="54" priority="5" operator="equal">
      <formula>0</formula>
    </cfRule>
  </conditionalFormatting>
  <conditionalFormatting sqref="B65:U65">
    <cfRule type="cellIs" dxfId="53" priority="3" operator="equal">
      <formula>"UNDER"</formula>
    </cfRule>
    <cfRule type="cellIs" dxfId="52" priority="4" operator="equal">
      <formula>"OVER"</formula>
    </cfRule>
  </conditionalFormatting>
  <conditionalFormatting sqref="I2">
    <cfRule type="cellIs" dxfId="51" priority="2" operator="greaterThan">
      <formula>5000.1</formula>
    </cfRule>
  </conditionalFormatting>
  <conditionalFormatting sqref="I3">
    <cfRule type="cellIs" dxfId="50" priority="1" operator="greaterThan">
      <formula>4.1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zoomScale="95" zoomScaleNormal="95" workbookViewId="0">
      <selection activeCell="H19" sqref="H19"/>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x14ac:dyDescent="0.2">
      <c r="A1" s="110" t="s">
        <v>41</v>
      </c>
      <c r="B1" s="110"/>
      <c r="C1" s="126" t="str">
        <f>'Field data and Waste 1'!C1:D1</f>
        <v>PAN-010907</v>
      </c>
      <c r="D1" s="127"/>
      <c r="E1" s="37" t="s">
        <v>45</v>
      </c>
      <c r="F1" s="46">
        <f>'Field data and Waste 1'!F1</f>
        <v>50</v>
      </c>
      <c r="G1" s="122" t="s">
        <v>43</v>
      </c>
      <c r="H1" s="123"/>
      <c r="I1" s="35">
        <v>7.5</v>
      </c>
      <c r="AB1" s="26"/>
      <c r="AC1" s="26"/>
      <c r="AD1" s="43" t="s">
        <v>124</v>
      </c>
      <c r="AE1" s="25"/>
      <c r="AF1" s="25"/>
      <c r="AG1" s="26"/>
      <c r="AH1" s="26"/>
      <c r="AI1" s="47" t="s">
        <v>79</v>
      </c>
      <c r="AJ1" s="48" t="s">
        <v>91</v>
      </c>
      <c r="AK1" s="49" t="s">
        <v>92</v>
      </c>
      <c r="AL1" s="50" t="s">
        <v>123</v>
      </c>
      <c r="AM1" s="50" t="s">
        <v>129</v>
      </c>
      <c r="AN1" s="50" t="s">
        <v>109</v>
      </c>
    </row>
    <row r="2" spans="1:41" x14ac:dyDescent="0.2">
      <c r="A2" s="110" t="s">
        <v>84</v>
      </c>
      <c r="B2" s="110"/>
      <c r="C2" s="128" t="str">
        <f>'Field data and Waste 1'!C2:D2</f>
        <v>EPR-JB3533RJ</v>
      </c>
      <c r="D2" s="129"/>
      <c r="E2" s="37" t="s">
        <v>106</v>
      </c>
      <c r="F2" s="35" t="s">
        <v>168</v>
      </c>
      <c r="G2" s="124" t="s">
        <v>107</v>
      </c>
      <c r="H2" s="125"/>
      <c r="I2" s="35">
        <v>79</v>
      </c>
      <c r="AB2" s="43" t="s">
        <v>56</v>
      </c>
      <c r="AC2" s="25"/>
      <c r="AD2" s="43" t="s">
        <v>70</v>
      </c>
      <c r="AE2" s="25"/>
      <c r="AF2" s="25"/>
      <c r="AG2" s="51" t="s">
        <v>76</v>
      </c>
      <c r="AH2" s="26"/>
      <c r="AI2" s="52" t="s">
        <v>124</v>
      </c>
      <c r="AJ2" s="53">
        <v>0</v>
      </c>
      <c r="AK2" s="54">
        <v>0</v>
      </c>
      <c r="AL2" s="18">
        <v>0</v>
      </c>
      <c r="AM2" s="19">
        <v>0</v>
      </c>
      <c r="AN2" s="19">
        <v>0</v>
      </c>
    </row>
    <row r="3" spans="1:41" x14ac:dyDescent="0.2">
      <c r="A3" s="111" t="s">
        <v>42</v>
      </c>
      <c r="B3" s="112"/>
      <c r="C3" s="128" t="str">
        <f>'Field data and Waste 1'!C3:D3</f>
        <v>Simon Jones</v>
      </c>
      <c r="D3" s="129"/>
      <c r="E3" s="37" t="s">
        <v>105</v>
      </c>
      <c r="F3" s="45" t="s">
        <v>78</v>
      </c>
      <c r="G3" s="122" t="s">
        <v>108</v>
      </c>
      <c r="H3" s="123"/>
      <c r="I3" s="35">
        <v>7.1999999999999995E-2</v>
      </c>
      <c r="AB3" s="43" t="s">
        <v>57</v>
      </c>
      <c r="AC3" s="25"/>
      <c r="AD3" s="43" t="s">
        <v>71</v>
      </c>
      <c r="AE3" s="25"/>
      <c r="AF3" s="25"/>
      <c r="AG3" s="51" t="s">
        <v>77</v>
      </c>
      <c r="AH3" s="26"/>
      <c r="AI3" s="55" t="s">
        <v>111</v>
      </c>
      <c r="AJ3" s="56">
        <v>1.7</v>
      </c>
      <c r="AK3" s="57">
        <v>6</v>
      </c>
      <c r="AL3" s="58">
        <v>1</v>
      </c>
      <c r="AM3" s="19">
        <v>6.2</v>
      </c>
      <c r="AN3" s="19" t="s">
        <v>110</v>
      </c>
    </row>
    <row r="4" spans="1:41" x14ac:dyDescent="0.2">
      <c r="A4" s="110" t="s">
        <v>0</v>
      </c>
      <c r="B4" s="110"/>
      <c r="C4" s="126" t="str">
        <f>'Field data and Waste 1'!C4:D4</f>
        <v>Land at Carreglywd, Llandrygan, Llanerchymedd, Anglesey, LL65 4PA</v>
      </c>
      <c r="D4" s="127"/>
      <c r="E4" s="38" t="s">
        <v>1</v>
      </c>
      <c r="F4" s="35" t="s">
        <v>169</v>
      </c>
      <c r="G4" s="122"/>
      <c r="H4" s="123"/>
      <c r="I4" s="46"/>
      <c r="AB4" s="43" t="s">
        <v>52</v>
      </c>
      <c r="AC4" s="25"/>
      <c r="AD4" s="59" t="s">
        <v>72</v>
      </c>
      <c r="AE4" s="25"/>
      <c r="AF4" s="25"/>
      <c r="AG4" s="51" t="s">
        <v>78</v>
      </c>
      <c r="AH4" s="26"/>
      <c r="AI4" s="60" t="s">
        <v>122</v>
      </c>
      <c r="AJ4" s="61">
        <v>7</v>
      </c>
      <c r="AK4" s="62">
        <v>10.5</v>
      </c>
      <c r="AL4" s="19">
        <v>2</v>
      </c>
      <c r="AM4" s="19">
        <v>6.7</v>
      </c>
      <c r="AN4" s="19" t="s">
        <v>135</v>
      </c>
    </row>
    <row r="5" spans="1:41" x14ac:dyDescent="0.2">
      <c r="A5" s="110" t="s">
        <v>47</v>
      </c>
      <c r="B5" s="110"/>
      <c r="C5" s="126" t="str">
        <f>'Field data and Waste 1'!C5:D5</f>
        <v>Sion Sleep</v>
      </c>
      <c r="D5" s="127"/>
      <c r="E5" s="37"/>
      <c r="F5" s="46"/>
      <c r="G5" s="122"/>
      <c r="H5" s="123"/>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5" t="s">
        <v>63</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0" t="s">
        <v>2</v>
      </c>
      <c r="B8" s="110"/>
      <c r="C8" s="67" t="str">
        <f>'Field data and Waste 1'!C8</f>
        <v>C1</v>
      </c>
      <c r="D8" s="67" t="str">
        <f>'Field data and Waste 1'!D8</f>
        <v>C2</v>
      </c>
      <c r="E8" s="67" t="str">
        <f>'Field data and Waste 1'!E8</f>
        <v>C3</v>
      </c>
      <c r="F8" s="67">
        <f>'Field data and Waste 1'!F8</f>
        <v>1</v>
      </c>
      <c r="G8" s="67">
        <f>'Field data and Waste 1'!G8</f>
        <v>2</v>
      </c>
      <c r="H8" s="67">
        <f>'Field data and Waste 1'!H8</f>
        <v>3</v>
      </c>
      <c r="I8" s="67">
        <f>'Field data and Waste 1'!I8</f>
        <v>4</v>
      </c>
      <c r="J8" s="67">
        <f>'Field data and Waste 1'!J8</f>
        <v>5</v>
      </c>
      <c r="K8" s="67">
        <f>'Field data and Waste 1'!K8</f>
        <v>6</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0" t="s">
        <v>3</v>
      </c>
      <c r="B9" s="110"/>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1</v>
      </c>
      <c r="I9" s="67" t="str">
        <f>'Field data and Waste 1'!I9</f>
        <v>Moderate</v>
      </c>
      <c r="J9" s="67" t="str">
        <f>'Field data and Waste 1'!J9</f>
        <v>Moderate</v>
      </c>
      <c r="K9" s="67" t="str">
        <f>'Field data and Waste 1'!K9</f>
        <v>Moderate</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0" t="s">
        <v>4</v>
      </c>
      <c r="B10" s="110"/>
      <c r="C10" s="67">
        <f>'Field data and Waste 1'!C10</f>
        <v>5.3</v>
      </c>
      <c r="D10" s="67">
        <f>'Field data and Waste 1'!D10</f>
        <v>5.2</v>
      </c>
      <c r="E10" s="67">
        <f>'Field data and Waste 1'!E10</f>
        <v>5.7</v>
      </c>
      <c r="F10" s="67">
        <f>'Field data and Waste 1'!F10</f>
        <v>5.5</v>
      </c>
      <c r="G10" s="67">
        <f>'Field data and Waste 1'!G10</f>
        <v>5.6</v>
      </c>
      <c r="H10" s="67">
        <f>'Field data and Waste 1'!H10</f>
        <v>5.3</v>
      </c>
      <c r="I10" s="67">
        <f>'Field data and Waste 1'!I10</f>
        <v>5.7</v>
      </c>
      <c r="J10" s="67">
        <f>'Field data and Waste 1'!J10</f>
        <v>5.5</v>
      </c>
      <c r="K10" s="67">
        <f>'Field data and Waste 1'!K10</f>
        <v>5.9</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0" t="s">
        <v>5</v>
      </c>
      <c r="B11" s="110"/>
      <c r="C11" s="67">
        <f>'Field data and Waste 1'!C11</f>
        <v>1</v>
      </c>
      <c r="D11" s="67">
        <f>'Field data and Waste 1'!D11</f>
        <v>1</v>
      </c>
      <c r="E11" s="67">
        <f>'Field data and Waste 1'!E11</f>
        <v>1</v>
      </c>
      <c r="F11" s="67">
        <f>'Field data and Waste 1'!F11</f>
        <v>2</v>
      </c>
      <c r="G11" s="67">
        <f>'Field data and Waste 1'!G11</f>
        <v>2</v>
      </c>
      <c r="H11" s="67">
        <f>'Field data and Waste 1'!H11</f>
        <v>2</v>
      </c>
      <c r="I11" s="67">
        <f>'Field data and Waste 1'!I11</f>
        <v>2</v>
      </c>
      <c r="J11" s="67">
        <f>'Field data and Waste 1'!J11</f>
        <v>2</v>
      </c>
      <c r="K11" s="67">
        <f>'Field data and Waste 1'!K11</f>
        <v>2</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0" t="s">
        <v>6</v>
      </c>
      <c r="B12" s="110"/>
      <c r="C12" s="67">
        <f>'Field data and Waste 1'!C12</f>
        <v>2</v>
      </c>
      <c r="D12" s="67">
        <f>'Field data and Waste 1'!D12</f>
        <v>2</v>
      </c>
      <c r="E12" s="67">
        <f>'Field data and Waste 1'!E12</f>
        <v>3</v>
      </c>
      <c r="F12" s="67">
        <f>'Field data and Waste 1'!F12</f>
        <v>2</v>
      </c>
      <c r="G12" s="67">
        <f>'Field data and Waste 1'!G12</f>
        <v>2</v>
      </c>
      <c r="H12" s="67">
        <f>'Field data and Waste 1'!H12</f>
        <v>2</v>
      </c>
      <c r="I12" s="67">
        <f>'Field data and Waste 1'!I12</f>
        <v>2</v>
      </c>
      <c r="J12" s="67">
        <f>'Field data and Waste 1'!J12</f>
        <v>3</v>
      </c>
      <c r="K12" s="67">
        <f>'Field data and Waste 1'!K12</f>
        <v>1</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0" t="s">
        <v>7</v>
      </c>
      <c r="B13" s="110"/>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2</v>
      </c>
      <c r="J13" s="67">
        <f>'Field data and Waste 1'!J13</f>
        <v>3</v>
      </c>
      <c r="K13" s="67">
        <f>'Field data and Waste 1'!K13</f>
        <v>3</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4" t="s">
        <v>8</v>
      </c>
      <c r="B14" s="114"/>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Fodder beet (roots only)</v>
      </c>
      <c r="I14" s="73" t="str">
        <f>'Field data and Waste 1'!I14</f>
        <v xml:space="preserve">Grass Silage (25% DM) </v>
      </c>
      <c r="J14" s="73" t="str">
        <f>'Field data and Waste 1'!J14</f>
        <v xml:space="preserve">Grass Silage (25% DM) </v>
      </c>
      <c r="K14" s="73" t="str">
        <f>'Field data and Waste 1'!K14</f>
        <v xml:space="preserve">Grass Silage (25% DM) </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3" t="s">
        <v>9</v>
      </c>
      <c r="B15" s="113"/>
      <c r="C15" s="67">
        <f>'Field data and Waste 1'!C15</f>
        <v>54</v>
      </c>
      <c r="D15" s="67">
        <f>'Field data and Waste 1'!D15</f>
        <v>54</v>
      </c>
      <c r="E15" s="67">
        <f>'Field data and Waste 1'!E15</f>
        <v>54</v>
      </c>
      <c r="F15" s="67">
        <f>'Field data and Waste 1'!F15</f>
        <v>54</v>
      </c>
      <c r="G15" s="67">
        <f>'Field data and Waste 1'!G15</f>
        <v>54</v>
      </c>
      <c r="H15" s="67">
        <f>'Field data and Waste 1'!H15</f>
        <v>85</v>
      </c>
      <c r="I15" s="67">
        <f>'Field data and Waste 1'!I15</f>
        <v>54</v>
      </c>
      <c r="J15" s="67">
        <f>'Field data and Waste 1'!J15</f>
        <v>54</v>
      </c>
      <c r="K15" s="67">
        <f>'Field data and Waste 1'!K15</f>
        <v>54</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5" t="s">
        <v>44</v>
      </c>
      <c r="B16" s="115"/>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2" t="s">
        <v>69</v>
      </c>
      <c r="B17" s="103"/>
      <c r="C17" s="39">
        <f t="shared" ref="C17:V17" si="0">(VLOOKUP(C$14,$AI2:$AK24,2,FALSE))*C$15</f>
        <v>91.8</v>
      </c>
      <c r="D17" s="39">
        <f t="shared" si="0"/>
        <v>91.8</v>
      </c>
      <c r="E17" s="39">
        <f t="shared" si="0"/>
        <v>91.8</v>
      </c>
      <c r="F17" s="39">
        <f t="shared" si="0"/>
        <v>91.8</v>
      </c>
      <c r="G17" s="39">
        <f t="shared" si="0"/>
        <v>91.8</v>
      </c>
      <c r="H17" s="39">
        <f t="shared" si="0"/>
        <v>59.499999999999993</v>
      </c>
      <c r="I17" s="39">
        <f t="shared" si="0"/>
        <v>91.8</v>
      </c>
      <c r="J17" s="39">
        <f t="shared" si="0"/>
        <v>91.8</v>
      </c>
      <c r="K17" s="39">
        <f t="shared" si="0"/>
        <v>91.8</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4" t="s">
        <v>23</v>
      </c>
      <c r="B18" s="105"/>
      <c r="C18" s="24">
        <f>$D31</f>
        <v>2.86375</v>
      </c>
      <c r="D18" s="24">
        <f>$D32</f>
        <v>2.86375</v>
      </c>
      <c r="E18" s="24">
        <f>$D33</f>
        <v>2.86375</v>
      </c>
      <c r="F18" s="24">
        <f>$D34</f>
        <v>2.86375</v>
      </c>
      <c r="G18" s="24">
        <f>$D35</f>
        <v>2.86375</v>
      </c>
      <c r="H18" s="24">
        <f>$D36</f>
        <v>2.86375</v>
      </c>
      <c r="I18" s="24">
        <f>$D37</f>
        <v>2.86375</v>
      </c>
      <c r="J18" s="24">
        <f>$D38</f>
        <v>2.86375</v>
      </c>
      <c r="K18" s="24">
        <f>$D39</f>
        <v>2.86375</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4" t="s">
        <v>87</v>
      </c>
      <c r="B19" s="105"/>
      <c r="C19" s="24">
        <f>C18-C17</f>
        <v>-88.936250000000001</v>
      </c>
      <c r="D19" s="24">
        <f t="shared" ref="D19:V19" si="1">D18-D17</f>
        <v>-88.936250000000001</v>
      </c>
      <c r="E19" s="24">
        <f t="shared" si="1"/>
        <v>-88.936250000000001</v>
      </c>
      <c r="F19" s="24">
        <f t="shared" si="1"/>
        <v>-88.936250000000001</v>
      </c>
      <c r="G19" s="24">
        <f t="shared" si="1"/>
        <v>-88.936250000000001</v>
      </c>
      <c r="H19" s="24">
        <f t="shared" si="1"/>
        <v>-56.63624999999999</v>
      </c>
      <c r="I19" s="24">
        <f t="shared" si="1"/>
        <v>-88.936250000000001</v>
      </c>
      <c r="J19" s="24">
        <f t="shared" si="1"/>
        <v>-88.936250000000001</v>
      </c>
      <c r="K19" s="24">
        <f t="shared" si="1"/>
        <v>-88.936250000000001</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6" t="s">
        <v>88</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2" t="s">
        <v>85</v>
      </c>
      <c r="B21" s="103"/>
      <c r="C21" s="39">
        <f t="shared" ref="C21:V21" si="2">(VLOOKUP(C$14,$AI2:$AK24,3,FALSE))*C$15</f>
        <v>324</v>
      </c>
      <c r="D21" s="39">
        <f t="shared" si="2"/>
        <v>324</v>
      </c>
      <c r="E21" s="39">
        <f t="shared" si="2"/>
        <v>324</v>
      </c>
      <c r="F21" s="39">
        <f t="shared" si="2"/>
        <v>324</v>
      </c>
      <c r="G21" s="39">
        <f t="shared" si="2"/>
        <v>324</v>
      </c>
      <c r="H21" s="39">
        <f t="shared" si="2"/>
        <v>340</v>
      </c>
      <c r="I21" s="39">
        <f t="shared" si="2"/>
        <v>324</v>
      </c>
      <c r="J21" s="39">
        <f t="shared" si="2"/>
        <v>324</v>
      </c>
      <c r="K21" s="39">
        <f t="shared" si="2"/>
        <v>324</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4" t="s">
        <v>86</v>
      </c>
      <c r="B22" s="105"/>
      <c r="C22" s="24">
        <f>$E31</f>
        <v>8.8567499999999999</v>
      </c>
      <c r="D22" s="24">
        <f>$E32</f>
        <v>8.8567499999999999</v>
      </c>
      <c r="E22" s="24">
        <f>$E33</f>
        <v>8.8567499999999999</v>
      </c>
      <c r="F22" s="24">
        <f>$E34</f>
        <v>8.8567499999999999</v>
      </c>
      <c r="G22" s="24">
        <f>$E35</f>
        <v>8.8567499999999999</v>
      </c>
      <c r="H22" s="24">
        <f>$E36</f>
        <v>8.8567499999999999</v>
      </c>
      <c r="I22" s="24">
        <f>$E37</f>
        <v>8.8567499999999999</v>
      </c>
      <c r="J22" s="24">
        <f>$E38</f>
        <v>8.8567499999999999</v>
      </c>
      <c r="K22" s="24">
        <f>$E39</f>
        <v>8.8567499999999999</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4" t="s">
        <v>89</v>
      </c>
      <c r="B23" s="105"/>
      <c r="C23" s="24">
        <f>C22-C21</f>
        <v>-315.14325000000002</v>
      </c>
      <c r="D23" s="24">
        <f t="shared" ref="D23:V23" si="3">D22-D21</f>
        <v>-315.14325000000002</v>
      </c>
      <c r="E23" s="24">
        <f t="shared" si="3"/>
        <v>-315.14325000000002</v>
      </c>
      <c r="F23" s="24">
        <f t="shared" si="3"/>
        <v>-315.14325000000002</v>
      </c>
      <c r="G23" s="24">
        <f t="shared" si="3"/>
        <v>-315.14325000000002</v>
      </c>
      <c r="H23" s="24">
        <f t="shared" si="3"/>
        <v>-331.14325000000002</v>
      </c>
      <c r="I23" s="24">
        <f t="shared" si="3"/>
        <v>-315.14325000000002</v>
      </c>
      <c r="J23" s="24">
        <f t="shared" si="3"/>
        <v>-315.14325000000002</v>
      </c>
      <c r="K23" s="24">
        <f t="shared" si="3"/>
        <v>-315.14325000000002</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6" t="s">
        <v>90</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t="s">
        <v>54</v>
      </c>
      <c r="T27" s="101"/>
      <c r="U27" s="101"/>
    </row>
    <row r="28" spans="1:40" s="64" customFormat="1" x14ac:dyDescent="0.25">
      <c r="A28" s="82"/>
      <c r="B28" s="31">
        <v>0.04</v>
      </c>
      <c r="C28" s="23">
        <v>0.01</v>
      </c>
      <c r="D28" s="23">
        <v>5</v>
      </c>
      <c r="E28" s="23">
        <v>29.4</v>
      </c>
      <c r="F28" s="23">
        <v>10</v>
      </c>
      <c r="G28" s="23">
        <v>0.2</v>
      </c>
      <c r="H28" s="23">
        <v>0.5</v>
      </c>
      <c r="I28" s="23">
        <v>0.5</v>
      </c>
      <c r="J28" s="23">
        <v>0.01</v>
      </c>
      <c r="K28" s="30">
        <v>0.05</v>
      </c>
      <c r="L28" s="23">
        <v>0.2</v>
      </c>
      <c r="M28" s="23">
        <v>0.2</v>
      </c>
      <c r="N28" s="23"/>
      <c r="O28" s="23"/>
      <c r="P28" s="23">
        <v>21</v>
      </c>
      <c r="Q28" s="23">
        <v>18.3</v>
      </c>
      <c r="R28" s="23"/>
      <c r="S28" s="23">
        <v>0.5</v>
      </c>
      <c r="T28" s="23"/>
      <c r="U28" s="23"/>
    </row>
    <row r="29" spans="1:40" s="15" customFormat="1" ht="27" x14ac:dyDescent="0.25">
      <c r="A29" s="108"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09"/>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C1</v>
      </c>
      <c r="B31" s="23">
        <v>250</v>
      </c>
      <c r="C31" s="2">
        <f>IF(C$27="%w/w SAR",((C$28*10)*$B31),IF(C$27="%w/w DM",(((C$28*10)*($B$28/100))*$B31),IF(C$27="kg/t SAR",(C$28*$B31),IF(C$27="kg/t DM",((C$28*($B$28/100))*$B31),IF(C$27="mg/kg SAR",((C$28*0.001)*$B31),IF(C$27="mg/kg DM",(((C$28*0.001)*($B$28/100))*$B31),0))))))</f>
        <v>25</v>
      </c>
      <c r="D31" s="2">
        <f>(IF(D$27="%w/w SAR",((D$28*10)*$B31),IF(D$27="%w/w DM",(((D$28*10)*($B$28/100))*$B31),IF(D$27="kg/t SAR",(D$28*$B31),IF(D$27="kg/t DM",((D$28*($B$28/100))*$B31),IF(D$27="mg/kg SAR",((D$28*0.001)*$B31),IF(D$27="mg/kg DM",(((D$28*0.001)*($B$28/100))*$B31),"0")))))))*2.291</f>
        <v>2.86375</v>
      </c>
      <c r="E31" s="2">
        <f>(IF(E$27="%w/w SAR",((E$28*10)*$B31),IF(E$27="%w/w DM",(((E$28*10)*($B$28/100))*$B31),IF(E$27="kg/t SAR",(E$28*$B31),IF(E$27="kg/t DM",((E$28*($B$28/100))*$B31),IF(E$27="mg/kg SAR",((E$28*0.001)*$B31),IF(E$27="mg/kg DM",(((E$28*0.001)*($B$28/100))*$B31),"0")))))))*1.205</f>
        <v>8.8567499999999999</v>
      </c>
      <c r="F31" s="2">
        <f>(IF(F$27="%w/w SAR",((F$28*10)*$B31),IF(F$27="%w/w DM",(((F$28*10)*($B$28/100))*$B31),IF(F$27="kg/t SAR",(F$28*$B31),IF(F$27="kg/t DM",((F$28*($B$28/100))*$B31),IF(F$27="mg/kg SAR",((F$28*0.001)*$B31),IF(F$27="mg/kg DM",(((F$28*0.001)*($B$28/100))*$B31),"0")))))))*1.658</f>
        <v>4.1449999999999996</v>
      </c>
      <c r="G31" s="2">
        <f t="shared" ref="G31:P46" si="5">IF(G$27="%w/w SAR",((G$28*10)*$B31),IF(G$27="%w/w DM",(((G$28*10)*($B$28/100))*$B31),IF(G$27="kg/t SAR",(G$28*$B31),IF(G$27="kg/t DM",((G$28*($B$28/100))*$B31),IF(G$27="mg/kg SAR",((G$28*0.001)*$B31),IF(G$27="mg/kg DM",(((G$28*0.001)*($B$28/100))*$B31),0))))))</f>
        <v>0.05</v>
      </c>
      <c r="H31" s="2">
        <f t="shared" si="5"/>
        <v>0.125</v>
      </c>
      <c r="I31" s="2">
        <f t="shared" si="5"/>
        <v>0.125</v>
      </c>
      <c r="J31" s="2">
        <f t="shared" si="5"/>
        <v>2.5000000000000001E-3</v>
      </c>
      <c r="K31" s="2">
        <f t="shared" si="5"/>
        <v>1.2500000000000001E-2</v>
      </c>
      <c r="L31" s="2">
        <f t="shared" si="5"/>
        <v>0.05</v>
      </c>
      <c r="M31" s="2">
        <f t="shared" si="5"/>
        <v>0.05</v>
      </c>
      <c r="N31" s="2">
        <f t="shared" si="5"/>
        <v>0</v>
      </c>
      <c r="O31" s="2">
        <f t="shared" si="5"/>
        <v>0</v>
      </c>
      <c r="P31" s="2">
        <f t="shared" si="5"/>
        <v>5.25</v>
      </c>
      <c r="Q31" s="2">
        <f>(IF(Q$27="%w/w SAR",((Q$28*10)*$B31),IF(Q$27="%w/w DM",(((Q$28*10)*($B$28/100))*$B31),IF(Q$27="kg/t SAR",(Q$28*$B31),IF(Q$27="kg/t DM",((Q$28*($B$28/100))*$B31),IF(Q$27="mg/kg SAR",((Q$28*0.001)*$B31),IF(Q$27="mg/kg DM",(((Q$28*0.001)*($B$28/100))*$B31),0)))))))*2.5</f>
        <v>11.4375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0.125</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C2</v>
      </c>
      <c r="B32" s="23">
        <v>250</v>
      </c>
      <c r="C32" s="2">
        <f t="shared" ref="C32:C50" si="6">IF(C$27="%w/w SAR",((C$28*10)*$B32),IF(C$27="%w/w DM",(((C$28*10)*($B$28/100))*$B32),IF(C$27="kg/t SAR",(C$28*$B32),IF(C$27="kg/t DM",((C$28*($B$28/100))*$B32),IF(C$27="mg/kg SAR",((C$28*0.001)*$B32),IF(C$27="mg/kg DM",(((C$28*0.001)*($B$28/100))*$B32),0))))))</f>
        <v>25</v>
      </c>
      <c r="D32" s="2">
        <f t="shared" ref="D32:D50" si="7">(IF(D$27="%w/w SAR",((D$28*10)*$B32),IF(D$27="%w/w DM",(((D$28*10)*($B$28/100))*$B32),IF(D$27="kg/t SAR",(D$28*$B32),IF(D$27="kg/t DM",((D$28*($B$28/100))*$B32),IF(D$27="mg/kg SAR",((D$28*0.001)*$B32),IF(D$27="mg/kg DM",(((D$28*0.001)*($B$28/100))*$B32),"0")))))))*2.291</f>
        <v>2.86375</v>
      </c>
      <c r="E32" s="2">
        <f t="shared" ref="E32:E50" si="8">(IF(E$27="%w/w SAR",((E$28*10)*$B32),IF(E$27="%w/w DM",(((E$28*10)*($B$28/100))*$B32),IF(E$27="kg/t SAR",(E$28*$B32),IF(E$27="kg/t DM",((E$28*($B$28/100))*$B32),IF(E$27="mg/kg SAR",((E$28*0.001)*$B32),IF(E$27="mg/kg DM",(((E$28*0.001)*($B$28/100))*$B32),"0")))))))*1.205</f>
        <v>8.8567499999999999</v>
      </c>
      <c r="F32" s="2">
        <f t="shared" ref="F32:F50" si="9">(IF(F$27="%w/w SAR",((F$28*10)*$B32),IF(F$27="%w/w DM",(((F$28*10)*($B$28/100))*$B32),IF(F$27="kg/t SAR",(F$28*$B32),IF(F$27="kg/t DM",((F$28*($B$28/100))*$B32),IF(F$27="mg/kg SAR",((F$28*0.001)*$B32),IF(F$27="mg/kg DM",(((F$28*0.001)*($B$28/100))*$B32),"0")))))))*1.658</f>
        <v>4.1449999999999996</v>
      </c>
      <c r="G32" s="2">
        <f t="shared" si="5"/>
        <v>0.05</v>
      </c>
      <c r="H32" s="2">
        <f t="shared" si="5"/>
        <v>0.125</v>
      </c>
      <c r="I32" s="2">
        <f t="shared" si="5"/>
        <v>0.125</v>
      </c>
      <c r="J32" s="2">
        <f t="shared" si="5"/>
        <v>2.5000000000000001E-3</v>
      </c>
      <c r="K32" s="2">
        <f t="shared" si="5"/>
        <v>1.2500000000000001E-2</v>
      </c>
      <c r="L32" s="2">
        <f t="shared" si="5"/>
        <v>0.05</v>
      </c>
      <c r="M32" s="2">
        <f t="shared" si="5"/>
        <v>0.05</v>
      </c>
      <c r="N32" s="2">
        <f t="shared" si="5"/>
        <v>0</v>
      </c>
      <c r="O32" s="2">
        <f t="shared" si="5"/>
        <v>0</v>
      </c>
      <c r="P32" s="2">
        <f t="shared" si="5"/>
        <v>5.25</v>
      </c>
      <c r="Q32" s="2">
        <f t="shared" ref="Q32:Q50" si="10">(IF(Q$27="%w/w SAR",((Q$28*10)*$B32),IF(Q$27="%w/w DM",(((Q$28*10)*($B$28/100))*$B32),IF(Q$27="kg/t SAR",(Q$28*$B32),IF(Q$27="kg/t DM",((Q$28*($B$28/100))*$B32),IF(Q$27="mg/kg SAR",((Q$28*0.001)*$B32),IF(Q$27="mg/kg DM",(((Q$28*0.001)*($B$28/100))*$B32),0)))))))*2.5</f>
        <v>11.4375</v>
      </c>
      <c r="R32" s="2">
        <f t="shared" ref="R32:U50" si="11">IF(R$27="%w/w SAR",((R$28*10)*$B32),IF(R$27="%w/w DM",(((R$28*10)*($B$28/100))*$B32),IF(R$27="kg/t SAR",(R$28*$B32),IF(R$27="kg/t DM",((R$28*($B$28/100))*$B32),IF(R$27="mg/kg SAR",((R$28*0.001)*$B32),IF(R$27="mg/kg DM",(((R$28*0.001)*($B$28/100))*$B32),0))))))</f>
        <v>0</v>
      </c>
      <c r="S32" s="2">
        <f t="shared" si="11"/>
        <v>0.125</v>
      </c>
      <c r="T32" s="2">
        <f t="shared" si="11"/>
        <v>0</v>
      </c>
      <c r="U32" s="2">
        <f t="shared" si="11"/>
        <v>0</v>
      </c>
      <c r="AB32" s="66"/>
      <c r="AC32" s="66"/>
      <c r="AD32" s="66"/>
      <c r="AE32" s="66"/>
      <c r="AF32" s="66"/>
      <c r="AG32" s="66"/>
      <c r="AH32" s="66"/>
      <c r="AI32" s="66"/>
    </row>
    <row r="33" spans="1:35" s="83" customFormat="1" x14ac:dyDescent="0.25">
      <c r="A33" s="21" t="str">
        <f>E8</f>
        <v>C3</v>
      </c>
      <c r="B33" s="23">
        <v>250</v>
      </c>
      <c r="C33" s="2">
        <f t="shared" si="6"/>
        <v>25</v>
      </c>
      <c r="D33" s="2">
        <f t="shared" si="7"/>
        <v>2.86375</v>
      </c>
      <c r="E33" s="2">
        <f t="shared" si="8"/>
        <v>8.8567499999999999</v>
      </c>
      <c r="F33" s="2">
        <f t="shared" si="9"/>
        <v>4.1449999999999996</v>
      </c>
      <c r="G33" s="2">
        <f t="shared" si="5"/>
        <v>0.05</v>
      </c>
      <c r="H33" s="2">
        <f t="shared" si="5"/>
        <v>0.125</v>
      </c>
      <c r="I33" s="2">
        <f t="shared" si="5"/>
        <v>0.125</v>
      </c>
      <c r="J33" s="2">
        <f t="shared" si="5"/>
        <v>2.5000000000000001E-3</v>
      </c>
      <c r="K33" s="2">
        <f t="shared" si="5"/>
        <v>1.2500000000000001E-2</v>
      </c>
      <c r="L33" s="2">
        <f t="shared" si="5"/>
        <v>0.05</v>
      </c>
      <c r="M33" s="2">
        <f t="shared" si="5"/>
        <v>0.05</v>
      </c>
      <c r="N33" s="2">
        <f t="shared" si="5"/>
        <v>0</v>
      </c>
      <c r="O33" s="2">
        <f t="shared" si="5"/>
        <v>0</v>
      </c>
      <c r="P33" s="2">
        <f t="shared" si="5"/>
        <v>5.25</v>
      </c>
      <c r="Q33" s="2">
        <f t="shared" si="10"/>
        <v>11.4375</v>
      </c>
      <c r="R33" s="2">
        <f t="shared" si="11"/>
        <v>0</v>
      </c>
      <c r="S33" s="2">
        <f t="shared" si="11"/>
        <v>0.125</v>
      </c>
      <c r="T33" s="2">
        <f t="shared" si="11"/>
        <v>0</v>
      </c>
      <c r="U33" s="2">
        <f t="shared" si="11"/>
        <v>0</v>
      </c>
      <c r="AB33" s="66"/>
      <c r="AC33" s="66"/>
      <c r="AD33" s="66"/>
      <c r="AE33" s="66"/>
      <c r="AF33" s="66"/>
      <c r="AG33" s="66"/>
      <c r="AH33" s="66"/>
      <c r="AI33" s="66"/>
    </row>
    <row r="34" spans="1:35" s="83" customFormat="1" x14ac:dyDescent="0.25">
      <c r="A34" s="21">
        <f>F8</f>
        <v>1</v>
      </c>
      <c r="B34" s="23">
        <v>250</v>
      </c>
      <c r="C34" s="2">
        <f t="shared" si="6"/>
        <v>25</v>
      </c>
      <c r="D34" s="2">
        <f t="shared" si="7"/>
        <v>2.86375</v>
      </c>
      <c r="E34" s="2">
        <f t="shared" si="8"/>
        <v>8.8567499999999999</v>
      </c>
      <c r="F34" s="2">
        <f t="shared" si="9"/>
        <v>4.1449999999999996</v>
      </c>
      <c r="G34" s="2">
        <f t="shared" si="5"/>
        <v>0.05</v>
      </c>
      <c r="H34" s="2">
        <f t="shared" si="5"/>
        <v>0.125</v>
      </c>
      <c r="I34" s="2">
        <f t="shared" si="5"/>
        <v>0.125</v>
      </c>
      <c r="J34" s="2">
        <f t="shared" si="5"/>
        <v>2.5000000000000001E-3</v>
      </c>
      <c r="K34" s="2">
        <f t="shared" si="5"/>
        <v>1.2500000000000001E-2</v>
      </c>
      <c r="L34" s="2">
        <f t="shared" si="5"/>
        <v>0.05</v>
      </c>
      <c r="M34" s="2">
        <f t="shared" si="5"/>
        <v>0.05</v>
      </c>
      <c r="N34" s="2">
        <f t="shared" si="5"/>
        <v>0</v>
      </c>
      <c r="O34" s="2">
        <f t="shared" si="5"/>
        <v>0</v>
      </c>
      <c r="P34" s="2">
        <f t="shared" si="5"/>
        <v>5.25</v>
      </c>
      <c r="Q34" s="2">
        <f t="shared" si="10"/>
        <v>11.4375</v>
      </c>
      <c r="R34" s="2">
        <f t="shared" si="11"/>
        <v>0</v>
      </c>
      <c r="S34" s="2">
        <f t="shared" si="11"/>
        <v>0.125</v>
      </c>
      <c r="T34" s="2">
        <f t="shared" si="11"/>
        <v>0</v>
      </c>
      <c r="U34" s="2">
        <f t="shared" si="11"/>
        <v>0</v>
      </c>
      <c r="AB34" s="66"/>
      <c r="AC34" s="66"/>
      <c r="AD34" s="66"/>
      <c r="AE34" s="66"/>
      <c r="AF34" s="66"/>
      <c r="AG34" s="66"/>
      <c r="AH34" s="66"/>
      <c r="AI34" s="66"/>
    </row>
    <row r="35" spans="1:35" s="83" customFormat="1" x14ac:dyDescent="0.25">
      <c r="A35" s="21">
        <f>G8</f>
        <v>2</v>
      </c>
      <c r="B35" s="23">
        <v>250</v>
      </c>
      <c r="C35" s="2">
        <f t="shared" si="6"/>
        <v>25</v>
      </c>
      <c r="D35" s="2">
        <f t="shared" si="7"/>
        <v>2.86375</v>
      </c>
      <c r="E35" s="2">
        <f t="shared" si="8"/>
        <v>8.8567499999999999</v>
      </c>
      <c r="F35" s="2">
        <f t="shared" si="9"/>
        <v>4.1449999999999996</v>
      </c>
      <c r="G35" s="2">
        <f t="shared" si="5"/>
        <v>0.05</v>
      </c>
      <c r="H35" s="2">
        <f t="shared" si="5"/>
        <v>0.125</v>
      </c>
      <c r="I35" s="2">
        <f t="shared" si="5"/>
        <v>0.125</v>
      </c>
      <c r="J35" s="2">
        <f t="shared" si="5"/>
        <v>2.5000000000000001E-3</v>
      </c>
      <c r="K35" s="2">
        <f t="shared" si="5"/>
        <v>1.2500000000000001E-2</v>
      </c>
      <c r="L35" s="2">
        <f t="shared" si="5"/>
        <v>0.05</v>
      </c>
      <c r="M35" s="2">
        <f t="shared" si="5"/>
        <v>0.05</v>
      </c>
      <c r="N35" s="2">
        <f t="shared" si="5"/>
        <v>0</v>
      </c>
      <c r="O35" s="2">
        <f t="shared" si="5"/>
        <v>0</v>
      </c>
      <c r="P35" s="2">
        <f t="shared" si="5"/>
        <v>5.25</v>
      </c>
      <c r="Q35" s="2">
        <f t="shared" si="10"/>
        <v>11.4375</v>
      </c>
      <c r="R35" s="2">
        <f t="shared" si="11"/>
        <v>0</v>
      </c>
      <c r="S35" s="2">
        <f t="shared" si="11"/>
        <v>0.125</v>
      </c>
      <c r="T35" s="2">
        <f t="shared" si="11"/>
        <v>0</v>
      </c>
      <c r="U35" s="2">
        <f t="shared" si="11"/>
        <v>0</v>
      </c>
      <c r="AB35" s="66"/>
      <c r="AC35" s="66"/>
      <c r="AD35" s="66"/>
      <c r="AE35" s="66"/>
      <c r="AF35" s="66"/>
      <c r="AG35" s="66"/>
      <c r="AH35" s="66"/>
      <c r="AI35" s="66"/>
    </row>
    <row r="36" spans="1:35" s="83" customFormat="1" x14ac:dyDescent="0.25">
      <c r="A36" s="21">
        <f>H8</f>
        <v>3</v>
      </c>
      <c r="B36" s="23">
        <v>250</v>
      </c>
      <c r="C36" s="2">
        <f t="shared" si="6"/>
        <v>25</v>
      </c>
      <c r="D36" s="2">
        <f t="shared" si="7"/>
        <v>2.86375</v>
      </c>
      <c r="E36" s="2">
        <f t="shared" si="8"/>
        <v>8.8567499999999999</v>
      </c>
      <c r="F36" s="2">
        <f t="shared" si="9"/>
        <v>4.1449999999999996</v>
      </c>
      <c r="G36" s="2">
        <f t="shared" si="5"/>
        <v>0.05</v>
      </c>
      <c r="H36" s="2">
        <f t="shared" si="5"/>
        <v>0.125</v>
      </c>
      <c r="I36" s="2">
        <f t="shared" si="5"/>
        <v>0.125</v>
      </c>
      <c r="J36" s="2">
        <f t="shared" si="5"/>
        <v>2.5000000000000001E-3</v>
      </c>
      <c r="K36" s="2">
        <f t="shared" si="5"/>
        <v>1.2500000000000001E-2</v>
      </c>
      <c r="L36" s="2">
        <f t="shared" si="5"/>
        <v>0.05</v>
      </c>
      <c r="M36" s="2">
        <f t="shared" si="5"/>
        <v>0.05</v>
      </c>
      <c r="N36" s="2">
        <f t="shared" si="5"/>
        <v>0</v>
      </c>
      <c r="O36" s="2">
        <f t="shared" si="5"/>
        <v>0</v>
      </c>
      <c r="P36" s="2">
        <f t="shared" si="5"/>
        <v>5.25</v>
      </c>
      <c r="Q36" s="2">
        <f t="shared" si="10"/>
        <v>11.4375</v>
      </c>
      <c r="R36" s="2">
        <f t="shared" si="11"/>
        <v>0</v>
      </c>
      <c r="S36" s="2">
        <f t="shared" si="11"/>
        <v>0.125</v>
      </c>
      <c r="T36" s="2">
        <f t="shared" si="11"/>
        <v>0</v>
      </c>
      <c r="U36" s="2">
        <f t="shared" si="11"/>
        <v>0</v>
      </c>
      <c r="AB36" s="66"/>
      <c r="AC36" s="66"/>
      <c r="AD36" s="66"/>
      <c r="AE36" s="66"/>
      <c r="AF36" s="66"/>
      <c r="AG36" s="66"/>
      <c r="AH36" s="66"/>
      <c r="AI36" s="66"/>
    </row>
    <row r="37" spans="1:35" s="83" customFormat="1" x14ac:dyDescent="0.25">
      <c r="A37" s="21">
        <f>I8</f>
        <v>4</v>
      </c>
      <c r="B37" s="23">
        <v>250</v>
      </c>
      <c r="C37" s="2">
        <f t="shared" si="6"/>
        <v>25</v>
      </c>
      <c r="D37" s="2">
        <f t="shared" si="7"/>
        <v>2.86375</v>
      </c>
      <c r="E37" s="2">
        <f t="shared" si="8"/>
        <v>8.8567499999999999</v>
      </c>
      <c r="F37" s="2">
        <f t="shared" si="9"/>
        <v>4.1449999999999996</v>
      </c>
      <c r="G37" s="2">
        <f t="shared" si="5"/>
        <v>0.05</v>
      </c>
      <c r="H37" s="2">
        <f t="shared" si="5"/>
        <v>0.125</v>
      </c>
      <c r="I37" s="2">
        <f t="shared" si="5"/>
        <v>0.125</v>
      </c>
      <c r="J37" s="2">
        <f t="shared" si="5"/>
        <v>2.5000000000000001E-3</v>
      </c>
      <c r="K37" s="2">
        <f t="shared" si="5"/>
        <v>1.2500000000000001E-2</v>
      </c>
      <c r="L37" s="2">
        <f t="shared" si="5"/>
        <v>0.05</v>
      </c>
      <c r="M37" s="2">
        <f t="shared" si="5"/>
        <v>0.05</v>
      </c>
      <c r="N37" s="2">
        <f t="shared" si="5"/>
        <v>0</v>
      </c>
      <c r="O37" s="2">
        <f t="shared" si="5"/>
        <v>0</v>
      </c>
      <c r="P37" s="2">
        <f t="shared" si="5"/>
        <v>5.25</v>
      </c>
      <c r="Q37" s="2">
        <f t="shared" si="10"/>
        <v>11.4375</v>
      </c>
      <c r="R37" s="2">
        <f t="shared" si="11"/>
        <v>0</v>
      </c>
      <c r="S37" s="2">
        <f t="shared" si="11"/>
        <v>0.125</v>
      </c>
      <c r="T37" s="2">
        <f t="shared" si="11"/>
        <v>0</v>
      </c>
      <c r="U37" s="2">
        <f t="shared" si="11"/>
        <v>0</v>
      </c>
      <c r="AB37" s="66"/>
      <c r="AC37" s="66"/>
      <c r="AD37" s="66"/>
      <c r="AE37" s="66"/>
      <c r="AF37" s="66"/>
      <c r="AG37" s="66"/>
      <c r="AH37" s="66"/>
      <c r="AI37" s="66"/>
    </row>
    <row r="38" spans="1:35" s="83" customFormat="1" x14ac:dyDescent="0.25">
      <c r="A38" s="21">
        <f>J8</f>
        <v>5</v>
      </c>
      <c r="B38" s="23">
        <v>250</v>
      </c>
      <c r="C38" s="2">
        <f t="shared" si="6"/>
        <v>25</v>
      </c>
      <c r="D38" s="2">
        <f t="shared" si="7"/>
        <v>2.86375</v>
      </c>
      <c r="E38" s="2">
        <f t="shared" si="8"/>
        <v>8.8567499999999999</v>
      </c>
      <c r="F38" s="2">
        <f t="shared" si="9"/>
        <v>4.1449999999999996</v>
      </c>
      <c r="G38" s="2">
        <f t="shared" si="5"/>
        <v>0.05</v>
      </c>
      <c r="H38" s="2">
        <f t="shared" si="5"/>
        <v>0.125</v>
      </c>
      <c r="I38" s="2">
        <f t="shared" si="5"/>
        <v>0.125</v>
      </c>
      <c r="J38" s="2">
        <f t="shared" si="5"/>
        <v>2.5000000000000001E-3</v>
      </c>
      <c r="K38" s="2">
        <f t="shared" si="5"/>
        <v>1.2500000000000001E-2</v>
      </c>
      <c r="L38" s="2">
        <f t="shared" si="5"/>
        <v>0.05</v>
      </c>
      <c r="M38" s="2">
        <f t="shared" si="5"/>
        <v>0.05</v>
      </c>
      <c r="N38" s="2">
        <f t="shared" si="5"/>
        <v>0</v>
      </c>
      <c r="O38" s="2">
        <f t="shared" si="5"/>
        <v>0</v>
      </c>
      <c r="P38" s="2">
        <f t="shared" si="5"/>
        <v>5.25</v>
      </c>
      <c r="Q38" s="2">
        <f t="shared" si="10"/>
        <v>11.4375</v>
      </c>
      <c r="R38" s="2">
        <f t="shared" si="11"/>
        <v>0</v>
      </c>
      <c r="S38" s="2">
        <f t="shared" si="11"/>
        <v>0.125</v>
      </c>
      <c r="T38" s="2">
        <f t="shared" si="11"/>
        <v>0</v>
      </c>
      <c r="U38" s="2">
        <f t="shared" si="11"/>
        <v>0</v>
      </c>
      <c r="AB38" s="66"/>
      <c r="AC38" s="66"/>
      <c r="AD38" s="66"/>
      <c r="AE38" s="66"/>
      <c r="AF38" s="66"/>
      <c r="AG38" s="66"/>
      <c r="AH38" s="66"/>
      <c r="AI38" s="66"/>
    </row>
    <row r="39" spans="1:35" s="83" customFormat="1" x14ac:dyDescent="0.25">
      <c r="A39" s="21">
        <f>K8</f>
        <v>6</v>
      </c>
      <c r="B39" s="23">
        <v>250</v>
      </c>
      <c r="C39" s="2">
        <f t="shared" si="6"/>
        <v>25</v>
      </c>
      <c r="D39" s="2">
        <f t="shared" si="7"/>
        <v>2.86375</v>
      </c>
      <c r="E39" s="2">
        <f t="shared" si="8"/>
        <v>8.8567499999999999</v>
      </c>
      <c r="F39" s="2">
        <f t="shared" si="9"/>
        <v>4.1449999999999996</v>
      </c>
      <c r="G39" s="2">
        <f t="shared" si="5"/>
        <v>0.05</v>
      </c>
      <c r="H39" s="2">
        <f t="shared" si="5"/>
        <v>0.125</v>
      </c>
      <c r="I39" s="2">
        <f t="shared" si="5"/>
        <v>0.125</v>
      </c>
      <c r="J39" s="2">
        <f t="shared" si="5"/>
        <v>2.5000000000000001E-3</v>
      </c>
      <c r="K39" s="2">
        <f t="shared" si="5"/>
        <v>1.2500000000000001E-2</v>
      </c>
      <c r="L39" s="2">
        <f t="shared" si="5"/>
        <v>0.05</v>
      </c>
      <c r="M39" s="2">
        <f t="shared" si="5"/>
        <v>0.05</v>
      </c>
      <c r="N39" s="2">
        <f t="shared" si="5"/>
        <v>0</v>
      </c>
      <c r="O39" s="2">
        <f t="shared" si="5"/>
        <v>0</v>
      </c>
      <c r="P39" s="2">
        <f t="shared" si="5"/>
        <v>5.25</v>
      </c>
      <c r="Q39" s="2">
        <f t="shared" si="10"/>
        <v>11.4375</v>
      </c>
      <c r="R39" s="2">
        <f t="shared" si="11"/>
        <v>0</v>
      </c>
      <c r="S39" s="2">
        <f t="shared" si="11"/>
        <v>0.125</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C1</v>
      </c>
      <c r="C57" s="16" t="str">
        <f t="shared" ref="C57:U57" si="13">D8</f>
        <v>C2</v>
      </c>
      <c r="D57" s="16" t="str">
        <f t="shared" si="13"/>
        <v>C3</v>
      </c>
      <c r="E57" s="16">
        <f t="shared" si="13"/>
        <v>1</v>
      </c>
      <c r="F57" s="16">
        <f t="shared" si="13"/>
        <v>2</v>
      </c>
      <c r="G57" s="16">
        <f t="shared" si="13"/>
        <v>3</v>
      </c>
      <c r="H57" s="16">
        <f t="shared" si="13"/>
        <v>4</v>
      </c>
      <c r="I57" s="16">
        <f t="shared" si="13"/>
        <v>5</v>
      </c>
      <c r="J57" s="16">
        <f t="shared" si="13"/>
        <v>6</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"&amp;(VLOOKUP(C14,Table24581114[],6,FALSE))</f>
        <v>Medium/Clay I Grass</v>
      </c>
      <c r="C58" s="44" t="str">
        <f>D16&amp;" I "&amp;(VLOOKUP(D14,Table24581114[],6,FALSE))</f>
        <v>Medium/Clay I Grass</v>
      </c>
      <c r="D58" s="21" t="str">
        <f>E16&amp;" I "&amp;(VLOOKUP(E14,Table24581114[],6,FALSE))</f>
        <v>Medium/Clay I Grass</v>
      </c>
      <c r="E58" s="21" t="str">
        <f>F16&amp;" I "&amp;(VLOOKUP(F14,Table24581114[],6,FALSE))</f>
        <v>Medium/Clay I Grass</v>
      </c>
      <c r="F58" s="21" t="str">
        <f>G16&amp;" I "&amp;(VLOOKUP(G14,Table24581114[],6,FALSE))</f>
        <v>Medium/Clay I Grass</v>
      </c>
      <c r="G58" s="21" t="str">
        <f>H16&amp;" I "&amp;(VLOOKUP(H14,Table24581114[],6,FALSE))</f>
        <v>Medium/Clay I Arable</v>
      </c>
      <c r="H58" s="21" t="str">
        <f>I16&amp;" I "&amp;(VLOOKUP(I14,Table24581114[],6,FALSE))</f>
        <v>Medium/Clay I Grass</v>
      </c>
      <c r="I58" s="21" t="str">
        <f>J16&amp;" I "&amp;(VLOOKUP(J14,Table24581114[],6,FALSE))</f>
        <v>Medium/Clay I Grass</v>
      </c>
      <c r="J58" s="21" t="str">
        <f>K16&amp;" I "&amp;(VLOOKUP(K14,Table24581114[],6,FALSE))</f>
        <v>Medium/Clay I Grass</v>
      </c>
      <c r="K58" s="21" t="e">
        <f>L16&amp;" I "&amp;(VLOOKUP(L14,Table24581114[],6,FALSE))</f>
        <v>#N/A</v>
      </c>
      <c r="L58" s="21" t="e">
        <f>M16&amp;" I "&amp;(VLOOKUP(M14,Table24581114[],6,FALSE))</f>
        <v>#N/A</v>
      </c>
      <c r="M58" s="21" t="e">
        <f>N16&amp;" I "&amp;(VLOOKUP(N14,Table24581114[],6,FALSE))</f>
        <v>#N/A</v>
      </c>
      <c r="N58" s="21" t="e">
        <f>O16&amp;" I "&amp;(VLOOKUP(O14,Table24581114[],6,FALSE))</f>
        <v>#N/A</v>
      </c>
      <c r="O58" s="21" t="e">
        <f>P16&amp;" I "&amp;(VLOOKUP(P14,Table24581114[],6,FALSE))</f>
        <v>#N/A</v>
      </c>
      <c r="P58" s="21" t="e">
        <f>Q16&amp;" I "&amp;(VLOOKUP(Q14,Table24581114[],6,FALSE))</f>
        <v>#N/A</v>
      </c>
      <c r="Q58" s="21" t="e">
        <f>R16&amp;" I "&amp;(VLOOKUP(R14,Table24581114[],6,FALSE))</f>
        <v>#N/A</v>
      </c>
      <c r="R58" s="21" t="e">
        <f>S16&amp;" I "&amp;(VLOOKUP(S14,Table24581114[],6,FALSE))</f>
        <v>#N/A</v>
      </c>
      <c r="S58" s="21" t="e">
        <f>T16&amp;" I "&amp;(VLOOKUP(T14,Table24581114[],6,FALSE))</f>
        <v>#N/A</v>
      </c>
      <c r="T58" s="21" t="e">
        <f>U16&amp;" I "&amp;(VLOOKUP(U14,Table24581114[],6,FALSE))</f>
        <v>#N/A</v>
      </c>
      <c r="U58" s="21" t="e">
        <f>V16&amp;" I "&amp;(VLOOKUP(V14,Table24581114[],6,FALSE))</f>
        <v>#N/A</v>
      </c>
    </row>
    <row r="59" spans="1:35" s="27" customFormat="1" hidden="1" x14ac:dyDescent="0.2">
      <c r="A59" s="92" t="s">
        <v>130</v>
      </c>
      <c r="B59" s="93">
        <f>VLOOKUP(C$14,Table24581114[],5,FALSE)</f>
        <v>6.2</v>
      </c>
      <c r="C59" s="93">
        <f>VLOOKUP(D$14,Table24581114[],5,FALSE)</f>
        <v>6.2</v>
      </c>
      <c r="D59" s="93">
        <f>VLOOKUP(E$14,Table24581114[],5,FALSE)</f>
        <v>6.2</v>
      </c>
      <c r="E59" s="93">
        <f>VLOOKUP(F$14,Table24581114[],5,FALSE)</f>
        <v>6.2</v>
      </c>
      <c r="F59" s="93">
        <f>VLOOKUP(G$14,Table24581114[],5,FALSE)</f>
        <v>6.2</v>
      </c>
      <c r="G59" s="93">
        <f>VLOOKUP(H$14,Table24581114[],5,FALSE)</f>
        <v>6.7</v>
      </c>
      <c r="H59" s="93">
        <f>VLOOKUP(I$14,Table24581114[],5,FALSE)</f>
        <v>6.2</v>
      </c>
      <c r="I59" s="93">
        <f>VLOOKUP(J$14,Table24581114[],5,FALSE)</f>
        <v>6.2</v>
      </c>
      <c r="J59" s="93">
        <f>VLOOKUP(K$14,Table24581114[],5,FALSE)</f>
        <v>6.2</v>
      </c>
      <c r="K59" s="93" t="e">
        <f>VLOOKUP(L$14,Table24581114[],5,FALSE)</f>
        <v>#N/A</v>
      </c>
      <c r="L59" s="93" t="e">
        <f>VLOOKUP(M$14,Table24581114[],5,FALSE)</f>
        <v>#N/A</v>
      </c>
      <c r="M59" s="93" t="e">
        <f>VLOOKUP(N$14,Table24581114[],5,FALSE)</f>
        <v>#N/A</v>
      </c>
      <c r="N59" s="93" t="e">
        <f>VLOOKUP(O$14,Table24581114[],5,FALSE)</f>
        <v>#N/A</v>
      </c>
      <c r="O59" s="93" t="e">
        <f>VLOOKUP(P$14,Table24581114[],5,FALSE)</f>
        <v>#N/A</v>
      </c>
      <c r="P59" s="93" t="e">
        <f>VLOOKUP(Q$14,Table24581114[],5,FALSE)</f>
        <v>#N/A</v>
      </c>
      <c r="Q59" s="93" t="e">
        <f>VLOOKUP(R$14,Table24581114[],5,FALSE)</f>
        <v>#N/A</v>
      </c>
      <c r="R59" s="93" t="e">
        <f>VLOOKUP(S$14,Table24581114[],5,FALSE)</f>
        <v>#N/A</v>
      </c>
      <c r="S59" s="93" t="e">
        <f>VLOOKUP(T$14,Table24581114[],5,FALSE)</f>
        <v>#N/A</v>
      </c>
      <c r="T59" s="93" t="e">
        <f>VLOOKUP(U$14,Table24581114[],5,FALSE)</f>
        <v>#N/A</v>
      </c>
      <c r="U59" s="93" t="e">
        <f>VLOOKUP(V$14,Table24581114[],5,FALSE)</f>
        <v>#N/A</v>
      </c>
    </row>
    <row r="60" spans="1:35" s="27" customFormat="1" hidden="1" x14ac:dyDescent="0.2">
      <c r="A60" s="92" t="s">
        <v>4</v>
      </c>
      <c r="B60" s="93">
        <f>C10</f>
        <v>5.3</v>
      </c>
      <c r="C60" s="93">
        <f t="shared" ref="C60:U60" si="14">D10</f>
        <v>5.2</v>
      </c>
      <c r="D60" s="93">
        <f t="shared" si="14"/>
        <v>5.7</v>
      </c>
      <c r="E60" s="93">
        <f t="shared" si="14"/>
        <v>5.5</v>
      </c>
      <c r="F60" s="93">
        <f t="shared" si="14"/>
        <v>5.6</v>
      </c>
      <c r="G60" s="93">
        <f t="shared" si="14"/>
        <v>5.3</v>
      </c>
      <c r="H60" s="93">
        <f t="shared" si="14"/>
        <v>5.7</v>
      </c>
      <c r="I60" s="93">
        <f t="shared" si="14"/>
        <v>5.5</v>
      </c>
      <c r="J60" s="93">
        <f t="shared" si="14"/>
        <v>5.9</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6</v>
      </c>
      <c r="I61" s="93">
        <f t="shared" si="15"/>
        <v>6</v>
      </c>
      <c r="J61" s="93">
        <f t="shared" si="15"/>
        <v>6</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5.4000000000000021</v>
      </c>
      <c r="C64" s="94">
        <f t="shared" ref="C64:U64" si="17">(C59-C60)*C61</f>
        <v>6</v>
      </c>
      <c r="D64" s="94">
        <f t="shared" si="17"/>
        <v>3</v>
      </c>
      <c r="E64" s="94">
        <f t="shared" si="17"/>
        <v>4.2000000000000011</v>
      </c>
      <c r="F64" s="94">
        <f t="shared" si="17"/>
        <v>3.6000000000000032</v>
      </c>
      <c r="G64" s="94">
        <f t="shared" si="17"/>
        <v>11.200000000000003</v>
      </c>
      <c r="H64" s="94">
        <f t="shared" si="17"/>
        <v>3</v>
      </c>
      <c r="I64" s="94">
        <f t="shared" si="17"/>
        <v>4.2000000000000011</v>
      </c>
      <c r="J64" s="94">
        <f t="shared" si="17"/>
        <v>1.7999999999999989</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8" priority="29" operator="equal">
      <formula>"DECREASE"</formula>
    </cfRule>
    <cfRule type="cellIs" dxfId="37" priority="30" operator="equal">
      <formula>"INCREASE"</formula>
    </cfRule>
  </conditionalFormatting>
  <conditionalFormatting sqref="B62:U65 B31:B50">
    <cfRule type="cellIs" dxfId="36" priority="28" operator="greaterThan">
      <formula>$B$51</formula>
    </cfRule>
  </conditionalFormatting>
  <conditionalFormatting sqref="C31:C50">
    <cfRule type="cellIs" dxfId="35" priority="27" operator="greaterThan">
      <formula>$C$51</formula>
    </cfRule>
  </conditionalFormatting>
  <conditionalFormatting sqref="C18:V18">
    <cfRule type="cellIs" dxfId="34" priority="26" operator="equal">
      <formula>0</formula>
    </cfRule>
  </conditionalFormatting>
  <conditionalFormatting sqref="C17:V17">
    <cfRule type="cellIs" dxfId="33" priority="25" operator="equal">
      <formula>0</formula>
    </cfRule>
  </conditionalFormatting>
  <conditionalFormatting sqref="C19:V19">
    <cfRule type="cellIs" dxfId="32" priority="24" operator="equal">
      <formula>0</formula>
    </cfRule>
  </conditionalFormatting>
  <conditionalFormatting sqref="G31:G50">
    <cfRule type="cellIs" dxfId="31" priority="23" operator="greaterThan">
      <formula>$G$51</formula>
    </cfRule>
  </conditionalFormatting>
  <conditionalFormatting sqref="H31:H50">
    <cfRule type="cellIs" dxfId="30" priority="22" operator="greaterThan">
      <formula>$H$51</formula>
    </cfRule>
  </conditionalFormatting>
  <conditionalFormatting sqref="I31:I50">
    <cfRule type="cellIs" dxfId="29" priority="21" operator="greaterThan">
      <formula>$I$51</formula>
    </cfRule>
  </conditionalFormatting>
  <conditionalFormatting sqref="K31:K50">
    <cfRule type="cellIs" dxfId="28" priority="20" operator="greaterThan">
      <formula>$K$51</formula>
    </cfRule>
  </conditionalFormatting>
  <conditionalFormatting sqref="L31:L50">
    <cfRule type="cellIs" dxfId="27" priority="19" operator="greaterThan">
      <formula>$L$51</formula>
    </cfRule>
  </conditionalFormatting>
  <conditionalFormatting sqref="M31:M50">
    <cfRule type="cellIs" dxfId="26" priority="18" operator="greaterThan">
      <formula>$M$51</formula>
    </cfRule>
  </conditionalFormatting>
  <conditionalFormatting sqref="P31:P50">
    <cfRule type="cellIs" dxfId="25" priority="17" operator="greaterThan">
      <formula>$P$51</formula>
    </cfRule>
  </conditionalFormatting>
  <conditionalFormatting sqref="R31:R50">
    <cfRule type="cellIs" dxfId="24" priority="16" operator="greaterThan">
      <formula>$R$51</formula>
    </cfRule>
  </conditionalFormatting>
  <conditionalFormatting sqref="S31:S50">
    <cfRule type="cellIs" dxfId="23" priority="15" operator="greaterThan">
      <formula>$S$51</formula>
    </cfRule>
  </conditionalFormatting>
  <conditionalFormatting sqref="T31:T50">
    <cfRule type="cellIs" dxfId="22" priority="14" operator="greaterThan">
      <formula>$T$51</formula>
    </cfRule>
  </conditionalFormatting>
  <conditionalFormatting sqref="U31:U50">
    <cfRule type="cellIs" dxfId="21" priority="13" operator="greaterThan">
      <formula>$U$51</formula>
    </cfRule>
  </conditionalFormatting>
  <conditionalFormatting sqref="C22:V22">
    <cfRule type="cellIs" dxfId="20" priority="12" operator="equal">
      <formula>0</formula>
    </cfRule>
  </conditionalFormatting>
  <conditionalFormatting sqref="C24:V24">
    <cfRule type="cellIs" dxfId="19" priority="10" operator="equal">
      <formula>"DECREASE"</formula>
    </cfRule>
    <cfRule type="cellIs" dxfId="18" priority="11" operator="equal">
      <formula>"INCREASE"</formula>
    </cfRule>
  </conditionalFormatting>
  <conditionalFormatting sqref="C23:V23">
    <cfRule type="cellIs" dxfId="17" priority="9" operator="equal">
      <formula>0</formula>
    </cfRule>
  </conditionalFormatting>
  <conditionalFormatting sqref="I1">
    <cfRule type="cellIs" dxfId="16" priority="8" operator="lessThan">
      <formula>5</formula>
    </cfRule>
  </conditionalFormatting>
  <conditionalFormatting sqref="C21:V21">
    <cfRule type="cellIs" dxfId="15" priority="5" operator="equal">
      <formula>0</formula>
    </cfRule>
  </conditionalFormatting>
  <conditionalFormatting sqref="B65:U65">
    <cfRule type="cellIs" dxfId="14" priority="3" operator="equal">
      <formula>"UNDER"</formula>
    </cfRule>
    <cfRule type="cellIs" dxfId="13" priority="4" operator="equal">
      <formula>"OVER"</formula>
    </cfRule>
  </conditionalFormatting>
  <conditionalFormatting sqref="I2">
    <cfRule type="cellIs" dxfId="12" priority="2" operator="greaterThan">
      <formula>5000.1</formula>
    </cfRule>
  </conditionalFormatting>
  <conditionalFormatting sqref="I3">
    <cfRule type="cellIs" dxfId="11" priority="1" operator="greaterThan">
      <formula>4.1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2020-08-10T23:00:00+00:00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Simon Jones</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05" ma:contentTypeDescription="Permitting &amp; Compliance Word Document" ma:contentTypeScope="" ma:versionID="e85c19e1da92a42c042e465b8d43bbea">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4.xml><?xml version="1.0" encoding="utf-8"?>
<ds:datastoreItem xmlns:ds="http://schemas.openxmlformats.org/officeDocument/2006/customXml" ds:itemID="{64246C36-B088-43C6-BE0F-D9848EAE8D2C}"/>
</file>

<file path=customXml/itemProps5.xml><?xml version="1.0" encoding="utf-8"?>
<ds:datastoreItem xmlns:ds="http://schemas.openxmlformats.org/officeDocument/2006/customXml" ds:itemID="{A895A7A4-C6C8-4CFD-9D56-DE7E84FEC76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Field data and Waste 1</vt:lpstr>
      <vt:lpstr>Waste 2</vt:lpstr>
      <vt:lpstr>Waste 3</vt:lpstr>
      <vt:lpstr>Waste 4</vt:lpstr>
      <vt:lpstr>Waste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Louise.Bailey</cp:lastModifiedBy>
  <dcterms:created xsi:type="dcterms:W3CDTF">2016-09-26T10:07:59Z</dcterms:created>
  <dcterms:modified xsi:type="dcterms:W3CDTF">2020-08-11T07:37:18Z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663f817a-70a5-4243-9718-8c8a45e2d626</vt:lpwstr>
  </property>
  <property fmtid="{D5CDD505-2E9C-101B-9397-08002B2CF9AE}" pid="4" name="_dlc_DocId">
    <vt:lpwstr>REGU-204-1609918</vt:lpwstr>
  </property>
  <property fmtid="{D5CDD505-2E9C-101B-9397-08002B2CF9AE}" pid="5" name="_dlc_DocIdUrl">
    <vt:lpwstr>https://cyfoethnaturiolcymru.sharepoint.com/teams/Regulatory/Permitting/_layouts/15/DocIdRedir.aspx?ID=REGU-204-1609918, REGU-204-1609918</vt:lpwstr>
  </property>
</Properties>
</file>