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2109D909-C6D8-E34B-4C66-09127ED2DC46}"/>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41FB84F6-3070-4F66-933E-CB42C9D5872F}"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G10" i="9"/>
  <c r="F29" i="9"/>
  <c r="D29" i="9"/>
  <c r="D14" i="20" s="1"/>
  <c r="F5" i="15"/>
  <c r="F41" i="15"/>
  <c r="G9"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C11" i="5"/>
  <c r="S72" i="17"/>
  <c r="S63" i="17"/>
  <c r="F7" i="17"/>
  <c r="S68" i="17"/>
  <c r="F47" i="15"/>
  <c r="F17" i="15"/>
  <c r="F20" i="15"/>
  <c r="F42" i="15" l="1"/>
  <c r="F6" i="15"/>
  <c r="W16" i="13" s="1"/>
  <c r="F23" i="15"/>
  <c r="F14" i="15"/>
  <c r="W56" i="15"/>
  <c r="F19" i="15"/>
  <c r="F12" i="15"/>
  <c r="F40" i="15"/>
  <c r="W69" i="15"/>
  <c r="W63" i="15"/>
  <c r="W66" i="15"/>
  <c r="F9" i="15"/>
  <c r="F44" i="15"/>
  <c r="F36" i="15"/>
  <c r="F43" i="15"/>
  <c r="F33" i="15"/>
  <c r="F21" i="15"/>
  <c r="F11" i="15"/>
  <c r="W71" i="15"/>
  <c r="F39" i="15"/>
  <c r="W70" i="15"/>
  <c r="C28" i="15"/>
  <c r="F37" i="15"/>
  <c r="D57" i="13"/>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W31" i="13" s="1"/>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25" i="13" l="1"/>
  <c r="W28" i="13"/>
  <c r="W24" i="13"/>
  <c r="W17" i="13"/>
  <c r="W23" i="13"/>
  <c r="W26"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J32" i="16"/>
  <c r="K32" i="16" s="1"/>
  <c r="V15" i="2"/>
  <c r="D34" i="20" s="1"/>
  <c r="V23" i="2"/>
  <c r="D42" i="20" s="1"/>
  <c r="V17" i="2"/>
  <c r="D36" i="20" s="1"/>
  <c r="V34" i="2"/>
  <c r="D53" i="20" s="1"/>
  <c r="V33" i="2"/>
  <c r="D52" i="20" s="1"/>
  <c r="L9" i="5" l="1"/>
  <c r="M9"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7" i="16" l="1"/>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<sst xmlns="http://schemas.openxmlformats.org/spreadsheetml/2006/main" count="1309" uniqueCount="406">
  <si>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</si>
  <si>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</si>
  <si>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</si>
  <si>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</si>
  <si>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</si>
  <si>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</si>
  <si>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</si>
  <si>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</si>
  <si>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</si>
  <si>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</si>
  <si>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</si>
  <si>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</si>
  <si>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</si>
  <si>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</si>
  <si>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</si>
  <si>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</si>
  <si>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</si>
  <si>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</si>
  <si>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</si>
  <si>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</si>
  <si>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</si>
  <si>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</si>
  <si>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</si>
  <si>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</si>
  <si>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</si>
  <si>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</si>
  <si>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</si>
  <si>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</si>
  <si>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</si>
  <si>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</si>
  <si>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</si>
  <si>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</si>
  <si>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</si>
  <si>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</si>
  <si>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</si>
  <si>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</si>
  <si>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</si>
  <si>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</si>
  <si>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</si>
  <si>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</si>
  <si>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</si>
  <si>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</si>
  <si>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</si>
  <si>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</si>
  <si>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</si>
  <si>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</si>
  <si>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</si>
  <si>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</si>
  <si>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</si>
  <si>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</si>
  <si>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</si>
  <si>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</si>
  <si>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</si>
  <si>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</si>
  <si>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</si>
  <si>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</si>
  <si>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</si>
  <si>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</si>
  <si>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</si>
  <si>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</si>
  <si>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</si>
  <si>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</si>
  <si>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</si>
  <si>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</si>
  <si>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</si>
  <si>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</si>
  <si>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</si>
  <si>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</si>
  <si>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</si>
  <si>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</si>
  <si>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</si>
  <si>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</si>
  <si>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</si>
  <si>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</si>
  <si>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</si>
  <si>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</si>
  <si>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</si>
  <si>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</si>
  <si>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</si>
  <si>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</si>
  <si>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</si>
  <si>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</si>
  <si>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</si>
  <si>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</si>
  <si>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</si>
  <si>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</si>
  <si>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</si>
  <si>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</si>
  <si>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</si>
  <si>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</si>
  <si>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</si>
  <si>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</si>
  <si>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</si>
  <si>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</si>
  <si>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</si>
  <si>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</si>
  <si>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</si>
  <si>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</si>
  <si>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</si>
  <si>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</si>
  <si>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</si>
  <si>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</si>
  <si>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</si>
  <si>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</si>
  <si>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</si>
  <si>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</si>
  <si>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</si>
  <si>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</si>
  <si>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</si>
  <si>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</si>
  <si>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</si>
  <si>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</si>
  <si>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</si>
  <si>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</si>
  <si>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</si>
  <si>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</si>
  <si>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</si>
  <si>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</si>
  <si>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</si>
  <si>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</si>
  <si>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</si>
  <si>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</si>
  <si>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</si>
  <si>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</si>
  <si>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</si>
  <si>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</si>
  <si>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</si>
  <si>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</si>
  <si>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</si>
  <si>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</si>
  <si>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</si>
  <si>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</si>
  <si>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</si>
  <si>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</si>
  <si>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</si>
  <si>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</si>
  <si>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</si>
  <si>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</si>
  <si>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</si>
  <si>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</si>
  <si>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</si>
  <si>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</si>
  <si>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</si>
  <si>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</si>
  <si>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</si>
  <si>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</si>
  <si>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</si>
  <si>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</si>
  <si>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</si>
  <si>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</si>
  <si>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</si>
  <si>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</si>
  <si>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</si>
  <si>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</si>
  <si>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</si>
  <si>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</si>
  <si>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</si>
  <si>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</si>
  <si>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</si>
  <si>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</si>
  <si>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</si>
  <si>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</si>
  <si>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</si>
  <si>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</si>
  <si>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</si>
  <si>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</si>
  <si>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</si>
  <si>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</si>
  <si>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</si>
  <si>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</si>
  <si>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</si>
  <si>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</si>
  <si>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</si>
  <si>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</si>
  <si>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</si>
  <si>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</si>
  <si>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</si>
  <si>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</si>
  <si>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</si>
  <si>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</si>
  <si>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</si>
  <si>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</si>
  <si>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</si>
  <si>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</si>
  <si>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</si>
  <si>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</si>
  <si>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</si>
  <si>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</si>
  <si>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</si>
  <si>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</si>
  <si>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</si>
  <si>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</si>
  <si>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</si>
  <si>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</si>
  <si>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</si>
  <si>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</si>
  <si>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</si>
  <si>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</si>
  <si>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</si>
  <si>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</si>
  <si>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</si>
  <si>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</si>
  <si>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</si>
  <si>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</si>
  <si>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</si>
  <si>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</si>
  <si>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</si>
  <si>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</si>
  <si>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</si>
  <si>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</si>
  <si>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</si>
  <si>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</si>
  <si>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</si>
  <si>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</si>
  <si>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</si>
  <si>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</si>
  <si>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</si>
  <si>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</si>
  <si>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</si>
  <si>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</si>
  <si>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</si>
  <si>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</si>
  <si>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</si>
  <si>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</si>
  <si>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</si>
  <si>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</si>
  <si>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</si>
  <si>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</si>
  <si>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</si>
  <si>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</si>
  <si>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</si>
  <si>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</si>
  <si>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</si>
  <si>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</si>
  <si>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</si>
  <si>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</si>
  <si>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</si>
  <si>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</si>
  <si>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</si>
  <si>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</si>
  <si>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</si>
  <si>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</si>
  <si>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</si>
  <si>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</si>
  <si>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</si>
  <si>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</si>
  <si>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</si>
  <si>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</si>
  <si>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</si>
  <si>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</si>
  <si>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</si>
  <si>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</si>
  <si>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</si>
  <si>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</si>
  <si>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</si>
  <si>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</si>
  <si>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</si>
  <si>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</si>
  <si>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</si>
  <si>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</si>
  <si>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</si>
  <si>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</si>
  <si>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</si>
  <si>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</si>
  <si>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</si>
  <si>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</si>
  <si>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</si>
  <si>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</si>
  <si>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</si>
  <si>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</si>
  <si>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</si>
  <si>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</si>
  <si>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</si>
  <si>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</si>
  <si>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</si>
  <si>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</si>
  <si>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</si>
  <si>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</si>
  <si>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</si>
  <si>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</si>
  <si>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</si>
  <si>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</si>
  <si>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</si>
  <si>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</si>
  <si>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</si>
  <si>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</si>
  <si>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</si>
  <si>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</si>
  <si>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</si>
  <si>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</si>
  <si>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</si>
  <si>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</si>
  <si>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</si>
  <si>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</si>
  <si>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</si>
  <si>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</si>
  <si>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</si>
  <si>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</si>
  <si>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</si>
  <si>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</si>
  <si>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</si>
  <si>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</si>
  <si>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</si>
  <si>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</si>
  <si>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</si>
  <si>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</si>
  <si>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</si>
  <si>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</si>
  <si>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</si>
  <si>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</si>
  <si>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</si>
  <si>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</si>
  <si>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</si>
  <si>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</si>
  <si>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</si>
  <si>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</si>
  <si>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</si>
  <si>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</si>
  <si>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</si>
  <si>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</si>
  <si>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</si>
  <si>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</si>
  <si>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</si>
  <si>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</si>
  <si>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</si>
  <si>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</si>
  <si>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</si>
  <si>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</si>
  <si>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</si>
  <si>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</si>
  <si>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</si>
  <si>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</si>
  <si>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</si>
  <si>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</si>
  <si>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</si>
  <si>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</si>
  <si>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</si>
  <si>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</si>
  <si>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</si>
  <si>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</si>
  <si>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</si>
  <si>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</si>
  <si>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</si>
  <si>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</si>
  <si>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</si>
  <si>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</si>
  <si>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</si>
  <si>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</si>
  <si>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</si>
  <si>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</si>
  <si>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</si>
  <si>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</si>
  <si>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</si>
  <si>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</si>
  <si>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</si>
  <si>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</si>
  <si>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</si>
  <si>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</si>
  <si>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</si>
  <si>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</si>
  <si>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</si>
  <si>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</si>
  <si>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</si>
  <si>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</si>
  <si>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</si>
  <si>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</si>
  <si>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</si>
  <si>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</si>
  <si>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</si>
  <si>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</si>
  <si>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</si>
  <si>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</si>
  <si>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</si>
  <si>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</si>
  <si>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</si>
  <si>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</si>
  <si>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</si>
  <si>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</si>
  <si>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</si>
  <si>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</si>
  <si>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</si>
  <si>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</si>
  <si>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</si>
  <si>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</si>
  <si>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</si>
  <si>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</si>
  <si>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</si>
  <si>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</si>
  <si>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</si>
  <si>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</si>
  <si>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</si>
  <si>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</si>
  <si>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</si>
  <si>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</si>
  <si>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degradation</t>
  </si>
  <si>
    <t>no effect on breakthrough</t>
  </si>
  <si>
    <t>Verticle thickness of mineral liner</t>
  </si>
  <si>
    <t>Default from Hydr. Contain. Model</t>
  </si>
  <si>
    <t>Vertyicle flow</t>
  </si>
  <si>
    <t>6.4x10-11 measured by triaxial perm</t>
  </si>
  <si>
    <t>Cp on outer surface of minerl liner</t>
  </si>
  <si>
    <t>Benzne</t>
  </si>
  <si>
    <t>A R Morrisd</t>
  </si>
  <si>
    <t>Average permeability 1.67e-9</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</si>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</sst>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0" xfId="0" applyFont="1" applyFill="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25CB-4884-8E88-459E28744D94}"/>
            </c:ext>
          </c:extLst>
        </c:ser>
        <c:dLbls>
          <c:showLegendKey val="0"/>
          <c:showVal val="0"/>
          <c:showCatName val="0"/>
          <c:showSerName val="0"/>
          <c:showPercent val="0"/>
          <c:showBubbleSize val="0"/>
        </c:dLbls>
        <c:axId val="147151448"/>
        <c:axId val="147148312"/>
      </c:scatterChart>
      <c:valAx>
        <c:axId val="1471514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7148312"/>
        <c:crossesAt val="0"/>
        <c:crossBetween val="midCat"/>
      </c:valAx>
      <c:valAx>
        <c:axId val="14714831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7151448"/>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C13E-4767-9FA5-65E54109F0CF}"/>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C13E-4767-9FA5-65E54109F0CF}"/>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C13E-4767-9FA5-65E54109F0CF}"/>
            </c:ext>
          </c:extLst>
        </c:ser>
        <c:dLbls>
          <c:showLegendKey val="0"/>
          <c:showVal val="0"/>
          <c:showCatName val="0"/>
          <c:showSerName val="0"/>
          <c:showPercent val="0"/>
          <c:showBubbleSize val="0"/>
        </c:dLbls>
        <c:axId val="146938584"/>
        <c:axId val="146940936"/>
        <c:axId val="350460736"/>
      </c:line3DChart>
      <c:catAx>
        <c:axId val="1469385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940936"/>
        <c:crosses val="autoZero"/>
        <c:auto val="1"/>
        <c:lblAlgn val="ctr"/>
        <c:lblOffset val="100"/>
        <c:tickLblSkip val="1"/>
        <c:tickMarkSkip val="1"/>
        <c:noMultiLvlLbl val="1"/>
      </c:catAx>
      <c:valAx>
        <c:axId val="14694093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938584"/>
        <c:crosses val="autoZero"/>
        <c:crossBetween val="midCat"/>
      </c:valAx>
      <c:serAx>
        <c:axId val="350460736"/>
        <c:scaling>
          <c:orientation val="minMax"/>
        </c:scaling>
        <c:delete val="1"/>
        <c:axPos val="b"/>
        <c:majorTickMark val="out"/>
        <c:minorTickMark val="none"/>
        <c:tickLblPos val="nextTo"/>
        <c:crossAx val="14694093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2B5-44B6-A30F-1289A7C5821F}"/>
            </c:ext>
          </c:extLst>
        </c:ser>
        <c:dLbls>
          <c:showLegendKey val="0"/>
          <c:showVal val="0"/>
          <c:showCatName val="0"/>
          <c:showSerName val="0"/>
          <c:showPercent val="0"/>
          <c:showBubbleSize val="0"/>
        </c:dLbls>
        <c:axId val="278377608"/>
        <c:axId val="350357704"/>
      </c:scatterChart>
      <c:valAx>
        <c:axId val="2783776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357704"/>
        <c:crosses val="autoZero"/>
        <c:crossBetween val="midCat"/>
      </c:valAx>
      <c:valAx>
        <c:axId val="3503577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83776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numCache>
            </c:numRef>
          </c:yVal>
          <c:smooth val="0"/>
          <c:extLst>
            <c:ext xmlns:c16="http://schemas.microsoft.com/office/drawing/2014/chart" uri="{C3380CC4-5D6E-409C-BE32-E72D297353CC}">
              <c16:uniqueId val="{00000000-B991-49B8-816A-75F74B739E0F}"/>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B991-49B8-816A-75F74B739E0F}"/>
            </c:ext>
          </c:extLst>
        </c:ser>
        <c:dLbls>
          <c:showLegendKey val="0"/>
          <c:showVal val="0"/>
          <c:showCatName val="0"/>
          <c:showSerName val="0"/>
          <c:showPercent val="0"/>
          <c:showBubbleSize val="0"/>
        </c:dLbls>
        <c:axId val="350360056"/>
        <c:axId val="350363192"/>
      </c:scatterChart>
      <c:valAx>
        <c:axId val="350360056"/>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363192"/>
        <c:crosses val="autoZero"/>
        <c:crossBetween val="midCat"/>
      </c:valAx>
      <c:valAx>
        <c:axId val="35036319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36005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3B4-4161-AE0C-358134054F8A}"/>
            </c:ext>
          </c:extLst>
        </c:ser>
        <c:dLbls>
          <c:showLegendKey val="0"/>
          <c:showVal val="0"/>
          <c:showCatName val="0"/>
          <c:showSerName val="0"/>
          <c:showPercent val="0"/>
          <c:showBubbleSize val="0"/>
        </c:dLbls>
        <c:axId val="350361624"/>
        <c:axId val="350358096"/>
      </c:scatterChart>
      <c:valAx>
        <c:axId val="3503616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58096"/>
        <c:crosses val="autoZero"/>
        <c:crossBetween val="midCat"/>
      </c:valAx>
      <c:valAx>
        <c:axId val="3503580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616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6F28-4A48-A097-79D1504F8F0A}"/>
            </c:ext>
          </c:extLst>
        </c:ser>
        <c:dLbls>
          <c:showLegendKey val="0"/>
          <c:showVal val="0"/>
          <c:showCatName val="0"/>
          <c:showSerName val="0"/>
          <c:showPercent val="0"/>
          <c:showBubbleSize val="0"/>
        </c:dLbls>
        <c:axId val="350360840"/>
        <c:axId val="350358488"/>
      </c:scatterChart>
      <c:valAx>
        <c:axId val="35036084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58488"/>
        <c:crosses val="autoZero"/>
        <c:crossBetween val="midCat"/>
      </c:valAx>
      <c:valAx>
        <c:axId val="35035848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60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CA3-4BD1-91A5-9DD54185B469}"/>
            </c:ext>
          </c:extLst>
        </c:ser>
        <c:dLbls>
          <c:showLegendKey val="0"/>
          <c:showVal val="0"/>
          <c:showCatName val="0"/>
          <c:showSerName val="0"/>
          <c:showPercent val="0"/>
          <c:showBubbleSize val="0"/>
        </c:dLbls>
        <c:axId val="350364368"/>
        <c:axId val="350358880"/>
      </c:scatterChart>
      <c:valAx>
        <c:axId val="3503643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358880"/>
        <c:crossesAt val="0"/>
        <c:crossBetween val="midCat"/>
      </c:valAx>
      <c:valAx>
        <c:axId val="350358880"/>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36436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105-4DAD-B301-0F4C7983375D}"/>
            </c:ext>
          </c:extLst>
        </c:ser>
        <c:dLbls>
          <c:showLegendKey val="0"/>
          <c:showVal val="0"/>
          <c:showCatName val="0"/>
          <c:showSerName val="0"/>
          <c:showPercent val="0"/>
          <c:showBubbleSize val="0"/>
        </c:dLbls>
        <c:axId val="350359272"/>
        <c:axId val="350360448"/>
      </c:scatterChart>
      <c:valAx>
        <c:axId val="3503592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360448"/>
        <c:crosses val="autoZero"/>
        <c:crossBetween val="midCat"/>
      </c:valAx>
      <c:valAx>
        <c:axId val="3503604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3592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25D-4817-B2AB-D9723D73E1B8}"/>
            </c:ext>
          </c:extLst>
        </c:ser>
        <c:dLbls>
          <c:showLegendKey val="0"/>
          <c:showVal val="0"/>
          <c:showCatName val="0"/>
          <c:showSerName val="0"/>
          <c:showPercent val="0"/>
          <c:showBubbleSize val="0"/>
        </c:dLbls>
        <c:axId val="350362016"/>
        <c:axId val="350362800"/>
      </c:scatterChart>
      <c:valAx>
        <c:axId val="3503620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362800"/>
        <c:crosses val="autoZero"/>
        <c:crossBetween val="midCat"/>
      </c:valAx>
      <c:valAx>
        <c:axId val="3503628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3620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75F-49EE-896E-54D4742EE11B}"/>
            </c:ext>
          </c:extLst>
        </c:ser>
        <c:dLbls>
          <c:showLegendKey val="0"/>
          <c:showVal val="0"/>
          <c:showCatName val="0"/>
          <c:showSerName val="0"/>
          <c:showPercent val="0"/>
          <c:showBubbleSize val="0"/>
        </c:dLbls>
        <c:axId val="351262784"/>
        <c:axId val="351265136"/>
      </c:scatterChart>
      <c:valAx>
        <c:axId val="3512627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1265136"/>
        <c:crosses val="autoZero"/>
        <c:crossBetween val="midCat"/>
      </c:valAx>
      <c:valAx>
        <c:axId val="3512651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12627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799C-43DB-8AAB-462528EB99C0}"/>
            </c:ext>
          </c:extLst>
        </c:ser>
        <c:dLbls>
          <c:showLegendKey val="0"/>
          <c:showVal val="0"/>
          <c:showCatName val="0"/>
          <c:showSerName val="0"/>
          <c:showPercent val="0"/>
          <c:showBubbleSize val="0"/>
        </c:dLbls>
        <c:axId val="351265920"/>
        <c:axId val="351268272"/>
      </c:scatterChart>
      <c:valAx>
        <c:axId val="35126592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8272"/>
        <c:crosses val="autoZero"/>
        <c:crossBetween val="midCat"/>
      </c:valAx>
      <c:valAx>
        <c:axId val="35126827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5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640D-4FE4-8FDB-9BEA503BF5ED}"/>
            </c:ext>
          </c:extLst>
        </c:ser>
        <c:dLbls>
          <c:showLegendKey val="0"/>
          <c:showVal val="0"/>
          <c:showCatName val="0"/>
          <c:showSerName val="0"/>
          <c:showPercent val="0"/>
          <c:showBubbleSize val="0"/>
        </c:dLbls>
        <c:axId val="351266312"/>
        <c:axId val="351269448"/>
      </c:scatterChart>
      <c:valAx>
        <c:axId val="3512663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9448"/>
        <c:crosses val="autoZero"/>
        <c:crossBetween val="midCat"/>
      </c:valAx>
      <c:valAx>
        <c:axId val="3512694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63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9DB1-4170-8B78-88D3CF1D9E9E}"/>
            </c:ext>
          </c:extLst>
        </c:ser>
        <c:dLbls>
          <c:showLegendKey val="0"/>
          <c:showVal val="0"/>
          <c:showCatName val="0"/>
          <c:showSerName val="0"/>
          <c:showPercent val="0"/>
          <c:showBubbleSize val="0"/>
        </c:dLbls>
        <c:axId val="351264352"/>
        <c:axId val="351263176"/>
      </c:scatterChart>
      <c:valAx>
        <c:axId val="35126435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3176"/>
        <c:crosses val="autoZero"/>
        <c:crossBetween val="midCat"/>
      </c:valAx>
      <c:valAx>
        <c:axId val="35126317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43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C97B-4564-8B6C-71DD83653EDE}"/>
            </c:ext>
          </c:extLst>
        </c:ser>
        <c:dLbls>
          <c:showLegendKey val="0"/>
          <c:showVal val="0"/>
          <c:showCatName val="0"/>
          <c:showSerName val="0"/>
          <c:showPercent val="0"/>
          <c:showBubbleSize val="0"/>
        </c:dLbls>
        <c:axId val="351269840"/>
        <c:axId val="351270232"/>
      </c:scatterChart>
      <c:valAx>
        <c:axId val="35126984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70232"/>
        <c:crosses val="autoZero"/>
        <c:crossBetween val="midCat"/>
      </c:valAx>
      <c:valAx>
        <c:axId val="35127023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9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E9B6-498D-8BC8-D3891C8BC705}"/>
            </c:ext>
          </c:extLst>
        </c:ser>
        <c:dLbls>
          <c:showLegendKey val="0"/>
          <c:showVal val="0"/>
          <c:showCatName val="0"/>
          <c:showSerName val="0"/>
          <c:showPercent val="0"/>
          <c:showBubbleSize val="0"/>
        </c:dLbls>
        <c:axId val="351267488"/>
        <c:axId val="351265528"/>
      </c:scatterChart>
      <c:valAx>
        <c:axId val="35126748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5528"/>
        <c:crosses val="autoZero"/>
        <c:crossBetween val="midCat"/>
      </c:valAx>
      <c:valAx>
        <c:axId val="351265528"/>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74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F707-4E03-8A8A-3C03C529DFEF}"/>
            </c:ext>
          </c:extLst>
        </c:ser>
        <c:dLbls>
          <c:showLegendKey val="0"/>
          <c:showVal val="0"/>
          <c:showCatName val="0"/>
          <c:showSerName val="0"/>
          <c:showPercent val="0"/>
          <c:showBubbleSize val="0"/>
        </c:dLbls>
        <c:axId val="351263960"/>
        <c:axId val="351264744"/>
      </c:scatterChart>
      <c:valAx>
        <c:axId val="35126396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4744"/>
        <c:crosses val="autoZero"/>
        <c:crossBetween val="midCat"/>
      </c:valAx>
      <c:valAx>
        <c:axId val="35126474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39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4" t="s">
        <v>367</v>
      </c>
      <c r="B7" s="484"/>
      <c r="C7" s="484"/>
      <c r="D7" s="484"/>
      <c r="E7" s="484"/>
      <c r="F7" s="484"/>
      <c r="G7" s="484"/>
      <c r="H7" s="484"/>
      <c r="I7" s="484"/>
      <c r="J7" s="484"/>
      <c r="K7" s="484"/>
      <c r="L7" s="484"/>
      <c r="M7" s="484"/>
      <c r="N7" s="205"/>
      <c r="O7" s="205"/>
    </row>
    <row r="8" spans="1:15" s="293" customFormat="1" ht="18" x14ac:dyDescent="0.25">
      <c r="A8" s="495" t="s">
        <v>383</v>
      </c>
      <c r="B8" s="495"/>
      <c r="C8" s="496"/>
      <c r="D8" s="496"/>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88" t="s">
        <v>368</v>
      </c>
      <c r="B10" s="488"/>
      <c r="C10" s="488"/>
      <c r="D10" s="488"/>
      <c r="E10" s="488"/>
      <c r="F10" s="488"/>
      <c r="G10" s="488"/>
      <c r="H10" s="488"/>
      <c r="I10" s="488"/>
      <c r="J10" s="223"/>
      <c r="K10" s="223"/>
      <c r="L10" s="223"/>
      <c r="M10" s="205"/>
      <c r="N10" s="205"/>
      <c r="O10" s="205"/>
    </row>
    <row r="11" spans="1:15" x14ac:dyDescent="0.2">
      <c r="A11" s="488"/>
      <c r="B11" s="488"/>
      <c r="C11" s="488"/>
      <c r="D11" s="488"/>
      <c r="E11" s="488"/>
      <c r="F11" s="488"/>
      <c r="G11" s="488"/>
      <c r="H11" s="488"/>
      <c r="I11" s="488"/>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89" t="s">
        <v>359</v>
      </c>
      <c r="B13" s="490"/>
      <c r="C13" s="490"/>
      <c r="D13" s="490"/>
      <c r="E13" s="490"/>
      <c r="F13" s="490"/>
      <c r="G13" s="490"/>
      <c r="H13" s="490"/>
      <c r="I13" s="490"/>
      <c r="J13" s="205"/>
      <c r="K13" s="205"/>
      <c r="L13" s="205"/>
      <c r="M13" s="205"/>
      <c r="N13" s="205"/>
      <c r="O13" s="205"/>
    </row>
    <row r="14" spans="1:15" x14ac:dyDescent="0.2">
      <c r="A14" s="490"/>
      <c r="B14" s="490"/>
      <c r="C14" s="490"/>
      <c r="D14" s="490"/>
      <c r="E14" s="490"/>
      <c r="F14" s="490"/>
      <c r="G14" s="490"/>
      <c r="H14" s="490"/>
      <c r="I14" s="490"/>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1" t="s">
        <v>369</v>
      </c>
      <c r="B16" s="491"/>
      <c r="C16" s="491"/>
      <c r="D16" s="491"/>
      <c r="E16" s="491"/>
      <c r="F16" s="491"/>
      <c r="G16" s="491"/>
      <c r="H16" s="491"/>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2" t="s">
        <v>283</v>
      </c>
      <c r="B18" s="492"/>
      <c r="C18" s="492"/>
      <c r="D18" s="492"/>
      <c r="E18" s="492"/>
      <c r="F18" s="492"/>
      <c r="G18" s="492"/>
      <c r="H18" s="205"/>
      <c r="I18" s="205"/>
      <c r="J18" s="205"/>
      <c r="K18" s="205"/>
      <c r="L18" s="205"/>
      <c r="M18" s="205"/>
      <c r="N18" s="205"/>
      <c r="O18" s="205"/>
    </row>
    <row r="19" spans="1:15" s="181" customFormat="1" ht="12.75" customHeight="1" x14ac:dyDescent="0.2">
      <c r="A19" s="493" t="s">
        <v>208</v>
      </c>
      <c r="B19" s="493"/>
      <c r="C19" s="493"/>
      <c r="D19" s="493"/>
      <c r="E19" s="493"/>
      <c r="F19" s="206"/>
      <c r="G19" s="206"/>
      <c r="H19" s="206"/>
      <c r="I19" s="206"/>
      <c r="J19" s="206"/>
      <c r="K19" s="206"/>
      <c r="L19" s="206"/>
      <c r="M19" s="206"/>
      <c r="N19" s="206"/>
      <c r="O19" s="206"/>
    </row>
    <row r="20" spans="1:15" s="181" customFormat="1" ht="9.9499999999999993" customHeight="1" x14ac:dyDescent="0.2">
      <c r="A20" s="498" t="s">
        <v>284</v>
      </c>
      <c r="B20" s="498"/>
      <c r="C20" s="498"/>
      <c r="D20" s="498"/>
      <c r="E20" s="498"/>
      <c r="F20" s="498"/>
      <c r="G20" s="498"/>
      <c r="H20" s="498"/>
      <c r="I20" s="498"/>
      <c r="J20" s="206"/>
      <c r="K20" s="206"/>
      <c r="L20" s="206"/>
      <c r="M20" s="206"/>
      <c r="N20" s="206"/>
      <c r="O20" s="206"/>
    </row>
    <row r="21" spans="1:15" s="181" customFormat="1" ht="9.9499999999999993" customHeight="1" x14ac:dyDescent="0.2">
      <c r="A21" s="498"/>
      <c r="B21" s="498"/>
      <c r="C21" s="498"/>
      <c r="D21" s="498"/>
      <c r="E21" s="498"/>
      <c r="F21" s="498"/>
      <c r="G21" s="498"/>
      <c r="H21" s="498"/>
      <c r="I21" s="498"/>
      <c r="J21" s="206"/>
      <c r="K21" s="206"/>
      <c r="L21" s="206"/>
      <c r="M21" s="206"/>
      <c r="N21" s="206"/>
      <c r="O21" s="206"/>
    </row>
    <row r="22" spans="1:15" s="181" customFormat="1" ht="9.9499999999999993" customHeight="1" x14ac:dyDescent="0.2">
      <c r="A22" s="498"/>
      <c r="B22" s="498"/>
      <c r="C22" s="498"/>
      <c r="D22" s="498"/>
      <c r="E22" s="498"/>
      <c r="F22" s="498"/>
      <c r="G22" s="498"/>
      <c r="H22" s="498"/>
      <c r="I22" s="498"/>
      <c r="J22" s="206"/>
      <c r="K22" s="206"/>
      <c r="L22" s="206"/>
      <c r="M22" s="206"/>
      <c r="N22" s="206"/>
      <c r="O22" s="206"/>
    </row>
    <row r="23" spans="1:15" s="181" customFormat="1" ht="31.5" customHeight="1" x14ac:dyDescent="0.2">
      <c r="A23" s="498"/>
      <c r="B23" s="498"/>
      <c r="C23" s="498"/>
      <c r="D23" s="498"/>
      <c r="E23" s="498"/>
      <c r="F23" s="498"/>
      <c r="G23" s="498"/>
      <c r="H23" s="498"/>
      <c r="I23" s="498"/>
      <c r="J23" s="206"/>
      <c r="K23" s="206"/>
      <c r="L23" s="206"/>
      <c r="M23" s="206"/>
      <c r="N23" s="206"/>
      <c r="O23" s="206"/>
    </row>
    <row r="24" spans="1:15" s="201" customFormat="1" ht="18" x14ac:dyDescent="0.25">
      <c r="A24" s="500" t="s">
        <v>250</v>
      </c>
      <c r="B24" s="500"/>
      <c r="C24" s="500"/>
      <c r="D24" s="500"/>
      <c r="E24" s="500"/>
      <c r="F24" s="500"/>
      <c r="G24" s="500"/>
      <c r="H24" s="500"/>
      <c r="I24" s="500"/>
      <c r="J24" s="500"/>
      <c r="K24" s="500"/>
      <c r="L24" s="500"/>
      <c r="M24" s="500"/>
      <c r="N24" s="500"/>
      <c r="O24" s="500"/>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7" t="s">
        <v>404</v>
      </c>
      <c r="C28" s="487"/>
      <c r="D28" s="487"/>
      <c r="E28" s="487"/>
      <c r="F28" s="487"/>
      <c r="G28" s="499"/>
      <c r="H28" s="205"/>
      <c r="I28" s="205"/>
      <c r="J28" s="205"/>
      <c r="K28" s="205"/>
      <c r="L28" s="205"/>
      <c r="M28" s="205"/>
      <c r="N28" s="205"/>
      <c r="O28" s="205"/>
    </row>
    <row r="29" spans="1:15" x14ac:dyDescent="0.2">
      <c r="A29" s="215" t="s">
        <v>140</v>
      </c>
      <c r="B29" s="487" t="s">
        <v>405</v>
      </c>
      <c r="C29" s="487"/>
      <c r="D29" s="487"/>
      <c r="E29" s="487"/>
      <c r="F29" s="487"/>
      <c r="G29" s="499"/>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7" t="s">
        <v>402</v>
      </c>
      <c r="C31" s="487"/>
      <c r="D31" s="487"/>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1E-3</v>
      </c>
      <c r="C35" s="221" t="s">
        <v>22</v>
      </c>
      <c r="D35" s="222" t="s">
        <v>218</v>
      </c>
      <c r="E35" s="485" t="s">
        <v>392</v>
      </c>
      <c r="F35" s="485"/>
      <c r="G35" s="486"/>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7" t="s">
        <v>370</v>
      </c>
      <c r="B37" s="497"/>
      <c r="C37" s="497"/>
      <c r="D37" s="497"/>
      <c r="E37" s="497"/>
      <c r="F37" s="497"/>
      <c r="G37" s="497"/>
      <c r="H37" s="497"/>
      <c r="I37" s="497"/>
      <c r="J37" s="497"/>
      <c r="K37" s="205"/>
      <c r="L37" s="205"/>
      <c r="M37" s="205"/>
      <c r="N37" s="205"/>
      <c r="O37" s="205"/>
    </row>
    <row r="38" spans="1:15" x14ac:dyDescent="0.2">
      <c r="A38" s="497"/>
      <c r="B38" s="497"/>
      <c r="C38" s="497"/>
      <c r="D38" s="497"/>
      <c r="E38" s="497"/>
      <c r="F38" s="497"/>
      <c r="G38" s="497"/>
      <c r="H38" s="497"/>
      <c r="I38" s="497"/>
      <c r="J38" s="497"/>
      <c r="K38" s="205"/>
      <c r="L38" s="205"/>
      <c r="M38" s="205"/>
      <c r="N38" s="205"/>
      <c r="O38" s="205"/>
    </row>
    <row r="39" spans="1:15" x14ac:dyDescent="0.2">
      <c r="A39" s="497"/>
      <c r="B39" s="497"/>
      <c r="C39" s="497"/>
      <c r="D39" s="497"/>
      <c r="E39" s="497"/>
      <c r="F39" s="497"/>
      <c r="G39" s="497"/>
      <c r="H39" s="497"/>
      <c r="I39" s="497"/>
      <c r="J39" s="497"/>
      <c r="K39" s="205"/>
      <c r="L39" s="205"/>
      <c r="M39" s="205"/>
      <c r="N39" s="205"/>
      <c r="O39" s="205"/>
    </row>
    <row r="40" spans="1:15" x14ac:dyDescent="0.2">
      <c r="A40" s="497"/>
      <c r="B40" s="497"/>
      <c r="C40" s="497"/>
      <c r="D40" s="497"/>
      <c r="E40" s="497"/>
      <c r="F40" s="497"/>
      <c r="G40" s="497"/>
      <c r="H40" s="497"/>
      <c r="I40" s="497"/>
      <c r="J40" s="497"/>
      <c r="K40" s="205"/>
      <c r="L40" s="205"/>
      <c r="M40" s="205"/>
      <c r="N40" s="205"/>
      <c r="O40" s="205"/>
    </row>
    <row r="41" spans="1:15" x14ac:dyDescent="0.2">
      <c r="A41" s="494" t="s">
        <v>371</v>
      </c>
      <c r="B41" s="494"/>
      <c r="C41" s="494"/>
      <c r="D41" s="494"/>
      <c r="E41" s="494"/>
      <c r="F41" s="494"/>
      <c r="G41" s="494"/>
      <c r="H41" s="494"/>
      <c r="I41" s="494"/>
      <c r="J41" s="494"/>
      <c r="K41" s="205"/>
      <c r="L41" s="205"/>
      <c r="M41" s="205"/>
      <c r="N41" s="205"/>
      <c r="O41" s="205"/>
    </row>
    <row r="42" spans="1:15" x14ac:dyDescent="0.2">
      <c r="A42" s="494" t="s">
        <v>316</v>
      </c>
      <c r="B42" s="494"/>
      <c r="C42" s="494"/>
      <c r="D42" s="494"/>
      <c r="E42" s="494"/>
      <c r="F42" s="494"/>
      <c r="G42" s="494"/>
      <c r="H42" s="494"/>
      <c r="I42" s="494"/>
      <c r="J42" s="494"/>
      <c r="K42" s="205"/>
      <c r="L42" s="205"/>
      <c r="M42" s="205"/>
      <c r="N42" s="205"/>
      <c r="O42" s="205"/>
    </row>
    <row r="43" spans="1:15" x14ac:dyDescent="0.2">
      <c r="A43" s="494" t="s">
        <v>219</v>
      </c>
      <c r="B43" s="494"/>
      <c r="C43" s="494"/>
      <c r="D43" s="494"/>
      <c r="E43" s="494"/>
      <c r="F43" s="494"/>
      <c r="G43" s="494"/>
      <c r="H43" s="494"/>
      <c r="I43" s="494"/>
      <c r="J43" s="494"/>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4" t="s">
        <v>209</v>
      </c>
      <c r="B45" s="494"/>
      <c r="C45" s="494"/>
      <c r="D45" s="494"/>
      <c r="E45" s="494"/>
      <c r="F45" s="494"/>
      <c r="G45" s="494"/>
      <c r="H45" s="494"/>
      <c r="I45" s="494"/>
      <c r="J45" s="494"/>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2" t="s">
        <v>324</v>
      </c>
      <c r="B47" s="482"/>
      <c r="C47" s="482"/>
      <c r="D47" s="482"/>
      <c r="E47" s="482"/>
      <c r="F47" s="483"/>
      <c r="G47" s="483"/>
      <c r="H47" s="483"/>
      <c r="I47" s="483"/>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5" t="s">
        <v>383</v>
      </c>
      <c r="C2" s="495"/>
      <c r="D2" s="496"/>
      <c r="E2" s="496"/>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Benzne</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Morrisd</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5" t="s">
        <v>383</v>
      </c>
      <c r="C2" s="495"/>
      <c r="D2" s="496"/>
      <c r="E2" s="496"/>
    </row>
    <row r="4" spans="1:14" ht="20.25" x14ac:dyDescent="0.3">
      <c r="B4" s="255" t="s">
        <v>339</v>
      </c>
    </row>
    <row r="6" spans="1:14" ht="12.75" customHeight="1" x14ac:dyDescent="0.2">
      <c r="B6" s="256" t="s">
        <v>89</v>
      </c>
      <c r="C6" s="257"/>
      <c r="D6" s="517" t="str">
        <f>Introduction!B34</f>
        <v>Benzne</v>
      </c>
      <c r="E6" s="518"/>
      <c r="F6" s="120" t="s">
        <v>344</v>
      </c>
      <c r="H6" s="519" t="s">
        <v>340</v>
      </c>
      <c r="I6" s="519"/>
      <c r="J6" s="519"/>
      <c r="K6" s="519"/>
      <c r="L6" s="519"/>
      <c r="M6" s="519"/>
    </row>
    <row r="7" spans="1:14" ht="12.75" customHeight="1" x14ac:dyDescent="0.2">
      <c r="B7" s="256" t="s">
        <v>74</v>
      </c>
      <c r="C7" s="259" t="s">
        <v>97</v>
      </c>
      <c r="D7" s="390">
        <f>Introduction!B35</f>
        <v>1E-3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6"/>
      <c r="P33" s="496"/>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Morrisd</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5" t="s">
        <v>383</v>
      </c>
      <c r="C1" s="495"/>
      <c r="D1" s="496"/>
      <c r="E1" s="496"/>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Benzne</v>
      </c>
      <c r="E7" s="526"/>
      <c r="F7" s="31" t="s">
        <v>344</v>
      </c>
      <c r="V7" s="63" t="s">
        <v>163</v>
      </c>
    </row>
    <row r="8" spans="1:24" ht="16.5" x14ac:dyDescent="0.2">
      <c r="B8" s="58" t="s">
        <v>6</v>
      </c>
      <c r="C8" s="51" t="s">
        <v>97</v>
      </c>
      <c r="D8" s="399">
        <f>Introduction!B35</f>
        <v>1E-3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6"/>
      <c r="H43" s="496"/>
      <c r="I43" s="496"/>
      <c r="J43" s="496"/>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Morrisd</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K46" sqref="K46"/>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Benzne</v>
      </c>
      <c r="E8" s="526"/>
      <c r="F8" s="31" t="s">
        <v>344</v>
      </c>
      <c r="H8" s="20"/>
      <c r="I8" s="21"/>
      <c r="J8" s="20"/>
      <c r="L8" s="20"/>
      <c r="M8" s="20"/>
      <c r="W8" s="63" t="s">
        <v>163</v>
      </c>
    </row>
    <row r="9" spans="1:29" ht="16.5" x14ac:dyDescent="0.3">
      <c r="B9" s="58" t="s">
        <v>6</v>
      </c>
      <c r="C9" s="53" t="s">
        <v>97</v>
      </c>
      <c r="D9" s="402">
        <f>Introduction!B35</f>
        <v>1E-3</v>
      </c>
      <c r="E9" s="2" t="s">
        <v>22</v>
      </c>
      <c r="F9" s="31" t="s">
        <v>344</v>
      </c>
      <c r="G9" s="100" t="s">
        <v>101</v>
      </c>
      <c r="J9" s="34"/>
      <c r="K9" s="101"/>
      <c r="L9" s="49"/>
      <c r="M9" s="49"/>
      <c r="P9" s="20"/>
    </row>
    <row r="10" spans="1:29" x14ac:dyDescent="0.2">
      <c r="D10"/>
      <c r="E10"/>
      <c r="F10"/>
      <c r="G10" s="56" t="s">
        <v>90</v>
      </c>
      <c r="J10" s="8" t="s">
        <v>13</v>
      </c>
      <c r="K10" s="148">
        <v>146</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0.1</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0.1</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0.1</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0.1</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0.1</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0.1</v>
      </c>
    </row>
    <row r="20" spans="1:24" ht="15" customHeight="1" x14ac:dyDescent="0.35">
      <c r="B20" s="1" t="s">
        <v>275</v>
      </c>
      <c r="C20" s="3" t="s">
        <v>232</v>
      </c>
      <c r="D20" s="142">
        <v>0.1</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0.1</v>
      </c>
    </row>
    <row r="21" spans="1:24" ht="15" customHeight="1" x14ac:dyDescent="0.35">
      <c r="B21" s="1" t="s">
        <v>241</v>
      </c>
      <c r="C21" s="89" t="s">
        <v>152</v>
      </c>
      <c r="D21" s="148">
        <v>8.9999999999999999E+99</v>
      </c>
      <c r="E21" s="2" t="s">
        <v>21</v>
      </c>
      <c r="F21" s="180" t="s">
        <v>394</v>
      </c>
      <c r="G21" s="56" t="s">
        <v>90</v>
      </c>
      <c r="H21" s="20"/>
      <c r="J21" s="8" t="s">
        <v>13</v>
      </c>
      <c r="K21" s="186">
        <f>IF($N$2=1,$K$10,IF($N$3=1,$K$13*$K$12,IF($N$4=1,K19*($K$15*(1+10^($K$17-$K$18))^-1)+$K$16*(1-(1+(10^($K$17-$K$18)))^-1))))</f>
        <v>146</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0.1</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0.1</v>
      </c>
    </row>
    <row r="23" spans="1:24" ht="15" customHeight="1" x14ac:dyDescent="0.25">
      <c r="B23" s="1" t="s">
        <v>262</v>
      </c>
      <c r="C23" s="3" t="s">
        <v>50</v>
      </c>
      <c r="D23" s="142">
        <v>100</v>
      </c>
      <c r="E23" s="2" t="s">
        <v>26</v>
      </c>
      <c r="F23" s="180" t="s">
        <v>395</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0.1</v>
      </c>
    </row>
    <row r="24" spans="1:24" ht="15" customHeight="1" x14ac:dyDescent="0.25">
      <c r="B24" s="1" t="s">
        <v>222</v>
      </c>
      <c r="C24" s="3" t="s">
        <v>153</v>
      </c>
      <c r="D24" s="142">
        <v>100</v>
      </c>
      <c r="E24" s="2" t="s">
        <v>26</v>
      </c>
      <c r="F24" s="180" t="s">
        <v>395</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0.1</v>
      </c>
    </row>
    <row r="25" spans="1:24" ht="15" customHeight="1" x14ac:dyDescent="0.25">
      <c r="B25" s="1" t="s">
        <v>145</v>
      </c>
      <c r="C25" s="3" t="s">
        <v>62</v>
      </c>
      <c r="D25" s="142">
        <v>1</v>
      </c>
      <c r="E25" s="2" t="s">
        <v>26</v>
      </c>
      <c r="F25" s="180" t="s">
        <v>396</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0.1</v>
      </c>
    </row>
    <row r="26" spans="1:24" ht="15" customHeight="1" x14ac:dyDescent="0.25">
      <c r="B26" s="1" t="s">
        <v>248</v>
      </c>
      <c r="C26" s="90" t="s">
        <v>35</v>
      </c>
      <c r="D26" s="142">
        <v>1.44E-4</v>
      </c>
      <c r="E26" s="2" t="s">
        <v>81</v>
      </c>
      <c r="F26" s="180" t="s">
        <v>403</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0.1</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0.1</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0.1</v>
      </c>
    </row>
    <row r="29" spans="1:24" ht="15" customHeight="1" x14ac:dyDescent="0.25">
      <c r="B29" s="58" t="s">
        <v>273</v>
      </c>
      <c r="C29" s="3" t="s">
        <v>189</v>
      </c>
      <c r="D29" s="481">
        <v>2.0250000000000001E-5</v>
      </c>
      <c r="E29" s="2" t="s">
        <v>25</v>
      </c>
      <c r="F29" s="180" t="s">
        <v>399</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0.1</v>
      </c>
    </row>
    <row r="30" spans="1:24" ht="15" customHeight="1" x14ac:dyDescent="0.25">
      <c r="B30" s="58" t="s">
        <v>30</v>
      </c>
      <c r="C30" s="3" t="s">
        <v>14</v>
      </c>
      <c r="D30" s="142">
        <v>1</v>
      </c>
      <c r="E30" s="2" t="s">
        <v>26</v>
      </c>
      <c r="F30" s="180" t="s">
        <v>400</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0.1</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0.1</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0.1</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0.1</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0.1</v>
      </c>
    </row>
    <row r="35" spans="1:24" ht="15" customHeight="1" x14ac:dyDescent="0.2">
      <c r="B35" s="1" t="s">
        <v>27</v>
      </c>
      <c r="C35" s="3" t="s">
        <v>13</v>
      </c>
      <c r="D35" s="316">
        <f>K21</f>
        <v>146</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1.1297777777777778</v>
      </c>
      <c r="E43" s="2" t="s">
        <v>79</v>
      </c>
      <c r="I43" s="469"/>
      <c r="O43" s="527"/>
      <c r="P43" s="527"/>
      <c r="Q43" s="527"/>
      <c r="R43" s="527"/>
      <c r="S43" s="527"/>
      <c r="T43" s="527"/>
      <c r="U43" s="527"/>
    </row>
    <row r="44" spans="1:24" ht="15" customHeight="1" x14ac:dyDescent="0.25">
      <c r="B44" s="1" t="s">
        <v>235</v>
      </c>
      <c r="C44" s="90" t="s">
        <v>236</v>
      </c>
      <c r="D44" s="131">
        <f>IF(C18=A18,(D22/D43),(D22))</f>
        <v>6.8172108575924465E-101</v>
      </c>
      <c r="E44" s="2" t="s">
        <v>239</v>
      </c>
      <c r="O44" s="527"/>
      <c r="P44" s="527"/>
      <c r="Q44" s="527"/>
      <c r="R44" s="527"/>
      <c r="S44" s="527"/>
      <c r="T44" s="527"/>
      <c r="U44" s="527"/>
    </row>
    <row r="45" spans="1:24" ht="15" customHeight="1" x14ac:dyDescent="0.2">
      <c r="B45" s="1" t="s">
        <v>40</v>
      </c>
      <c r="C45" s="3" t="s">
        <v>41</v>
      </c>
      <c r="D45" s="131">
        <f>(D29*D28)/(D27*D43)</f>
        <v>2.8102871754523996E-6</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0.1</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f>IF(D$46=0,"No significant breakthrough at compliance point",D$20/D$46)</f>
        <v>1</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Morrisd</v>
      </c>
      <c r="R48" s="439"/>
      <c r="S48" s="441"/>
      <c r="T48" s="442"/>
    </row>
    <row r="49" spans="2:20" ht="15" customHeight="1" x14ac:dyDescent="0.2">
      <c r="D49" s="204">
        <f>IF(D46=0,"No impact",D47*D9)</f>
        <v>1E-3</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f>IF(D46=0,"No impact",D9*D47)</f>
        <v>1E-3</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0.1</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Benzne</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Benzne</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Morrisd</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Benzne</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Benzne</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Benzne</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Benzne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Benzne</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1E-3</v>
      </c>
      <c r="D5" s="8" t="s">
        <v>22</v>
      </c>
      <c r="E5" s="64">
        <v>1</v>
      </c>
      <c r="F5" s="64">
        <f t="shared" ref="F5:F24" si="0">$C$17/20*E5</f>
        <v>0.05</v>
      </c>
      <c r="G5" s="11">
        <f t="shared" ref="G5:G24" si="1">0.125*$C$8</f>
        <v>1.2500000000000001E-2</v>
      </c>
      <c r="H5" s="134">
        <f>$F5/(2*$C$21)*(1-(1+(4*$C$9*$C$21)/$C$30)^0.5)</f>
        <v>0</v>
      </c>
      <c r="I5" s="134">
        <f t="shared" ref="I5:I24" si="2">EXP(H5)</f>
        <v>1</v>
      </c>
      <c r="J5" s="135">
        <f t="shared" ref="J5:J24" si="3">1/(2*(SQRT($C$21*$C$30*$C$20)))*($F5-($C$30*$C$20)*(1+(4*$C$9*$C$21)/$C$30)^0.5)</f>
        <v>-5.0392935797987954</v>
      </c>
      <c r="K5" s="114">
        <f t="shared" ref="K5:K24" si="4">IF(J5&lt;-4,2,IF(J5&gt;4,0,IF(J5&gt;=0,ERFC(J5),1+ERF(-J5))))</f>
        <v>2</v>
      </c>
      <c r="L5" s="134">
        <f t="shared" ref="L5:L24" si="5">$F5/(2*$C$21)*(1+(1+(4*$C$9*$C$21)/$C$30)^0.5)</f>
        <v>0.5</v>
      </c>
      <c r="M5" s="134">
        <f t="shared" ref="M5:M24" si="6">IF(L5&gt;700,EXP(700),EXP(L5))</f>
        <v>1.6487212707001282</v>
      </c>
      <c r="N5" s="135">
        <f t="shared" ref="N5:N24" si="7">1/(2*(SQRT($C$21*$C$30*$C$20)))*($F5+($C$30*$C$20)*(1+(4*$C$9*$C$21)/$C$30)^0.5)</f>
        <v>5.0886618853487766</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0.1</v>
      </c>
    </row>
    <row r="6" spans="2:25" x14ac:dyDescent="0.2">
      <c r="B6"/>
      <c r="C6"/>
      <c r="D6" s="8"/>
      <c r="E6" s="64">
        <v>2</v>
      </c>
      <c r="F6" s="64">
        <f t="shared" si="0"/>
        <v>0.1</v>
      </c>
      <c r="G6" s="11">
        <f t="shared" si="1"/>
        <v>1.2500000000000001E-2</v>
      </c>
      <c r="H6" s="134">
        <f t="shared" ref="H6:H24" si="18">$F6/(2*$C$21)*(1-(1+(4*$C$9*$C$21)/$C$30)^0.5)</f>
        <v>0</v>
      </c>
      <c r="I6" s="134">
        <f t="shared" si="2"/>
        <v>1</v>
      </c>
      <c r="J6" s="135">
        <f t="shared" si="3"/>
        <v>-5.0146094270238057</v>
      </c>
      <c r="K6" s="114">
        <f t="shared" si="4"/>
        <v>2</v>
      </c>
      <c r="L6" s="134">
        <f t="shared" si="5"/>
        <v>1</v>
      </c>
      <c r="M6" s="134">
        <f t="shared" si="6"/>
        <v>2.7182818284590451</v>
      </c>
      <c r="N6" s="135">
        <f t="shared" si="7"/>
        <v>5.1133460381237663</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0.1</v>
      </c>
    </row>
    <row r="7" spans="2:25" ht="14.25" x14ac:dyDescent="0.2">
      <c r="B7" s="4"/>
      <c r="C7" s="8"/>
      <c r="D7" s="8"/>
      <c r="E7" s="64">
        <v>3</v>
      </c>
      <c r="F7" s="64">
        <f t="shared" si="0"/>
        <v>0.15000000000000002</v>
      </c>
      <c r="G7" s="11">
        <f t="shared" si="1"/>
        <v>1.2500000000000001E-2</v>
      </c>
      <c r="H7" s="134">
        <f t="shared" si="18"/>
        <v>0</v>
      </c>
      <c r="I7" s="134">
        <f t="shared" si="2"/>
        <v>1</v>
      </c>
      <c r="J7" s="135">
        <f t="shared" si="3"/>
        <v>-4.9899252742488152</v>
      </c>
      <c r="K7" s="114">
        <f t="shared" si="4"/>
        <v>2</v>
      </c>
      <c r="L7" s="134">
        <f t="shared" si="5"/>
        <v>1.5000000000000002</v>
      </c>
      <c r="M7" s="134">
        <f t="shared" si="6"/>
        <v>4.4816890703380654</v>
      </c>
      <c r="N7" s="135">
        <f t="shared" si="7"/>
        <v>5.1380301908987569</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0.1</v>
      </c>
    </row>
    <row r="8" spans="2:25" ht="14.25" x14ac:dyDescent="0.2">
      <c r="B8" s="4" t="s">
        <v>9</v>
      </c>
      <c r="C8" s="186">
        <f>'Level3 Groundwater'!D20</f>
        <v>0.1</v>
      </c>
      <c r="D8" s="8" t="s">
        <v>22</v>
      </c>
      <c r="E8" s="64">
        <v>4</v>
      </c>
      <c r="F8" s="64">
        <f t="shared" si="0"/>
        <v>0.2</v>
      </c>
      <c r="G8" s="11">
        <f t="shared" si="1"/>
        <v>1.2500000000000001E-2</v>
      </c>
      <c r="H8" s="134">
        <f t="shared" si="18"/>
        <v>0</v>
      </c>
      <c r="I8" s="134">
        <f t="shared" si="2"/>
        <v>1</v>
      </c>
      <c r="J8" s="135">
        <f t="shared" si="3"/>
        <v>-4.9652411214738255</v>
      </c>
      <c r="K8" s="114">
        <f t="shared" si="4"/>
        <v>2</v>
      </c>
      <c r="L8" s="134">
        <f t="shared" si="5"/>
        <v>2</v>
      </c>
      <c r="M8" s="134">
        <f t="shared" si="6"/>
        <v>7.3890560989306504</v>
      </c>
      <c r="N8" s="135">
        <f t="shared" si="7"/>
        <v>5.1627143436737466</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0.1</v>
      </c>
      <c r="Y8" s="18"/>
    </row>
    <row r="9" spans="2:25" ht="15" x14ac:dyDescent="0.2">
      <c r="B9" s="5" t="s">
        <v>34</v>
      </c>
      <c r="C9" s="186">
        <f>'Level3 Groundwater'!D44</f>
        <v>6.8172108575924465E-101</v>
      </c>
      <c r="D9" s="2" t="s">
        <v>151</v>
      </c>
      <c r="E9" s="64">
        <v>5</v>
      </c>
      <c r="F9" s="64">
        <f t="shared" si="0"/>
        <v>0.25</v>
      </c>
      <c r="G9" s="11">
        <f t="shared" si="1"/>
        <v>1.2500000000000001E-2</v>
      </c>
      <c r="H9" s="134">
        <f t="shared" si="18"/>
        <v>0</v>
      </c>
      <c r="I9" s="134">
        <f t="shared" si="2"/>
        <v>1</v>
      </c>
      <c r="J9" s="135">
        <f t="shared" si="3"/>
        <v>-4.9405569686988349</v>
      </c>
      <c r="K9" s="114">
        <f t="shared" si="4"/>
        <v>2</v>
      </c>
      <c r="L9" s="134">
        <f t="shared" si="5"/>
        <v>2.5</v>
      </c>
      <c r="M9" s="134">
        <f t="shared" si="6"/>
        <v>12.182493960703473</v>
      </c>
      <c r="N9" s="135">
        <f t="shared" si="7"/>
        <v>5.1873984964487372</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0.1</v>
      </c>
    </row>
    <row r="10" spans="2:25" ht="14.25" x14ac:dyDescent="0.2">
      <c r="B10" s="4" t="s">
        <v>50</v>
      </c>
      <c r="C10" s="186">
        <f>'Level3 Groundwater'!D23</f>
        <v>100</v>
      </c>
      <c r="D10" s="2" t="s">
        <v>26</v>
      </c>
      <c r="E10" s="64">
        <v>6</v>
      </c>
      <c r="F10" s="64">
        <f t="shared" si="0"/>
        <v>0.30000000000000004</v>
      </c>
      <c r="G10" s="11">
        <f t="shared" si="1"/>
        <v>1.2500000000000001E-2</v>
      </c>
      <c r="H10" s="134">
        <f t="shared" si="18"/>
        <v>0</v>
      </c>
      <c r="I10" s="134">
        <f t="shared" si="2"/>
        <v>1</v>
      </c>
      <c r="J10" s="135">
        <f t="shared" si="3"/>
        <v>-4.9158728159238443</v>
      </c>
      <c r="K10" s="114">
        <f t="shared" si="4"/>
        <v>2</v>
      </c>
      <c r="L10" s="134">
        <f t="shared" si="5"/>
        <v>3.0000000000000004</v>
      </c>
      <c r="M10" s="134">
        <f t="shared" si="6"/>
        <v>20.085536923187675</v>
      </c>
      <c r="N10" s="135">
        <f t="shared" si="7"/>
        <v>5.2120826492237278</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0.1</v>
      </c>
    </row>
    <row r="11" spans="2:25" ht="14.25" x14ac:dyDescent="0.2">
      <c r="B11" s="4" t="s">
        <v>153</v>
      </c>
      <c r="C11" s="186">
        <f>'Level3 Groundwater'!D24</f>
        <v>100</v>
      </c>
      <c r="D11" s="2" t="s">
        <v>26</v>
      </c>
      <c r="E11" s="64">
        <v>7</v>
      </c>
      <c r="F11" s="64">
        <f t="shared" si="0"/>
        <v>0.35000000000000003</v>
      </c>
      <c r="G11" s="11">
        <f t="shared" si="1"/>
        <v>1.2500000000000001E-2</v>
      </c>
      <c r="H11" s="134">
        <f t="shared" si="18"/>
        <v>0</v>
      </c>
      <c r="I11" s="134">
        <f t="shared" si="2"/>
        <v>1</v>
      </c>
      <c r="J11" s="135">
        <f t="shared" si="3"/>
        <v>-4.8911886631488546</v>
      </c>
      <c r="K11" s="114">
        <f t="shared" si="4"/>
        <v>2</v>
      </c>
      <c r="L11" s="134">
        <f t="shared" si="5"/>
        <v>3.5</v>
      </c>
      <c r="M11" s="134">
        <f t="shared" si="6"/>
        <v>33.115451958692312</v>
      </c>
      <c r="N11" s="135">
        <f t="shared" si="7"/>
        <v>5.2367668019987175</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0.1</v>
      </c>
    </row>
    <row r="12" spans="2:25" ht="14.25" x14ac:dyDescent="0.2">
      <c r="B12" s="4" t="s">
        <v>13</v>
      </c>
      <c r="C12" s="186">
        <f>'Level3 Groundwater'!K21</f>
        <v>146</v>
      </c>
      <c r="D12" s="2" t="s">
        <v>23</v>
      </c>
      <c r="E12" s="64">
        <v>8</v>
      </c>
      <c r="F12" s="64">
        <f t="shared" si="0"/>
        <v>0.4</v>
      </c>
      <c r="G12" s="11">
        <f t="shared" si="1"/>
        <v>1.2500000000000001E-2</v>
      </c>
      <c r="H12" s="134">
        <f t="shared" si="18"/>
        <v>0</v>
      </c>
      <c r="I12" s="134">
        <f t="shared" si="2"/>
        <v>1</v>
      </c>
      <c r="J12" s="135">
        <f t="shared" si="3"/>
        <v>-4.866504510373864</v>
      </c>
      <c r="K12" s="114">
        <f t="shared" si="4"/>
        <v>2</v>
      </c>
      <c r="L12" s="134">
        <f t="shared" si="5"/>
        <v>4</v>
      </c>
      <c r="M12" s="134">
        <f t="shared" si="6"/>
        <v>54.598150033144236</v>
      </c>
      <c r="N12" s="135">
        <f t="shared" si="7"/>
        <v>5.2614509547737081</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0.1</v>
      </c>
    </row>
    <row r="13" spans="2:25" ht="15" x14ac:dyDescent="0.2">
      <c r="B13" s="5" t="s">
        <v>35</v>
      </c>
      <c r="C13" s="186">
        <f>'Level3 Groundwater'!D26</f>
        <v>1.44E-4</v>
      </c>
      <c r="D13" s="2" t="s">
        <v>24</v>
      </c>
      <c r="E13" s="64">
        <v>9</v>
      </c>
      <c r="F13" s="64">
        <f t="shared" si="0"/>
        <v>0.45</v>
      </c>
      <c r="G13" s="11">
        <f t="shared" si="1"/>
        <v>1.2500000000000001E-2</v>
      </c>
      <c r="H13" s="134">
        <f t="shared" si="18"/>
        <v>0</v>
      </c>
      <c r="I13" s="134">
        <f t="shared" si="2"/>
        <v>1</v>
      </c>
      <c r="J13" s="135">
        <f t="shared" si="3"/>
        <v>-4.8418203575988743</v>
      </c>
      <c r="K13" s="114">
        <f t="shared" si="4"/>
        <v>2</v>
      </c>
      <c r="L13" s="134">
        <f t="shared" si="5"/>
        <v>4.5</v>
      </c>
      <c r="M13" s="134">
        <f t="shared" si="6"/>
        <v>90.017131300521811</v>
      </c>
      <c r="N13" s="135">
        <f t="shared" si="7"/>
        <v>5.2861351075486986</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0.1</v>
      </c>
    </row>
    <row r="14" spans="2:25" ht="14.25" x14ac:dyDescent="0.2">
      <c r="B14" s="4" t="s">
        <v>1</v>
      </c>
      <c r="C14" s="186">
        <f>'Level3 Groundwater'!D27</f>
        <v>0.16200000000000001</v>
      </c>
      <c r="E14" s="64">
        <v>10</v>
      </c>
      <c r="F14" s="64">
        <f t="shared" si="0"/>
        <v>0.5</v>
      </c>
      <c r="G14" s="11">
        <f t="shared" si="1"/>
        <v>1.2500000000000001E-2</v>
      </c>
      <c r="H14" s="134">
        <f t="shared" si="18"/>
        <v>0</v>
      </c>
      <c r="I14" s="134">
        <f t="shared" si="2"/>
        <v>1</v>
      </c>
      <c r="J14" s="135">
        <f t="shared" si="3"/>
        <v>-4.8171362048238837</v>
      </c>
      <c r="K14" s="114">
        <f t="shared" si="4"/>
        <v>2</v>
      </c>
      <c r="L14" s="134">
        <f t="shared" si="5"/>
        <v>5</v>
      </c>
      <c r="M14" s="134">
        <f t="shared" si="6"/>
        <v>148.4131591025766</v>
      </c>
      <c r="N14" s="135">
        <f t="shared" si="7"/>
        <v>5.3108192603236892</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0.1</v>
      </c>
    </row>
    <row r="15" spans="2:25" ht="14.25" x14ac:dyDescent="0.2">
      <c r="B15" s="4" t="s">
        <v>44</v>
      </c>
      <c r="C15" s="186">
        <f>'Level3 Groundwater'!D28</f>
        <v>2.5399999999999999E-2</v>
      </c>
      <c r="E15" s="64">
        <v>11</v>
      </c>
      <c r="F15" s="64">
        <f t="shared" si="0"/>
        <v>0.55000000000000004</v>
      </c>
      <c r="G15" s="11">
        <f t="shared" si="1"/>
        <v>1.2500000000000001E-2</v>
      </c>
      <c r="H15" s="134">
        <f t="shared" si="18"/>
        <v>0</v>
      </c>
      <c r="I15" s="134">
        <f t="shared" si="2"/>
        <v>1</v>
      </c>
      <c r="J15" s="135">
        <f t="shared" si="3"/>
        <v>-4.7924520520488931</v>
      </c>
      <c r="K15" s="114">
        <f t="shared" si="4"/>
        <v>2</v>
      </c>
      <c r="L15" s="134">
        <f t="shared" si="5"/>
        <v>5.5</v>
      </c>
      <c r="M15" s="134">
        <f t="shared" si="6"/>
        <v>244.69193226422038</v>
      </c>
      <c r="N15" s="135">
        <f t="shared" si="7"/>
        <v>5.3355034130986798</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0.1</v>
      </c>
    </row>
    <row r="16" spans="2:25" ht="14.25" customHeight="1" x14ac:dyDescent="0.2">
      <c r="B16" s="4" t="s">
        <v>189</v>
      </c>
      <c r="C16" s="186">
        <f>'Level3 Groundwater'!D29</f>
        <v>2.0250000000000001E-5</v>
      </c>
      <c r="D16" s="2" t="s">
        <v>25</v>
      </c>
      <c r="E16" s="64">
        <v>12</v>
      </c>
      <c r="F16" s="64">
        <f t="shared" si="0"/>
        <v>0.60000000000000009</v>
      </c>
      <c r="G16" s="11">
        <f t="shared" si="1"/>
        <v>1.2500000000000001E-2</v>
      </c>
      <c r="H16" s="134">
        <f t="shared" si="18"/>
        <v>0</v>
      </c>
      <c r="I16" s="134">
        <f t="shared" si="2"/>
        <v>1</v>
      </c>
      <c r="J16" s="135">
        <f t="shared" si="3"/>
        <v>-4.7677678992739034</v>
      </c>
      <c r="K16" s="114">
        <f t="shared" si="4"/>
        <v>2</v>
      </c>
      <c r="L16" s="134">
        <f t="shared" si="5"/>
        <v>6.0000000000000009</v>
      </c>
      <c r="M16" s="134">
        <f t="shared" si="6"/>
        <v>403.42879349273551</v>
      </c>
      <c r="N16" s="135">
        <f t="shared" si="7"/>
        <v>5.3601875658736695</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0.1</v>
      </c>
    </row>
    <row r="17" spans="2:24" ht="14.25" customHeight="1" x14ac:dyDescent="0.2">
      <c r="B17" s="4" t="s">
        <v>14</v>
      </c>
      <c r="C17" s="186">
        <f>'Level3 Groundwater'!D30</f>
        <v>1</v>
      </c>
      <c r="D17" s="2" t="s">
        <v>26</v>
      </c>
      <c r="E17" s="64">
        <v>13</v>
      </c>
      <c r="F17" s="64">
        <f t="shared" si="0"/>
        <v>0.65</v>
      </c>
      <c r="G17" s="11">
        <f t="shared" si="1"/>
        <v>1.2500000000000001E-2</v>
      </c>
      <c r="H17" s="134">
        <f t="shared" si="18"/>
        <v>0</v>
      </c>
      <c r="I17" s="134">
        <f t="shared" si="2"/>
        <v>1</v>
      </c>
      <c r="J17" s="135">
        <f t="shared" si="3"/>
        <v>-4.7430837464989128</v>
      </c>
      <c r="K17" s="114">
        <f t="shared" si="4"/>
        <v>2</v>
      </c>
      <c r="L17" s="134">
        <f t="shared" si="5"/>
        <v>6.5</v>
      </c>
      <c r="M17" s="134">
        <f t="shared" si="6"/>
        <v>665.14163304436181</v>
      </c>
      <c r="N17" s="135">
        <f t="shared" si="7"/>
        <v>5.3848717186486601</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0.1</v>
      </c>
    </row>
    <row r="18" spans="2:24" ht="14.25" customHeight="1" x14ac:dyDescent="0.2">
      <c r="B18" s="4" t="s">
        <v>16</v>
      </c>
      <c r="C18" s="186">
        <f>'Level3 Groundwater'!D31</f>
        <v>0</v>
      </c>
      <c r="D18" s="2" t="s">
        <v>26</v>
      </c>
      <c r="E18" s="64">
        <v>14</v>
      </c>
      <c r="F18" s="64">
        <f t="shared" si="0"/>
        <v>0.70000000000000007</v>
      </c>
      <c r="G18" s="11">
        <f t="shared" si="1"/>
        <v>1.2500000000000001E-2</v>
      </c>
      <c r="H18" s="134">
        <f t="shared" si="18"/>
        <v>0</v>
      </c>
      <c r="I18" s="134">
        <f t="shared" si="2"/>
        <v>1</v>
      </c>
      <c r="J18" s="135">
        <f t="shared" si="3"/>
        <v>-4.7183995937239231</v>
      </c>
      <c r="K18" s="114">
        <f t="shared" si="4"/>
        <v>2</v>
      </c>
      <c r="L18" s="134">
        <f t="shared" si="5"/>
        <v>7</v>
      </c>
      <c r="M18" s="134">
        <f t="shared" si="6"/>
        <v>1096.6331584284585</v>
      </c>
      <c r="N18" s="135">
        <f t="shared" si="7"/>
        <v>5.4095558714236498</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0.1</v>
      </c>
    </row>
    <row r="19" spans="2:24" ht="14.25" customHeight="1" x14ac:dyDescent="0.2">
      <c r="B19" s="4" t="s">
        <v>15</v>
      </c>
      <c r="C19" s="186">
        <f>'Level3 Groundwater'!D32</f>
        <v>0</v>
      </c>
      <c r="D19" s="2" t="s">
        <v>26</v>
      </c>
      <c r="E19" s="64">
        <v>15</v>
      </c>
      <c r="F19" s="64">
        <f t="shared" si="0"/>
        <v>0.75</v>
      </c>
      <c r="G19" s="11">
        <f t="shared" si="1"/>
        <v>1.2500000000000001E-2</v>
      </c>
      <c r="H19" s="134">
        <f t="shared" si="18"/>
        <v>0</v>
      </c>
      <c r="I19" s="134">
        <f t="shared" si="2"/>
        <v>1</v>
      </c>
      <c r="J19" s="135">
        <f t="shared" si="3"/>
        <v>-4.6937154409489326</v>
      </c>
      <c r="K19" s="114">
        <f t="shared" si="4"/>
        <v>2</v>
      </c>
      <c r="L19" s="134">
        <f t="shared" si="5"/>
        <v>7.5</v>
      </c>
      <c r="M19" s="134">
        <f t="shared" si="6"/>
        <v>1808.0424144560632</v>
      </c>
      <c r="N19" s="135">
        <f t="shared" si="7"/>
        <v>5.4342400241986404</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0.1</v>
      </c>
    </row>
    <row r="20" spans="2:24" ht="14.25" customHeight="1" x14ac:dyDescent="0.2">
      <c r="B20" s="4" t="s">
        <v>17</v>
      </c>
      <c r="C20" s="186">
        <f>'Level3 Groundwater'!D33</f>
        <v>3650000</v>
      </c>
      <c r="D20" s="2" t="s">
        <v>21</v>
      </c>
      <c r="E20" s="64">
        <v>16</v>
      </c>
      <c r="F20" s="64">
        <f t="shared" si="0"/>
        <v>0.8</v>
      </c>
      <c r="G20" s="11">
        <f t="shared" si="1"/>
        <v>1.2500000000000001E-2</v>
      </c>
      <c r="H20" s="134">
        <f t="shared" si="18"/>
        <v>0</v>
      </c>
      <c r="I20" s="134">
        <f t="shared" si="2"/>
        <v>1</v>
      </c>
      <c r="J20" s="135">
        <f t="shared" si="3"/>
        <v>-4.669031288173942</v>
      </c>
      <c r="K20" s="114">
        <f t="shared" si="4"/>
        <v>2</v>
      </c>
      <c r="L20" s="134">
        <f t="shared" si="5"/>
        <v>8</v>
      </c>
      <c r="M20" s="134">
        <f t="shared" si="6"/>
        <v>2980.9579870417283</v>
      </c>
      <c r="N20" s="135">
        <f t="shared" si="7"/>
        <v>5.458924176973631</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0.1</v>
      </c>
    </row>
    <row r="21" spans="2:24" ht="14.25" customHeight="1" x14ac:dyDescent="0.2">
      <c r="B21" s="4" t="s">
        <v>18</v>
      </c>
      <c r="C21" s="186">
        <f>'Level3 Groundwater'!D36</f>
        <v>0.1</v>
      </c>
      <c r="D21" s="8" t="s">
        <v>26</v>
      </c>
      <c r="E21" s="64">
        <v>17</v>
      </c>
      <c r="F21" s="64">
        <f t="shared" si="0"/>
        <v>0.85000000000000009</v>
      </c>
      <c r="G21" s="11">
        <f t="shared" si="1"/>
        <v>1.2500000000000001E-2</v>
      </c>
      <c r="H21" s="134">
        <f t="shared" si="18"/>
        <v>0</v>
      </c>
      <c r="I21" s="134">
        <f t="shared" si="2"/>
        <v>1</v>
      </c>
      <c r="J21" s="135">
        <f t="shared" si="3"/>
        <v>-4.6443471353989523</v>
      </c>
      <c r="K21" s="114">
        <f t="shared" si="4"/>
        <v>2</v>
      </c>
      <c r="L21" s="134">
        <f t="shared" si="5"/>
        <v>8.5</v>
      </c>
      <c r="M21" s="134">
        <f t="shared" si="6"/>
        <v>4914.7688402991344</v>
      </c>
      <c r="N21" s="135">
        <f t="shared" si="7"/>
        <v>5.4836083297486207</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0.1</v>
      </c>
    </row>
    <row r="22" spans="2:24" ht="14.25" customHeight="1" x14ac:dyDescent="0.2">
      <c r="B22" s="4" t="s">
        <v>20</v>
      </c>
      <c r="C22" s="186">
        <f>'Level3 Groundwater'!D37</f>
        <v>0.01</v>
      </c>
      <c r="D22" s="8" t="s">
        <v>26</v>
      </c>
      <c r="E22" s="64">
        <v>18</v>
      </c>
      <c r="F22" s="64">
        <f t="shared" si="0"/>
        <v>0.9</v>
      </c>
      <c r="G22" s="11">
        <f t="shared" si="1"/>
        <v>1.2500000000000001E-2</v>
      </c>
      <c r="H22" s="134">
        <f t="shared" si="18"/>
        <v>0</v>
      </c>
      <c r="I22" s="134">
        <f t="shared" si="2"/>
        <v>1</v>
      </c>
      <c r="J22" s="135">
        <f t="shared" si="3"/>
        <v>-4.6196629826239617</v>
      </c>
      <c r="K22" s="114">
        <f t="shared" si="4"/>
        <v>2</v>
      </c>
      <c r="L22" s="134">
        <f t="shared" si="5"/>
        <v>9</v>
      </c>
      <c r="M22" s="134">
        <f t="shared" si="6"/>
        <v>8103.0839275753842</v>
      </c>
      <c r="N22" s="135">
        <f t="shared" si="7"/>
        <v>5.5082924825236113</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0.1</v>
      </c>
    </row>
    <row r="23" spans="2:24" ht="14.25" customHeight="1" x14ac:dyDescent="0.2">
      <c r="B23" s="4" t="s">
        <v>19</v>
      </c>
      <c r="C23" s="186">
        <f>'Level3 Groundwater'!D38</f>
        <v>1E-3</v>
      </c>
      <c r="D23" s="8" t="s">
        <v>26</v>
      </c>
      <c r="E23" s="64">
        <v>19</v>
      </c>
      <c r="F23" s="64">
        <f t="shared" si="0"/>
        <v>0.95000000000000007</v>
      </c>
      <c r="G23" s="11">
        <f t="shared" si="1"/>
        <v>1.2500000000000001E-2</v>
      </c>
      <c r="H23" s="134">
        <f t="shared" si="18"/>
        <v>0</v>
      </c>
      <c r="I23" s="134">
        <f t="shared" si="2"/>
        <v>1</v>
      </c>
      <c r="J23" s="135">
        <f t="shared" si="3"/>
        <v>-4.594978829848972</v>
      </c>
      <c r="K23" s="114">
        <f t="shared" si="4"/>
        <v>2</v>
      </c>
      <c r="L23" s="134">
        <f t="shared" si="5"/>
        <v>9.5</v>
      </c>
      <c r="M23" s="134">
        <f t="shared" si="6"/>
        <v>13359.726829661873</v>
      </c>
      <c r="N23" s="135">
        <f t="shared" si="7"/>
        <v>5.532976635298601</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0.1</v>
      </c>
    </row>
    <row r="24" spans="2:24" x14ac:dyDescent="0.2">
      <c r="D24" s="8"/>
      <c r="E24" s="64">
        <v>20</v>
      </c>
      <c r="F24" s="64">
        <f t="shared" si="0"/>
        <v>1</v>
      </c>
      <c r="G24" s="11">
        <f t="shared" si="1"/>
        <v>1.2500000000000001E-2</v>
      </c>
      <c r="H24" s="134">
        <f t="shared" si="18"/>
        <v>0</v>
      </c>
      <c r="I24" s="134">
        <f t="shared" si="2"/>
        <v>1</v>
      </c>
      <c r="J24" s="135">
        <f t="shared" si="3"/>
        <v>-4.5702946770739814</v>
      </c>
      <c r="K24" s="114">
        <f t="shared" si="4"/>
        <v>2</v>
      </c>
      <c r="L24" s="134">
        <f t="shared" si="5"/>
        <v>10</v>
      </c>
      <c r="M24" s="134">
        <f t="shared" si="6"/>
        <v>22026.465794806718</v>
      </c>
      <c r="N24" s="135">
        <f t="shared" si="7"/>
        <v>5.5576607880735915</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0.1</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1.1297777777777778</v>
      </c>
      <c r="D29" s="109"/>
      <c r="E29" s="64">
        <v>1</v>
      </c>
      <c r="F29" s="64">
        <f t="shared" ref="F29:F48" si="19">$C$17/20*E29</f>
        <v>0.05</v>
      </c>
      <c r="G29" s="11">
        <f t="shared" ref="G29:G48" si="20">0.125*$C$8</f>
        <v>1.2500000000000001E-2</v>
      </c>
      <c r="H29" s="134">
        <f t="shared" ref="H29:H48" si="21">$F29/(2*$C$21)*(1-(1+(4*$C$9*$C$21)/$C$30)^0.5)</f>
        <v>0</v>
      </c>
      <c r="I29" s="134">
        <f t="shared" ref="I29:I48" si="22">EXP(H29)</f>
        <v>1</v>
      </c>
      <c r="J29" s="135">
        <f t="shared" ref="J29:J48" si="23">1/(2*(SQRT($C$21*$C$30*$C$20)))*($F29-($C$30*$C$20)*(1+(4*$C$9*$C$21)/$C$30)^0.5)</f>
        <v>-5.0392935797987954</v>
      </c>
      <c r="K29" s="114">
        <f t="shared" ref="K29:K48" si="24">IF(J29&lt;-4,2,IF(J29&gt;4,0,IF(J29&gt;=0,ERFC(J29),1+ERF(-J29))))</f>
        <v>2</v>
      </c>
      <c r="L29" s="134">
        <f>$F29/(2*$C$21)*(1+(1+(4*$C$9*$C$21)/$C$30)^0.5)</f>
        <v>0.5</v>
      </c>
      <c r="M29" s="134">
        <f>IF(L29&gt;700,EXP(700),EXP(L29))</f>
        <v>1.6487212707001282</v>
      </c>
      <c r="N29" s="135">
        <f t="shared" ref="N29:N48" si="25">1/(2*(SQRT($C$21*$C$30*$C$20)))*($F29+($C$30*$C$20)*(1+(4*$C$9*$C$21)/$C$30)^0.5)</f>
        <v>5.0886618853487766</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0.1</v>
      </c>
    </row>
    <row r="30" spans="2:24" ht="14.25" x14ac:dyDescent="0.2">
      <c r="B30" s="4" t="s">
        <v>41</v>
      </c>
      <c r="C30" s="186">
        <f>'Level3 Groundwater'!D45</f>
        <v>2.8102871754523996E-6</v>
      </c>
      <c r="D30" s="2" t="s">
        <v>25</v>
      </c>
      <c r="E30" s="64">
        <v>2</v>
      </c>
      <c r="F30" s="64">
        <f t="shared" si="19"/>
        <v>0.1</v>
      </c>
      <c r="G30" s="11">
        <f t="shared" si="20"/>
        <v>1.2500000000000001E-2</v>
      </c>
      <c r="H30" s="134">
        <f t="shared" si="21"/>
        <v>0</v>
      </c>
      <c r="I30" s="134">
        <f t="shared" si="22"/>
        <v>1</v>
      </c>
      <c r="J30" s="135">
        <f t="shared" si="23"/>
        <v>-5.0146094270238057</v>
      </c>
      <c r="K30" s="114">
        <f t="shared" si="24"/>
        <v>2</v>
      </c>
      <c r="L30" s="134">
        <f t="shared" ref="L30:L48" si="34">$F30/(2*$C$21)*(1+(1+(4*$C$9*$C$21)/$C$30)^0.5)</f>
        <v>1</v>
      </c>
      <c r="M30" s="134">
        <f t="shared" ref="M30:M48" si="35">IF(L30&gt;700,EXP(700),EXP(L30))</f>
        <v>2.7182818284590451</v>
      </c>
      <c r="N30" s="135">
        <f t="shared" si="25"/>
        <v>5.1133460381237663</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0.1</v>
      </c>
    </row>
    <row r="31" spans="2:24" x14ac:dyDescent="0.2">
      <c r="E31" s="64">
        <v>3</v>
      </c>
      <c r="F31" s="64">
        <f t="shared" si="19"/>
        <v>0.15000000000000002</v>
      </c>
      <c r="G31" s="11">
        <f t="shared" si="20"/>
        <v>1.2500000000000001E-2</v>
      </c>
      <c r="H31" s="134">
        <f t="shared" si="21"/>
        <v>0</v>
      </c>
      <c r="I31" s="134">
        <f t="shared" si="22"/>
        <v>1</v>
      </c>
      <c r="J31" s="135">
        <f t="shared" si="23"/>
        <v>-4.9899252742488152</v>
      </c>
      <c r="K31" s="114">
        <f t="shared" si="24"/>
        <v>2</v>
      </c>
      <c r="L31" s="134">
        <f t="shared" si="34"/>
        <v>1.5000000000000002</v>
      </c>
      <c r="M31" s="134">
        <f t="shared" si="35"/>
        <v>4.4816890703380654</v>
      </c>
      <c r="N31" s="135">
        <f t="shared" si="25"/>
        <v>5.1380301908987569</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0.1</v>
      </c>
    </row>
    <row r="32" spans="2:24" x14ac:dyDescent="0.2">
      <c r="E32" s="64">
        <v>4</v>
      </c>
      <c r="F32" s="64">
        <f t="shared" si="19"/>
        <v>0.2</v>
      </c>
      <c r="G32" s="11">
        <f t="shared" si="20"/>
        <v>1.2500000000000001E-2</v>
      </c>
      <c r="H32" s="134">
        <f t="shared" si="21"/>
        <v>0</v>
      </c>
      <c r="I32" s="134">
        <f t="shared" si="22"/>
        <v>1</v>
      </c>
      <c r="J32" s="135">
        <f t="shared" si="23"/>
        <v>-4.9652411214738255</v>
      </c>
      <c r="K32" s="114">
        <f t="shared" si="24"/>
        <v>2</v>
      </c>
      <c r="L32" s="134">
        <f t="shared" si="34"/>
        <v>2</v>
      </c>
      <c r="M32" s="134">
        <f t="shared" si="35"/>
        <v>7.3890560989306504</v>
      </c>
      <c r="N32" s="135">
        <f t="shared" si="25"/>
        <v>5.1627143436737466</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0.1</v>
      </c>
    </row>
    <row r="33" spans="2:24" x14ac:dyDescent="0.2">
      <c r="E33" s="64">
        <v>5</v>
      </c>
      <c r="F33" s="64">
        <f t="shared" si="19"/>
        <v>0.25</v>
      </c>
      <c r="G33" s="11">
        <f t="shared" si="20"/>
        <v>1.2500000000000001E-2</v>
      </c>
      <c r="H33" s="134">
        <f t="shared" si="21"/>
        <v>0</v>
      </c>
      <c r="I33" s="134">
        <f t="shared" si="22"/>
        <v>1</v>
      </c>
      <c r="J33" s="135">
        <f t="shared" si="23"/>
        <v>-4.9405569686988349</v>
      </c>
      <c r="K33" s="114">
        <f t="shared" si="24"/>
        <v>2</v>
      </c>
      <c r="L33" s="134">
        <f t="shared" si="34"/>
        <v>2.5</v>
      </c>
      <c r="M33" s="134">
        <f t="shared" si="35"/>
        <v>12.182493960703473</v>
      </c>
      <c r="N33" s="135">
        <f t="shared" si="25"/>
        <v>5.1873984964487372</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0.1</v>
      </c>
    </row>
    <row r="34" spans="2:24" x14ac:dyDescent="0.2">
      <c r="E34" s="64">
        <v>6</v>
      </c>
      <c r="F34" s="64">
        <f t="shared" si="19"/>
        <v>0.30000000000000004</v>
      </c>
      <c r="G34" s="11">
        <f t="shared" si="20"/>
        <v>1.2500000000000001E-2</v>
      </c>
      <c r="H34" s="134">
        <f t="shared" si="21"/>
        <v>0</v>
      </c>
      <c r="I34" s="134">
        <f t="shared" si="22"/>
        <v>1</v>
      </c>
      <c r="J34" s="135">
        <f t="shared" si="23"/>
        <v>-4.9158728159238443</v>
      </c>
      <c r="K34" s="114">
        <f t="shared" si="24"/>
        <v>2</v>
      </c>
      <c r="L34" s="134">
        <f t="shared" si="34"/>
        <v>3.0000000000000004</v>
      </c>
      <c r="M34" s="134">
        <f t="shared" si="35"/>
        <v>20.085536923187675</v>
      </c>
      <c r="N34" s="135">
        <f t="shared" si="25"/>
        <v>5.2120826492237278</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0.1</v>
      </c>
    </row>
    <row r="35" spans="2:24" x14ac:dyDescent="0.2">
      <c r="E35" s="64">
        <v>7</v>
      </c>
      <c r="F35" s="64">
        <f t="shared" si="19"/>
        <v>0.35000000000000003</v>
      </c>
      <c r="G35" s="11">
        <f t="shared" si="20"/>
        <v>1.2500000000000001E-2</v>
      </c>
      <c r="H35" s="134">
        <f t="shared" si="21"/>
        <v>0</v>
      </c>
      <c r="I35" s="134">
        <f t="shared" si="22"/>
        <v>1</v>
      </c>
      <c r="J35" s="135">
        <f t="shared" si="23"/>
        <v>-4.8911886631488546</v>
      </c>
      <c r="K35" s="114">
        <f t="shared" si="24"/>
        <v>2</v>
      </c>
      <c r="L35" s="134">
        <f t="shared" si="34"/>
        <v>3.5</v>
      </c>
      <c r="M35" s="134">
        <f t="shared" si="35"/>
        <v>33.115451958692312</v>
      </c>
      <c r="N35" s="135">
        <f t="shared" si="25"/>
        <v>5.2367668019987175</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0.1</v>
      </c>
    </row>
    <row r="36" spans="2:24" x14ac:dyDescent="0.2">
      <c r="E36" s="64">
        <v>8</v>
      </c>
      <c r="F36" s="64">
        <f t="shared" si="19"/>
        <v>0.4</v>
      </c>
      <c r="G36" s="11">
        <f t="shared" si="20"/>
        <v>1.2500000000000001E-2</v>
      </c>
      <c r="H36" s="134">
        <f t="shared" si="21"/>
        <v>0</v>
      </c>
      <c r="I36" s="134">
        <f t="shared" si="22"/>
        <v>1</v>
      </c>
      <c r="J36" s="135">
        <f t="shared" si="23"/>
        <v>-4.866504510373864</v>
      </c>
      <c r="K36" s="114">
        <f t="shared" si="24"/>
        <v>2</v>
      </c>
      <c r="L36" s="134">
        <f t="shared" si="34"/>
        <v>4</v>
      </c>
      <c r="M36" s="134">
        <f t="shared" si="35"/>
        <v>54.598150033144236</v>
      </c>
      <c r="N36" s="135">
        <f t="shared" si="25"/>
        <v>5.2614509547737081</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0.1</v>
      </c>
    </row>
    <row r="37" spans="2:24" x14ac:dyDescent="0.2">
      <c r="E37" s="64">
        <v>9</v>
      </c>
      <c r="F37" s="64">
        <f t="shared" si="19"/>
        <v>0.45</v>
      </c>
      <c r="G37" s="11">
        <f t="shared" si="20"/>
        <v>1.2500000000000001E-2</v>
      </c>
      <c r="H37" s="134">
        <f t="shared" si="21"/>
        <v>0</v>
      </c>
      <c r="I37" s="134">
        <f t="shared" si="22"/>
        <v>1</v>
      </c>
      <c r="J37" s="135">
        <f t="shared" si="23"/>
        <v>-4.8418203575988743</v>
      </c>
      <c r="K37" s="114">
        <f t="shared" si="24"/>
        <v>2</v>
      </c>
      <c r="L37" s="134">
        <f t="shared" si="34"/>
        <v>4.5</v>
      </c>
      <c r="M37" s="134">
        <f t="shared" si="35"/>
        <v>90.017131300521811</v>
      </c>
      <c r="N37" s="135">
        <f t="shared" si="25"/>
        <v>5.2861351075486986</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0.1</v>
      </c>
    </row>
    <row r="38" spans="2:24" x14ac:dyDescent="0.2">
      <c r="E38" s="64">
        <v>10</v>
      </c>
      <c r="F38" s="64">
        <f t="shared" si="19"/>
        <v>0.5</v>
      </c>
      <c r="G38" s="11">
        <f t="shared" si="20"/>
        <v>1.2500000000000001E-2</v>
      </c>
      <c r="H38" s="134">
        <f t="shared" si="21"/>
        <v>0</v>
      </c>
      <c r="I38" s="134">
        <f t="shared" si="22"/>
        <v>1</v>
      </c>
      <c r="J38" s="135">
        <f t="shared" si="23"/>
        <v>-4.8171362048238837</v>
      </c>
      <c r="K38" s="114">
        <f t="shared" si="24"/>
        <v>2</v>
      </c>
      <c r="L38" s="134">
        <f t="shared" si="34"/>
        <v>5</v>
      </c>
      <c r="M38" s="134">
        <f t="shared" si="35"/>
        <v>148.4131591025766</v>
      </c>
      <c r="N38" s="135">
        <f t="shared" si="25"/>
        <v>5.3108192603236892</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0.1</v>
      </c>
    </row>
    <row r="39" spans="2:24" x14ac:dyDescent="0.2">
      <c r="E39" s="64">
        <v>11</v>
      </c>
      <c r="F39" s="64">
        <f t="shared" si="19"/>
        <v>0.55000000000000004</v>
      </c>
      <c r="G39" s="11">
        <f t="shared" si="20"/>
        <v>1.2500000000000001E-2</v>
      </c>
      <c r="H39" s="134">
        <f t="shared" si="21"/>
        <v>0</v>
      </c>
      <c r="I39" s="134">
        <f t="shared" si="22"/>
        <v>1</v>
      </c>
      <c r="J39" s="135">
        <f t="shared" si="23"/>
        <v>-4.7924520520488931</v>
      </c>
      <c r="K39" s="114">
        <f t="shared" si="24"/>
        <v>2</v>
      </c>
      <c r="L39" s="134">
        <f t="shared" si="34"/>
        <v>5.5</v>
      </c>
      <c r="M39" s="134">
        <f t="shared" si="35"/>
        <v>244.69193226422038</v>
      </c>
      <c r="N39" s="135">
        <f t="shared" si="25"/>
        <v>5.3355034130986798</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0.1</v>
      </c>
    </row>
    <row r="40" spans="2:24" x14ac:dyDescent="0.2">
      <c r="E40" s="64">
        <v>12</v>
      </c>
      <c r="F40" s="64">
        <f t="shared" si="19"/>
        <v>0.60000000000000009</v>
      </c>
      <c r="G40" s="11">
        <f t="shared" si="20"/>
        <v>1.2500000000000001E-2</v>
      </c>
      <c r="H40" s="134">
        <f t="shared" si="21"/>
        <v>0</v>
      </c>
      <c r="I40" s="134">
        <f t="shared" si="22"/>
        <v>1</v>
      </c>
      <c r="J40" s="135">
        <f t="shared" si="23"/>
        <v>-4.7677678992739034</v>
      </c>
      <c r="K40" s="114">
        <f t="shared" si="24"/>
        <v>2</v>
      </c>
      <c r="L40" s="134">
        <f t="shared" si="34"/>
        <v>6.0000000000000009</v>
      </c>
      <c r="M40" s="134">
        <f t="shared" si="35"/>
        <v>403.42879349273551</v>
      </c>
      <c r="N40" s="135">
        <f t="shared" si="25"/>
        <v>5.3601875658736695</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0.1</v>
      </c>
    </row>
    <row r="41" spans="2:24" x14ac:dyDescent="0.2">
      <c r="E41" s="64">
        <v>13</v>
      </c>
      <c r="F41" s="64">
        <f t="shared" si="19"/>
        <v>0.65</v>
      </c>
      <c r="G41" s="11">
        <f t="shared" si="20"/>
        <v>1.2500000000000001E-2</v>
      </c>
      <c r="H41" s="134">
        <f t="shared" si="21"/>
        <v>0</v>
      </c>
      <c r="I41" s="134">
        <f t="shared" si="22"/>
        <v>1</v>
      </c>
      <c r="J41" s="135">
        <f t="shared" si="23"/>
        <v>-4.7430837464989128</v>
      </c>
      <c r="K41" s="114">
        <f t="shared" si="24"/>
        <v>2</v>
      </c>
      <c r="L41" s="134">
        <f t="shared" si="34"/>
        <v>6.5</v>
      </c>
      <c r="M41" s="134">
        <f t="shared" si="35"/>
        <v>665.14163304436181</v>
      </c>
      <c r="N41" s="135">
        <f t="shared" si="25"/>
        <v>5.3848717186486601</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0.1</v>
      </c>
    </row>
    <row r="42" spans="2:24" x14ac:dyDescent="0.2">
      <c r="E42" s="64">
        <v>14</v>
      </c>
      <c r="F42" s="64">
        <f t="shared" si="19"/>
        <v>0.70000000000000007</v>
      </c>
      <c r="G42" s="11">
        <f t="shared" si="20"/>
        <v>1.2500000000000001E-2</v>
      </c>
      <c r="H42" s="134">
        <f t="shared" si="21"/>
        <v>0</v>
      </c>
      <c r="I42" s="134">
        <f t="shared" si="22"/>
        <v>1</v>
      </c>
      <c r="J42" s="135">
        <f t="shared" si="23"/>
        <v>-4.7183995937239231</v>
      </c>
      <c r="K42" s="114">
        <f t="shared" si="24"/>
        <v>2</v>
      </c>
      <c r="L42" s="134">
        <f t="shared" si="34"/>
        <v>7</v>
      </c>
      <c r="M42" s="134">
        <f t="shared" si="35"/>
        <v>1096.6331584284585</v>
      </c>
      <c r="N42" s="135">
        <f t="shared" si="25"/>
        <v>5.4095558714236498</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0.1</v>
      </c>
    </row>
    <row r="43" spans="2:24" x14ac:dyDescent="0.2">
      <c r="E43" s="64">
        <v>15</v>
      </c>
      <c r="F43" s="64">
        <f t="shared" si="19"/>
        <v>0.75</v>
      </c>
      <c r="G43" s="11">
        <f t="shared" si="20"/>
        <v>1.2500000000000001E-2</v>
      </c>
      <c r="H43" s="134">
        <f t="shared" si="21"/>
        <v>0</v>
      </c>
      <c r="I43" s="134">
        <f t="shared" si="22"/>
        <v>1</v>
      </c>
      <c r="J43" s="135">
        <f t="shared" si="23"/>
        <v>-4.6937154409489326</v>
      </c>
      <c r="K43" s="114">
        <f t="shared" si="24"/>
        <v>2</v>
      </c>
      <c r="L43" s="134">
        <f t="shared" si="34"/>
        <v>7.5</v>
      </c>
      <c r="M43" s="134">
        <f t="shared" si="35"/>
        <v>1808.0424144560632</v>
      </c>
      <c r="N43" s="135">
        <f t="shared" si="25"/>
        <v>5.4342400241986404</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0.1</v>
      </c>
    </row>
    <row r="44" spans="2:24" x14ac:dyDescent="0.2">
      <c r="E44" s="64">
        <v>16</v>
      </c>
      <c r="F44" s="64">
        <f t="shared" si="19"/>
        <v>0.8</v>
      </c>
      <c r="G44" s="11">
        <f t="shared" si="20"/>
        <v>1.2500000000000001E-2</v>
      </c>
      <c r="H44" s="134">
        <f t="shared" si="21"/>
        <v>0</v>
      </c>
      <c r="I44" s="134">
        <f t="shared" si="22"/>
        <v>1</v>
      </c>
      <c r="J44" s="135">
        <f t="shared" si="23"/>
        <v>-4.669031288173942</v>
      </c>
      <c r="K44" s="114">
        <f t="shared" si="24"/>
        <v>2</v>
      </c>
      <c r="L44" s="134">
        <f t="shared" si="34"/>
        <v>8</v>
      </c>
      <c r="M44" s="134">
        <f t="shared" si="35"/>
        <v>2980.9579870417283</v>
      </c>
      <c r="N44" s="135">
        <f t="shared" si="25"/>
        <v>5.458924176973631</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0.1</v>
      </c>
    </row>
    <row r="45" spans="2:24" x14ac:dyDescent="0.2">
      <c r="E45" s="64">
        <v>17</v>
      </c>
      <c r="F45" s="64">
        <f t="shared" si="19"/>
        <v>0.85000000000000009</v>
      </c>
      <c r="G45" s="11">
        <f t="shared" si="20"/>
        <v>1.2500000000000001E-2</v>
      </c>
      <c r="H45" s="134">
        <f t="shared" si="21"/>
        <v>0</v>
      </c>
      <c r="I45" s="134">
        <f t="shared" si="22"/>
        <v>1</v>
      </c>
      <c r="J45" s="135">
        <f t="shared" si="23"/>
        <v>-4.6443471353989523</v>
      </c>
      <c r="K45" s="114">
        <f t="shared" si="24"/>
        <v>2</v>
      </c>
      <c r="L45" s="134">
        <f t="shared" si="34"/>
        <v>8.5</v>
      </c>
      <c r="M45" s="134">
        <f t="shared" si="35"/>
        <v>4914.7688402991344</v>
      </c>
      <c r="N45" s="135">
        <f t="shared" si="25"/>
        <v>5.4836083297486207</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0.1</v>
      </c>
    </row>
    <row r="46" spans="2:24" x14ac:dyDescent="0.2">
      <c r="E46" s="64">
        <v>18</v>
      </c>
      <c r="F46" s="64">
        <f t="shared" si="19"/>
        <v>0.9</v>
      </c>
      <c r="G46" s="11">
        <f t="shared" si="20"/>
        <v>1.2500000000000001E-2</v>
      </c>
      <c r="H46" s="134">
        <f t="shared" si="21"/>
        <v>0</v>
      </c>
      <c r="I46" s="134">
        <f t="shared" si="22"/>
        <v>1</v>
      </c>
      <c r="J46" s="135">
        <f t="shared" si="23"/>
        <v>-4.6196629826239617</v>
      </c>
      <c r="K46" s="114">
        <f t="shared" si="24"/>
        <v>2</v>
      </c>
      <c r="L46" s="134">
        <f t="shared" si="34"/>
        <v>9</v>
      </c>
      <c r="M46" s="134">
        <f t="shared" si="35"/>
        <v>8103.0839275753842</v>
      </c>
      <c r="N46" s="135">
        <f t="shared" si="25"/>
        <v>5.5082924825236113</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0.1</v>
      </c>
    </row>
    <row r="47" spans="2:24" x14ac:dyDescent="0.2">
      <c r="B47" s="103" t="s">
        <v>142</v>
      </c>
      <c r="C47" s="108">
        <f>Introduction!B32</f>
        <v>43993</v>
      </c>
      <c r="D47" s="110"/>
      <c r="E47" s="64">
        <v>19</v>
      </c>
      <c r="F47" s="64">
        <f t="shared" si="19"/>
        <v>0.95000000000000007</v>
      </c>
      <c r="G47" s="11">
        <f t="shared" si="20"/>
        <v>1.2500000000000001E-2</v>
      </c>
      <c r="H47" s="134">
        <f t="shared" si="21"/>
        <v>0</v>
      </c>
      <c r="I47" s="134">
        <f t="shared" si="22"/>
        <v>1</v>
      </c>
      <c r="J47" s="135">
        <f t="shared" si="23"/>
        <v>-4.594978829848972</v>
      </c>
      <c r="K47" s="114">
        <f t="shared" si="24"/>
        <v>2</v>
      </c>
      <c r="L47" s="134">
        <f t="shared" si="34"/>
        <v>9.5</v>
      </c>
      <c r="M47" s="134">
        <f t="shared" si="35"/>
        <v>13359.726829661873</v>
      </c>
      <c r="N47" s="135">
        <f t="shared" si="25"/>
        <v>5.532976635298601</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0.1</v>
      </c>
    </row>
    <row r="48" spans="2:24" x14ac:dyDescent="0.2">
      <c r="B48" s="104" t="s">
        <v>158</v>
      </c>
      <c r="C48" s="107">
        <f>Introduction!E32</f>
        <v>1.01</v>
      </c>
      <c r="D48" s="111"/>
      <c r="E48" s="64">
        <v>20</v>
      </c>
      <c r="F48" s="64">
        <f t="shared" si="19"/>
        <v>1</v>
      </c>
      <c r="G48" s="11">
        <f t="shared" si="20"/>
        <v>1.2500000000000001E-2</v>
      </c>
      <c r="H48" s="134">
        <f t="shared" si="21"/>
        <v>0</v>
      </c>
      <c r="I48" s="134">
        <f t="shared" si="22"/>
        <v>1</v>
      </c>
      <c r="J48" s="135">
        <f t="shared" si="23"/>
        <v>-4.5702946770739814</v>
      </c>
      <c r="K48" s="114">
        <f t="shared" si="24"/>
        <v>2</v>
      </c>
      <c r="L48" s="134">
        <f t="shared" si="34"/>
        <v>10</v>
      </c>
      <c r="M48" s="134">
        <f t="shared" si="35"/>
        <v>22026.465794806718</v>
      </c>
      <c r="N48" s="135">
        <f t="shared" si="25"/>
        <v>5.5576607880735915</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0.1</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0.1</v>
      </c>
    </row>
    <row r="57" spans="20:24" x14ac:dyDescent="0.2">
      <c r="W57" s="453">
        <f t="shared" ref="W57:W75" si="38">$C$17/20*E30</f>
        <v>0.1</v>
      </c>
      <c r="X57" s="131">
        <f t="shared" ref="X57:X75" si="39">IF(C$25="Simulate vertical dispersion in 1 direction",X30,X6)</f>
        <v>0.1</v>
      </c>
    </row>
    <row r="58" spans="20:24" x14ac:dyDescent="0.2">
      <c r="W58" s="453">
        <f t="shared" si="38"/>
        <v>0.15000000000000002</v>
      </c>
      <c r="X58" s="131">
        <f t="shared" si="39"/>
        <v>0.1</v>
      </c>
    </row>
    <row r="59" spans="20:24" x14ac:dyDescent="0.2">
      <c r="W59" s="453">
        <f t="shared" si="38"/>
        <v>0.2</v>
      </c>
      <c r="X59" s="131">
        <f t="shared" si="39"/>
        <v>0.1</v>
      </c>
    </row>
    <row r="60" spans="20:24" x14ac:dyDescent="0.2">
      <c r="W60" s="453">
        <f t="shared" si="38"/>
        <v>0.25</v>
      </c>
      <c r="X60" s="131">
        <f t="shared" si="39"/>
        <v>0.1</v>
      </c>
    </row>
    <row r="61" spans="20:24" x14ac:dyDescent="0.2">
      <c r="W61" s="453">
        <f t="shared" si="38"/>
        <v>0.30000000000000004</v>
      </c>
      <c r="X61" s="131">
        <f t="shared" si="39"/>
        <v>0.1</v>
      </c>
    </row>
    <row r="62" spans="20:24" x14ac:dyDescent="0.2">
      <c r="W62" s="453">
        <f t="shared" si="38"/>
        <v>0.35000000000000003</v>
      </c>
      <c r="X62" s="131">
        <f t="shared" si="39"/>
        <v>0.1</v>
      </c>
    </row>
    <row r="63" spans="20:24" x14ac:dyDescent="0.2">
      <c r="W63" s="453">
        <f t="shared" si="38"/>
        <v>0.4</v>
      </c>
      <c r="X63" s="131">
        <f t="shared" si="39"/>
        <v>0.1</v>
      </c>
    </row>
    <row r="64" spans="20:24" x14ac:dyDescent="0.2">
      <c r="W64" s="453">
        <f t="shared" si="38"/>
        <v>0.45</v>
      </c>
      <c r="X64" s="131">
        <f t="shared" si="39"/>
        <v>0.1</v>
      </c>
    </row>
    <row r="65" spans="23:24" x14ac:dyDescent="0.2">
      <c r="W65" s="453">
        <f t="shared" si="38"/>
        <v>0.5</v>
      </c>
      <c r="X65" s="131">
        <f t="shared" si="39"/>
        <v>0.1</v>
      </c>
    </row>
    <row r="66" spans="23:24" x14ac:dyDescent="0.2">
      <c r="W66" s="453">
        <f t="shared" si="38"/>
        <v>0.55000000000000004</v>
      </c>
      <c r="X66" s="131">
        <f t="shared" si="39"/>
        <v>0.1</v>
      </c>
    </row>
    <row r="67" spans="23:24" x14ac:dyDescent="0.2">
      <c r="W67" s="453">
        <f t="shared" si="38"/>
        <v>0.60000000000000009</v>
      </c>
      <c r="X67" s="131">
        <f t="shared" si="39"/>
        <v>0.1</v>
      </c>
    </row>
    <row r="68" spans="23:24" x14ac:dyDescent="0.2">
      <c r="W68" s="453">
        <f t="shared" si="38"/>
        <v>0.65</v>
      </c>
      <c r="X68" s="131">
        <f t="shared" si="39"/>
        <v>0.1</v>
      </c>
    </row>
    <row r="69" spans="23:24" x14ac:dyDescent="0.2">
      <c r="W69" s="453">
        <f t="shared" si="38"/>
        <v>0.70000000000000007</v>
      </c>
      <c r="X69" s="131">
        <f t="shared" si="39"/>
        <v>0.1</v>
      </c>
    </row>
    <row r="70" spans="23:24" x14ac:dyDescent="0.2">
      <c r="W70" s="453">
        <f t="shared" si="38"/>
        <v>0.75</v>
      </c>
      <c r="X70" s="131">
        <f t="shared" si="39"/>
        <v>0.1</v>
      </c>
    </row>
    <row r="71" spans="23:24" x14ac:dyDescent="0.2">
      <c r="W71" s="453">
        <f t="shared" si="38"/>
        <v>0.8</v>
      </c>
      <c r="X71" s="131">
        <f t="shared" si="39"/>
        <v>0.1</v>
      </c>
    </row>
    <row r="72" spans="23:24" x14ac:dyDescent="0.2">
      <c r="W72" s="453">
        <f t="shared" si="38"/>
        <v>0.85000000000000009</v>
      </c>
      <c r="X72" s="131">
        <f t="shared" si="39"/>
        <v>0.1</v>
      </c>
    </row>
    <row r="73" spans="23:24" x14ac:dyDescent="0.2">
      <c r="W73" s="453">
        <f>$C$17/20*E46</f>
        <v>0.9</v>
      </c>
      <c r="X73" s="131">
        <f t="shared" si="39"/>
        <v>0.1</v>
      </c>
    </row>
    <row r="74" spans="23:24" x14ac:dyDescent="0.2">
      <c r="W74" s="453">
        <f t="shared" si="38"/>
        <v>0.95000000000000007</v>
      </c>
      <c r="X74" s="131">
        <f t="shared" si="39"/>
        <v>0.1</v>
      </c>
    </row>
    <row r="75" spans="23:24" x14ac:dyDescent="0.2">
      <c r="W75" s="453">
        <f t="shared" si="38"/>
        <v>1</v>
      </c>
      <c r="X75" s="131">
        <f t="shared" si="39"/>
        <v>0.1</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Benzne</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1E-3</v>
      </c>
      <c r="D5" s="8" t="s">
        <v>22</v>
      </c>
      <c r="E5" s="2">
        <v>1</v>
      </c>
      <c r="F5" s="2">
        <f t="shared" ref="F5:F24" si="0">$C$17/20*E5</f>
        <v>0.05</v>
      </c>
      <c r="G5" s="11">
        <f t="shared" ref="G5:G24" si="1">0.25*$C$8</f>
        <v>2.5000000000000001E-2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0.1</v>
      </c>
    </row>
    <row r="6" spans="2:18" ht="14.25" x14ac:dyDescent="0.2">
      <c r="B6" s="4" t="s">
        <v>94</v>
      </c>
      <c r="C6"/>
      <c r="D6" s="8"/>
      <c r="E6" s="2">
        <v>2</v>
      </c>
      <c r="F6" s="2">
        <f t="shared" si="0"/>
        <v>0.1</v>
      </c>
      <c r="G6" s="11">
        <f t="shared" si="1"/>
        <v>2.5000000000000001E-2</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0.1</v>
      </c>
    </row>
    <row r="7" spans="2:18" ht="14.25" x14ac:dyDescent="0.2">
      <c r="B7" s="4"/>
      <c r="C7" s="8"/>
      <c r="D7" s="8"/>
      <c r="E7" s="2">
        <v>3</v>
      </c>
      <c r="F7" s="2">
        <f t="shared" si="0"/>
        <v>0.15000000000000002</v>
      </c>
      <c r="G7" s="11">
        <f t="shared" si="1"/>
        <v>2.5000000000000001E-2</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0.1</v>
      </c>
    </row>
    <row r="8" spans="2:18" ht="14.25" x14ac:dyDescent="0.2">
      <c r="B8" s="4" t="s">
        <v>9</v>
      </c>
      <c r="C8" s="186">
        <f>'Level3 Groundwater'!D20</f>
        <v>0.1</v>
      </c>
      <c r="D8" s="8" t="s">
        <v>22</v>
      </c>
      <c r="E8" s="2">
        <v>4</v>
      </c>
      <c r="F8" s="2">
        <f t="shared" si="0"/>
        <v>0.2</v>
      </c>
      <c r="G8" s="11">
        <f t="shared" si="1"/>
        <v>2.5000000000000001E-2</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0.1</v>
      </c>
    </row>
    <row r="9" spans="2:18" ht="15" x14ac:dyDescent="0.2">
      <c r="B9" s="5" t="s">
        <v>34</v>
      </c>
      <c r="C9" s="186">
        <f>'Level3 Groundwater'!D44</f>
        <v>6.8172108575924465E-101</v>
      </c>
      <c r="D9" s="2" t="s">
        <v>151</v>
      </c>
      <c r="E9" s="2">
        <v>5</v>
      </c>
      <c r="F9" s="2">
        <f t="shared" si="0"/>
        <v>0.25</v>
      </c>
      <c r="G9" s="11">
        <f t="shared" si="1"/>
        <v>2.5000000000000001E-2</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0.1</v>
      </c>
    </row>
    <row r="10" spans="2:18" ht="14.25" x14ac:dyDescent="0.2">
      <c r="B10" s="4" t="s">
        <v>50</v>
      </c>
      <c r="C10" s="186">
        <f>'Level3 Groundwater'!D23</f>
        <v>100</v>
      </c>
      <c r="D10" s="2" t="s">
        <v>26</v>
      </c>
      <c r="E10" s="2">
        <v>6</v>
      </c>
      <c r="F10" s="2">
        <f t="shared" si="0"/>
        <v>0.30000000000000004</v>
      </c>
      <c r="G10" s="11">
        <f t="shared" si="1"/>
        <v>2.5000000000000001E-2</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0.1</v>
      </c>
    </row>
    <row r="11" spans="2:18" ht="14.25" x14ac:dyDescent="0.2">
      <c r="B11" s="4" t="s">
        <v>153</v>
      </c>
      <c r="C11" s="186">
        <f>'Level3 Groundwater'!D24</f>
        <v>100</v>
      </c>
      <c r="D11" s="2" t="s">
        <v>26</v>
      </c>
      <c r="E11" s="2">
        <v>7</v>
      </c>
      <c r="F11" s="2">
        <f t="shared" si="0"/>
        <v>0.35000000000000003</v>
      </c>
      <c r="G11" s="11">
        <f t="shared" si="1"/>
        <v>2.5000000000000001E-2</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0.1</v>
      </c>
    </row>
    <row r="12" spans="2:18" ht="14.25" x14ac:dyDescent="0.2">
      <c r="B12" s="4" t="s">
        <v>13</v>
      </c>
      <c r="C12" s="186">
        <f>'Level3 Groundwater'!K21</f>
        <v>146</v>
      </c>
      <c r="D12" s="2" t="s">
        <v>23</v>
      </c>
      <c r="E12" s="2">
        <v>8</v>
      </c>
      <c r="F12" s="2">
        <f t="shared" si="0"/>
        <v>0.4</v>
      </c>
      <c r="G12" s="11">
        <f t="shared" si="1"/>
        <v>2.5000000000000001E-2</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0.1</v>
      </c>
    </row>
    <row r="13" spans="2:18" ht="15" x14ac:dyDescent="0.2">
      <c r="B13" s="5" t="s">
        <v>35</v>
      </c>
      <c r="C13" s="186">
        <f>'Level3 Groundwater'!D26</f>
        <v>1.44E-4</v>
      </c>
      <c r="D13" s="2" t="s">
        <v>24</v>
      </c>
      <c r="E13" s="2">
        <v>9</v>
      </c>
      <c r="F13" s="2">
        <f t="shared" si="0"/>
        <v>0.45</v>
      </c>
      <c r="G13" s="11">
        <f t="shared" si="1"/>
        <v>2.5000000000000001E-2</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0.1</v>
      </c>
    </row>
    <row r="14" spans="2:18" ht="14.25" x14ac:dyDescent="0.2">
      <c r="B14" s="4" t="s">
        <v>1</v>
      </c>
      <c r="C14" s="186">
        <f>'Level3 Groundwater'!D27</f>
        <v>0.16200000000000001</v>
      </c>
      <c r="E14" s="2">
        <v>10</v>
      </c>
      <c r="F14" s="2">
        <f t="shared" si="0"/>
        <v>0.5</v>
      </c>
      <c r="G14" s="11">
        <f t="shared" si="1"/>
        <v>2.5000000000000001E-2</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0.1</v>
      </c>
    </row>
    <row r="15" spans="2:18" ht="14.25" x14ac:dyDescent="0.2">
      <c r="B15" s="4" t="s">
        <v>44</v>
      </c>
      <c r="C15" s="186">
        <f>'Level3 Groundwater'!D28</f>
        <v>2.5399999999999999E-2</v>
      </c>
      <c r="E15" s="2">
        <v>11</v>
      </c>
      <c r="F15" s="2">
        <f t="shared" si="0"/>
        <v>0.55000000000000004</v>
      </c>
      <c r="G15" s="11">
        <f t="shared" si="1"/>
        <v>2.5000000000000001E-2</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0.1</v>
      </c>
    </row>
    <row r="16" spans="2:18" ht="14.25" customHeight="1" x14ac:dyDescent="0.2">
      <c r="B16" s="4" t="s">
        <v>189</v>
      </c>
      <c r="C16" s="186">
        <f>'Level3 Groundwater'!D29</f>
        <v>2.0250000000000001E-5</v>
      </c>
      <c r="D16" s="2" t="s">
        <v>25</v>
      </c>
      <c r="E16" s="2">
        <v>12</v>
      </c>
      <c r="F16" s="2">
        <f t="shared" si="0"/>
        <v>0.60000000000000009</v>
      </c>
      <c r="G16" s="11">
        <f t="shared" si="1"/>
        <v>2.5000000000000001E-2</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0.1</v>
      </c>
    </row>
    <row r="17" spans="2:18" ht="14.25" customHeight="1" x14ac:dyDescent="0.2">
      <c r="B17" s="4" t="s">
        <v>14</v>
      </c>
      <c r="C17" s="186">
        <f>'Level3 Groundwater'!D30</f>
        <v>1</v>
      </c>
      <c r="D17" s="2" t="s">
        <v>26</v>
      </c>
      <c r="E17" s="2">
        <v>13</v>
      </c>
      <c r="F17" s="2">
        <f t="shared" si="0"/>
        <v>0.65</v>
      </c>
      <c r="G17" s="11">
        <f t="shared" si="1"/>
        <v>2.5000000000000001E-2</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0.1</v>
      </c>
    </row>
    <row r="18" spans="2:18" ht="14.25" customHeight="1" x14ac:dyDescent="0.2">
      <c r="B18" s="4" t="s">
        <v>16</v>
      </c>
      <c r="C18" s="186">
        <v>0</v>
      </c>
      <c r="D18" s="2" t="s">
        <v>26</v>
      </c>
      <c r="E18" s="2">
        <v>14</v>
      </c>
      <c r="F18" s="2">
        <f t="shared" si="0"/>
        <v>0.70000000000000007</v>
      </c>
      <c r="G18" s="11">
        <f t="shared" si="1"/>
        <v>2.5000000000000001E-2</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0.1</v>
      </c>
    </row>
    <row r="19" spans="2:18" ht="14.25" customHeight="1" x14ac:dyDescent="0.2">
      <c r="B19" s="4" t="s">
        <v>15</v>
      </c>
      <c r="C19" s="186">
        <v>0</v>
      </c>
      <c r="D19" s="2" t="s">
        <v>26</v>
      </c>
      <c r="E19" s="2">
        <v>15</v>
      </c>
      <c r="F19" s="2">
        <f t="shared" si="0"/>
        <v>0.75</v>
      </c>
      <c r="G19" s="11">
        <f t="shared" si="1"/>
        <v>2.5000000000000001E-2</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0.1</v>
      </c>
    </row>
    <row r="20" spans="2:18" ht="14.25" customHeight="1" x14ac:dyDescent="0.2">
      <c r="B20"/>
      <c r="C20"/>
      <c r="D20"/>
      <c r="E20" s="2">
        <v>16</v>
      </c>
      <c r="F20" s="2">
        <f t="shared" si="0"/>
        <v>0.8</v>
      </c>
      <c r="G20" s="11">
        <f t="shared" si="1"/>
        <v>2.5000000000000001E-2</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0.1</v>
      </c>
    </row>
    <row r="21" spans="2:18" ht="14.25" customHeight="1" x14ac:dyDescent="0.2">
      <c r="B21" s="4" t="s">
        <v>18</v>
      </c>
      <c r="C21" s="186">
        <f>'Level3 Groundwater'!D36</f>
        <v>0.1</v>
      </c>
      <c r="D21" s="8" t="s">
        <v>26</v>
      </c>
      <c r="E21" s="2">
        <v>17</v>
      </c>
      <c r="F21" s="2">
        <f t="shared" si="0"/>
        <v>0.85000000000000009</v>
      </c>
      <c r="G21" s="11">
        <f t="shared" si="1"/>
        <v>2.5000000000000001E-2</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0.1</v>
      </c>
    </row>
    <row r="22" spans="2:18" ht="14.25" customHeight="1" x14ac:dyDescent="0.2">
      <c r="B22" s="4" t="s">
        <v>20</v>
      </c>
      <c r="C22" s="186">
        <f>'Level3 Groundwater'!D37</f>
        <v>0.01</v>
      </c>
      <c r="D22" s="8" t="s">
        <v>26</v>
      </c>
      <c r="E22" s="2">
        <v>18</v>
      </c>
      <c r="F22" s="2">
        <f t="shared" si="0"/>
        <v>0.9</v>
      </c>
      <c r="G22" s="11">
        <f t="shared" si="1"/>
        <v>2.5000000000000001E-2</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0.1</v>
      </c>
    </row>
    <row r="23" spans="2:18" ht="14.25" customHeight="1" x14ac:dyDescent="0.2">
      <c r="B23" s="4" t="s">
        <v>19</v>
      </c>
      <c r="C23" s="186">
        <f>'Level3 Groundwater'!D38</f>
        <v>1E-3</v>
      </c>
      <c r="D23" s="8" t="s">
        <v>26</v>
      </c>
      <c r="E23" s="2">
        <v>19</v>
      </c>
      <c r="F23" s="2">
        <f t="shared" si="0"/>
        <v>0.95000000000000007</v>
      </c>
      <c r="G23" s="11">
        <f t="shared" si="1"/>
        <v>2.5000000000000001E-2</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0.1</v>
      </c>
    </row>
    <row r="24" spans="2:18" x14ac:dyDescent="0.2">
      <c r="C24" s="8"/>
      <c r="D24" s="8"/>
      <c r="E24" s="2">
        <v>20</v>
      </c>
      <c r="F24" s="2">
        <f t="shared" si="0"/>
        <v>1</v>
      </c>
      <c r="G24" s="11">
        <f t="shared" si="1"/>
        <v>2.5000000000000001E-2</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0.1</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1.1297777777777778</v>
      </c>
      <c r="D29" s="109"/>
      <c r="E29" s="2"/>
      <c r="F29" s="2"/>
      <c r="G29" s="11"/>
      <c r="H29" s="11"/>
      <c r="I29" s="11"/>
      <c r="J29" s="22"/>
      <c r="K29" s="22"/>
      <c r="L29" s="11"/>
      <c r="M29" s="11"/>
      <c r="N29" s="22"/>
      <c r="O29" s="22"/>
      <c r="P29" s="11"/>
      <c r="Q29" s="11"/>
      <c r="R29" s="68"/>
    </row>
    <row r="30" spans="2:18" ht="14.25" x14ac:dyDescent="0.2">
      <c r="B30" s="4" t="s">
        <v>41</v>
      </c>
      <c r="C30" s="186">
        <f>'Level3 Groundwater'!D45</f>
        <v>2.8102871754523996E-6</v>
      </c>
      <c r="D30" s="2" t="s">
        <v>25</v>
      </c>
      <c r="E30" s="2">
        <v>1</v>
      </c>
      <c r="F30" s="2">
        <f t="shared" ref="F30:F49" si="13">$C$17/20*E30</f>
        <v>0.05</v>
      </c>
      <c r="G30" s="11">
        <f t="shared" ref="G30:G49" si="14">0.25*$C$8</f>
        <v>2.5000000000000001E-2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0.1</v>
      </c>
    </row>
    <row r="31" spans="2:18" x14ac:dyDescent="0.2">
      <c r="E31" s="2">
        <v>2</v>
      </c>
      <c r="F31" s="2">
        <f t="shared" si="13"/>
        <v>0.1</v>
      </c>
      <c r="G31" s="11">
        <f t="shared" si="14"/>
        <v>2.5000000000000001E-2</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0.1</v>
      </c>
    </row>
    <row r="32" spans="2:18" x14ac:dyDescent="0.2">
      <c r="E32" s="2">
        <v>3</v>
      </c>
      <c r="F32" s="2">
        <f t="shared" si="13"/>
        <v>0.15000000000000002</v>
      </c>
      <c r="G32" s="11">
        <f t="shared" si="14"/>
        <v>2.5000000000000001E-2</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0.1</v>
      </c>
    </row>
    <row r="33" spans="2:18" x14ac:dyDescent="0.2">
      <c r="E33" s="2">
        <v>4</v>
      </c>
      <c r="F33" s="2">
        <f t="shared" si="13"/>
        <v>0.2</v>
      </c>
      <c r="G33" s="11">
        <f t="shared" si="14"/>
        <v>2.5000000000000001E-2</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0.1</v>
      </c>
    </row>
    <row r="34" spans="2:18" x14ac:dyDescent="0.2">
      <c r="E34" s="2">
        <v>5</v>
      </c>
      <c r="F34" s="2">
        <f t="shared" si="13"/>
        <v>0.25</v>
      </c>
      <c r="G34" s="11">
        <f t="shared" si="14"/>
        <v>2.5000000000000001E-2</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0.1</v>
      </c>
    </row>
    <row r="35" spans="2:18" x14ac:dyDescent="0.2">
      <c r="E35" s="2">
        <v>6</v>
      </c>
      <c r="F35" s="2">
        <f t="shared" si="13"/>
        <v>0.30000000000000004</v>
      </c>
      <c r="G35" s="11">
        <f t="shared" si="14"/>
        <v>2.5000000000000001E-2</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0.1</v>
      </c>
    </row>
    <row r="36" spans="2:18" x14ac:dyDescent="0.2">
      <c r="E36" s="2">
        <v>7</v>
      </c>
      <c r="F36" s="2">
        <f t="shared" si="13"/>
        <v>0.35000000000000003</v>
      </c>
      <c r="G36" s="11">
        <f t="shared" si="14"/>
        <v>2.5000000000000001E-2</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0.1</v>
      </c>
    </row>
    <row r="37" spans="2:18" x14ac:dyDescent="0.2">
      <c r="E37" s="2">
        <v>8</v>
      </c>
      <c r="F37" s="2">
        <f t="shared" si="13"/>
        <v>0.4</v>
      </c>
      <c r="G37" s="11">
        <f t="shared" si="14"/>
        <v>2.5000000000000001E-2</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0.1</v>
      </c>
    </row>
    <row r="38" spans="2:18" x14ac:dyDescent="0.2">
      <c r="E38" s="2">
        <v>9</v>
      </c>
      <c r="F38" s="2">
        <f t="shared" si="13"/>
        <v>0.45</v>
      </c>
      <c r="G38" s="11">
        <f t="shared" si="14"/>
        <v>2.5000000000000001E-2</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0.1</v>
      </c>
    </row>
    <row r="39" spans="2:18" x14ac:dyDescent="0.2">
      <c r="E39" s="2">
        <v>10</v>
      </c>
      <c r="F39" s="2">
        <f t="shared" si="13"/>
        <v>0.5</v>
      </c>
      <c r="G39" s="11">
        <f t="shared" si="14"/>
        <v>2.5000000000000001E-2</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0.1</v>
      </c>
    </row>
    <row r="40" spans="2:18" x14ac:dyDescent="0.2">
      <c r="E40" s="2">
        <v>11</v>
      </c>
      <c r="F40" s="2">
        <f t="shared" si="13"/>
        <v>0.55000000000000004</v>
      </c>
      <c r="G40" s="11">
        <f t="shared" si="14"/>
        <v>2.5000000000000001E-2</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0.1</v>
      </c>
    </row>
    <row r="41" spans="2:18" x14ac:dyDescent="0.2">
      <c r="E41" s="2">
        <v>12</v>
      </c>
      <c r="F41" s="2">
        <f t="shared" si="13"/>
        <v>0.60000000000000009</v>
      </c>
      <c r="G41" s="11">
        <f t="shared" si="14"/>
        <v>2.5000000000000001E-2</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0.1</v>
      </c>
    </row>
    <row r="42" spans="2:18" x14ac:dyDescent="0.2">
      <c r="E42" s="2">
        <v>13</v>
      </c>
      <c r="F42" s="2">
        <f t="shared" si="13"/>
        <v>0.65</v>
      </c>
      <c r="G42" s="11">
        <f t="shared" si="14"/>
        <v>2.5000000000000001E-2</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0.1</v>
      </c>
    </row>
    <row r="43" spans="2:18" x14ac:dyDescent="0.2">
      <c r="E43" s="2">
        <v>14</v>
      </c>
      <c r="F43" s="2">
        <f t="shared" si="13"/>
        <v>0.70000000000000007</v>
      </c>
      <c r="G43" s="11">
        <f t="shared" si="14"/>
        <v>2.5000000000000001E-2</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0.1</v>
      </c>
    </row>
    <row r="44" spans="2:18" x14ac:dyDescent="0.2">
      <c r="E44" s="2">
        <v>15</v>
      </c>
      <c r="F44" s="2">
        <f t="shared" si="13"/>
        <v>0.75</v>
      </c>
      <c r="G44" s="11">
        <f t="shared" si="14"/>
        <v>2.5000000000000001E-2</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0.1</v>
      </c>
    </row>
    <row r="45" spans="2:18" x14ac:dyDescent="0.2">
      <c r="E45" s="2">
        <v>16</v>
      </c>
      <c r="F45" s="2">
        <f t="shared" si="13"/>
        <v>0.8</v>
      </c>
      <c r="G45" s="11">
        <f t="shared" si="14"/>
        <v>2.5000000000000001E-2</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0.1</v>
      </c>
    </row>
    <row r="46" spans="2:18" x14ac:dyDescent="0.2">
      <c r="E46" s="2">
        <v>17</v>
      </c>
      <c r="F46" s="2">
        <f t="shared" si="13"/>
        <v>0.85000000000000009</v>
      </c>
      <c r="G46" s="11">
        <f t="shared" si="14"/>
        <v>2.5000000000000001E-2</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0.1</v>
      </c>
    </row>
    <row r="47" spans="2:18" x14ac:dyDescent="0.2">
      <c r="E47" s="2">
        <v>18</v>
      </c>
      <c r="F47" s="2">
        <f t="shared" si="13"/>
        <v>0.9</v>
      </c>
      <c r="G47" s="11">
        <f t="shared" si="14"/>
        <v>2.5000000000000001E-2</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0.1</v>
      </c>
    </row>
    <row r="48" spans="2:18" x14ac:dyDescent="0.2">
      <c r="B48" s="103" t="s">
        <v>142</v>
      </c>
      <c r="C48" s="108">
        <f>Introduction!B32</f>
        <v>43993</v>
      </c>
      <c r="D48" s="110"/>
      <c r="E48" s="2">
        <v>19</v>
      </c>
      <c r="F48" s="2">
        <f t="shared" si="13"/>
        <v>0.95000000000000007</v>
      </c>
      <c r="G48" s="11">
        <f t="shared" si="14"/>
        <v>2.5000000000000001E-2</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0.1</v>
      </c>
    </row>
    <row r="49" spans="2:18" x14ac:dyDescent="0.2">
      <c r="B49" s="104" t="s">
        <v>158</v>
      </c>
      <c r="C49" s="107">
        <f>Introduction!E32</f>
        <v>1.01</v>
      </c>
      <c r="D49" s="111"/>
      <c r="E49" s="2">
        <v>20</v>
      </c>
      <c r="F49" s="2">
        <f t="shared" si="13"/>
        <v>1</v>
      </c>
      <c r="G49" s="11">
        <f t="shared" si="14"/>
        <v>2.5000000000000001E-2</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0.1</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0.1</v>
      </c>
    </row>
    <row r="57" spans="2:18" x14ac:dyDescent="0.2">
      <c r="O57" s="136"/>
      <c r="Q57" s="453">
        <f t="shared" ref="Q57:Q75" si="26">$C$17/20*E31</f>
        <v>0.1</v>
      </c>
      <c r="R57" s="131">
        <f t="shared" ref="R57:R75" si="27">IF(C$25="Simulate vertical dispersion in 1 direction",R31,R6)</f>
        <v>0.1</v>
      </c>
    </row>
    <row r="58" spans="2:18" x14ac:dyDescent="0.2">
      <c r="O58" s="136"/>
      <c r="Q58" s="453">
        <f t="shared" si="26"/>
        <v>0.15000000000000002</v>
      </c>
      <c r="R58" s="131">
        <f t="shared" si="27"/>
        <v>0.1</v>
      </c>
    </row>
    <row r="59" spans="2:18" x14ac:dyDescent="0.2">
      <c r="O59" s="136"/>
      <c r="Q59" s="453">
        <f t="shared" si="26"/>
        <v>0.2</v>
      </c>
      <c r="R59" s="131">
        <f t="shared" si="27"/>
        <v>0.1</v>
      </c>
    </row>
    <row r="60" spans="2:18" x14ac:dyDescent="0.2">
      <c r="O60" s="136"/>
      <c r="Q60" s="453">
        <f t="shared" si="26"/>
        <v>0.25</v>
      </c>
      <c r="R60" s="131">
        <f t="shared" si="27"/>
        <v>0.1</v>
      </c>
    </row>
    <row r="61" spans="2:18" x14ac:dyDescent="0.2">
      <c r="O61" s="136"/>
      <c r="Q61" s="453">
        <f t="shared" si="26"/>
        <v>0.30000000000000004</v>
      </c>
      <c r="R61" s="131">
        <f t="shared" si="27"/>
        <v>0.1</v>
      </c>
    </row>
    <row r="62" spans="2:18" x14ac:dyDescent="0.2">
      <c r="O62" s="136"/>
      <c r="Q62" s="453">
        <f t="shared" si="26"/>
        <v>0.35000000000000003</v>
      </c>
      <c r="R62" s="131">
        <f t="shared" si="27"/>
        <v>0.1</v>
      </c>
    </row>
    <row r="63" spans="2:18" x14ac:dyDescent="0.2">
      <c r="O63" s="136"/>
      <c r="Q63" s="453">
        <f t="shared" si="26"/>
        <v>0.4</v>
      </c>
      <c r="R63" s="131">
        <f t="shared" si="27"/>
        <v>0.1</v>
      </c>
    </row>
    <row r="64" spans="2:18" x14ac:dyDescent="0.2">
      <c r="O64" s="136"/>
      <c r="Q64" s="453">
        <f t="shared" si="26"/>
        <v>0.45</v>
      </c>
      <c r="R64" s="131">
        <f t="shared" si="27"/>
        <v>0.1</v>
      </c>
    </row>
    <row r="65" spans="15:18" x14ac:dyDescent="0.2">
      <c r="O65" s="136"/>
      <c r="Q65" s="453">
        <f t="shared" si="26"/>
        <v>0.5</v>
      </c>
      <c r="R65" s="131">
        <f t="shared" si="27"/>
        <v>0.1</v>
      </c>
    </row>
    <row r="66" spans="15:18" x14ac:dyDescent="0.2">
      <c r="O66" s="136"/>
      <c r="Q66" s="453">
        <f t="shared" si="26"/>
        <v>0.55000000000000004</v>
      </c>
      <c r="R66" s="131">
        <f t="shared" si="27"/>
        <v>0.1</v>
      </c>
    </row>
    <row r="67" spans="15:18" x14ac:dyDescent="0.2">
      <c r="O67" s="136"/>
      <c r="Q67" s="453">
        <f t="shared" si="26"/>
        <v>0.60000000000000009</v>
      </c>
      <c r="R67" s="131">
        <f t="shared" si="27"/>
        <v>0.1</v>
      </c>
    </row>
    <row r="68" spans="15:18" x14ac:dyDescent="0.2">
      <c r="O68" s="136"/>
      <c r="Q68" s="453">
        <f t="shared" si="26"/>
        <v>0.65</v>
      </c>
      <c r="R68" s="131">
        <f t="shared" si="27"/>
        <v>0.1</v>
      </c>
    </row>
    <row r="69" spans="15:18" x14ac:dyDescent="0.2">
      <c r="O69" s="136"/>
      <c r="Q69" s="453">
        <f t="shared" si="26"/>
        <v>0.70000000000000007</v>
      </c>
      <c r="R69" s="131">
        <f t="shared" si="27"/>
        <v>0.1</v>
      </c>
    </row>
    <row r="70" spans="15:18" x14ac:dyDescent="0.2">
      <c r="O70" s="136"/>
      <c r="Q70" s="453">
        <f t="shared" si="26"/>
        <v>0.75</v>
      </c>
      <c r="R70" s="131">
        <f t="shared" si="27"/>
        <v>0.1</v>
      </c>
    </row>
    <row r="71" spans="15:18" x14ac:dyDescent="0.2">
      <c r="O71" s="136"/>
      <c r="Q71" s="453">
        <f t="shared" si="26"/>
        <v>0.8</v>
      </c>
      <c r="R71" s="131">
        <f t="shared" si="27"/>
        <v>0.1</v>
      </c>
    </row>
    <row r="72" spans="15:18" x14ac:dyDescent="0.2">
      <c r="O72" s="136"/>
      <c r="Q72" s="453">
        <f t="shared" si="26"/>
        <v>0.85000000000000009</v>
      </c>
      <c r="R72" s="131">
        <f t="shared" si="27"/>
        <v>0.1</v>
      </c>
    </row>
    <row r="73" spans="15:18" x14ac:dyDescent="0.2">
      <c r="O73" s="136"/>
      <c r="Q73" s="453">
        <f t="shared" si="26"/>
        <v>0.9</v>
      </c>
      <c r="R73" s="131">
        <f t="shared" si="27"/>
        <v>0.1</v>
      </c>
    </row>
    <row r="74" spans="15:18" x14ac:dyDescent="0.2">
      <c r="O74" s="136"/>
      <c r="Q74" s="453">
        <f t="shared" si="26"/>
        <v>0.95000000000000007</v>
      </c>
      <c r="R74" s="131">
        <f t="shared" si="27"/>
        <v>0.1</v>
      </c>
    </row>
    <row r="75" spans="15:18" x14ac:dyDescent="0.2">
      <c r="O75" s="136"/>
      <c r="Q75" s="453">
        <f t="shared" si="26"/>
        <v>1</v>
      </c>
      <c r="R75" s="131">
        <f t="shared" si="27"/>
        <v>0.1</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Benzne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1E-3</v>
      </c>
      <c r="D6" s="8" t="s">
        <v>22</v>
      </c>
      <c r="E6" s="81">
        <v>1</v>
      </c>
      <c r="F6" s="64">
        <f t="shared" ref="F6:F25" si="0">$C$18/20*E6</f>
        <v>0.05</v>
      </c>
      <c r="G6" s="11">
        <f t="shared" ref="G6:G25" si="1">0.125*$C$9</f>
        <v>1.2500000000000001E-2</v>
      </c>
      <c r="H6" s="132">
        <f t="shared" ref="H6:H25" si="2">$F6/(2*$C$22)*(1-(1+(4*$C$10*$C$22)/$C$31)^0.5)</f>
        <v>0</v>
      </c>
      <c r="I6" s="132">
        <f t="shared" ref="I6:I25" si="3">EXP(H6)</f>
        <v>1</v>
      </c>
      <c r="J6" s="133">
        <f t="shared" ref="J6:J25" si="4">1/(2*(SQRT($C$22*$C$31*$C$21)))*($F6-($C$31*$C$21)*(1+(4*$C$10*$C$22)/$C$31)^0.5)</f>
        <v>-5.0392935797987954</v>
      </c>
      <c r="K6" s="22">
        <f t="shared" ref="K6:K25" si="5">IF(J6&lt;-4,2,IF(J6&gt;4,0,IF(J6&gt;=0,ERFC(J6),1+ERF(-J6))))</f>
        <v>2</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0.1</v>
      </c>
      <c r="U6" s="15"/>
      <c r="V6" s="15"/>
    </row>
    <row r="7" spans="2:22" ht="14.25" x14ac:dyDescent="0.2">
      <c r="B7" s="4"/>
      <c r="C7"/>
      <c r="D7" s="8"/>
      <c r="E7" s="81">
        <v>2</v>
      </c>
      <c r="F7" s="64">
        <f t="shared" si="0"/>
        <v>0.1</v>
      </c>
      <c r="G7" s="11">
        <f t="shared" si="1"/>
        <v>1.2500000000000001E-2</v>
      </c>
      <c r="H7" s="132">
        <f t="shared" si="2"/>
        <v>0</v>
      </c>
      <c r="I7" s="132">
        <f t="shared" si="3"/>
        <v>1</v>
      </c>
      <c r="J7" s="133">
        <f t="shared" si="4"/>
        <v>-5.0146094270238057</v>
      </c>
      <c r="K7" s="22">
        <f t="shared" si="5"/>
        <v>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0.1</v>
      </c>
    </row>
    <row r="8" spans="2:22" ht="14.25" x14ac:dyDescent="0.2">
      <c r="B8" s="4"/>
      <c r="C8" s="8"/>
      <c r="D8" s="8"/>
      <c r="E8" s="81">
        <v>3</v>
      </c>
      <c r="F8" s="64">
        <f t="shared" si="0"/>
        <v>0.15000000000000002</v>
      </c>
      <c r="G8" s="11">
        <f t="shared" si="1"/>
        <v>1.2500000000000001E-2</v>
      </c>
      <c r="H8" s="132">
        <f t="shared" si="2"/>
        <v>0</v>
      </c>
      <c r="I8" s="132">
        <f t="shared" si="3"/>
        <v>1</v>
      </c>
      <c r="J8" s="133">
        <f t="shared" si="4"/>
        <v>-4.9899252742488152</v>
      </c>
      <c r="K8" s="22">
        <f t="shared" si="5"/>
        <v>2</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0.1</v>
      </c>
    </row>
    <row r="9" spans="2:22" ht="14.25" x14ac:dyDescent="0.2">
      <c r="B9" s="4" t="s">
        <v>9</v>
      </c>
      <c r="C9" s="186">
        <f>'Level3 Groundwater'!D20</f>
        <v>0.1</v>
      </c>
      <c r="D9" s="8" t="s">
        <v>22</v>
      </c>
      <c r="E9" s="81">
        <v>4</v>
      </c>
      <c r="F9" s="64">
        <f t="shared" si="0"/>
        <v>0.2</v>
      </c>
      <c r="G9" s="11">
        <f t="shared" si="1"/>
        <v>1.2500000000000001E-2</v>
      </c>
      <c r="H9" s="132">
        <f t="shared" si="2"/>
        <v>0</v>
      </c>
      <c r="I9" s="132">
        <f t="shared" si="3"/>
        <v>1</v>
      </c>
      <c r="J9" s="133">
        <f t="shared" si="4"/>
        <v>-4.9652411214738255</v>
      </c>
      <c r="K9" s="22">
        <f t="shared" si="5"/>
        <v>2</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0.1</v>
      </c>
    </row>
    <row r="10" spans="2:22" ht="15" x14ac:dyDescent="0.2">
      <c r="B10" s="5" t="s">
        <v>34</v>
      </c>
      <c r="C10" s="186">
        <f>'Level3 Groundwater'!D44</f>
        <v>6.8172108575924465E-101</v>
      </c>
      <c r="D10" s="2" t="s">
        <v>151</v>
      </c>
      <c r="E10" s="81">
        <v>5</v>
      </c>
      <c r="F10" s="64">
        <f t="shared" si="0"/>
        <v>0.25</v>
      </c>
      <c r="G10" s="11">
        <f t="shared" si="1"/>
        <v>1.2500000000000001E-2</v>
      </c>
      <c r="H10" s="132">
        <f t="shared" si="2"/>
        <v>0</v>
      </c>
      <c r="I10" s="132">
        <f t="shared" si="3"/>
        <v>1</v>
      </c>
      <c r="J10" s="133">
        <f t="shared" si="4"/>
        <v>-4.9405569686988349</v>
      </c>
      <c r="K10" s="22">
        <f t="shared" si="5"/>
        <v>2</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0.1</v>
      </c>
    </row>
    <row r="11" spans="2:22" ht="14.25" x14ac:dyDescent="0.2">
      <c r="B11" s="4" t="s">
        <v>50</v>
      </c>
      <c r="C11" s="186">
        <f>'Level3 Groundwater'!D23</f>
        <v>100</v>
      </c>
      <c r="D11" s="2" t="s">
        <v>26</v>
      </c>
      <c r="E11" s="81">
        <v>6</v>
      </c>
      <c r="F11" s="64">
        <f t="shared" si="0"/>
        <v>0.30000000000000004</v>
      </c>
      <c r="G11" s="11">
        <f t="shared" si="1"/>
        <v>1.2500000000000001E-2</v>
      </c>
      <c r="H11" s="132">
        <f t="shared" si="2"/>
        <v>0</v>
      </c>
      <c r="I11" s="132">
        <f t="shared" si="3"/>
        <v>1</v>
      </c>
      <c r="J11" s="133">
        <f t="shared" si="4"/>
        <v>-4.9158728159238443</v>
      </c>
      <c r="K11" s="22">
        <f t="shared" si="5"/>
        <v>2</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0.1</v>
      </c>
    </row>
    <row r="12" spans="2:22" ht="14.25" x14ac:dyDescent="0.2">
      <c r="B12" s="4" t="s">
        <v>153</v>
      </c>
      <c r="C12" s="186">
        <f>'Level3 Groundwater'!D24</f>
        <v>100</v>
      </c>
      <c r="D12" s="2" t="s">
        <v>26</v>
      </c>
      <c r="E12" s="81">
        <v>7</v>
      </c>
      <c r="F12" s="64">
        <f t="shared" si="0"/>
        <v>0.35000000000000003</v>
      </c>
      <c r="G12" s="11">
        <f t="shared" si="1"/>
        <v>1.2500000000000001E-2</v>
      </c>
      <c r="H12" s="132">
        <f t="shared" si="2"/>
        <v>0</v>
      </c>
      <c r="I12" s="132">
        <f t="shared" si="3"/>
        <v>1</v>
      </c>
      <c r="J12" s="133">
        <f t="shared" si="4"/>
        <v>-4.8911886631488546</v>
      </c>
      <c r="K12" s="22">
        <f t="shared" si="5"/>
        <v>2</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0.1</v>
      </c>
    </row>
    <row r="13" spans="2:22" ht="14.25" x14ac:dyDescent="0.2">
      <c r="B13" s="4" t="s">
        <v>13</v>
      </c>
      <c r="C13" s="186">
        <f>'Level3 Groundwater'!K21</f>
        <v>146</v>
      </c>
      <c r="D13" s="2" t="s">
        <v>23</v>
      </c>
      <c r="E13" s="81">
        <v>8</v>
      </c>
      <c r="F13" s="64">
        <f t="shared" si="0"/>
        <v>0.4</v>
      </c>
      <c r="G13" s="11">
        <f t="shared" si="1"/>
        <v>1.2500000000000001E-2</v>
      </c>
      <c r="H13" s="132">
        <f t="shared" si="2"/>
        <v>0</v>
      </c>
      <c r="I13" s="132">
        <f t="shared" si="3"/>
        <v>1</v>
      </c>
      <c r="J13" s="133">
        <f t="shared" si="4"/>
        <v>-4.866504510373864</v>
      </c>
      <c r="K13" s="22">
        <f t="shared" si="5"/>
        <v>2</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0.1</v>
      </c>
    </row>
    <row r="14" spans="2:22" ht="15" x14ac:dyDescent="0.2">
      <c r="B14" s="5" t="s">
        <v>35</v>
      </c>
      <c r="C14" s="186">
        <f>'Level3 Groundwater'!D26</f>
        <v>1.44E-4</v>
      </c>
      <c r="D14" s="2" t="s">
        <v>24</v>
      </c>
      <c r="E14" s="81">
        <v>9</v>
      </c>
      <c r="F14" s="64">
        <f t="shared" si="0"/>
        <v>0.45</v>
      </c>
      <c r="G14" s="11">
        <f t="shared" si="1"/>
        <v>1.2500000000000001E-2</v>
      </c>
      <c r="H14" s="132">
        <f t="shared" si="2"/>
        <v>0</v>
      </c>
      <c r="I14" s="132">
        <f t="shared" si="3"/>
        <v>1</v>
      </c>
      <c r="J14" s="133">
        <f t="shared" si="4"/>
        <v>-4.8418203575988743</v>
      </c>
      <c r="K14" s="22">
        <f t="shared" si="5"/>
        <v>2</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0.1</v>
      </c>
    </row>
    <row r="15" spans="2:22" ht="14.25" x14ac:dyDescent="0.2">
      <c r="B15" s="4" t="s">
        <v>1</v>
      </c>
      <c r="C15" s="186">
        <f>'Level3 Groundwater'!D27</f>
        <v>0.16200000000000001</v>
      </c>
      <c r="E15" s="81">
        <v>10</v>
      </c>
      <c r="F15" s="64">
        <f t="shared" si="0"/>
        <v>0.5</v>
      </c>
      <c r="G15" s="11">
        <f t="shared" si="1"/>
        <v>1.2500000000000001E-2</v>
      </c>
      <c r="H15" s="132">
        <f t="shared" si="2"/>
        <v>0</v>
      </c>
      <c r="I15" s="132">
        <f t="shared" si="3"/>
        <v>1</v>
      </c>
      <c r="J15" s="133">
        <f t="shared" si="4"/>
        <v>-4.8171362048238837</v>
      </c>
      <c r="K15" s="22">
        <f t="shared" si="5"/>
        <v>2</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0.1</v>
      </c>
    </row>
    <row r="16" spans="2:22" ht="14.25" x14ac:dyDescent="0.2">
      <c r="B16" s="4" t="s">
        <v>44</v>
      </c>
      <c r="C16" s="186">
        <f>'Level3 Groundwater'!D28</f>
        <v>2.5399999999999999E-2</v>
      </c>
      <c r="E16" s="81">
        <v>11</v>
      </c>
      <c r="F16" s="64">
        <f t="shared" si="0"/>
        <v>0.55000000000000004</v>
      </c>
      <c r="G16" s="11">
        <f t="shared" si="1"/>
        <v>1.2500000000000001E-2</v>
      </c>
      <c r="H16" s="132">
        <f t="shared" si="2"/>
        <v>0</v>
      </c>
      <c r="I16" s="132">
        <f t="shared" si="3"/>
        <v>1</v>
      </c>
      <c r="J16" s="133">
        <f t="shared" si="4"/>
        <v>-4.7924520520488931</v>
      </c>
      <c r="K16" s="22">
        <f t="shared" si="5"/>
        <v>2</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0.1</v>
      </c>
    </row>
    <row r="17" spans="2:22" ht="14.25" customHeight="1" x14ac:dyDescent="0.2">
      <c r="B17" s="4" t="s">
        <v>189</v>
      </c>
      <c r="C17" s="186">
        <f>'Level3 Groundwater'!D29</f>
        <v>2.0250000000000001E-5</v>
      </c>
      <c r="D17" s="2" t="s">
        <v>25</v>
      </c>
      <c r="E17" s="81">
        <v>12</v>
      </c>
      <c r="F17" s="64">
        <f t="shared" si="0"/>
        <v>0.60000000000000009</v>
      </c>
      <c r="G17" s="11">
        <f t="shared" si="1"/>
        <v>1.2500000000000001E-2</v>
      </c>
      <c r="H17" s="132">
        <f t="shared" si="2"/>
        <v>0</v>
      </c>
      <c r="I17" s="132">
        <f t="shared" si="3"/>
        <v>1</v>
      </c>
      <c r="J17" s="133">
        <f t="shared" si="4"/>
        <v>-4.7677678992739034</v>
      </c>
      <c r="K17" s="22">
        <f t="shared" si="5"/>
        <v>2</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0.1</v>
      </c>
    </row>
    <row r="18" spans="2:22" ht="14.25" customHeight="1" x14ac:dyDescent="0.2">
      <c r="B18" s="4" t="s">
        <v>14</v>
      </c>
      <c r="C18" s="186">
        <f>'Level3 Groundwater'!D30</f>
        <v>1</v>
      </c>
      <c r="D18" s="2" t="s">
        <v>26</v>
      </c>
      <c r="E18" s="81">
        <v>13</v>
      </c>
      <c r="F18" s="64">
        <f t="shared" si="0"/>
        <v>0.65</v>
      </c>
      <c r="G18" s="11">
        <f t="shared" si="1"/>
        <v>1.2500000000000001E-2</v>
      </c>
      <c r="H18" s="132">
        <f t="shared" si="2"/>
        <v>0</v>
      </c>
      <c r="I18" s="132">
        <f t="shared" si="3"/>
        <v>1</v>
      </c>
      <c r="J18" s="133">
        <f t="shared" si="4"/>
        <v>-4.7430837464989128</v>
      </c>
      <c r="K18" s="22">
        <f t="shared" si="5"/>
        <v>2</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0.1</v>
      </c>
    </row>
    <row r="19" spans="2:22" ht="14.25" customHeight="1" x14ac:dyDescent="0.2">
      <c r="B19" s="4" t="s">
        <v>16</v>
      </c>
      <c r="C19" s="186">
        <v>0</v>
      </c>
      <c r="D19" s="2" t="s">
        <v>26</v>
      </c>
      <c r="E19" s="81">
        <v>14</v>
      </c>
      <c r="F19" s="64">
        <f t="shared" si="0"/>
        <v>0.70000000000000007</v>
      </c>
      <c r="G19" s="11">
        <f t="shared" si="1"/>
        <v>1.2500000000000001E-2</v>
      </c>
      <c r="H19" s="132">
        <f t="shared" si="2"/>
        <v>0</v>
      </c>
      <c r="I19" s="132">
        <f t="shared" si="3"/>
        <v>1</v>
      </c>
      <c r="J19" s="133">
        <f t="shared" si="4"/>
        <v>-4.7183995937239231</v>
      </c>
      <c r="K19" s="22">
        <f t="shared" si="5"/>
        <v>2</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0.1</v>
      </c>
    </row>
    <row r="20" spans="2:22" ht="14.25" customHeight="1" x14ac:dyDescent="0.2">
      <c r="B20" s="4" t="s">
        <v>15</v>
      </c>
      <c r="C20" s="186">
        <v>0</v>
      </c>
      <c r="D20" s="2" t="s">
        <v>26</v>
      </c>
      <c r="E20" s="81">
        <v>15</v>
      </c>
      <c r="F20" s="64">
        <f t="shared" si="0"/>
        <v>0.75</v>
      </c>
      <c r="G20" s="11">
        <f t="shared" si="1"/>
        <v>1.2500000000000001E-2</v>
      </c>
      <c r="H20" s="132">
        <f t="shared" si="2"/>
        <v>0</v>
      </c>
      <c r="I20" s="132">
        <f t="shared" si="3"/>
        <v>1</v>
      </c>
      <c r="J20" s="133">
        <f t="shared" si="4"/>
        <v>-4.6937154409489326</v>
      </c>
      <c r="K20" s="22">
        <f t="shared" si="5"/>
        <v>2</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0.1</v>
      </c>
    </row>
    <row r="21" spans="2:22" ht="14.25" customHeight="1" x14ac:dyDescent="0.2">
      <c r="B21" s="4" t="s">
        <v>17</v>
      </c>
      <c r="C21" s="186">
        <f>'Level3 Groundwater'!D33</f>
        <v>3650000</v>
      </c>
      <c r="D21" s="2" t="s">
        <v>21</v>
      </c>
      <c r="E21" s="81">
        <v>16</v>
      </c>
      <c r="F21" s="64">
        <f t="shared" si="0"/>
        <v>0.8</v>
      </c>
      <c r="G21" s="11">
        <f t="shared" si="1"/>
        <v>1.2500000000000001E-2</v>
      </c>
      <c r="H21" s="132">
        <f t="shared" si="2"/>
        <v>0</v>
      </c>
      <c r="I21" s="132">
        <f t="shared" si="3"/>
        <v>1</v>
      </c>
      <c r="J21" s="133">
        <f t="shared" si="4"/>
        <v>-4.669031288173942</v>
      </c>
      <c r="K21" s="22">
        <f t="shared" si="5"/>
        <v>2</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0.1</v>
      </c>
    </row>
    <row r="22" spans="2:22" ht="14.25" customHeight="1" x14ac:dyDescent="0.2">
      <c r="B22" s="4" t="s">
        <v>18</v>
      </c>
      <c r="C22" s="186">
        <f>'Level3 Groundwater'!D36</f>
        <v>0.1</v>
      </c>
      <c r="D22" s="8" t="s">
        <v>26</v>
      </c>
      <c r="E22" s="81">
        <v>17</v>
      </c>
      <c r="F22" s="64">
        <f t="shared" si="0"/>
        <v>0.85000000000000009</v>
      </c>
      <c r="G22" s="11">
        <f t="shared" si="1"/>
        <v>1.2500000000000001E-2</v>
      </c>
      <c r="H22" s="132">
        <f t="shared" si="2"/>
        <v>0</v>
      </c>
      <c r="I22" s="132">
        <f t="shared" si="3"/>
        <v>1</v>
      </c>
      <c r="J22" s="133">
        <f t="shared" si="4"/>
        <v>-4.6443471353989523</v>
      </c>
      <c r="K22" s="22">
        <f t="shared" si="5"/>
        <v>2</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0.1</v>
      </c>
      <c r="U22" t="s">
        <v>171</v>
      </c>
    </row>
    <row r="23" spans="2:22" ht="14.25" customHeight="1" x14ac:dyDescent="0.2">
      <c r="B23" s="4" t="s">
        <v>20</v>
      </c>
      <c r="C23" s="186">
        <f>'Level3 Groundwater'!D37</f>
        <v>0.01</v>
      </c>
      <c r="D23" s="8" t="s">
        <v>26</v>
      </c>
      <c r="E23" s="81">
        <v>18</v>
      </c>
      <c r="F23" s="64">
        <f t="shared" si="0"/>
        <v>0.9</v>
      </c>
      <c r="G23" s="11">
        <f t="shared" si="1"/>
        <v>1.2500000000000001E-2</v>
      </c>
      <c r="H23" s="132">
        <f t="shared" si="2"/>
        <v>0</v>
      </c>
      <c r="I23" s="132">
        <f t="shared" si="3"/>
        <v>1</v>
      </c>
      <c r="J23" s="133">
        <f t="shared" si="4"/>
        <v>-4.6196629826239617</v>
      </c>
      <c r="K23" s="22">
        <f t="shared" si="5"/>
        <v>2</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0.1</v>
      </c>
    </row>
    <row r="24" spans="2:22" ht="14.25" customHeight="1" x14ac:dyDescent="0.2">
      <c r="B24" s="4" t="s">
        <v>19</v>
      </c>
      <c r="C24" s="186">
        <f>'Level3 Groundwater'!D38</f>
        <v>1E-3</v>
      </c>
      <c r="D24" s="8" t="s">
        <v>26</v>
      </c>
      <c r="E24" s="81">
        <v>19</v>
      </c>
      <c r="F24" s="64">
        <f t="shared" si="0"/>
        <v>0.95000000000000007</v>
      </c>
      <c r="G24" s="11">
        <f t="shared" si="1"/>
        <v>1.2500000000000001E-2</v>
      </c>
      <c r="H24" s="132">
        <f t="shared" si="2"/>
        <v>0</v>
      </c>
      <c r="I24" s="132">
        <f t="shared" si="3"/>
        <v>1</v>
      </c>
      <c r="J24" s="133">
        <f t="shared" si="4"/>
        <v>-4.594978829848972</v>
      </c>
      <c r="K24" s="22">
        <f t="shared" si="5"/>
        <v>2</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0.1</v>
      </c>
    </row>
    <row r="25" spans="2:22" x14ac:dyDescent="0.2">
      <c r="C25" s="8"/>
      <c r="D25" s="8"/>
      <c r="E25" s="81">
        <v>20</v>
      </c>
      <c r="F25" s="64">
        <f t="shared" si="0"/>
        <v>1</v>
      </c>
      <c r="G25" s="11">
        <f t="shared" si="1"/>
        <v>1.2500000000000001E-2</v>
      </c>
      <c r="H25" s="132">
        <f t="shared" si="2"/>
        <v>0</v>
      </c>
      <c r="I25" s="132">
        <f t="shared" si="3"/>
        <v>1</v>
      </c>
      <c r="J25" s="133">
        <f t="shared" si="4"/>
        <v>-4.5702946770739814</v>
      </c>
      <c r="K25" s="22">
        <f t="shared" si="5"/>
        <v>2</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0.1</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1.1297777777777778</v>
      </c>
      <c r="D30" s="109"/>
      <c r="E30" s="81">
        <v>1</v>
      </c>
      <c r="F30" s="64">
        <f t="shared" ref="F30:F49" si="15">$C$18/20*E30</f>
        <v>0.05</v>
      </c>
      <c r="G30" s="11">
        <f t="shared" ref="G30:G49" si="16">0.125*$C$9</f>
        <v>1.2500000000000001E-2</v>
      </c>
      <c r="H30" s="132">
        <f t="shared" ref="H30:H49" si="17">$F30/(2*$C$22)*(1-(1+(4*$C$10*$C$22)/$C$31)^0.5)</f>
        <v>0</v>
      </c>
      <c r="I30" s="132">
        <f t="shared" ref="I30:I49" si="18">EXP(H30)</f>
        <v>1</v>
      </c>
      <c r="J30" s="133">
        <f t="shared" ref="J30:J49" si="19">1/(2*(SQRT($C$22*$C$31*$C$21)))*($F30-($C$31*$C$21)*(1+(4*$C$10*$C$22)/$C$31)^0.5)</f>
        <v>-5.0392935797987954</v>
      </c>
      <c r="K30" s="22">
        <f t="shared" ref="K30:K49" si="20">IF(J30&lt;-4,2,IF(J30&gt;4,0,IF(J30&gt;=0,ERFC(J30),1+ERF(-J30))))</f>
        <v>2</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0.1</v>
      </c>
    </row>
    <row r="31" spans="2:22" ht="14.25" x14ac:dyDescent="0.2">
      <c r="B31" s="4" t="s">
        <v>41</v>
      </c>
      <c r="C31" s="186">
        <f>'Level3 Groundwater'!D45</f>
        <v>2.8102871754523996E-6</v>
      </c>
      <c r="D31" s="2" t="s">
        <v>25</v>
      </c>
      <c r="E31" s="81">
        <v>2</v>
      </c>
      <c r="F31" s="64">
        <f t="shared" si="15"/>
        <v>0.1</v>
      </c>
      <c r="G31" s="11">
        <f t="shared" si="16"/>
        <v>1.2500000000000001E-2</v>
      </c>
      <c r="H31" s="132">
        <f t="shared" si="17"/>
        <v>0</v>
      </c>
      <c r="I31" s="132">
        <f t="shared" si="18"/>
        <v>1</v>
      </c>
      <c r="J31" s="133">
        <f t="shared" si="19"/>
        <v>-5.0146094270238057</v>
      </c>
      <c r="K31" s="22">
        <f t="shared" si="20"/>
        <v>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0.1</v>
      </c>
    </row>
    <row r="32" spans="2:22" x14ac:dyDescent="0.2">
      <c r="E32" s="81">
        <v>3</v>
      </c>
      <c r="F32" s="64">
        <f t="shared" si="15"/>
        <v>0.15000000000000002</v>
      </c>
      <c r="G32" s="11">
        <f t="shared" si="16"/>
        <v>1.2500000000000001E-2</v>
      </c>
      <c r="H32" s="132">
        <f t="shared" si="17"/>
        <v>0</v>
      </c>
      <c r="I32" s="132">
        <f t="shared" si="18"/>
        <v>1</v>
      </c>
      <c r="J32" s="133">
        <f t="shared" si="19"/>
        <v>-4.9899252742488152</v>
      </c>
      <c r="K32" s="22">
        <f t="shared" si="20"/>
        <v>2</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0.1</v>
      </c>
    </row>
    <row r="33" spans="2:20" x14ac:dyDescent="0.2">
      <c r="E33" s="81">
        <v>4</v>
      </c>
      <c r="F33" s="64">
        <f t="shared" si="15"/>
        <v>0.2</v>
      </c>
      <c r="G33" s="11">
        <f t="shared" si="16"/>
        <v>1.2500000000000001E-2</v>
      </c>
      <c r="H33" s="132">
        <f t="shared" si="17"/>
        <v>0</v>
      </c>
      <c r="I33" s="132">
        <f t="shared" si="18"/>
        <v>1</v>
      </c>
      <c r="J33" s="133">
        <f t="shared" si="19"/>
        <v>-4.9652411214738255</v>
      </c>
      <c r="K33" s="22">
        <f t="shared" si="20"/>
        <v>2</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0.1</v>
      </c>
    </row>
    <row r="34" spans="2:20" x14ac:dyDescent="0.2">
      <c r="E34" s="81">
        <v>5</v>
      </c>
      <c r="F34" s="64">
        <f t="shared" si="15"/>
        <v>0.25</v>
      </c>
      <c r="G34" s="11">
        <f t="shared" si="16"/>
        <v>1.2500000000000001E-2</v>
      </c>
      <c r="H34" s="132">
        <f t="shared" si="17"/>
        <v>0</v>
      </c>
      <c r="I34" s="132">
        <f t="shared" si="18"/>
        <v>1</v>
      </c>
      <c r="J34" s="133">
        <f t="shared" si="19"/>
        <v>-4.9405569686988349</v>
      </c>
      <c r="K34" s="22">
        <f t="shared" si="20"/>
        <v>2</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0.1</v>
      </c>
    </row>
    <row r="35" spans="2:20" x14ac:dyDescent="0.2">
      <c r="E35" s="81">
        <v>6</v>
      </c>
      <c r="F35" s="64">
        <f t="shared" si="15"/>
        <v>0.30000000000000004</v>
      </c>
      <c r="G35" s="11">
        <f t="shared" si="16"/>
        <v>1.2500000000000001E-2</v>
      </c>
      <c r="H35" s="132">
        <f t="shared" si="17"/>
        <v>0</v>
      </c>
      <c r="I35" s="132">
        <f t="shared" si="18"/>
        <v>1</v>
      </c>
      <c r="J35" s="133">
        <f t="shared" si="19"/>
        <v>-4.9158728159238443</v>
      </c>
      <c r="K35" s="22">
        <f t="shared" si="20"/>
        <v>2</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0.1</v>
      </c>
    </row>
    <row r="36" spans="2:20" x14ac:dyDescent="0.2">
      <c r="E36" s="81">
        <v>7</v>
      </c>
      <c r="F36" s="64">
        <f t="shared" si="15"/>
        <v>0.35000000000000003</v>
      </c>
      <c r="G36" s="11">
        <f t="shared" si="16"/>
        <v>1.2500000000000001E-2</v>
      </c>
      <c r="H36" s="132">
        <f t="shared" si="17"/>
        <v>0</v>
      </c>
      <c r="I36" s="132">
        <f t="shared" si="18"/>
        <v>1</v>
      </c>
      <c r="J36" s="133">
        <f t="shared" si="19"/>
        <v>-4.8911886631488546</v>
      </c>
      <c r="K36" s="22">
        <f t="shared" si="20"/>
        <v>2</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0.1</v>
      </c>
    </row>
    <row r="37" spans="2:20" x14ac:dyDescent="0.2">
      <c r="E37" s="81">
        <v>8</v>
      </c>
      <c r="F37" s="64">
        <f t="shared" si="15"/>
        <v>0.4</v>
      </c>
      <c r="G37" s="11">
        <f t="shared" si="16"/>
        <v>1.2500000000000001E-2</v>
      </c>
      <c r="H37" s="132">
        <f t="shared" si="17"/>
        <v>0</v>
      </c>
      <c r="I37" s="132">
        <f t="shared" si="18"/>
        <v>1</v>
      </c>
      <c r="J37" s="133">
        <f t="shared" si="19"/>
        <v>-4.866504510373864</v>
      </c>
      <c r="K37" s="22">
        <f t="shared" si="20"/>
        <v>2</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0.1</v>
      </c>
    </row>
    <row r="38" spans="2:20" x14ac:dyDescent="0.2">
      <c r="E38" s="81">
        <v>9</v>
      </c>
      <c r="F38" s="64">
        <f t="shared" si="15"/>
        <v>0.45</v>
      </c>
      <c r="G38" s="11">
        <f t="shared" si="16"/>
        <v>1.2500000000000001E-2</v>
      </c>
      <c r="H38" s="132">
        <f t="shared" si="17"/>
        <v>0</v>
      </c>
      <c r="I38" s="132">
        <f t="shared" si="18"/>
        <v>1</v>
      </c>
      <c r="J38" s="133">
        <f t="shared" si="19"/>
        <v>-4.8418203575988743</v>
      </c>
      <c r="K38" s="22">
        <f t="shared" si="20"/>
        <v>2</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0.1</v>
      </c>
    </row>
    <row r="39" spans="2:20" x14ac:dyDescent="0.2">
      <c r="E39" s="81">
        <v>10</v>
      </c>
      <c r="F39" s="64">
        <f t="shared" si="15"/>
        <v>0.5</v>
      </c>
      <c r="G39" s="11">
        <f t="shared" si="16"/>
        <v>1.2500000000000001E-2</v>
      </c>
      <c r="H39" s="132">
        <f t="shared" si="17"/>
        <v>0</v>
      </c>
      <c r="I39" s="132">
        <f t="shared" si="18"/>
        <v>1</v>
      </c>
      <c r="J39" s="133">
        <f t="shared" si="19"/>
        <v>-4.8171362048238837</v>
      </c>
      <c r="K39" s="22">
        <f t="shared" si="20"/>
        <v>2</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0.1</v>
      </c>
    </row>
    <row r="40" spans="2:20" x14ac:dyDescent="0.2">
      <c r="E40" s="81">
        <v>11</v>
      </c>
      <c r="F40" s="64">
        <f t="shared" si="15"/>
        <v>0.55000000000000004</v>
      </c>
      <c r="G40" s="11">
        <f t="shared" si="16"/>
        <v>1.2500000000000001E-2</v>
      </c>
      <c r="H40" s="132">
        <f t="shared" si="17"/>
        <v>0</v>
      </c>
      <c r="I40" s="132">
        <f t="shared" si="18"/>
        <v>1</v>
      </c>
      <c r="J40" s="133">
        <f t="shared" si="19"/>
        <v>-4.7924520520488931</v>
      </c>
      <c r="K40" s="22">
        <f t="shared" si="20"/>
        <v>2</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0.1</v>
      </c>
    </row>
    <row r="41" spans="2:20" x14ac:dyDescent="0.2">
      <c r="E41" s="81">
        <v>12</v>
      </c>
      <c r="F41" s="64">
        <f t="shared" si="15"/>
        <v>0.60000000000000009</v>
      </c>
      <c r="G41" s="11">
        <f t="shared" si="16"/>
        <v>1.2500000000000001E-2</v>
      </c>
      <c r="H41" s="132">
        <f t="shared" si="17"/>
        <v>0</v>
      </c>
      <c r="I41" s="132">
        <f t="shared" si="18"/>
        <v>1</v>
      </c>
      <c r="J41" s="133">
        <f t="shared" si="19"/>
        <v>-4.7677678992739034</v>
      </c>
      <c r="K41" s="22">
        <f t="shared" si="20"/>
        <v>2</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0.1</v>
      </c>
    </row>
    <row r="42" spans="2:20" x14ac:dyDescent="0.2">
      <c r="E42" s="81">
        <v>13</v>
      </c>
      <c r="F42" s="64">
        <f t="shared" si="15"/>
        <v>0.65</v>
      </c>
      <c r="G42" s="11">
        <f t="shared" si="16"/>
        <v>1.2500000000000001E-2</v>
      </c>
      <c r="H42" s="132">
        <f t="shared" si="17"/>
        <v>0</v>
      </c>
      <c r="I42" s="132">
        <f t="shared" si="18"/>
        <v>1</v>
      </c>
      <c r="J42" s="133">
        <f t="shared" si="19"/>
        <v>-4.7430837464989128</v>
      </c>
      <c r="K42" s="22">
        <f t="shared" si="20"/>
        <v>2</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0.1</v>
      </c>
    </row>
    <row r="43" spans="2:20" x14ac:dyDescent="0.2">
      <c r="E43" s="81">
        <v>14</v>
      </c>
      <c r="F43" s="64">
        <f t="shared" si="15"/>
        <v>0.70000000000000007</v>
      </c>
      <c r="G43" s="11">
        <f t="shared" si="16"/>
        <v>1.2500000000000001E-2</v>
      </c>
      <c r="H43" s="132">
        <f t="shared" si="17"/>
        <v>0</v>
      </c>
      <c r="I43" s="132">
        <f t="shared" si="18"/>
        <v>1</v>
      </c>
      <c r="J43" s="133">
        <f t="shared" si="19"/>
        <v>-4.7183995937239231</v>
      </c>
      <c r="K43" s="22">
        <f t="shared" si="20"/>
        <v>2</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0.1</v>
      </c>
    </row>
    <row r="44" spans="2:20" x14ac:dyDescent="0.2">
      <c r="E44" s="81">
        <v>15</v>
      </c>
      <c r="F44" s="64">
        <f t="shared" si="15"/>
        <v>0.75</v>
      </c>
      <c r="G44" s="11">
        <f t="shared" si="16"/>
        <v>1.2500000000000001E-2</v>
      </c>
      <c r="H44" s="132">
        <f t="shared" si="17"/>
        <v>0</v>
      </c>
      <c r="I44" s="132">
        <f t="shared" si="18"/>
        <v>1</v>
      </c>
      <c r="J44" s="133">
        <f t="shared" si="19"/>
        <v>-4.6937154409489326</v>
      </c>
      <c r="K44" s="22">
        <f t="shared" si="20"/>
        <v>2</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0.1</v>
      </c>
    </row>
    <row r="45" spans="2:20" x14ac:dyDescent="0.2">
      <c r="E45" s="81">
        <v>16</v>
      </c>
      <c r="F45" s="64">
        <f t="shared" si="15"/>
        <v>0.8</v>
      </c>
      <c r="G45" s="11">
        <f t="shared" si="16"/>
        <v>1.2500000000000001E-2</v>
      </c>
      <c r="H45" s="132">
        <f t="shared" si="17"/>
        <v>0</v>
      </c>
      <c r="I45" s="132">
        <f t="shared" si="18"/>
        <v>1</v>
      </c>
      <c r="J45" s="133">
        <f t="shared" si="19"/>
        <v>-4.669031288173942</v>
      </c>
      <c r="K45" s="22">
        <f t="shared" si="20"/>
        <v>2</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0.1</v>
      </c>
    </row>
    <row r="46" spans="2:20" x14ac:dyDescent="0.2">
      <c r="E46" s="81">
        <v>17</v>
      </c>
      <c r="F46" s="64">
        <f t="shared" si="15"/>
        <v>0.85000000000000009</v>
      </c>
      <c r="G46" s="11">
        <f t="shared" si="16"/>
        <v>1.2500000000000001E-2</v>
      </c>
      <c r="H46" s="132">
        <f t="shared" si="17"/>
        <v>0</v>
      </c>
      <c r="I46" s="132">
        <f t="shared" si="18"/>
        <v>1</v>
      </c>
      <c r="J46" s="133">
        <f t="shared" si="19"/>
        <v>-4.6443471353989523</v>
      </c>
      <c r="K46" s="22">
        <f t="shared" si="20"/>
        <v>2</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0.1</v>
      </c>
    </row>
    <row r="47" spans="2:20" x14ac:dyDescent="0.2">
      <c r="E47" s="81">
        <v>18</v>
      </c>
      <c r="F47" s="64">
        <f t="shared" si="15"/>
        <v>0.9</v>
      </c>
      <c r="G47" s="11">
        <f t="shared" si="16"/>
        <v>1.2500000000000001E-2</v>
      </c>
      <c r="H47" s="132">
        <f t="shared" si="17"/>
        <v>0</v>
      </c>
      <c r="I47" s="132">
        <f t="shared" si="18"/>
        <v>1</v>
      </c>
      <c r="J47" s="133">
        <f t="shared" si="19"/>
        <v>-4.6196629826239617</v>
      </c>
      <c r="K47" s="22">
        <f t="shared" si="20"/>
        <v>2</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0.1</v>
      </c>
    </row>
    <row r="48" spans="2:20" x14ac:dyDescent="0.2">
      <c r="B48" s="103" t="s">
        <v>142</v>
      </c>
      <c r="C48" s="108">
        <f>Introduction!B32</f>
        <v>43993</v>
      </c>
      <c r="D48" s="110"/>
      <c r="E48" s="81">
        <v>19</v>
      </c>
      <c r="F48" s="64">
        <f t="shared" si="15"/>
        <v>0.95000000000000007</v>
      </c>
      <c r="G48" s="11">
        <f t="shared" si="16"/>
        <v>1.2500000000000001E-2</v>
      </c>
      <c r="H48" s="132">
        <f t="shared" si="17"/>
        <v>0</v>
      </c>
      <c r="I48" s="132">
        <f t="shared" si="18"/>
        <v>1</v>
      </c>
      <c r="J48" s="133">
        <f t="shared" si="19"/>
        <v>-4.594978829848972</v>
      </c>
      <c r="K48" s="22">
        <f t="shared" si="20"/>
        <v>2</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0.1</v>
      </c>
    </row>
    <row r="49" spans="2:20" x14ac:dyDescent="0.2">
      <c r="B49" s="104" t="s">
        <v>158</v>
      </c>
      <c r="C49" s="107">
        <f>Introduction!E32</f>
        <v>1.01</v>
      </c>
      <c r="D49" s="111"/>
      <c r="E49" s="81">
        <v>20</v>
      </c>
      <c r="F49" s="64">
        <f t="shared" si="15"/>
        <v>1</v>
      </c>
      <c r="G49" s="11">
        <f t="shared" si="16"/>
        <v>1.2500000000000001E-2</v>
      </c>
      <c r="H49" s="132">
        <f t="shared" si="17"/>
        <v>0</v>
      </c>
      <c r="I49" s="132">
        <f t="shared" si="18"/>
        <v>1</v>
      </c>
      <c r="J49" s="133">
        <f t="shared" si="19"/>
        <v>-4.5702946770739814</v>
      </c>
      <c r="K49" s="22">
        <f t="shared" si="20"/>
        <v>2</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0.1</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0.1</v>
      </c>
    </row>
    <row r="57" spans="2:20" x14ac:dyDescent="0.2">
      <c r="Q57" s="136"/>
      <c r="S57" s="453">
        <f t="shared" ref="S57:S75" si="30">$C$18/20*E31</f>
        <v>0.1</v>
      </c>
      <c r="T57" s="131">
        <f t="shared" ref="T57:T75" si="31">IF(C$26="Simulate vertical dispersion in 1 direction",T31,T7)</f>
        <v>0.1</v>
      </c>
    </row>
    <row r="58" spans="2:20" x14ac:dyDescent="0.2">
      <c r="Q58" s="136"/>
      <c r="S58" s="453">
        <f t="shared" si="30"/>
        <v>0.15000000000000002</v>
      </c>
      <c r="T58" s="131">
        <f t="shared" si="31"/>
        <v>0.1</v>
      </c>
    </row>
    <row r="59" spans="2:20" x14ac:dyDescent="0.2">
      <c r="Q59" s="136"/>
      <c r="S59" s="453">
        <f t="shared" si="30"/>
        <v>0.2</v>
      </c>
      <c r="T59" s="131">
        <f t="shared" si="31"/>
        <v>0.1</v>
      </c>
    </row>
    <row r="60" spans="2:20" x14ac:dyDescent="0.2">
      <c r="Q60" s="136"/>
      <c r="S60" s="453">
        <f t="shared" si="30"/>
        <v>0.25</v>
      </c>
      <c r="T60" s="131">
        <f t="shared" si="31"/>
        <v>0.1</v>
      </c>
    </row>
    <row r="61" spans="2:20" x14ac:dyDescent="0.2">
      <c r="Q61" s="136"/>
      <c r="S61" s="453">
        <f t="shared" si="30"/>
        <v>0.30000000000000004</v>
      </c>
      <c r="T61" s="131">
        <f t="shared" si="31"/>
        <v>0.1</v>
      </c>
    </row>
    <row r="62" spans="2:20" x14ac:dyDescent="0.2">
      <c r="Q62" s="136"/>
      <c r="S62" s="453">
        <f t="shared" si="30"/>
        <v>0.35000000000000003</v>
      </c>
      <c r="T62" s="131">
        <f t="shared" si="31"/>
        <v>0.1</v>
      </c>
    </row>
    <row r="63" spans="2:20" x14ac:dyDescent="0.2">
      <c r="Q63" s="136"/>
      <c r="S63" s="453">
        <f t="shared" si="30"/>
        <v>0.4</v>
      </c>
      <c r="T63" s="131">
        <f t="shared" si="31"/>
        <v>0.1</v>
      </c>
    </row>
    <row r="64" spans="2:20" x14ac:dyDescent="0.2">
      <c r="Q64" s="136"/>
      <c r="S64" s="453">
        <f t="shared" si="30"/>
        <v>0.45</v>
      </c>
      <c r="T64" s="131">
        <f t="shared" si="31"/>
        <v>0.1</v>
      </c>
    </row>
    <row r="65" spans="17:20" x14ac:dyDescent="0.2">
      <c r="Q65" s="136"/>
      <c r="S65" s="453">
        <f t="shared" si="30"/>
        <v>0.5</v>
      </c>
      <c r="T65" s="131">
        <f t="shared" si="31"/>
        <v>0.1</v>
      </c>
    </row>
    <row r="66" spans="17:20" x14ac:dyDescent="0.2">
      <c r="Q66" s="136"/>
      <c r="S66" s="453">
        <f t="shared" si="30"/>
        <v>0.55000000000000004</v>
      </c>
      <c r="T66" s="131">
        <f t="shared" si="31"/>
        <v>0.1</v>
      </c>
    </row>
    <row r="67" spans="17:20" x14ac:dyDescent="0.2">
      <c r="Q67" s="136"/>
      <c r="S67" s="453">
        <f t="shared" si="30"/>
        <v>0.60000000000000009</v>
      </c>
      <c r="T67" s="131">
        <f t="shared" si="31"/>
        <v>0.1</v>
      </c>
    </row>
    <row r="68" spans="17:20" x14ac:dyDescent="0.2">
      <c r="Q68" s="136"/>
      <c r="S68" s="453">
        <f t="shared" si="30"/>
        <v>0.65</v>
      </c>
      <c r="T68" s="131">
        <f t="shared" si="31"/>
        <v>0.1</v>
      </c>
    </row>
    <row r="69" spans="17:20" x14ac:dyDescent="0.2">
      <c r="Q69" s="136"/>
      <c r="S69" s="453">
        <f t="shared" si="30"/>
        <v>0.70000000000000007</v>
      </c>
      <c r="T69" s="131">
        <f t="shared" si="31"/>
        <v>0.1</v>
      </c>
    </row>
    <row r="70" spans="17:20" x14ac:dyDescent="0.2">
      <c r="Q70" s="136"/>
      <c r="S70" s="453">
        <f t="shared" si="30"/>
        <v>0.75</v>
      </c>
      <c r="T70" s="131">
        <f t="shared" si="31"/>
        <v>0.1</v>
      </c>
    </row>
    <row r="71" spans="17:20" x14ac:dyDescent="0.2">
      <c r="Q71" s="136"/>
      <c r="S71" s="453">
        <f t="shared" si="30"/>
        <v>0.8</v>
      </c>
      <c r="T71" s="131">
        <f t="shared" si="31"/>
        <v>0.1</v>
      </c>
    </row>
    <row r="72" spans="17:20" x14ac:dyDescent="0.2">
      <c r="Q72" s="136"/>
      <c r="S72" s="453">
        <f t="shared" si="30"/>
        <v>0.85000000000000009</v>
      </c>
      <c r="T72" s="131">
        <f t="shared" si="31"/>
        <v>0.1</v>
      </c>
    </row>
    <row r="73" spans="17:20" x14ac:dyDescent="0.2">
      <c r="Q73" s="136"/>
      <c r="S73" s="453">
        <f t="shared" si="30"/>
        <v>0.9</v>
      </c>
      <c r="T73" s="131">
        <f t="shared" si="31"/>
        <v>0.1</v>
      </c>
    </row>
    <row r="74" spans="17:20" x14ac:dyDescent="0.2">
      <c r="Q74" s="136"/>
      <c r="S74" s="453">
        <f t="shared" si="30"/>
        <v>0.95000000000000007</v>
      </c>
      <c r="T74" s="131">
        <f t="shared" si="31"/>
        <v>0.1</v>
      </c>
    </row>
    <row r="75" spans="17:20" x14ac:dyDescent="0.2">
      <c r="Q75" s="136"/>
      <c r="S75" s="453">
        <f t="shared" si="30"/>
        <v>1</v>
      </c>
      <c r="T75" s="131">
        <f t="shared" si="31"/>
        <v>0.1</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67BCB6D-D4C8-42C9-BD14-CBD987DDAAD6}"/>
</file>

<file path=customXml/itemProps2.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3.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4.xml><?xml version="1.0" encoding="utf-8"?>
<ds:datastoreItem xmlns:ds="http://schemas.openxmlformats.org/officeDocument/2006/customXml" ds:itemID="{1E468B26-4EFF-4B1B-B107-56751D59747A}"/>
</file>

<file path=customXml/itemProps5.xml><?xml version="1.0" encoding="utf-8"?>
<ds:datastoreItem xmlns:ds="http://schemas.openxmlformats.org/officeDocument/2006/customXml" ds:itemID="{7277DDE1-4099-44F8-94C5-2F8F00DA42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Benzene RTM v1.01</dc:title>
  <dc:subject>Environment Agency R&amp;D Publication 20</dc:subject>
  <dc:creator/>
  <cp:lastModifiedBy>Andrew Morris</cp:lastModifiedBy>
  <cp:lastPrinted>2015-02-18T12:21:18Z</cp:lastPrinted>
  <dcterms:created xsi:type="dcterms:W3CDTF">1999-07-27T09:09:19Z</dcterms:created>
  <dcterms:modified xsi:type="dcterms:W3CDTF">2020-06-11T15:07:57Z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REGU-204-1610026</vt:lpwstr>
  </property>
  <property fmtid="{D5CDD505-2E9C-101B-9397-08002B2CF9AE}" pid="5" name="_dlc_DocIdItemGuid">
    <vt:lpwstr>93cdfac4-0228-4bf6-94e9-83a0fd29e03b</vt:lpwstr>
  </property>
  <property fmtid="{D5CDD505-2E9C-101B-9397-08002B2CF9AE}" pid="6" name="_dlc_DocIdUrl">
    <vt:lpwstr>https://cyfoethnaturiolcymru.sharepoint.com/teams/Regulatory/Permitting/_layouts/15/DocIdRedir.aspx?ID=REGU-204-1610026, REGU-204-1610026</vt:lpwstr>
  </property>
</Properties>
</file>