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trlProps/ctrlProp5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6.xml" ContentType="application/vnd.ms-excel.contro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ew\Documents\My Documents\Parrys Quarry\Inert Landfill Permit\Appendix HRA 6 Tortuosity\"/>
    </mc:Choice>
  </mc:AlternateContent>
  <xr:revisionPtr revIDLastSave="0" documentId="13_ncr:1_{A5DB037D-6C9D-42AA-A1D2-012C3F587CC5}" xr6:coauthVersionLast="45" xr6:coauthVersionMax="45" xr10:uidLastSave="{00000000-0000-0000-0000-000000000000}"/>
  <bookViews>
    <workbookView xWindow="-120" yWindow="-120" windowWidth="29040" windowHeight="15840" tabRatio="862" xr2:uid="{00000000-000D-0000-FFFF-FFFF00000000}"/>
  </bookViews>
  <sheets>
    <sheet name="Kd" sheetId="19" r:id="rId1"/>
    <sheet name="De (NEN 7375) " sheetId="16" state="hidden" r:id="rId2"/>
    <sheet name="De" sheetId="15" r:id="rId3"/>
    <sheet name="Diffusive Flux" sheetId="12" state="hidden" r:id="rId4"/>
    <sheet name="E16" sheetId="20" r:id="rId5"/>
    <sheet name="E36calc" sheetId="14" state="hidden" r:id="rId6"/>
    <sheet name="E64 unconditional" sheetId="17" state="hidden" r:id="rId7"/>
    <sheet name="Leaching Mechanism" sheetId="11" r:id="rId8"/>
    <sheet name="Uxy" sheetId="13" r:id="rId9"/>
    <sheet name="SDrc" sheetId="10" r:id="rId10"/>
    <sheet name="rc" sheetId="9" r:id="rId11"/>
    <sheet name="Increment Analysis Derived" sheetId="8" r:id="rId12"/>
    <sheet name="Increment Analysis Measured" sheetId="7" r:id="rId13"/>
    <sheet name="LOD" sheetId="6" r:id="rId14"/>
    <sheet name="Graphical Interpretation" sheetId="18" r:id="rId15"/>
    <sheet name="Derived Cummulative" sheetId="5" r:id="rId16"/>
    <sheet name="Measured Cummulative" sheetId="4" r:id="rId17"/>
    <sheet name="Normalisation" sheetId="3" r:id="rId18"/>
    <sheet name="Analytical Data" sheetId="2" r:id="rId19"/>
    <sheet name="Cover" sheetId="1" r:id="rId20"/>
    <sheet name="Raw Data" sheetId="21" state="hidden" r:id="rId21"/>
    <sheet name="Source Term" sheetId="22" state="hidden" r:id="rId22"/>
  </sheets>
  <definedNames>
    <definedName name="_xlnm.Print_Area" localSheetId="18">'Analytical Data'!$A$1:$M$45</definedName>
    <definedName name="_xlnm.Print_Area" localSheetId="19">Cover!$A$1:$I$69</definedName>
    <definedName name="_xlnm.Print_Area" localSheetId="15">'Derived Cummulative'!$A$1:$L$44</definedName>
    <definedName name="_xlnm.Print_Area" localSheetId="4">'E16'!$A$1:$L$48</definedName>
    <definedName name="_xlnm.Print_Area" localSheetId="5">E36calc!$A$1:$DE$60</definedName>
    <definedName name="_xlnm.Print_Area" localSheetId="11">'Increment Analysis Derived'!$A$1:$L$45</definedName>
    <definedName name="_xlnm.Print_Area" localSheetId="12">'Increment Analysis Measured'!$A$1:$L$45</definedName>
    <definedName name="_xlnm.Print_Area" localSheetId="7">'Leaching Mechanism'!$A$1:$L$29</definedName>
    <definedName name="_xlnm.Print_Area" localSheetId="13">LOD!$A$1:$J$44</definedName>
    <definedName name="_xlnm.Print_Area" localSheetId="16">'Measured Cummulative'!$A$1:$L$45</definedName>
    <definedName name="_xlnm.Print_Area" localSheetId="17">Normalisation!$A$1:$L$45</definedName>
    <definedName name="_xlnm.Print_Area" localSheetId="10">'rc'!$A$1:$L$44</definedName>
    <definedName name="_xlnm.Print_Area" localSheetId="9">SDrc!$A$1:$L$44</definedName>
    <definedName name="_xlnm.Print_Area" localSheetId="8">Uxy!$A$1:$K$46</definedName>
    <definedName name="SA">Cover!$I$11</definedName>
    <definedName name="VOL">Cover!$F$11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2" i="22" l="1"/>
  <c r="AH22" i="22" s="1"/>
  <c r="F23" i="22"/>
  <c r="O23" i="22" s="1"/>
  <c r="F22" i="22"/>
  <c r="AI22" i="22" l="1"/>
  <c r="AF75" i="22"/>
  <c r="AF76" i="22"/>
  <c r="AF77" i="22"/>
  <c r="AF78" i="22"/>
  <c r="AF79" i="22"/>
  <c r="AF80" i="22"/>
  <c r="AF81" i="22"/>
  <c r="AF82" i="22"/>
  <c r="AF83" i="22"/>
  <c r="AF84" i="22"/>
  <c r="AF85" i="22"/>
  <c r="AF86" i="22"/>
  <c r="AF87" i="22"/>
  <c r="AF88" i="22"/>
  <c r="AF89" i="22"/>
  <c r="AF90" i="22"/>
  <c r="AF91" i="22"/>
  <c r="AF92" i="22"/>
  <c r="AF93" i="22"/>
  <c r="AF94" i="22"/>
  <c r="AF95" i="22"/>
  <c r="AF96" i="22"/>
  <c r="AF97" i="22"/>
  <c r="AF98" i="22"/>
  <c r="AF99" i="22"/>
  <c r="AF100" i="22"/>
  <c r="AF101" i="22"/>
  <c r="AF102" i="22"/>
  <c r="AF103" i="22"/>
  <c r="AF104" i="22"/>
  <c r="AF105" i="22"/>
  <c r="AF106" i="22"/>
  <c r="AF107" i="22"/>
  <c r="AF108" i="22"/>
  <c r="AF109" i="22"/>
  <c r="AF110" i="22"/>
  <c r="AF111" i="22"/>
  <c r="AF112" i="22"/>
  <c r="AF113" i="22"/>
  <c r="AF114" i="22"/>
  <c r="AF115" i="22"/>
  <c r="AF116" i="22"/>
  <c r="AF117" i="22"/>
  <c r="AF118" i="22"/>
  <c r="AF119" i="22"/>
  <c r="AF120" i="22"/>
  <c r="AF121" i="22"/>
  <c r="AF122" i="22"/>
  <c r="AF123" i="22"/>
  <c r="AF124" i="22"/>
  <c r="AF125" i="22"/>
  <c r="AF126" i="22"/>
  <c r="AF127" i="22"/>
  <c r="AF128" i="22"/>
  <c r="AF129" i="22"/>
  <c r="AF130" i="22"/>
  <c r="AF131" i="22"/>
  <c r="Q24" i="22"/>
  <c r="Q25" i="22"/>
  <c r="R25" i="22"/>
  <c r="S25" i="22"/>
  <c r="T25" i="22"/>
  <c r="U25" i="22"/>
  <c r="V25" i="22"/>
  <c r="Q26" i="22"/>
  <c r="R26" i="22"/>
  <c r="S26" i="22"/>
  <c r="T26" i="22"/>
  <c r="U26" i="22"/>
  <c r="V26" i="22"/>
  <c r="Q27" i="22"/>
  <c r="R27" i="22"/>
  <c r="S27" i="22"/>
  <c r="T27" i="22"/>
  <c r="U27" i="22"/>
  <c r="V27" i="22"/>
  <c r="Q28" i="22"/>
  <c r="R28" i="22"/>
  <c r="S28" i="22"/>
  <c r="T28" i="22"/>
  <c r="U28" i="22"/>
  <c r="V28" i="22"/>
  <c r="Q29" i="22"/>
  <c r="R29" i="22"/>
  <c r="S29" i="22"/>
  <c r="T29" i="22"/>
  <c r="U29" i="22"/>
  <c r="V29" i="22"/>
  <c r="Q30" i="22"/>
  <c r="R30" i="22"/>
  <c r="S30" i="22"/>
  <c r="T30" i="22"/>
  <c r="U30" i="22"/>
  <c r="V30" i="22"/>
  <c r="Q31" i="22"/>
  <c r="R31" i="22"/>
  <c r="S31" i="22"/>
  <c r="T31" i="22"/>
  <c r="U31" i="22"/>
  <c r="V31" i="22"/>
  <c r="Q32" i="22"/>
  <c r="R32" i="22"/>
  <c r="S32" i="22"/>
  <c r="T32" i="22"/>
  <c r="U32" i="22"/>
  <c r="V32" i="22"/>
  <c r="Q33" i="22"/>
  <c r="R33" i="22"/>
  <c r="S33" i="22"/>
  <c r="T33" i="22"/>
  <c r="U33" i="22"/>
  <c r="V33" i="22"/>
  <c r="Q34" i="22"/>
  <c r="R34" i="22"/>
  <c r="S34" i="22"/>
  <c r="T34" i="22"/>
  <c r="U34" i="22"/>
  <c r="V34" i="22"/>
  <c r="Q35" i="22"/>
  <c r="R35" i="22"/>
  <c r="S35" i="22"/>
  <c r="T35" i="22"/>
  <c r="U35" i="22"/>
  <c r="V35" i="22"/>
  <c r="Q36" i="22"/>
  <c r="R36" i="22"/>
  <c r="S36" i="22"/>
  <c r="T36" i="22"/>
  <c r="U36" i="22"/>
  <c r="V36" i="22"/>
  <c r="Q37" i="22"/>
  <c r="R37" i="22"/>
  <c r="S37" i="22"/>
  <c r="T37" i="22"/>
  <c r="U37" i="22"/>
  <c r="V37" i="22"/>
  <c r="Q38" i="22"/>
  <c r="R38" i="22"/>
  <c r="S38" i="22"/>
  <c r="T38" i="22"/>
  <c r="U38" i="22"/>
  <c r="V38" i="22"/>
  <c r="Q39" i="22"/>
  <c r="R39" i="22"/>
  <c r="S39" i="22"/>
  <c r="T39" i="22"/>
  <c r="U39" i="22"/>
  <c r="V39" i="22"/>
  <c r="Q40" i="22"/>
  <c r="R40" i="22"/>
  <c r="S40" i="22"/>
  <c r="T40" i="22"/>
  <c r="U40" i="22"/>
  <c r="V40" i="22"/>
  <c r="Q41" i="22"/>
  <c r="R41" i="22"/>
  <c r="S41" i="22"/>
  <c r="T41" i="22"/>
  <c r="U41" i="22"/>
  <c r="V41" i="22"/>
  <c r="Q42" i="22"/>
  <c r="R42" i="22"/>
  <c r="S42" i="22"/>
  <c r="T42" i="22"/>
  <c r="U42" i="22"/>
  <c r="V42" i="22"/>
  <c r="Q43" i="22"/>
  <c r="R43" i="22"/>
  <c r="S43" i="22"/>
  <c r="T43" i="22"/>
  <c r="U43" i="22"/>
  <c r="V43" i="22"/>
  <c r="Q44" i="22"/>
  <c r="R44" i="22"/>
  <c r="S44" i="22"/>
  <c r="T44" i="22"/>
  <c r="U44" i="22"/>
  <c r="V44" i="22"/>
  <c r="Q45" i="22"/>
  <c r="R45" i="22"/>
  <c r="S45" i="22"/>
  <c r="T45" i="22"/>
  <c r="U45" i="22"/>
  <c r="V45" i="22"/>
  <c r="Q46" i="22"/>
  <c r="R46" i="22"/>
  <c r="S46" i="22"/>
  <c r="T46" i="22"/>
  <c r="U46" i="22"/>
  <c r="V46" i="22"/>
  <c r="Q47" i="22"/>
  <c r="R47" i="22"/>
  <c r="S47" i="22"/>
  <c r="T47" i="22"/>
  <c r="U47" i="22"/>
  <c r="V47" i="22"/>
  <c r="Q48" i="22"/>
  <c r="R48" i="22"/>
  <c r="S48" i="22"/>
  <c r="T48" i="22"/>
  <c r="U48" i="22"/>
  <c r="V48" i="22"/>
  <c r="Q49" i="22"/>
  <c r="R49" i="22"/>
  <c r="S49" i="22"/>
  <c r="T49" i="22"/>
  <c r="U49" i="22"/>
  <c r="V49" i="22"/>
  <c r="Q50" i="22"/>
  <c r="R50" i="22"/>
  <c r="S50" i="22"/>
  <c r="T50" i="22"/>
  <c r="U50" i="22"/>
  <c r="V50" i="22"/>
  <c r="Q51" i="22"/>
  <c r="R51" i="22"/>
  <c r="S51" i="22"/>
  <c r="T51" i="22"/>
  <c r="U51" i="22"/>
  <c r="V51" i="22"/>
  <c r="Q52" i="22"/>
  <c r="R52" i="22"/>
  <c r="S52" i="22"/>
  <c r="T52" i="22"/>
  <c r="U52" i="22"/>
  <c r="V52" i="22"/>
  <c r="Q53" i="22"/>
  <c r="R53" i="22"/>
  <c r="S53" i="22"/>
  <c r="T53" i="22"/>
  <c r="U53" i="22"/>
  <c r="V53" i="22"/>
  <c r="Q54" i="22"/>
  <c r="R54" i="22"/>
  <c r="S54" i="22"/>
  <c r="T54" i="22"/>
  <c r="U54" i="22"/>
  <c r="V54" i="22"/>
  <c r="Q55" i="22"/>
  <c r="R55" i="22"/>
  <c r="S55" i="22"/>
  <c r="T55" i="22"/>
  <c r="U55" i="22"/>
  <c r="V55" i="22"/>
  <c r="Q56" i="22"/>
  <c r="R56" i="22"/>
  <c r="S56" i="22"/>
  <c r="T56" i="22"/>
  <c r="U56" i="22"/>
  <c r="V56" i="22"/>
  <c r="Q57" i="22"/>
  <c r="R57" i="22"/>
  <c r="S57" i="22"/>
  <c r="T57" i="22"/>
  <c r="U57" i="22"/>
  <c r="V57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37" i="22"/>
  <c r="P38" i="22"/>
  <c r="P39" i="22"/>
  <c r="P40" i="22"/>
  <c r="P41" i="22"/>
  <c r="P42" i="22"/>
  <c r="P43" i="22"/>
  <c r="P44" i="22"/>
  <c r="P45" i="22"/>
  <c r="P46" i="22"/>
  <c r="P47" i="22"/>
  <c r="P48" i="22"/>
  <c r="P49" i="22"/>
  <c r="P50" i="22"/>
  <c r="P51" i="22"/>
  <c r="P52" i="22"/>
  <c r="P53" i="22"/>
  <c r="P54" i="22"/>
  <c r="P55" i="22"/>
  <c r="P56" i="22"/>
  <c r="P57" i="22"/>
  <c r="AF22" i="22"/>
  <c r="AJ75" i="22"/>
  <c r="AJ76" i="22"/>
  <c r="AJ77" i="22"/>
  <c r="AJ78" i="22"/>
  <c r="AJ79" i="22"/>
  <c r="AJ80" i="22"/>
  <c r="AJ81" i="22"/>
  <c r="AJ82" i="22"/>
  <c r="AJ83" i="22"/>
  <c r="AJ84" i="22"/>
  <c r="AJ85" i="22"/>
  <c r="AJ86" i="22"/>
  <c r="AJ87" i="22"/>
  <c r="AJ88" i="22"/>
  <c r="AJ89" i="22"/>
  <c r="AJ90" i="22"/>
  <c r="AJ91" i="22"/>
  <c r="AJ92" i="22"/>
  <c r="AJ93" i="22"/>
  <c r="AJ94" i="22"/>
  <c r="AJ95" i="22"/>
  <c r="AJ96" i="22"/>
  <c r="AJ97" i="22"/>
  <c r="AJ98" i="22"/>
  <c r="AJ99" i="22"/>
  <c r="AJ100" i="22"/>
  <c r="AJ101" i="22"/>
  <c r="AJ102" i="22"/>
  <c r="AJ103" i="22"/>
  <c r="AJ104" i="22"/>
  <c r="AJ105" i="22"/>
  <c r="AJ106" i="22"/>
  <c r="AJ107" i="22"/>
  <c r="AJ108" i="22"/>
  <c r="AJ109" i="22"/>
  <c r="AJ110" i="22"/>
  <c r="AJ111" i="22"/>
  <c r="AJ112" i="22"/>
  <c r="AJ113" i="22"/>
  <c r="AJ114" i="22"/>
  <c r="AJ115" i="22"/>
  <c r="AJ116" i="22"/>
  <c r="AJ117" i="22"/>
  <c r="AJ118" i="22"/>
  <c r="AJ119" i="22"/>
  <c r="AJ120" i="22"/>
  <c r="AJ121" i="22"/>
  <c r="AJ122" i="22"/>
  <c r="AJ123" i="22"/>
  <c r="AJ124" i="22"/>
  <c r="AJ125" i="22"/>
  <c r="AJ126" i="22"/>
  <c r="AJ127" i="22"/>
  <c r="AJ128" i="22"/>
  <c r="AJ129" i="22"/>
  <c r="AJ130" i="22"/>
  <c r="AJ131" i="22"/>
  <c r="AF23" i="22"/>
  <c r="O24" i="22"/>
  <c r="AF24" i="22" s="1"/>
  <c r="O25" i="22"/>
  <c r="O26" i="22"/>
  <c r="O27" i="22"/>
  <c r="O28" i="22"/>
  <c r="O29" i="22"/>
  <c r="O30" i="22"/>
  <c r="O31" i="22"/>
  <c r="O32" i="22"/>
  <c r="O33" i="22"/>
  <c r="O34" i="22"/>
  <c r="O35" i="22"/>
  <c r="O36" i="22"/>
  <c r="AJ36" i="22" s="1"/>
  <c r="O37" i="22"/>
  <c r="O38" i="22"/>
  <c r="O39" i="22"/>
  <c r="O40" i="22"/>
  <c r="O41" i="22"/>
  <c r="O42" i="22"/>
  <c r="O43" i="22"/>
  <c r="O44" i="22"/>
  <c r="O45" i="22"/>
  <c r="O46" i="22"/>
  <c r="AF46" i="22" s="1"/>
  <c r="O47" i="22"/>
  <c r="O48" i="22"/>
  <c r="O49" i="22"/>
  <c r="O50" i="22"/>
  <c r="AF50" i="22" s="1"/>
  <c r="O51" i="22"/>
  <c r="O52" i="22"/>
  <c r="O53" i="22"/>
  <c r="O54" i="22"/>
  <c r="AF54" i="22" s="1"/>
  <c r="O55" i="22"/>
  <c r="O56" i="22"/>
  <c r="O57" i="22"/>
  <c r="O58" i="22"/>
  <c r="AF58" i="22" s="1"/>
  <c r="O59" i="22"/>
  <c r="AF59" i="22" s="1"/>
  <c r="O60" i="22"/>
  <c r="AJ60" i="22" s="1"/>
  <c r="O61" i="22"/>
  <c r="AJ61" i="22" s="1"/>
  <c r="O62" i="22"/>
  <c r="AF62" i="22" s="1"/>
  <c r="O63" i="22"/>
  <c r="AF63" i="22" s="1"/>
  <c r="O64" i="22"/>
  <c r="AJ64" i="22" s="1"/>
  <c r="O65" i="22"/>
  <c r="AF65" i="22" s="1"/>
  <c r="O66" i="22"/>
  <c r="AF66" i="22" s="1"/>
  <c r="O67" i="22"/>
  <c r="AF67" i="22" s="1"/>
  <c r="O68" i="22"/>
  <c r="AJ68" i="22" s="1"/>
  <c r="O69" i="22"/>
  <c r="AJ69" i="22" s="1"/>
  <c r="O70" i="22"/>
  <c r="AF70" i="22" s="1"/>
  <c r="O71" i="22"/>
  <c r="AF71" i="22" s="1"/>
  <c r="O72" i="22"/>
  <c r="AJ72" i="22" s="1"/>
  <c r="O73" i="22"/>
  <c r="AJ73" i="22" s="1"/>
  <c r="O74" i="22"/>
  <c r="AF74" i="22" s="1"/>
  <c r="AJ34" i="22" l="1"/>
  <c r="AF57" i="22"/>
  <c r="AJ53" i="22"/>
  <c r="AF49" i="22"/>
  <c r="AF45" i="22"/>
  <c r="AF41" i="22"/>
  <c r="AF37" i="22"/>
  <c r="AF33" i="22"/>
  <c r="AF29" i="22"/>
  <c r="AJ74" i="22"/>
  <c r="AJ58" i="22"/>
  <c r="AF56" i="22"/>
  <c r="AJ52" i="22"/>
  <c r="AF48" i="22"/>
  <c r="AJ70" i="22"/>
  <c r="AJ56" i="22"/>
  <c r="AJ62" i="22"/>
  <c r="AF55" i="22"/>
  <c r="AF51" i="22"/>
  <c r="AF47" i="22"/>
  <c r="AF27" i="22"/>
  <c r="AJ66" i="22"/>
  <c r="AJ37" i="22"/>
  <c r="AJ44" i="22"/>
  <c r="AF36" i="22"/>
  <c r="AJ65" i="22"/>
  <c r="AF42" i="22"/>
  <c r="AF38" i="22"/>
  <c r="AF34" i="22"/>
  <c r="AF30" i="22"/>
  <c r="AF26" i="22"/>
  <c r="AJ71" i="22"/>
  <c r="AJ67" i="22"/>
  <c r="AJ63" i="22"/>
  <c r="AJ59" i="22"/>
  <c r="AJ48" i="22"/>
  <c r="AJ45" i="22"/>
  <c r="AJ57" i="22"/>
  <c r="AJ55" i="22"/>
  <c r="AJ51" i="22"/>
  <c r="AJ49" i="22"/>
  <c r="AJ47" i="22"/>
  <c r="AF73" i="22"/>
  <c r="AF69" i="22"/>
  <c r="AF61" i="22"/>
  <c r="AF53" i="22"/>
  <c r="AF72" i="22"/>
  <c r="AF68" i="22"/>
  <c r="AF64" i="22"/>
  <c r="AF60" i="22"/>
  <c r="AF52" i="22"/>
  <c r="AF25" i="22"/>
  <c r="AF40" i="22"/>
  <c r="AJ32" i="22"/>
  <c r="AJ28" i="22"/>
  <c r="AF43" i="22"/>
  <c r="AF39" i="22"/>
  <c r="AF35" i="22"/>
  <c r="AF31" i="22"/>
  <c r="AJ50" i="22"/>
  <c r="AJ23" i="22"/>
  <c r="AG22" i="22"/>
  <c r="AJ40" i="22"/>
  <c r="AJ42" i="22"/>
  <c r="AF44" i="22"/>
  <c r="AF32" i="22"/>
  <c r="AF28" i="22"/>
  <c r="AJ29" i="22"/>
  <c r="AJ26" i="22"/>
  <c r="AJ43" i="22"/>
  <c r="AJ41" i="22"/>
  <c r="AJ39" i="22"/>
  <c r="AJ35" i="22"/>
  <c r="AJ33" i="22"/>
  <c r="AJ31" i="22"/>
  <c r="AJ27" i="22"/>
  <c r="AJ24" i="22"/>
  <c r="AJ25" i="22"/>
  <c r="AJ54" i="22"/>
  <c r="AJ38" i="22"/>
  <c r="AJ46" i="22"/>
  <c r="AJ30" i="22"/>
  <c r="AJ22" i="22"/>
  <c r="M2" i="2"/>
  <c r="G2" i="2"/>
  <c r="H2" i="2"/>
  <c r="I2" i="2"/>
  <c r="J2" i="2"/>
  <c r="K2" i="2"/>
  <c r="L2" i="2"/>
  <c r="F2" i="2"/>
  <c r="A8" i="2"/>
  <c r="B8" i="2"/>
  <c r="C8" i="2"/>
  <c r="D8" i="2"/>
  <c r="I8" i="2" s="1"/>
  <c r="A9" i="2"/>
  <c r="B9" i="2"/>
  <c r="C9" i="2"/>
  <c r="D9" i="2"/>
  <c r="A10" i="2"/>
  <c r="B10" i="2"/>
  <c r="C10" i="2"/>
  <c r="D10" i="2"/>
  <c r="E10" i="2" s="1"/>
  <c r="A11" i="2"/>
  <c r="B11" i="2"/>
  <c r="C11" i="2"/>
  <c r="D11" i="2"/>
  <c r="H11" i="2" s="1"/>
  <c r="A12" i="2"/>
  <c r="B12" i="2"/>
  <c r="C12" i="2"/>
  <c r="D12" i="2"/>
  <c r="G12" i="2" s="1"/>
  <c r="A13" i="2"/>
  <c r="B13" i="2"/>
  <c r="C13" i="2"/>
  <c r="D13" i="2"/>
  <c r="F13" i="2" s="1"/>
  <c r="A14" i="2"/>
  <c r="B14" i="2"/>
  <c r="C14" i="2"/>
  <c r="D14" i="2"/>
  <c r="E14" i="2" s="1"/>
  <c r="A15" i="2"/>
  <c r="B15" i="2"/>
  <c r="C15" i="2"/>
  <c r="D15" i="2"/>
  <c r="H15" i="2" s="1"/>
  <c r="A16" i="2"/>
  <c r="B16" i="2"/>
  <c r="C16" i="2"/>
  <c r="D16" i="2"/>
  <c r="G16" i="2" s="1"/>
  <c r="A17" i="2"/>
  <c r="B17" i="2"/>
  <c r="C17" i="2"/>
  <c r="D17" i="2"/>
  <c r="F17" i="2" s="1"/>
  <c r="A18" i="2"/>
  <c r="B18" i="2"/>
  <c r="C18" i="2"/>
  <c r="D18" i="2"/>
  <c r="E18" i="2" s="1"/>
  <c r="A19" i="2"/>
  <c r="B19" i="2"/>
  <c r="C19" i="2"/>
  <c r="D19" i="2"/>
  <c r="H19" i="2" s="1"/>
  <c r="A20" i="2"/>
  <c r="B20" i="2"/>
  <c r="C20" i="2"/>
  <c r="D20" i="2"/>
  <c r="G20" i="2" s="1"/>
  <c r="A21" i="2"/>
  <c r="B21" i="2"/>
  <c r="C21" i="2"/>
  <c r="D21" i="2"/>
  <c r="F21" i="2" s="1"/>
  <c r="A22" i="2"/>
  <c r="B22" i="2"/>
  <c r="C22" i="2"/>
  <c r="D22" i="2"/>
  <c r="E22" i="2" s="1"/>
  <c r="A23" i="2"/>
  <c r="B23" i="2"/>
  <c r="C23" i="2"/>
  <c r="D23" i="2"/>
  <c r="H23" i="2" s="1"/>
  <c r="A24" i="2"/>
  <c r="B24" i="2"/>
  <c r="C24" i="2"/>
  <c r="D24" i="2"/>
  <c r="G24" i="2" s="1"/>
  <c r="A25" i="2"/>
  <c r="B25" i="2"/>
  <c r="C25" i="2"/>
  <c r="D25" i="2"/>
  <c r="F25" i="2" s="1"/>
  <c r="A26" i="2"/>
  <c r="B26" i="2"/>
  <c r="C26" i="2"/>
  <c r="D26" i="2"/>
  <c r="E26" i="2" s="1"/>
  <c r="A27" i="2"/>
  <c r="B27" i="2"/>
  <c r="C27" i="2"/>
  <c r="D27" i="2"/>
  <c r="H27" i="2" s="1"/>
  <c r="A28" i="2"/>
  <c r="B28" i="2"/>
  <c r="C28" i="2"/>
  <c r="D28" i="2"/>
  <c r="G28" i="2" s="1"/>
  <c r="A29" i="2"/>
  <c r="B29" i="2"/>
  <c r="C29" i="2"/>
  <c r="D29" i="2"/>
  <c r="F29" i="2" s="1"/>
  <c r="A30" i="2"/>
  <c r="B30" i="2"/>
  <c r="C30" i="2"/>
  <c r="D30" i="2"/>
  <c r="E30" i="2" s="1"/>
  <c r="A31" i="2"/>
  <c r="B31" i="2"/>
  <c r="C31" i="2"/>
  <c r="D31" i="2"/>
  <c r="G31" i="2" s="1"/>
  <c r="A32" i="2"/>
  <c r="B32" i="2"/>
  <c r="C32" i="2"/>
  <c r="D32" i="2"/>
  <c r="F32" i="2" s="1"/>
  <c r="A33" i="2"/>
  <c r="B33" i="2"/>
  <c r="C33" i="2"/>
  <c r="D33" i="2"/>
  <c r="E33" i="2" s="1"/>
  <c r="A34" i="2"/>
  <c r="B34" i="2"/>
  <c r="C34" i="2"/>
  <c r="D34" i="2"/>
  <c r="H34" i="2" s="1"/>
  <c r="A35" i="2"/>
  <c r="B35" i="2"/>
  <c r="C35" i="2"/>
  <c r="D35" i="2"/>
  <c r="G35" i="2" s="1"/>
  <c r="A36" i="2"/>
  <c r="B36" i="2"/>
  <c r="C36" i="2"/>
  <c r="D36" i="2"/>
  <c r="F36" i="2" s="1"/>
  <c r="A37" i="2"/>
  <c r="B37" i="2"/>
  <c r="C37" i="2"/>
  <c r="D37" i="2"/>
  <c r="E37" i="2" s="1"/>
  <c r="A38" i="2"/>
  <c r="B38" i="2"/>
  <c r="C38" i="2"/>
  <c r="D38" i="2"/>
  <c r="H38" i="2" s="1"/>
  <c r="A39" i="2"/>
  <c r="B39" i="2"/>
  <c r="C39" i="2"/>
  <c r="D39" i="2"/>
  <c r="G39" i="2" s="1"/>
  <c r="A40" i="2"/>
  <c r="B40" i="2"/>
  <c r="C40" i="2"/>
  <c r="D40" i="2"/>
  <c r="F40" i="2" s="1"/>
  <c r="A41" i="2"/>
  <c r="B41" i="2"/>
  <c r="C41" i="2"/>
  <c r="D41" i="2"/>
  <c r="E41" i="2" s="1"/>
  <c r="A42" i="2"/>
  <c r="B42" i="2"/>
  <c r="C42" i="2"/>
  <c r="D42" i="2"/>
  <c r="H42" i="2" s="1"/>
  <c r="A43" i="2"/>
  <c r="B43" i="2"/>
  <c r="C43" i="2"/>
  <c r="D43" i="2"/>
  <c r="G43" i="2" s="1"/>
  <c r="A44" i="2"/>
  <c r="B44" i="2"/>
  <c r="C44" i="2"/>
  <c r="D44" i="2"/>
  <c r="F44" i="2" s="1"/>
  <c r="A45" i="2"/>
  <c r="B45" i="2"/>
  <c r="C45" i="2"/>
  <c r="D45" i="2"/>
  <c r="E45" i="2" s="1"/>
  <c r="K45" i="2" l="1"/>
  <c r="M43" i="2"/>
  <c r="G41" i="2"/>
  <c r="I39" i="2"/>
  <c r="K37" i="2"/>
  <c r="M35" i="2"/>
  <c r="F34" i="2"/>
  <c r="G33" i="2"/>
  <c r="I31" i="2"/>
  <c r="I44" i="2"/>
  <c r="J43" i="2"/>
  <c r="L41" i="2"/>
  <c r="E40" i="2"/>
  <c r="H37" i="2"/>
  <c r="K34" i="2"/>
  <c r="E32" i="2"/>
  <c r="L44" i="2"/>
  <c r="E43" i="2"/>
  <c r="F42" i="2"/>
  <c r="H40" i="2"/>
  <c r="J38" i="2"/>
  <c r="L36" i="2"/>
  <c r="E35" i="2"/>
  <c r="H32" i="2"/>
  <c r="H45" i="2"/>
  <c r="K42" i="2"/>
  <c r="M40" i="2"/>
  <c r="F39" i="2"/>
  <c r="G38" i="2"/>
  <c r="I36" i="2"/>
  <c r="J35" i="2"/>
  <c r="L33" i="2"/>
  <c r="M32" i="2"/>
  <c r="F31" i="2"/>
  <c r="G45" i="2"/>
  <c r="H44" i="2"/>
  <c r="I43" i="2"/>
  <c r="J42" i="2"/>
  <c r="K41" i="2"/>
  <c r="L40" i="2"/>
  <c r="M39" i="2"/>
  <c r="E39" i="2"/>
  <c r="F38" i="2"/>
  <c r="G37" i="2"/>
  <c r="H36" i="2"/>
  <c r="I35" i="2"/>
  <c r="J34" i="2"/>
  <c r="K33" i="2"/>
  <c r="L32" i="2"/>
  <c r="M31" i="2"/>
  <c r="E31" i="2"/>
  <c r="L45" i="2"/>
  <c r="M44" i="2"/>
  <c r="E44" i="2"/>
  <c r="F43" i="2"/>
  <c r="G42" i="2"/>
  <c r="H41" i="2"/>
  <c r="I40" i="2"/>
  <c r="J39" i="2"/>
  <c r="K38" i="2"/>
  <c r="L37" i="2"/>
  <c r="M36" i="2"/>
  <c r="E36" i="2"/>
  <c r="F35" i="2"/>
  <c r="G34" i="2"/>
  <c r="H33" i="2"/>
  <c r="I32" i="2"/>
  <c r="J31" i="2"/>
  <c r="M25" i="2"/>
  <c r="L17" i="2"/>
  <c r="K10" i="2"/>
  <c r="F23" i="2"/>
  <c r="E16" i="2"/>
  <c r="H21" i="2"/>
  <c r="G14" i="2"/>
  <c r="I29" i="2"/>
  <c r="J19" i="2"/>
  <c r="I12" i="2"/>
  <c r="H30" i="2"/>
  <c r="L26" i="2"/>
  <c r="G23" i="2"/>
  <c r="I21" i="2"/>
  <c r="K19" i="2"/>
  <c r="M17" i="2"/>
  <c r="F16" i="2"/>
  <c r="H14" i="2"/>
  <c r="J12" i="2"/>
  <c r="L10" i="2"/>
  <c r="E9" i="2"/>
  <c r="J28" i="2"/>
  <c r="E25" i="2"/>
  <c r="H22" i="2"/>
  <c r="J20" i="2"/>
  <c r="L18" i="2"/>
  <c r="E17" i="2"/>
  <c r="G15" i="2"/>
  <c r="I13" i="2"/>
  <c r="K11" i="2"/>
  <c r="K27" i="2"/>
  <c r="F24" i="2"/>
  <c r="G22" i="2"/>
  <c r="I20" i="2"/>
  <c r="K18" i="2"/>
  <c r="M16" i="2"/>
  <c r="F15" i="2"/>
  <c r="H13" i="2"/>
  <c r="J11" i="2"/>
  <c r="G30" i="2"/>
  <c r="H29" i="2"/>
  <c r="I28" i="2"/>
  <c r="J27" i="2"/>
  <c r="K26" i="2"/>
  <c r="L25" i="2"/>
  <c r="M24" i="2"/>
  <c r="E24" i="2"/>
  <c r="L30" i="2"/>
  <c r="M29" i="2"/>
  <c r="E29" i="2"/>
  <c r="F28" i="2"/>
  <c r="G27" i="2"/>
  <c r="H26" i="2"/>
  <c r="I25" i="2"/>
  <c r="J24" i="2"/>
  <c r="K23" i="2"/>
  <c r="L22" i="2"/>
  <c r="M21" i="2"/>
  <c r="E21" i="2"/>
  <c r="F20" i="2"/>
  <c r="G19" i="2"/>
  <c r="H18" i="2"/>
  <c r="I17" i="2"/>
  <c r="J16" i="2"/>
  <c r="K15" i="2"/>
  <c r="L14" i="2"/>
  <c r="M13" i="2"/>
  <c r="E13" i="2"/>
  <c r="F12" i="2"/>
  <c r="G11" i="2"/>
  <c r="H10" i="2"/>
  <c r="K30" i="2"/>
  <c r="L29" i="2"/>
  <c r="M28" i="2"/>
  <c r="E28" i="2"/>
  <c r="F27" i="2"/>
  <c r="G26" i="2"/>
  <c r="H25" i="2"/>
  <c r="I24" i="2"/>
  <c r="J23" i="2"/>
  <c r="K22" i="2"/>
  <c r="L21" i="2"/>
  <c r="M20" i="2"/>
  <c r="E20" i="2"/>
  <c r="F19" i="2"/>
  <c r="G18" i="2"/>
  <c r="H17" i="2"/>
  <c r="I16" i="2"/>
  <c r="J15" i="2"/>
  <c r="K14" i="2"/>
  <c r="L13" i="2"/>
  <c r="M12" i="2"/>
  <c r="E12" i="2"/>
  <c r="F11" i="2"/>
  <c r="G10" i="2"/>
  <c r="F8" i="2"/>
  <c r="J30" i="2"/>
  <c r="F30" i="2"/>
  <c r="K29" i="2"/>
  <c r="G29" i="2"/>
  <c r="L28" i="2"/>
  <c r="H28" i="2"/>
  <c r="M27" i="2"/>
  <c r="I27" i="2"/>
  <c r="E27" i="2"/>
  <c r="J26" i="2"/>
  <c r="F26" i="2"/>
  <c r="K25" i="2"/>
  <c r="G25" i="2"/>
  <c r="L24" i="2"/>
  <c r="H24" i="2"/>
  <c r="M23" i="2"/>
  <c r="I23" i="2"/>
  <c r="E23" i="2"/>
  <c r="J22" i="2"/>
  <c r="F22" i="2"/>
  <c r="K21" i="2"/>
  <c r="G21" i="2"/>
  <c r="L20" i="2"/>
  <c r="H20" i="2"/>
  <c r="M19" i="2"/>
  <c r="I19" i="2"/>
  <c r="E19" i="2"/>
  <c r="J18" i="2"/>
  <c r="F18" i="2"/>
  <c r="K17" i="2"/>
  <c r="G17" i="2"/>
  <c r="L16" i="2"/>
  <c r="H16" i="2"/>
  <c r="M15" i="2"/>
  <c r="I15" i="2"/>
  <c r="E15" i="2"/>
  <c r="J14" i="2"/>
  <c r="F14" i="2"/>
  <c r="K13" i="2"/>
  <c r="G13" i="2"/>
  <c r="L12" i="2"/>
  <c r="H12" i="2"/>
  <c r="M11" i="2"/>
  <c r="I11" i="2"/>
  <c r="E11" i="2"/>
  <c r="J10" i="2"/>
  <c r="F10" i="2"/>
  <c r="K9" i="2"/>
  <c r="E8" i="2"/>
  <c r="M30" i="2"/>
  <c r="I30" i="2"/>
  <c r="J29" i="2"/>
  <c r="K28" i="2"/>
  <c r="L27" i="2"/>
  <c r="M26" i="2"/>
  <c r="I26" i="2"/>
  <c r="J25" i="2"/>
  <c r="K24" i="2"/>
  <c r="L23" i="2"/>
  <c r="M22" i="2"/>
  <c r="I22" i="2"/>
  <c r="J21" i="2"/>
  <c r="K20" i="2"/>
  <c r="L19" i="2"/>
  <c r="M18" i="2"/>
  <c r="I18" i="2"/>
  <c r="J17" i="2"/>
  <c r="K16" i="2"/>
  <c r="L15" i="2"/>
  <c r="M14" i="2"/>
  <c r="I14" i="2"/>
  <c r="J13" i="2"/>
  <c r="K12" i="2"/>
  <c r="L11" i="2"/>
  <c r="M10" i="2"/>
  <c r="I10" i="2"/>
  <c r="J45" i="2"/>
  <c r="F45" i="2"/>
  <c r="K44" i="2"/>
  <c r="G44" i="2"/>
  <c r="L43" i="2"/>
  <c r="H43" i="2"/>
  <c r="M42" i="2"/>
  <c r="I42" i="2"/>
  <c r="E42" i="2"/>
  <c r="J41" i="2"/>
  <c r="F41" i="2"/>
  <c r="K40" i="2"/>
  <c r="G40" i="2"/>
  <c r="L39" i="2"/>
  <c r="H39" i="2"/>
  <c r="M38" i="2"/>
  <c r="I38" i="2"/>
  <c r="E38" i="2"/>
  <c r="J37" i="2"/>
  <c r="F37" i="2"/>
  <c r="K36" i="2"/>
  <c r="G36" i="2"/>
  <c r="L35" i="2"/>
  <c r="H35" i="2"/>
  <c r="M34" i="2"/>
  <c r="I34" i="2"/>
  <c r="E34" i="2"/>
  <c r="J33" i="2"/>
  <c r="F33" i="2"/>
  <c r="K32" i="2"/>
  <c r="G32" i="2"/>
  <c r="L31" i="2"/>
  <c r="H31" i="2"/>
  <c r="M45" i="2"/>
  <c r="I45" i="2"/>
  <c r="J44" i="2"/>
  <c r="K43" i="2"/>
  <c r="L42" i="2"/>
  <c r="M41" i="2"/>
  <c r="I41" i="2"/>
  <c r="J40" i="2"/>
  <c r="K39" i="2"/>
  <c r="L38" i="2"/>
  <c r="M37" i="2"/>
  <c r="I37" i="2"/>
  <c r="J36" i="2"/>
  <c r="K35" i="2"/>
  <c r="L34" i="2"/>
  <c r="M33" i="2"/>
  <c r="I33" i="2"/>
  <c r="J32" i="2"/>
  <c r="K31" i="2"/>
  <c r="E6" i="6"/>
  <c r="F6" i="6"/>
  <c r="G6" i="6"/>
  <c r="H6" i="6"/>
  <c r="I6" i="6"/>
  <c r="J6" i="6"/>
  <c r="C46" i="1"/>
  <c r="C42" i="1"/>
  <c r="C38" i="1"/>
  <c r="C34" i="1"/>
  <c r="C30" i="1"/>
  <c r="C26" i="1"/>
  <c r="C22" i="1"/>
  <c r="C18" i="1"/>
  <c r="AG58" i="22" l="1"/>
  <c r="AH58" i="22"/>
  <c r="AI58" i="22"/>
  <c r="AG59" i="22"/>
  <c r="AH59" i="22"/>
  <c r="AI59" i="22"/>
  <c r="AG60" i="22"/>
  <c r="AH60" i="22"/>
  <c r="AI60" i="22"/>
  <c r="AG61" i="22"/>
  <c r="AH61" i="22"/>
  <c r="AI61" i="22"/>
  <c r="AG62" i="22"/>
  <c r="AH62" i="22"/>
  <c r="AI62" i="22"/>
  <c r="AG63" i="22"/>
  <c r="AH63" i="22"/>
  <c r="AI63" i="22"/>
  <c r="AG64" i="22"/>
  <c r="AH64" i="22"/>
  <c r="AI64" i="22"/>
  <c r="AG65" i="22"/>
  <c r="AH65" i="22"/>
  <c r="AI65" i="22"/>
  <c r="AG66" i="22"/>
  <c r="AH66" i="22"/>
  <c r="AI66" i="22"/>
  <c r="AG67" i="22"/>
  <c r="AH67" i="22"/>
  <c r="AI67" i="22"/>
  <c r="AG68" i="22"/>
  <c r="AH68" i="22"/>
  <c r="AI68" i="22"/>
  <c r="AG69" i="22"/>
  <c r="AH69" i="22"/>
  <c r="AI69" i="22"/>
  <c r="AG70" i="22"/>
  <c r="AH70" i="22"/>
  <c r="AI70" i="22"/>
  <c r="AG71" i="22"/>
  <c r="AH71" i="22"/>
  <c r="AI71" i="22"/>
  <c r="AG72" i="22"/>
  <c r="AH72" i="22"/>
  <c r="AI72" i="22"/>
  <c r="AG73" i="22"/>
  <c r="AH73" i="22"/>
  <c r="AI73" i="22"/>
  <c r="AG74" i="22"/>
  <c r="AH74" i="22"/>
  <c r="AI74" i="22"/>
  <c r="AK75" i="22"/>
  <c r="AG75" i="22"/>
  <c r="AH75" i="22"/>
  <c r="AI75" i="22"/>
  <c r="AG76" i="22"/>
  <c r="AK76" i="22" s="1"/>
  <c r="AH76" i="22"/>
  <c r="AI76" i="22"/>
  <c r="AG77" i="22"/>
  <c r="AK77" i="22" s="1"/>
  <c r="AH77" i="22"/>
  <c r="AI77" i="22"/>
  <c r="AG78" i="22"/>
  <c r="AK78" i="22" s="1"/>
  <c r="AH78" i="22"/>
  <c r="AI78" i="22"/>
  <c r="AG79" i="22"/>
  <c r="AK79" i="22" s="1"/>
  <c r="AH79" i="22"/>
  <c r="AI79" i="22"/>
  <c r="AG80" i="22"/>
  <c r="AH80" i="22"/>
  <c r="AI80" i="22"/>
  <c r="AG81" i="22"/>
  <c r="AH81" i="22"/>
  <c r="AI81" i="22"/>
  <c r="AG82" i="22"/>
  <c r="AK82" i="22" s="1"/>
  <c r="AH82" i="22"/>
  <c r="AI82" i="22"/>
  <c r="AG83" i="22"/>
  <c r="AK83" i="22" s="1"/>
  <c r="AH83" i="22"/>
  <c r="AI83" i="22"/>
  <c r="AG84" i="22"/>
  <c r="AH84" i="22"/>
  <c r="AI84" i="22"/>
  <c r="AG85" i="22"/>
  <c r="AH85" i="22"/>
  <c r="AI85" i="22"/>
  <c r="AG86" i="22"/>
  <c r="AK86" i="22" s="1"/>
  <c r="AH86" i="22"/>
  <c r="AI86" i="22"/>
  <c r="AG87" i="22"/>
  <c r="AK87" i="22" s="1"/>
  <c r="AH87" i="22"/>
  <c r="AI87" i="22"/>
  <c r="AG88" i="22"/>
  <c r="AH88" i="22"/>
  <c r="AI88" i="22"/>
  <c r="AG89" i="22"/>
  <c r="AH89" i="22"/>
  <c r="AI89" i="22"/>
  <c r="AG90" i="22"/>
  <c r="AK90" i="22" s="1"/>
  <c r="AH90" i="22"/>
  <c r="AI90" i="22"/>
  <c r="AG91" i="22"/>
  <c r="AK91" i="22" s="1"/>
  <c r="AH91" i="22"/>
  <c r="AI91" i="22"/>
  <c r="AG92" i="22"/>
  <c r="AH92" i="22"/>
  <c r="AI92" i="22"/>
  <c r="AG93" i="22"/>
  <c r="AH93" i="22"/>
  <c r="AI93" i="22"/>
  <c r="AG94" i="22"/>
  <c r="AH94" i="22"/>
  <c r="AI94" i="22"/>
  <c r="AG95" i="22"/>
  <c r="AK95" i="22" s="1"/>
  <c r="AH95" i="22"/>
  <c r="AI95" i="22"/>
  <c r="AG96" i="22"/>
  <c r="AK96" i="22" s="1"/>
  <c r="AH96" i="22"/>
  <c r="AI96" i="22"/>
  <c r="AG97" i="22"/>
  <c r="AH97" i="22"/>
  <c r="AI97" i="22"/>
  <c r="AG98" i="22"/>
  <c r="AH98" i="22"/>
  <c r="AI98" i="22"/>
  <c r="AG99" i="22"/>
  <c r="AK99" i="22" s="1"/>
  <c r="AH99" i="22"/>
  <c r="AI99" i="22"/>
  <c r="AG100" i="22"/>
  <c r="AH100" i="22"/>
  <c r="AI100" i="22"/>
  <c r="AG101" i="22"/>
  <c r="AH101" i="22"/>
  <c r="AI101" i="22"/>
  <c r="AG102" i="22"/>
  <c r="AH102" i="22"/>
  <c r="AI102" i="22"/>
  <c r="AK103" i="22"/>
  <c r="AG103" i="22"/>
  <c r="AH103" i="22"/>
  <c r="AI103" i="22"/>
  <c r="AG104" i="22"/>
  <c r="AK104" i="22" s="1"/>
  <c r="AH104" i="22"/>
  <c r="AI104" i="22"/>
  <c r="AG105" i="22"/>
  <c r="AK105" i="22" s="1"/>
  <c r="AH105" i="22"/>
  <c r="AI105" i="22"/>
  <c r="AG106" i="22"/>
  <c r="AH106" i="22"/>
  <c r="AI106" i="22"/>
  <c r="AG107" i="22"/>
  <c r="AH107" i="22"/>
  <c r="AI107" i="22"/>
  <c r="AG108" i="22"/>
  <c r="AK108" i="22" s="1"/>
  <c r="AH108" i="22"/>
  <c r="AI108" i="22"/>
  <c r="AG109" i="22"/>
  <c r="AK109" i="22" s="1"/>
  <c r="AH109" i="22"/>
  <c r="AI109" i="22"/>
  <c r="AG110" i="22"/>
  <c r="AH110" i="22"/>
  <c r="AI110" i="22"/>
  <c r="AG111" i="22"/>
  <c r="AH111" i="22"/>
  <c r="AI111" i="22"/>
  <c r="AG112" i="22"/>
  <c r="AK112" i="22" s="1"/>
  <c r="AH112" i="22"/>
  <c r="AI112" i="22"/>
  <c r="AG113" i="22"/>
  <c r="AK113" i="22" s="1"/>
  <c r="AH113" i="22"/>
  <c r="AI113" i="22"/>
  <c r="AG114" i="22"/>
  <c r="AH114" i="22"/>
  <c r="AI114" i="22"/>
  <c r="AG115" i="22"/>
  <c r="AH115" i="22"/>
  <c r="AI115" i="22"/>
  <c r="AG116" i="22"/>
  <c r="AK116" i="22" s="1"/>
  <c r="AH116" i="22"/>
  <c r="AI116" i="22"/>
  <c r="AG117" i="22"/>
  <c r="AK117" i="22" s="1"/>
  <c r="AH117" i="22"/>
  <c r="AI117" i="22"/>
  <c r="AG118" i="22"/>
  <c r="AH118" i="22"/>
  <c r="AI118" i="22"/>
  <c r="AG119" i="22"/>
  <c r="AH119" i="22"/>
  <c r="AI119" i="22"/>
  <c r="AG120" i="22"/>
  <c r="AK120" i="22" s="1"/>
  <c r="AH120" i="22"/>
  <c r="AI120" i="22"/>
  <c r="AG121" i="22"/>
  <c r="AK121" i="22" s="1"/>
  <c r="AH121" i="22"/>
  <c r="AI121" i="22"/>
  <c r="AG122" i="22"/>
  <c r="AK122" i="22" s="1"/>
  <c r="AH122" i="22"/>
  <c r="AI122" i="22"/>
  <c r="AG123" i="22"/>
  <c r="AK123" i="22" s="1"/>
  <c r="AH123" i="22"/>
  <c r="AI123" i="22"/>
  <c r="AG124" i="22"/>
  <c r="AH124" i="22"/>
  <c r="AI124" i="22"/>
  <c r="AK124" i="22" s="1"/>
  <c r="AG125" i="22"/>
  <c r="AH125" i="22"/>
  <c r="AI125" i="22"/>
  <c r="AG126" i="22"/>
  <c r="AH126" i="22"/>
  <c r="AI126" i="22"/>
  <c r="AK127" i="22"/>
  <c r="AG127" i="22"/>
  <c r="AH127" i="22"/>
  <c r="AI127" i="22"/>
  <c r="AG128" i="22"/>
  <c r="AK128" i="22" s="1"/>
  <c r="AH128" i="22"/>
  <c r="AI128" i="22"/>
  <c r="AG129" i="22"/>
  <c r="AK129" i="22" s="1"/>
  <c r="AH129" i="22"/>
  <c r="AI129" i="22"/>
  <c r="AG130" i="22"/>
  <c r="AK130" i="22" s="1"/>
  <c r="AH130" i="22"/>
  <c r="AI130" i="22"/>
  <c r="AG131" i="22"/>
  <c r="AK131" i="22" s="1"/>
  <c r="AH131" i="22"/>
  <c r="AI131" i="22"/>
  <c r="M83" i="15"/>
  <c r="T9" i="15"/>
  <c r="A46" i="2"/>
  <c r="B46" i="2"/>
  <c r="C46" i="2"/>
  <c r="D46" i="2"/>
  <c r="E46" i="2" s="1"/>
  <c r="A47" i="2"/>
  <c r="B47" i="2"/>
  <c r="C47" i="2"/>
  <c r="D47" i="2"/>
  <c r="E47" i="2" s="1"/>
  <c r="A48" i="2"/>
  <c r="B48" i="2"/>
  <c r="C48" i="2"/>
  <c r="D48" i="2"/>
  <c r="A49" i="2"/>
  <c r="B49" i="2"/>
  <c r="C49" i="2"/>
  <c r="D49" i="2"/>
  <c r="E49" i="2" s="1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C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C57" i="2"/>
  <c r="D57" i="2"/>
  <c r="A58" i="2"/>
  <c r="B58" i="2"/>
  <c r="C58" i="2"/>
  <c r="D58" i="2"/>
  <c r="A59" i="2"/>
  <c r="B59" i="2"/>
  <c r="C59" i="2"/>
  <c r="D59" i="2"/>
  <c r="A60" i="2"/>
  <c r="B60" i="2"/>
  <c r="C60" i="2"/>
  <c r="D60" i="2"/>
  <c r="A61" i="2"/>
  <c r="B61" i="2"/>
  <c r="C61" i="2"/>
  <c r="D61" i="2"/>
  <c r="A62" i="2"/>
  <c r="B62" i="2"/>
  <c r="C62" i="2"/>
  <c r="D62" i="2"/>
  <c r="A63" i="2"/>
  <c r="B63" i="2"/>
  <c r="C63" i="2"/>
  <c r="D63" i="2"/>
  <c r="A64" i="2"/>
  <c r="B64" i="2"/>
  <c r="C64" i="2"/>
  <c r="D64" i="2"/>
  <c r="A65" i="2"/>
  <c r="B65" i="2"/>
  <c r="C65" i="2"/>
  <c r="D65" i="2"/>
  <c r="A66" i="2"/>
  <c r="B66" i="2"/>
  <c r="C66" i="2"/>
  <c r="D66" i="2"/>
  <c r="A67" i="2"/>
  <c r="B67" i="2"/>
  <c r="C67" i="2"/>
  <c r="D67" i="2"/>
  <c r="A68" i="2"/>
  <c r="B68" i="2"/>
  <c r="C68" i="2"/>
  <c r="D68" i="2"/>
  <c r="A69" i="2"/>
  <c r="B69" i="2"/>
  <c r="C69" i="2"/>
  <c r="D69" i="2"/>
  <c r="A70" i="2"/>
  <c r="B70" i="2"/>
  <c r="C70" i="2"/>
  <c r="D70" i="2"/>
  <c r="A71" i="2"/>
  <c r="B71" i="2"/>
  <c r="C71" i="2"/>
  <c r="D71" i="2"/>
  <c r="A72" i="2"/>
  <c r="B72" i="2"/>
  <c r="C72" i="2"/>
  <c r="D72" i="2"/>
  <c r="A73" i="2"/>
  <c r="B73" i="2"/>
  <c r="C73" i="2"/>
  <c r="D73" i="2"/>
  <c r="A74" i="2"/>
  <c r="B74" i="2"/>
  <c r="C74" i="2"/>
  <c r="D74" i="2"/>
  <c r="A75" i="2"/>
  <c r="B75" i="2"/>
  <c r="C75" i="2"/>
  <c r="D75" i="2"/>
  <c r="A76" i="2"/>
  <c r="B76" i="2"/>
  <c r="C76" i="2"/>
  <c r="D76" i="2"/>
  <c r="D3" i="13"/>
  <c r="L24" i="1"/>
  <c r="G3" i="2" s="1"/>
  <c r="M24" i="1"/>
  <c r="H3" i="2" s="1"/>
  <c r="N24" i="1"/>
  <c r="I3" i="2" s="1"/>
  <c r="O24" i="1"/>
  <c r="J3" i="2" s="1"/>
  <c r="P24" i="1"/>
  <c r="K3" i="2" s="1"/>
  <c r="Q24" i="1"/>
  <c r="K4" i="3" s="1"/>
  <c r="R24" i="1"/>
  <c r="M3" i="2" s="1"/>
  <c r="K24" i="1"/>
  <c r="F3" i="2" s="1"/>
  <c r="D46" i="1"/>
  <c r="D42" i="1"/>
  <c r="D38" i="1"/>
  <c r="D34" i="1"/>
  <c r="D30" i="1"/>
  <c r="D26" i="1"/>
  <c r="D22" i="1"/>
  <c r="D18" i="1"/>
  <c r="A46" i="1"/>
  <c r="A42" i="1"/>
  <c r="A38" i="1"/>
  <c r="A34" i="1"/>
  <c r="A30" i="1"/>
  <c r="A26" i="1"/>
  <c r="A22" i="1"/>
  <c r="A18" i="1"/>
  <c r="A14" i="1"/>
  <c r="AK125" i="22" l="1"/>
  <c r="AK114" i="22"/>
  <c r="AK110" i="22"/>
  <c r="AK106" i="22"/>
  <c r="AK101" i="22"/>
  <c r="AK97" i="22"/>
  <c r="AK88" i="22"/>
  <c r="AK84" i="22"/>
  <c r="AK80" i="22"/>
  <c r="AK119" i="22"/>
  <c r="AK115" i="22"/>
  <c r="AK111" i="22"/>
  <c r="AK107" i="22"/>
  <c r="AK98" i="22"/>
  <c r="AK93" i="22"/>
  <c r="AK89" i="22"/>
  <c r="AK85" i="22"/>
  <c r="AK81" i="22"/>
  <c r="H76" i="2"/>
  <c r="E76" i="2"/>
  <c r="H75" i="2"/>
  <c r="E75" i="2"/>
  <c r="H74" i="2"/>
  <c r="E74" i="2"/>
  <c r="H73" i="2"/>
  <c r="E73" i="2"/>
  <c r="H72" i="2"/>
  <c r="E72" i="2"/>
  <c r="H71" i="2"/>
  <c r="E71" i="2"/>
  <c r="H70" i="2"/>
  <c r="E70" i="2"/>
  <c r="H69" i="2"/>
  <c r="E69" i="2"/>
  <c r="H68" i="2"/>
  <c r="E68" i="2"/>
  <c r="H67" i="2"/>
  <c r="E67" i="2"/>
  <c r="H66" i="2"/>
  <c r="E66" i="2"/>
  <c r="H65" i="2"/>
  <c r="E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H53" i="2"/>
  <c r="E53" i="2"/>
  <c r="H52" i="2"/>
  <c r="E52" i="2"/>
  <c r="H51" i="2"/>
  <c r="E51" i="2"/>
  <c r="H50" i="2"/>
  <c r="E50" i="2"/>
  <c r="F48" i="2"/>
  <c r="E48" i="2"/>
  <c r="F70" i="2"/>
  <c r="F54" i="2"/>
  <c r="AK118" i="22"/>
  <c r="AK100" i="22"/>
  <c r="AK92" i="22"/>
  <c r="F62" i="2"/>
  <c r="AK126" i="22"/>
  <c r="AK102" i="22"/>
  <c r="AK94" i="22"/>
  <c r="AK68" i="22"/>
  <c r="AK74" i="22"/>
  <c r="AK72" i="22"/>
  <c r="AK66" i="22"/>
  <c r="AK67" i="22"/>
  <c r="AK70" i="22"/>
  <c r="AK73" i="22"/>
  <c r="AK65" i="22"/>
  <c r="AK64" i="22"/>
  <c r="AK69" i="22"/>
  <c r="AK62" i="22"/>
  <c r="AK71" i="22"/>
  <c r="AK63" i="22"/>
  <c r="AK59" i="22"/>
  <c r="AK58" i="22"/>
  <c r="J74" i="2"/>
  <c r="J58" i="2"/>
  <c r="F74" i="2"/>
  <c r="F66" i="2"/>
  <c r="F58" i="2"/>
  <c r="F50" i="2"/>
  <c r="J66" i="2"/>
  <c r="J50" i="2"/>
  <c r="J70" i="2"/>
  <c r="J62" i="2"/>
  <c r="J54" i="2"/>
  <c r="J73" i="2"/>
  <c r="G71" i="2"/>
  <c r="F69" i="2"/>
  <c r="J65" i="2"/>
  <c r="G63" i="2"/>
  <c r="F61" i="2"/>
  <c r="J57" i="2"/>
  <c r="G55" i="2"/>
  <c r="F53" i="2"/>
  <c r="K75" i="2"/>
  <c r="G74" i="2"/>
  <c r="G73" i="2"/>
  <c r="K70" i="2"/>
  <c r="K69" i="2"/>
  <c r="K67" i="2"/>
  <c r="G66" i="2"/>
  <c r="G65" i="2"/>
  <c r="K62" i="2"/>
  <c r="K61" i="2"/>
  <c r="K59" i="2"/>
  <c r="G58" i="2"/>
  <c r="G57" i="2"/>
  <c r="K54" i="2"/>
  <c r="K53" i="2"/>
  <c r="K51" i="2"/>
  <c r="G50" i="2"/>
  <c r="G75" i="2"/>
  <c r="F73" i="2"/>
  <c r="J69" i="2"/>
  <c r="G67" i="2"/>
  <c r="F65" i="2"/>
  <c r="J61" i="2"/>
  <c r="G59" i="2"/>
  <c r="F57" i="2"/>
  <c r="J53" i="2"/>
  <c r="G51" i="2"/>
  <c r="K74" i="2"/>
  <c r="K73" i="2"/>
  <c r="K71" i="2"/>
  <c r="G70" i="2"/>
  <c r="G69" i="2"/>
  <c r="K66" i="2"/>
  <c r="K65" i="2"/>
  <c r="K63" i="2"/>
  <c r="G62" i="2"/>
  <c r="G61" i="2"/>
  <c r="K58" i="2"/>
  <c r="K57" i="2"/>
  <c r="K55" i="2"/>
  <c r="G54" i="2"/>
  <c r="G53" i="2"/>
  <c r="K50" i="2"/>
  <c r="G76" i="2"/>
  <c r="G72" i="2"/>
  <c r="K68" i="2"/>
  <c r="G64" i="2"/>
  <c r="G60" i="2"/>
  <c r="K56" i="2"/>
  <c r="G56" i="2"/>
  <c r="F76" i="2"/>
  <c r="J72" i="2"/>
  <c r="J71" i="2"/>
  <c r="F71" i="2"/>
  <c r="F68" i="2"/>
  <c r="J67" i="2"/>
  <c r="F67" i="2"/>
  <c r="F64" i="2"/>
  <c r="J60" i="2"/>
  <c r="J59" i="2"/>
  <c r="J56" i="2"/>
  <c r="J55" i="2"/>
  <c r="F55" i="2"/>
  <c r="F52" i="2"/>
  <c r="F51" i="2"/>
  <c r="M76" i="2"/>
  <c r="I76" i="2"/>
  <c r="M75" i="2"/>
  <c r="I75" i="2"/>
  <c r="M74" i="2"/>
  <c r="I74" i="2"/>
  <c r="M73" i="2"/>
  <c r="I73" i="2"/>
  <c r="M72" i="2"/>
  <c r="I72" i="2"/>
  <c r="M71" i="2"/>
  <c r="I71" i="2"/>
  <c r="M70" i="2"/>
  <c r="I70" i="2"/>
  <c r="M69" i="2"/>
  <c r="I69" i="2"/>
  <c r="M68" i="2"/>
  <c r="I68" i="2"/>
  <c r="M67" i="2"/>
  <c r="I67" i="2"/>
  <c r="M66" i="2"/>
  <c r="I66" i="2"/>
  <c r="M65" i="2"/>
  <c r="I65" i="2"/>
  <c r="M64" i="2"/>
  <c r="I64" i="2"/>
  <c r="M63" i="2"/>
  <c r="I63" i="2"/>
  <c r="M62" i="2"/>
  <c r="I62" i="2"/>
  <c r="M61" i="2"/>
  <c r="I61" i="2"/>
  <c r="M60" i="2"/>
  <c r="I60" i="2"/>
  <c r="M59" i="2"/>
  <c r="I59" i="2"/>
  <c r="M58" i="2"/>
  <c r="I58" i="2"/>
  <c r="M57" i="2"/>
  <c r="I57" i="2"/>
  <c r="M56" i="2"/>
  <c r="I56" i="2"/>
  <c r="M55" i="2"/>
  <c r="I55" i="2"/>
  <c r="M54" i="2"/>
  <c r="I54" i="2"/>
  <c r="M53" i="2"/>
  <c r="I53" i="2"/>
  <c r="M52" i="2"/>
  <c r="I52" i="2"/>
  <c r="M51" i="2"/>
  <c r="I51" i="2"/>
  <c r="M50" i="2"/>
  <c r="I50" i="2"/>
  <c r="K76" i="2"/>
  <c r="K72" i="2"/>
  <c r="G68" i="2"/>
  <c r="K64" i="2"/>
  <c r="K60" i="2"/>
  <c r="K52" i="2"/>
  <c r="G52" i="2"/>
  <c r="J76" i="2"/>
  <c r="J75" i="2"/>
  <c r="F75" i="2"/>
  <c r="F72" i="2"/>
  <c r="J68" i="2"/>
  <c r="J64" i="2"/>
  <c r="J63" i="2"/>
  <c r="F63" i="2"/>
  <c r="F60" i="2"/>
  <c r="F59" i="2"/>
  <c r="F56" i="2"/>
  <c r="J52" i="2"/>
  <c r="J51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H49" i="2"/>
  <c r="H48" i="2"/>
  <c r="H47" i="2"/>
  <c r="H46" i="2"/>
  <c r="J49" i="2"/>
  <c r="J47" i="2"/>
  <c r="F49" i="2"/>
  <c r="F47" i="2"/>
  <c r="J48" i="2"/>
  <c r="AK61" i="22"/>
  <c r="U53" i="15"/>
  <c r="M52" i="15" s="1"/>
  <c r="U57" i="15"/>
  <c r="M56" i="15" s="1"/>
  <c r="U61" i="15"/>
  <c r="M60" i="15" s="1"/>
  <c r="U65" i="15"/>
  <c r="M64" i="15" s="1"/>
  <c r="U69" i="15"/>
  <c r="M68" i="15" s="1"/>
  <c r="U73" i="15"/>
  <c r="M72" i="15" s="1"/>
  <c r="U77" i="15"/>
  <c r="M76" i="15" s="1"/>
  <c r="U81" i="15"/>
  <c r="U54" i="15"/>
  <c r="M53" i="15" s="1"/>
  <c r="U58" i="15"/>
  <c r="M57" i="15" s="1"/>
  <c r="U62" i="15"/>
  <c r="M61" i="15" s="1"/>
  <c r="U66" i="15"/>
  <c r="M65" i="15" s="1"/>
  <c r="U70" i="15"/>
  <c r="M69" i="15" s="1"/>
  <c r="U74" i="15"/>
  <c r="M73" i="15" s="1"/>
  <c r="U78" i="15"/>
  <c r="M77" i="15" s="1"/>
  <c r="U82" i="15"/>
  <c r="M81" i="15" s="1"/>
  <c r="U51" i="15"/>
  <c r="M50" i="15" s="1"/>
  <c r="U55" i="15"/>
  <c r="M54" i="15" s="1"/>
  <c r="B54" i="15" s="1"/>
  <c r="U59" i="15"/>
  <c r="M58" i="15" s="1"/>
  <c r="U63" i="15"/>
  <c r="M62" i="15" s="1"/>
  <c r="U67" i="15"/>
  <c r="M66" i="15" s="1"/>
  <c r="U71" i="15"/>
  <c r="M70" i="15" s="1"/>
  <c r="U75" i="15"/>
  <c r="M74" i="15" s="1"/>
  <c r="U79" i="15"/>
  <c r="M78" i="15" s="1"/>
  <c r="U83" i="15"/>
  <c r="M82" i="15" s="1"/>
  <c r="U52" i="15"/>
  <c r="M51" i="15" s="1"/>
  <c r="U56" i="15"/>
  <c r="M55" i="15" s="1"/>
  <c r="B55" i="15" s="1"/>
  <c r="U60" i="15"/>
  <c r="M59" i="15" s="1"/>
  <c r="U64" i="15"/>
  <c r="M63" i="15" s="1"/>
  <c r="U68" i="15"/>
  <c r="U72" i="15"/>
  <c r="M71" i="15" s="1"/>
  <c r="U76" i="15"/>
  <c r="M75" i="15" s="1"/>
  <c r="U80" i="15"/>
  <c r="M79" i="15" s="1"/>
  <c r="AK60" i="22"/>
  <c r="AG37" i="22"/>
  <c r="AI33" i="22"/>
  <c r="U26" i="15" s="1"/>
  <c r="M25" i="15" s="1"/>
  <c r="AI29" i="22"/>
  <c r="U22" i="15" s="1"/>
  <c r="M21" i="15" s="1"/>
  <c r="AG25" i="22"/>
  <c r="AG51" i="22"/>
  <c r="AG50" i="22"/>
  <c r="AG42" i="22"/>
  <c r="AH27" i="22"/>
  <c r="AG30" i="22"/>
  <c r="AG31" i="22"/>
  <c r="AH35" i="22"/>
  <c r="AI41" i="22"/>
  <c r="U34" i="15" s="1"/>
  <c r="M33" i="15" s="1"/>
  <c r="AH45" i="22"/>
  <c r="AI46" i="22"/>
  <c r="U39" i="15" s="1"/>
  <c r="M38" i="15" s="1"/>
  <c r="AH47" i="22"/>
  <c r="AG49" i="22"/>
  <c r="AG54" i="22"/>
  <c r="AH57" i="22"/>
  <c r="AG52" i="22"/>
  <c r="K49" i="2"/>
  <c r="G49" i="2"/>
  <c r="K48" i="2"/>
  <c r="G48" i="2"/>
  <c r="K47" i="2"/>
  <c r="G47" i="2"/>
  <c r="K46" i="2"/>
  <c r="G46" i="2"/>
  <c r="M49" i="2"/>
  <c r="I49" i="2"/>
  <c r="M48" i="2"/>
  <c r="I48" i="2"/>
  <c r="M47" i="2"/>
  <c r="I47" i="2"/>
  <c r="M46" i="2"/>
  <c r="I46" i="2"/>
  <c r="J46" i="2"/>
  <c r="F46" i="2"/>
  <c r="L49" i="2"/>
  <c r="L48" i="2"/>
  <c r="L47" i="2"/>
  <c r="L46" i="2"/>
  <c r="M80" i="15"/>
  <c r="AI23" i="22"/>
  <c r="U16" i="15" s="1"/>
  <c r="M15" i="15" s="1"/>
  <c r="AI47" i="22"/>
  <c r="U40" i="15" s="1"/>
  <c r="M39" i="15" s="1"/>
  <c r="AI53" i="22"/>
  <c r="U46" i="15" s="1"/>
  <c r="M45" i="15" s="1"/>
  <c r="AG43" i="22"/>
  <c r="AH26" i="22"/>
  <c r="AH30" i="22"/>
  <c r="AH50" i="22"/>
  <c r="AH46" i="22"/>
  <c r="AG34" i="22"/>
  <c r="AI26" i="22"/>
  <c r="U19" i="15" s="1"/>
  <c r="M18" i="15" s="1"/>
  <c r="AH33" i="22"/>
  <c r="AG27" i="22"/>
  <c r="AI57" i="22"/>
  <c r="U50" i="15" s="1"/>
  <c r="M49" i="15" s="1"/>
  <c r="AH51" i="22"/>
  <c r="AI35" i="22"/>
  <c r="U28" i="15" s="1"/>
  <c r="M27" i="15" s="1"/>
  <c r="AH25" i="22"/>
  <c r="AG55" i="22"/>
  <c r="AI45" i="22"/>
  <c r="U38" i="15" s="1"/>
  <c r="M37" i="15" s="1"/>
  <c r="AG39" i="22"/>
  <c r="AI52" i="22"/>
  <c r="U45" i="15" s="1"/>
  <c r="M44" i="15" s="1"/>
  <c r="AG38" i="22"/>
  <c r="AI56" i="22"/>
  <c r="U49" i="15" s="1"/>
  <c r="M48" i="15" s="1"/>
  <c r="AG48" i="22"/>
  <c r="AI44" i="22"/>
  <c r="U37" i="15" s="1"/>
  <c r="M36" i="15" s="1"/>
  <c r="AH36" i="22"/>
  <c r="AI32" i="22"/>
  <c r="U25" i="15" s="1"/>
  <c r="M24" i="15" s="1"/>
  <c r="AI28" i="22"/>
  <c r="U21" i="15" s="1"/>
  <c r="M20" i="15" s="1"/>
  <c r="AH34" i="22"/>
  <c r="AG57" i="22"/>
  <c r="AI55" i="22"/>
  <c r="AI54" i="22"/>
  <c r="U47" i="15" s="1"/>
  <c r="M46" i="15" s="1"/>
  <c r="AH53" i="22"/>
  <c r="AI49" i="22"/>
  <c r="U42" i="15" s="1"/>
  <c r="M41" i="15" s="1"/>
  <c r="AG47" i="22"/>
  <c r="AG45" i="22"/>
  <c r="AI43" i="22"/>
  <c r="U36" i="15" s="1"/>
  <c r="M35" i="15" s="1"/>
  <c r="AI42" i="22"/>
  <c r="U35" i="15" s="1"/>
  <c r="M34" i="15" s="1"/>
  <c r="AH41" i="22"/>
  <c r="AI39" i="22"/>
  <c r="U32" i="15" s="1"/>
  <c r="M31" i="15" s="1"/>
  <c r="AI37" i="22"/>
  <c r="U30" i="15" s="1"/>
  <c r="M29" i="15" s="1"/>
  <c r="AG36" i="22"/>
  <c r="AG35" i="22"/>
  <c r="AG33" i="22"/>
  <c r="AI31" i="22"/>
  <c r="U24" i="15" s="1"/>
  <c r="M23" i="15" s="1"/>
  <c r="AI30" i="22"/>
  <c r="U23" i="15" s="1"/>
  <c r="M22" i="15" s="1"/>
  <c r="AH29" i="22"/>
  <c r="AH23" i="22"/>
  <c r="AG44" i="22"/>
  <c r="AH55" i="22"/>
  <c r="AG53" i="22"/>
  <c r="AI51" i="22"/>
  <c r="U44" i="15" s="1"/>
  <c r="M43" i="15" s="1"/>
  <c r="AI50" i="22"/>
  <c r="U43" i="15" s="1"/>
  <c r="M42" i="15" s="1"/>
  <c r="AH49" i="22"/>
  <c r="AH43" i="22"/>
  <c r="AG41" i="22"/>
  <c r="AH39" i="22"/>
  <c r="AH38" i="22"/>
  <c r="AH37" i="22"/>
  <c r="AH31" i="22"/>
  <c r="AG29" i="22"/>
  <c r="AI27" i="22"/>
  <c r="U20" i="15" s="1"/>
  <c r="M19" i="15" s="1"/>
  <c r="AI25" i="22"/>
  <c r="U18" i="15" s="1"/>
  <c r="M17" i="15" s="1"/>
  <c r="AG23" i="22"/>
  <c r="AH56" i="22"/>
  <c r="AH48" i="22"/>
  <c r="AH44" i="22"/>
  <c r="AH40" i="22"/>
  <c r="AI24" i="22"/>
  <c r="U17" i="15" s="1"/>
  <c r="M16" i="15" s="1"/>
  <c r="AH54" i="22"/>
  <c r="AG46" i="22"/>
  <c r="AH42" i="22"/>
  <c r="AI40" i="22"/>
  <c r="U33" i="15" s="1"/>
  <c r="M32" i="15" s="1"/>
  <c r="AI38" i="22"/>
  <c r="U31" i="15" s="1"/>
  <c r="M30" i="15" s="1"/>
  <c r="AI34" i="22"/>
  <c r="U27" i="15" s="1"/>
  <c r="M26" i="15" s="1"/>
  <c r="AG26" i="22"/>
  <c r="AH32" i="22"/>
  <c r="AG56" i="22"/>
  <c r="AH52" i="22"/>
  <c r="AI48" i="22"/>
  <c r="U41" i="15" s="1"/>
  <c r="M40" i="15" s="1"/>
  <c r="AG40" i="22"/>
  <c r="AI36" i="22"/>
  <c r="U29" i="15" s="1"/>
  <c r="M28" i="15" s="1"/>
  <c r="AG32" i="22"/>
  <c r="AH28" i="22"/>
  <c r="AH24" i="22"/>
  <c r="AG28" i="22"/>
  <c r="AG24" i="22"/>
  <c r="U15" i="15"/>
  <c r="M14" i="15" s="1"/>
  <c r="M67" i="15"/>
  <c r="L3" i="2"/>
  <c r="L4" i="3"/>
  <c r="H4" i="3"/>
  <c r="G4" i="3"/>
  <c r="I4" i="3"/>
  <c r="J4" i="3"/>
  <c r="F4" i="3"/>
  <c r="E4" i="3"/>
  <c r="AK22" i="22" l="1"/>
  <c r="AK55" i="22"/>
  <c r="U48" i="15"/>
  <c r="M47" i="15" s="1"/>
  <c r="AK41" i="22"/>
  <c r="F7" i="6"/>
  <c r="AK33" i="22"/>
  <c r="AK23" i="22"/>
  <c r="E7" i="6"/>
  <c r="I7" i="6"/>
  <c r="H7" i="6"/>
  <c r="J7" i="6"/>
  <c r="G7" i="6"/>
  <c r="AK25" i="22"/>
  <c r="AK35" i="22"/>
  <c r="AK54" i="22"/>
  <c r="AK43" i="22"/>
  <c r="AK31" i="22"/>
  <c r="AK26" i="22"/>
  <c r="AK38" i="22"/>
  <c r="AK50" i="22"/>
  <c r="AK34" i="22"/>
  <c r="AK52" i="22"/>
  <c r="AK53" i="22"/>
  <c r="AK46" i="22"/>
  <c r="AK57" i="22"/>
  <c r="AK49" i="22"/>
  <c r="AK45" i="22"/>
  <c r="AK37" i="22"/>
  <c r="AK24" i="22"/>
  <c r="AK44" i="22"/>
  <c r="AK28" i="22"/>
  <c r="AK27" i="22"/>
  <c r="AK42" i="22"/>
  <c r="AK29" i="22"/>
  <c r="AK48" i="22"/>
  <c r="AK47" i="22"/>
  <c r="AK39" i="22"/>
  <c r="AK32" i="22"/>
  <c r="AK51" i="22"/>
  <c r="AK30" i="22"/>
  <c r="AK56" i="22"/>
  <c r="AK36" i="22"/>
  <c r="AK40" i="22"/>
  <c r="B81" i="15" l="1"/>
  <c r="B82" i="15"/>
  <c r="U14" i="15" l="1"/>
  <c r="X14" i="15" s="1"/>
  <c r="L83" i="15"/>
  <c r="T83" i="15" s="1"/>
  <c r="AT72" i="15" s="1"/>
  <c r="O83" i="15"/>
  <c r="P83" i="15"/>
  <c r="Q83" i="15"/>
  <c r="X83" i="15"/>
  <c r="AG83" i="15" s="1"/>
  <c r="Y83" i="15"/>
  <c r="Z83" i="15"/>
  <c r="AA83" i="15"/>
  <c r="AB83" i="15"/>
  <c r="AC83" i="15"/>
  <c r="AD83" i="15"/>
  <c r="AE83" i="15"/>
  <c r="AN83" i="15"/>
  <c r="X81" i="15"/>
  <c r="AF81" i="15" s="1"/>
  <c r="Y81" i="15"/>
  <c r="Z81" i="15"/>
  <c r="AA81" i="15"/>
  <c r="AB81" i="15"/>
  <c r="AC81" i="15"/>
  <c r="AD81" i="15"/>
  <c r="AE81" i="15"/>
  <c r="AN81" i="15"/>
  <c r="AD82" i="15"/>
  <c r="C78" i="20"/>
  <c r="D78" i="20"/>
  <c r="E78" i="20"/>
  <c r="F78" i="20"/>
  <c r="G78" i="20"/>
  <c r="H78" i="20"/>
  <c r="I78" i="20"/>
  <c r="J78" i="20"/>
  <c r="K78" i="20"/>
  <c r="L78" i="20"/>
  <c r="C79" i="20"/>
  <c r="D79" i="20"/>
  <c r="E79" i="20"/>
  <c r="F79" i="20"/>
  <c r="G79" i="20"/>
  <c r="H79" i="20"/>
  <c r="I79" i="20"/>
  <c r="J79" i="20"/>
  <c r="K79" i="20"/>
  <c r="L79" i="20"/>
  <c r="A74" i="11"/>
  <c r="A75" i="11"/>
  <c r="H75" i="11"/>
  <c r="A76" i="13"/>
  <c r="A77" i="13"/>
  <c r="E74" i="6"/>
  <c r="F74" i="6"/>
  <c r="G74" i="6"/>
  <c r="H74" i="6"/>
  <c r="I74" i="6"/>
  <c r="J74" i="6"/>
  <c r="E75" i="6"/>
  <c r="F75" i="6"/>
  <c r="G75" i="6"/>
  <c r="H75" i="6"/>
  <c r="I75" i="6"/>
  <c r="J75" i="6"/>
  <c r="A75" i="3"/>
  <c r="A75" i="4" s="1"/>
  <c r="B75" i="3"/>
  <c r="B75" i="4" s="1"/>
  <c r="B74" i="5" s="1"/>
  <c r="B74" i="6" s="1"/>
  <c r="B75" i="7" s="1"/>
  <c r="B75" i="8" s="1"/>
  <c r="A76" i="3"/>
  <c r="A76" i="4" s="1"/>
  <c r="B76" i="3"/>
  <c r="B76" i="4" s="1"/>
  <c r="B75" i="5" s="1"/>
  <c r="B75" i="6" s="1"/>
  <c r="B76" i="7" s="1"/>
  <c r="B76" i="8" s="1"/>
  <c r="AH83" i="15" l="1"/>
  <c r="AG81" i="15"/>
  <c r="A82" i="15"/>
  <c r="L82" i="15"/>
  <c r="T82" i="15" s="1"/>
  <c r="A75" i="5"/>
  <c r="A75" i="6" s="1"/>
  <c r="A76" i="7" s="1"/>
  <c r="A76" i="8" s="1"/>
  <c r="A75" i="9" s="1"/>
  <c r="A75" i="10" s="1"/>
  <c r="A81" i="15"/>
  <c r="L81" i="15"/>
  <c r="T81" i="15" s="1"/>
  <c r="A74" i="5"/>
  <c r="A74" i="6" s="1"/>
  <c r="A75" i="7" s="1"/>
  <c r="A75" i="8" s="1"/>
  <c r="A74" i="9" s="1"/>
  <c r="A74" i="10" s="1"/>
  <c r="F39" i="19"/>
  <c r="J39" i="19"/>
  <c r="D39" i="19"/>
  <c r="H39" i="19"/>
  <c r="I39" i="19"/>
  <c r="E39" i="19"/>
  <c r="G39" i="19"/>
  <c r="C39" i="19"/>
  <c r="D68" i="19"/>
  <c r="H68" i="19"/>
  <c r="F68" i="19"/>
  <c r="J68" i="19"/>
  <c r="C68" i="19"/>
  <c r="G68" i="19"/>
  <c r="E68" i="19"/>
  <c r="I68" i="19"/>
  <c r="F60" i="19"/>
  <c r="D60" i="19"/>
  <c r="H60" i="19"/>
  <c r="E60" i="19"/>
  <c r="J60" i="19"/>
  <c r="G60" i="19"/>
  <c r="C60" i="19"/>
  <c r="I60" i="19"/>
  <c r="F52" i="19"/>
  <c r="J52" i="19"/>
  <c r="D52" i="19"/>
  <c r="H52" i="19"/>
  <c r="I52" i="19"/>
  <c r="E52" i="19"/>
  <c r="G52" i="19"/>
  <c r="C52" i="19"/>
  <c r="F44" i="19"/>
  <c r="J44" i="19"/>
  <c r="D44" i="19"/>
  <c r="H44" i="19"/>
  <c r="I44" i="19"/>
  <c r="E44" i="19"/>
  <c r="G44" i="19"/>
  <c r="C44" i="19"/>
  <c r="E32" i="19"/>
  <c r="I32" i="19"/>
  <c r="D32" i="19"/>
  <c r="H32" i="19"/>
  <c r="G32" i="19"/>
  <c r="C32" i="19"/>
  <c r="F32" i="19"/>
  <c r="J32" i="19"/>
  <c r="E24" i="19"/>
  <c r="I24" i="19"/>
  <c r="D24" i="19"/>
  <c r="H24" i="19"/>
  <c r="G24" i="19"/>
  <c r="C24" i="19"/>
  <c r="F24" i="19"/>
  <c r="J24" i="19"/>
  <c r="E16" i="19"/>
  <c r="I16" i="19"/>
  <c r="D16" i="19"/>
  <c r="H16" i="19"/>
  <c r="G16" i="19"/>
  <c r="C16" i="19"/>
  <c r="F16" i="19"/>
  <c r="J16" i="19"/>
  <c r="E8" i="19"/>
  <c r="I8" i="19"/>
  <c r="D8" i="19"/>
  <c r="H8" i="19"/>
  <c r="G8" i="19"/>
  <c r="C8" i="19"/>
  <c r="F8" i="19"/>
  <c r="J8" i="19"/>
  <c r="AF83" i="15"/>
  <c r="AA82" i="15"/>
  <c r="D71" i="19"/>
  <c r="H71" i="19"/>
  <c r="F71" i="19"/>
  <c r="J71" i="19"/>
  <c r="C71" i="19"/>
  <c r="G71" i="19"/>
  <c r="I71" i="19"/>
  <c r="E71" i="19"/>
  <c r="D63" i="19"/>
  <c r="H63" i="19"/>
  <c r="F63" i="19"/>
  <c r="J63" i="19"/>
  <c r="C63" i="19"/>
  <c r="G63" i="19"/>
  <c r="I63" i="19"/>
  <c r="E63" i="19"/>
  <c r="F55" i="19"/>
  <c r="J55" i="19"/>
  <c r="D55" i="19"/>
  <c r="H55" i="19"/>
  <c r="I55" i="19"/>
  <c r="E55" i="19"/>
  <c r="G55" i="19"/>
  <c r="C55" i="19"/>
  <c r="F47" i="19"/>
  <c r="J47" i="19"/>
  <c r="D47" i="19"/>
  <c r="H47" i="19"/>
  <c r="I47" i="19"/>
  <c r="E47" i="19"/>
  <c r="G47" i="19"/>
  <c r="C47" i="19"/>
  <c r="E35" i="19"/>
  <c r="I35" i="19"/>
  <c r="D35" i="19"/>
  <c r="H35" i="19"/>
  <c r="G35" i="19"/>
  <c r="C35" i="19"/>
  <c r="F35" i="19"/>
  <c r="J35" i="19"/>
  <c r="E27" i="19"/>
  <c r="I27" i="19"/>
  <c r="D27" i="19"/>
  <c r="H27" i="19"/>
  <c r="G27" i="19"/>
  <c r="C27" i="19"/>
  <c r="F27" i="19"/>
  <c r="J27" i="19"/>
  <c r="E19" i="19"/>
  <c r="I19" i="19"/>
  <c r="D19" i="19"/>
  <c r="H19" i="19"/>
  <c r="G19" i="19"/>
  <c r="C19" i="19"/>
  <c r="F19" i="19"/>
  <c r="J19" i="19"/>
  <c r="Z82" i="15"/>
  <c r="AL83" i="15"/>
  <c r="D70" i="19"/>
  <c r="H70" i="19"/>
  <c r="F70" i="19"/>
  <c r="J70" i="19"/>
  <c r="C70" i="19"/>
  <c r="G70" i="19"/>
  <c r="I70" i="19"/>
  <c r="E70" i="19"/>
  <c r="D66" i="19"/>
  <c r="H66" i="19"/>
  <c r="F66" i="19"/>
  <c r="J66" i="19"/>
  <c r="C66" i="19"/>
  <c r="G66" i="19"/>
  <c r="I66" i="19"/>
  <c r="E66" i="19"/>
  <c r="D62" i="19"/>
  <c r="H62" i="19"/>
  <c r="F62" i="19"/>
  <c r="J62" i="19"/>
  <c r="C62" i="19"/>
  <c r="G62" i="19"/>
  <c r="I62" i="19"/>
  <c r="E62" i="19"/>
  <c r="F58" i="19"/>
  <c r="J58" i="19"/>
  <c r="D58" i="19"/>
  <c r="H58" i="19"/>
  <c r="I58" i="19"/>
  <c r="E58" i="19"/>
  <c r="G58" i="19"/>
  <c r="C58" i="19"/>
  <c r="F54" i="19"/>
  <c r="J54" i="19"/>
  <c r="D54" i="19"/>
  <c r="H54" i="19"/>
  <c r="I54" i="19"/>
  <c r="E54" i="19"/>
  <c r="G54" i="19"/>
  <c r="C54" i="19"/>
  <c r="F50" i="19"/>
  <c r="J50" i="19"/>
  <c r="D50" i="19"/>
  <c r="H50" i="19"/>
  <c r="I50" i="19"/>
  <c r="E50" i="19"/>
  <c r="G50" i="19"/>
  <c r="C50" i="19"/>
  <c r="F46" i="19"/>
  <c r="J46" i="19"/>
  <c r="D46" i="19"/>
  <c r="H46" i="19"/>
  <c r="I46" i="19"/>
  <c r="E46" i="19"/>
  <c r="G46" i="19"/>
  <c r="C46" i="19"/>
  <c r="F42" i="19"/>
  <c r="J42" i="19"/>
  <c r="D42" i="19"/>
  <c r="H42" i="19"/>
  <c r="I42" i="19"/>
  <c r="E42" i="19"/>
  <c r="G42" i="19"/>
  <c r="C42" i="19"/>
  <c r="F38" i="19"/>
  <c r="J38" i="19"/>
  <c r="D38" i="19"/>
  <c r="H38" i="19"/>
  <c r="I38" i="19"/>
  <c r="E38" i="19"/>
  <c r="G38" i="19"/>
  <c r="C38" i="19"/>
  <c r="E34" i="19"/>
  <c r="I34" i="19"/>
  <c r="D34" i="19"/>
  <c r="H34" i="19"/>
  <c r="G34" i="19"/>
  <c r="C34" i="19"/>
  <c r="F34" i="19"/>
  <c r="J34" i="19"/>
  <c r="E30" i="19"/>
  <c r="I30" i="19"/>
  <c r="D30" i="19"/>
  <c r="H30" i="19"/>
  <c r="G30" i="19"/>
  <c r="C30" i="19"/>
  <c r="F30" i="19"/>
  <c r="J30" i="19"/>
  <c r="E26" i="19"/>
  <c r="I26" i="19"/>
  <c r="D26" i="19"/>
  <c r="H26" i="19"/>
  <c r="G26" i="19"/>
  <c r="C26" i="19"/>
  <c r="F26" i="19"/>
  <c r="J26" i="19"/>
  <c r="E22" i="19"/>
  <c r="I22" i="19"/>
  <c r="D22" i="19"/>
  <c r="H22" i="19"/>
  <c r="G22" i="19"/>
  <c r="C22" i="19"/>
  <c r="F22" i="19"/>
  <c r="J22" i="19"/>
  <c r="E18" i="19"/>
  <c r="I18" i="19"/>
  <c r="D18" i="19"/>
  <c r="H18" i="19"/>
  <c r="G18" i="19"/>
  <c r="C18" i="19"/>
  <c r="F18" i="19"/>
  <c r="J18" i="19"/>
  <c r="E14" i="19"/>
  <c r="I14" i="19"/>
  <c r="D14" i="19"/>
  <c r="H14" i="19"/>
  <c r="G14" i="19"/>
  <c r="C14" i="19"/>
  <c r="F14" i="19"/>
  <c r="J14" i="19"/>
  <c r="E10" i="19"/>
  <c r="I10" i="19"/>
  <c r="D10" i="19"/>
  <c r="H10" i="19"/>
  <c r="G10" i="19"/>
  <c r="C10" i="19"/>
  <c r="F10" i="19"/>
  <c r="J10" i="19"/>
  <c r="E6" i="19"/>
  <c r="I6" i="19"/>
  <c r="D6" i="19"/>
  <c r="H6" i="19"/>
  <c r="G6" i="19"/>
  <c r="C6" i="19"/>
  <c r="F6" i="19"/>
  <c r="J6" i="19"/>
  <c r="D64" i="19"/>
  <c r="H64" i="19"/>
  <c r="F64" i="19"/>
  <c r="J64" i="19"/>
  <c r="C64" i="19"/>
  <c r="G64" i="19"/>
  <c r="E64" i="19"/>
  <c r="I64" i="19"/>
  <c r="F56" i="19"/>
  <c r="J56" i="19"/>
  <c r="D56" i="19"/>
  <c r="H56" i="19"/>
  <c r="I56" i="19"/>
  <c r="E56" i="19"/>
  <c r="G56" i="19"/>
  <c r="C56" i="19"/>
  <c r="F48" i="19"/>
  <c r="J48" i="19"/>
  <c r="D48" i="19"/>
  <c r="H48" i="19"/>
  <c r="I48" i="19"/>
  <c r="E48" i="19"/>
  <c r="G48" i="19"/>
  <c r="C48" i="19"/>
  <c r="F40" i="19"/>
  <c r="J40" i="19"/>
  <c r="D40" i="19"/>
  <c r="H40" i="19"/>
  <c r="I40" i="19"/>
  <c r="E40" i="19"/>
  <c r="G40" i="19"/>
  <c r="C40" i="19"/>
  <c r="E36" i="19"/>
  <c r="I36" i="19"/>
  <c r="D36" i="19"/>
  <c r="H36" i="19"/>
  <c r="G36" i="19"/>
  <c r="C36" i="19"/>
  <c r="F36" i="19"/>
  <c r="J36" i="19"/>
  <c r="E28" i="19"/>
  <c r="I28" i="19"/>
  <c r="D28" i="19"/>
  <c r="H28" i="19"/>
  <c r="G28" i="19"/>
  <c r="C28" i="19"/>
  <c r="F28" i="19"/>
  <c r="J28" i="19"/>
  <c r="E20" i="19"/>
  <c r="I20" i="19"/>
  <c r="D20" i="19"/>
  <c r="H20" i="19"/>
  <c r="G20" i="19"/>
  <c r="C20" i="19"/>
  <c r="F20" i="19"/>
  <c r="J20" i="19"/>
  <c r="E12" i="19"/>
  <c r="I12" i="19"/>
  <c r="D12" i="19"/>
  <c r="H12" i="19"/>
  <c r="G12" i="19"/>
  <c r="C12" i="19"/>
  <c r="F12" i="19"/>
  <c r="J12" i="19"/>
  <c r="E4" i="19"/>
  <c r="I4" i="19"/>
  <c r="G4" i="19"/>
  <c r="C4" i="19"/>
  <c r="D4" i="19"/>
  <c r="H4" i="19"/>
  <c r="F4" i="19"/>
  <c r="J4" i="19"/>
  <c r="D67" i="19"/>
  <c r="H67" i="19"/>
  <c r="F67" i="19"/>
  <c r="J67" i="19"/>
  <c r="C67" i="19"/>
  <c r="G67" i="19"/>
  <c r="I67" i="19"/>
  <c r="E67" i="19"/>
  <c r="F59" i="19"/>
  <c r="J59" i="19"/>
  <c r="D59" i="19"/>
  <c r="H59" i="19"/>
  <c r="I59" i="19"/>
  <c r="E59" i="19"/>
  <c r="G59" i="19"/>
  <c r="C59" i="19"/>
  <c r="F51" i="19"/>
  <c r="J51" i="19"/>
  <c r="D51" i="19"/>
  <c r="H51" i="19"/>
  <c r="I51" i="19"/>
  <c r="E51" i="19"/>
  <c r="G51" i="19"/>
  <c r="C51" i="19"/>
  <c r="E31" i="19"/>
  <c r="I31" i="19"/>
  <c r="D31" i="19"/>
  <c r="H31" i="19"/>
  <c r="G31" i="19"/>
  <c r="C31" i="19"/>
  <c r="F31" i="19"/>
  <c r="J31" i="19"/>
  <c r="E23" i="19"/>
  <c r="I23" i="19"/>
  <c r="D23" i="19"/>
  <c r="H23" i="19"/>
  <c r="G23" i="19"/>
  <c r="C23" i="19"/>
  <c r="F23" i="19"/>
  <c r="J23" i="19"/>
  <c r="E15" i="19"/>
  <c r="I15" i="19"/>
  <c r="D15" i="19"/>
  <c r="H15" i="19"/>
  <c r="G15" i="19"/>
  <c r="C15" i="19"/>
  <c r="F15" i="19"/>
  <c r="J15" i="19"/>
  <c r="E11" i="19"/>
  <c r="I11" i="19"/>
  <c r="D11" i="19"/>
  <c r="H11" i="19"/>
  <c r="G11" i="19"/>
  <c r="C11" i="19"/>
  <c r="F11" i="19"/>
  <c r="J11" i="19"/>
  <c r="AJ83" i="15"/>
  <c r="D69" i="19"/>
  <c r="H69" i="19"/>
  <c r="F69" i="19"/>
  <c r="J69" i="19"/>
  <c r="C69" i="19"/>
  <c r="G69" i="19"/>
  <c r="I69" i="19"/>
  <c r="E69" i="19"/>
  <c r="D65" i="19"/>
  <c r="H65" i="19"/>
  <c r="F65" i="19"/>
  <c r="J65" i="19"/>
  <c r="C65" i="19"/>
  <c r="G65" i="19"/>
  <c r="I65" i="19"/>
  <c r="E65" i="19"/>
  <c r="D61" i="19"/>
  <c r="H61" i="19"/>
  <c r="F61" i="19"/>
  <c r="J61" i="19"/>
  <c r="C61" i="19"/>
  <c r="G61" i="19"/>
  <c r="I61" i="19"/>
  <c r="E61" i="19"/>
  <c r="F57" i="19"/>
  <c r="J57" i="19"/>
  <c r="D57" i="19"/>
  <c r="H57" i="19"/>
  <c r="I57" i="19"/>
  <c r="E57" i="19"/>
  <c r="G57" i="19"/>
  <c r="C57" i="19"/>
  <c r="F53" i="19"/>
  <c r="J53" i="19"/>
  <c r="D53" i="19"/>
  <c r="H53" i="19"/>
  <c r="I53" i="19"/>
  <c r="E53" i="19"/>
  <c r="G53" i="19"/>
  <c r="C53" i="19"/>
  <c r="F49" i="19"/>
  <c r="J49" i="19"/>
  <c r="D49" i="19"/>
  <c r="H49" i="19"/>
  <c r="I49" i="19"/>
  <c r="E49" i="19"/>
  <c r="G49" i="19"/>
  <c r="C49" i="19"/>
  <c r="F45" i="19"/>
  <c r="J45" i="19"/>
  <c r="D45" i="19"/>
  <c r="H45" i="19"/>
  <c r="I45" i="19"/>
  <c r="E45" i="19"/>
  <c r="G45" i="19"/>
  <c r="C45" i="19"/>
  <c r="D37" i="19"/>
  <c r="F37" i="19"/>
  <c r="J37" i="19"/>
  <c r="C37" i="19"/>
  <c r="H37" i="19"/>
  <c r="I37" i="19"/>
  <c r="E37" i="19"/>
  <c r="G37" i="19"/>
  <c r="E33" i="19"/>
  <c r="I33" i="19"/>
  <c r="D33" i="19"/>
  <c r="H33" i="19"/>
  <c r="G33" i="19"/>
  <c r="C33" i="19"/>
  <c r="F33" i="19"/>
  <c r="J33" i="19"/>
  <c r="E29" i="19"/>
  <c r="I29" i="19"/>
  <c r="D29" i="19"/>
  <c r="H29" i="19"/>
  <c r="G29" i="19"/>
  <c r="C29" i="19"/>
  <c r="F29" i="19"/>
  <c r="J29" i="19"/>
  <c r="E25" i="19"/>
  <c r="I25" i="19"/>
  <c r="D25" i="19"/>
  <c r="H25" i="19"/>
  <c r="G25" i="19"/>
  <c r="C25" i="19"/>
  <c r="F25" i="19"/>
  <c r="J25" i="19"/>
  <c r="E21" i="19"/>
  <c r="I21" i="19"/>
  <c r="D21" i="19"/>
  <c r="H21" i="19"/>
  <c r="G21" i="19"/>
  <c r="C21" i="19"/>
  <c r="F21" i="19"/>
  <c r="J21" i="19"/>
  <c r="E17" i="19"/>
  <c r="I17" i="19"/>
  <c r="D17" i="19"/>
  <c r="H17" i="19"/>
  <c r="G17" i="19"/>
  <c r="C17" i="19"/>
  <c r="F17" i="19"/>
  <c r="J17" i="19"/>
  <c r="E13" i="19"/>
  <c r="I13" i="19"/>
  <c r="D13" i="19"/>
  <c r="H13" i="19"/>
  <c r="G13" i="19"/>
  <c r="C13" i="19"/>
  <c r="F13" i="19"/>
  <c r="J13" i="19"/>
  <c r="E9" i="19"/>
  <c r="I9" i="19"/>
  <c r="D9" i="19"/>
  <c r="H9" i="19"/>
  <c r="G9" i="19"/>
  <c r="C9" i="19"/>
  <c r="F9" i="19"/>
  <c r="J9" i="19"/>
  <c r="E5" i="19"/>
  <c r="I5" i="19"/>
  <c r="D5" i="19"/>
  <c r="H5" i="19"/>
  <c r="G5" i="19"/>
  <c r="C5" i="19"/>
  <c r="F5" i="19"/>
  <c r="J5" i="19"/>
  <c r="E7" i="19"/>
  <c r="F7" i="19"/>
  <c r="J7" i="19"/>
  <c r="C7" i="19"/>
  <c r="G7" i="19"/>
  <c r="D7" i="19"/>
  <c r="H7" i="19"/>
  <c r="I7" i="19"/>
  <c r="E41" i="19"/>
  <c r="F41" i="19"/>
  <c r="J41" i="19"/>
  <c r="G41" i="19"/>
  <c r="C41" i="19"/>
  <c r="D41" i="19"/>
  <c r="H41" i="19"/>
  <c r="I41" i="19"/>
  <c r="D43" i="19"/>
  <c r="E43" i="19"/>
  <c r="I43" i="19"/>
  <c r="F43" i="19"/>
  <c r="J43" i="19"/>
  <c r="C43" i="19"/>
  <c r="G43" i="19"/>
  <c r="H43" i="19"/>
  <c r="AN82" i="15"/>
  <c r="AC82" i="15"/>
  <c r="Y82" i="15"/>
  <c r="AB82" i="15"/>
  <c r="X82" i="15"/>
  <c r="AF82" i="15" s="1"/>
  <c r="AE82" i="15"/>
  <c r="AJ81" i="15"/>
  <c r="AL81" i="15"/>
  <c r="AH81" i="15"/>
  <c r="AM81" i="15"/>
  <c r="AI81" i="15"/>
  <c r="AK81" i="15"/>
  <c r="AM83" i="15"/>
  <c r="AI83" i="15"/>
  <c r="AK83" i="15"/>
  <c r="G7" i="3" l="1"/>
  <c r="K7" i="3"/>
  <c r="H7" i="3"/>
  <c r="L7" i="3"/>
  <c r="E7" i="3"/>
  <c r="I7" i="3"/>
  <c r="F7" i="3"/>
  <c r="J7" i="3"/>
  <c r="N51" i="19"/>
  <c r="M51" i="19"/>
  <c r="O51" i="19"/>
  <c r="P51" i="19"/>
  <c r="N59" i="19"/>
  <c r="O59" i="19"/>
  <c r="M59" i="19"/>
  <c r="P59" i="19"/>
  <c r="M48" i="19"/>
  <c r="O48" i="19"/>
  <c r="P48" i="19"/>
  <c r="N48" i="19"/>
  <c r="M56" i="19"/>
  <c r="O56" i="19"/>
  <c r="P56" i="19"/>
  <c r="N56" i="19"/>
  <c r="O46" i="19"/>
  <c r="M46" i="19"/>
  <c r="N46" i="19"/>
  <c r="P46" i="19"/>
  <c r="O50" i="19"/>
  <c r="P50" i="19"/>
  <c r="N50" i="19"/>
  <c r="M50" i="19"/>
  <c r="O54" i="19"/>
  <c r="P54" i="19"/>
  <c r="N54" i="19"/>
  <c r="M54" i="19"/>
  <c r="O58" i="19"/>
  <c r="N58" i="19"/>
  <c r="P58" i="19"/>
  <c r="M58" i="19"/>
  <c r="N43" i="19"/>
  <c r="O43" i="19"/>
  <c r="M43" i="19"/>
  <c r="P43" i="19"/>
  <c r="N63" i="19"/>
  <c r="O63" i="19"/>
  <c r="M63" i="19"/>
  <c r="P63" i="19"/>
  <c r="N71" i="19"/>
  <c r="P71" i="19"/>
  <c r="M71" i="19"/>
  <c r="O71" i="19"/>
  <c r="P45" i="19"/>
  <c r="M45" i="19"/>
  <c r="O45" i="19"/>
  <c r="N45" i="19"/>
  <c r="P49" i="19"/>
  <c r="M49" i="19"/>
  <c r="N49" i="19"/>
  <c r="O49" i="19"/>
  <c r="P53" i="19"/>
  <c r="O53" i="19"/>
  <c r="M53" i="19"/>
  <c r="N53" i="19"/>
  <c r="P57" i="19"/>
  <c r="M57" i="19"/>
  <c r="O57" i="19"/>
  <c r="N57" i="19"/>
  <c r="N67" i="19"/>
  <c r="O67" i="19"/>
  <c r="M67" i="19"/>
  <c r="P67" i="19"/>
  <c r="M64" i="19"/>
  <c r="O64" i="19"/>
  <c r="P64" i="19"/>
  <c r="N64" i="19"/>
  <c r="O62" i="19"/>
  <c r="P62" i="19"/>
  <c r="M62" i="19"/>
  <c r="N62" i="19"/>
  <c r="O66" i="19"/>
  <c r="P66" i="19"/>
  <c r="N66" i="19"/>
  <c r="M66" i="19"/>
  <c r="O70" i="19"/>
  <c r="P70" i="19"/>
  <c r="M70" i="19"/>
  <c r="N70" i="19"/>
  <c r="M68" i="19"/>
  <c r="O68" i="19"/>
  <c r="P68" i="19"/>
  <c r="N68" i="19"/>
  <c r="M40" i="19"/>
  <c r="O40" i="19"/>
  <c r="P40" i="19"/>
  <c r="N40" i="19"/>
  <c r="O38" i="19"/>
  <c r="P38" i="19"/>
  <c r="N38" i="19"/>
  <c r="M38" i="19"/>
  <c r="O42" i="19"/>
  <c r="N42" i="19"/>
  <c r="P42" i="19"/>
  <c r="M42" i="19"/>
  <c r="M44" i="19"/>
  <c r="O44" i="19"/>
  <c r="P44" i="19"/>
  <c r="N44" i="19"/>
  <c r="M52" i="19"/>
  <c r="N52" i="19"/>
  <c r="O52" i="19"/>
  <c r="P52" i="19"/>
  <c r="N39" i="19"/>
  <c r="O39" i="19"/>
  <c r="P39" i="19"/>
  <c r="M39" i="19"/>
  <c r="M60" i="19"/>
  <c r="O60" i="19"/>
  <c r="P60" i="19"/>
  <c r="N60" i="19"/>
  <c r="P61" i="19"/>
  <c r="M61" i="19"/>
  <c r="O61" i="19"/>
  <c r="N61" i="19"/>
  <c r="P65" i="19"/>
  <c r="O65" i="19"/>
  <c r="M65" i="19"/>
  <c r="N65" i="19"/>
  <c r="P69" i="19"/>
  <c r="M69" i="19"/>
  <c r="O69" i="19"/>
  <c r="N69" i="19"/>
  <c r="N47" i="19"/>
  <c r="O47" i="19"/>
  <c r="M47" i="19"/>
  <c r="P47" i="19"/>
  <c r="N55" i="19"/>
  <c r="O55" i="19"/>
  <c r="M55" i="19"/>
  <c r="P55" i="19"/>
  <c r="O41" i="19"/>
  <c r="P41" i="19"/>
  <c r="M41" i="19"/>
  <c r="N41" i="19"/>
  <c r="AH82" i="15"/>
  <c r="AJ82" i="15"/>
  <c r="AG82" i="15"/>
  <c r="AI82" i="15"/>
  <c r="AT71" i="15"/>
  <c r="A71" i="19"/>
  <c r="L71" i="19" s="1"/>
  <c r="AT70" i="15"/>
  <c r="A70" i="19"/>
  <c r="L70" i="19" s="1"/>
  <c r="AL82" i="15"/>
  <c r="AK82" i="15"/>
  <c r="AM82" i="15"/>
  <c r="H75" i="3"/>
  <c r="L75" i="3"/>
  <c r="F76" i="3"/>
  <c r="J76" i="3"/>
  <c r="E75" i="3"/>
  <c r="I75" i="3"/>
  <c r="G76" i="3"/>
  <c r="K76" i="3"/>
  <c r="F75" i="3"/>
  <c r="J75" i="3"/>
  <c r="H76" i="3"/>
  <c r="L76" i="3"/>
  <c r="G75" i="3"/>
  <c r="K75" i="3"/>
  <c r="E76" i="3"/>
  <c r="I76" i="3"/>
  <c r="X30" i="15"/>
  <c r="Y30" i="15"/>
  <c r="Z30" i="15"/>
  <c r="AA30" i="15"/>
  <c r="AB30" i="15"/>
  <c r="AC30" i="15"/>
  <c r="AD30" i="15"/>
  <c r="AE30" i="15"/>
  <c r="X31" i="15"/>
  <c r="Y31" i="15"/>
  <c r="Z31" i="15"/>
  <c r="AA31" i="15"/>
  <c r="AB31" i="15"/>
  <c r="AC31" i="15"/>
  <c r="AD31" i="15"/>
  <c r="AE31" i="15"/>
  <c r="X32" i="15"/>
  <c r="Y32" i="15"/>
  <c r="Z32" i="15"/>
  <c r="AA32" i="15"/>
  <c r="AB32" i="15"/>
  <c r="AC32" i="15"/>
  <c r="AD32" i="15"/>
  <c r="AE32" i="15"/>
  <c r="X33" i="15"/>
  <c r="Y33" i="15"/>
  <c r="Z33" i="15"/>
  <c r="AA33" i="15"/>
  <c r="AB33" i="15"/>
  <c r="AC33" i="15"/>
  <c r="AD33" i="15"/>
  <c r="AE33" i="15"/>
  <c r="X34" i="15"/>
  <c r="Y34" i="15"/>
  <c r="Z34" i="15"/>
  <c r="AA34" i="15"/>
  <c r="AB34" i="15"/>
  <c r="AC34" i="15"/>
  <c r="AD34" i="15"/>
  <c r="AE34" i="15"/>
  <c r="X35" i="15"/>
  <c r="Y35" i="15"/>
  <c r="Z35" i="15"/>
  <c r="AA35" i="15"/>
  <c r="AB35" i="15"/>
  <c r="AC35" i="15"/>
  <c r="AD35" i="15"/>
  <c r="AE35" i="15"/>
  <c r="X36" i="15"/>
  <c r="Y36" i="15"/>
  <c r="Z36" i="15"/>
  <c r="AA36" i="15"/>
  <c r="AB36" i="15"/>
  <c r="AC36" i="15"/>
  <c r="AD36" i="15"/>
  <c r="AE36" i="15"/>
  <c r="X37" i="15"/>
  <c r="Y37" i="15"/>
  <c r="Z37" i="15"/>
  <c r="AA37" i="15"/>
  <c r="AB37" i="15"/>
  <c r="AC37" i="15"/>
  <c r="AD37" i="15"/>
  <c r="AE37" i="15"/>
  <c r="X38" i="15"/>
  <c r="Y38" i="15"/>
  <c r="Z38" i="15"/>
  <c r="AA38" i="15"/>
  <c r="AB38" i="15"/>
  <c r="AC38" i="15"/>
  <c r="AD38" i="15"/>
  <c r="AE38" i="15"/>
  <c r="X39" i="15"/>
  <c r="Y39" i="15"/>
  <c r="Z39" i="15"/>
  <c r="AA39" i="15"/>
  <c r="AB39" i="15"/>
  <c r="AC39" i="15"/>
  <c r="AD39" i="15"/>
  <c r="AE39" i="15"/>
  <c r="X40" i="15"/>
  <c r="Y40" i="15"/>
  <c r="Z40" i="15"/>
  <c r="AA40" i="15"/>
  <c r="AB40" i="15"/>
  <c r="AC40" i="15"/>
  <c r="AD40" i="15"/>
  <c r="AE40" i="15"/>
  <c r="X41" i="15"/>
  <c r="Y41" i="15"/>
  <c r="Z41" i="15"/>
  <c r="AA41" i="15"/>
  <c r="AB41" i="15"/>
  <c r="AC41" i="15"/>
  <c r="AD41" i="15"/>
  <c r="AE41" i="15"/>
  <c r="X42" i="15"/>
  <c r="Y42" i="15"/>
  <c r="Z42" i="15"/>
  <c r="AA42" i="15"/>
  <c r="AB42" i="15"/>
  <c r="AC42" i="15"/>
  <c r="AD42" i="15"/>
  <c r="AE42" i="15"/>
  <c r="X43" i="15"/>
  <c r="Y43" i="15"/>
  <c r="Z43" i="15"/>
  <c r="AA43" i="15"/>
  <c r="AB43" i="15"/>
  <c r="AC43" i="15"/>
  <c r="AD43" i="15"/>
  <c r="AE43" i="15"/>
  <c r="X44" i="15"/>
  <c r="Y44" i="15"/>
  <c r="Z44" i="15"/>
  <c r="AA44" i="15"/>
  <c r="AB44" i="15"/>
  <c r="AC44" i="15"/>
  <c r="AD44" i="15"/>
  <c r="AE44" i="15"/>
  <c r="X45" i="15"/>
  <c r="Y45" i="15"/>
  <c r="Z45" i="15"/>
  <c r="AA45" i="15"/>
  <c r="AB45" i="15"/>
  <c r="AC45" i="15"/>
  <c r="AD45" i="15"/>
  <c r="AE45" i="15"/>
  <c r="X46" i="15"/>
  <c r="Y46" i="15"/>
  <c r="Z46" i="15"/>
  <c r="AA46" i="15"/>
  <c r="AB46" i="15"/>
  <c r="AC46" i="15"/>
  <c r="AD46" i="15"/>
  <c r="AE46" i="15"/>
  <c r="X47" i="15"/>
  <c r="Y47" i="15"/>
  <c r="Z47" i="15"/>
  <c r="AA47" i="15"/>
  <c r="AB47" i="15"/>
  <c r="AC47" i="15"/>
  <c r="AD47" i="15"/>
  <c r="AE47" i="15"/>
  <c r="X48" i="15"/>
  <c r="Y48" i="15"/>
  <c r="Z48" i="15"/>
  <c r="AA48" i="15"/>
  <c r="AB48" i="15"/>
  <c r="AC48" i="15"/>
  <c r="AD48" i="15"/>
  <c r="AE48" i="15"/>
  <c r="X49" i="15"/>
  <c r="Y49" i="15"/>
  <c r="Z49" i="15"/>
  <c r="AA49" i="15"/>
  <c r="AB49" i="15"/>
  <c r="AC49" i="15"/>
  <c r="AD49" i="15"/>
  <c r="AE49" i="15"/>
  <c r="X50" i="15"/>
  <c r="Y50" i="15"/>
  <c r="Z50" i="15"/>
  <c r="AA50" i="15"/>
  <c r="AB50" i="15"/>
  <c r="AC50" i="15"/>
  <c r="AD50" i="15"/>
  <c r="AE50" i="15"/>
  <c r="X51" i="15"/>
  <c r="Y51" i="15"/>
  <c r="Z51" i="15"/>
  <c r="AA51" i="15"/>
  <c r="AB51" i="15"/>
  <c r="AC51" i="15"/>
  <c r="AD51" i="15"/>
  <c r="AE51" i="15"/>
  <c r="X52" i="15"/>
  <c r="Y52" i="15"/>
  <c r="Z52" i="15"/>
  <c r="AA52" i="15"/>
  <c r="AB52" i="15"/>
  <c r="AC52" i="15"/>
  <c r="AD52" i="15"/>
  <c r="AE52" i="15"/>
  <c r="X53" i="15"/>
  <c r="Y53" i="15"/>
  <c r="Z53" i="15"/>
  <c r="AA53" i="15"/>
  <c r="AB53" i="15"/>
  <c r="AC53" i="15"/>
  <c r="AD53" i="15"/>
  <c r="AE53" i="15"/>
  <c r="X54" i="15"/>
  <c r="Y54" i="15"/>
  <c r="Z54" i="15"/>
  <c r="AA54" i="15"/>
  <c r="AB54" i="15"/>
  <c r="AC54" i="15"/>
  <c r="AD54" i="15"/>
  <c r="AE54" i="15"/>
  <c r="X55" i="15"/>
  <c r="Y55" i="15"/>
  <c r="Z55" i="15"/>
  <c r="AA55" i="15"/>
  <c r="AB55" i="15"/>
  <c r="AC55" i="15"/>
  <c r="AD55" i="15"/>
  <c r="AE55" i="15"/>
  <c r="X56" i="15"/>
  <c r="Y56" i="15"/>
  <c r="Z56" i="15"/>
  <c r="AA56" i="15"/>
  <c r="AB56" i="15"/>
  <c r="AC56" i="15"/>
  <c r="AD56" i="15"/>
  <c r="AE56" i="15"/>
  <c r="X57" i="15"/>
  <c r="AF57" i="15" s="1"/>
  <c r="Y57" i="15"/>
  <c r="Z57" i="15"/>
  <c r="AA57" i="15"/>
  <c r="AB57" i="15"/>
  <c r="AC57" i="15"/>
  <c r="AD57" i="15"/>
  <c r="AE57" i="15"/>
  <c r="X58" i="15"/>
  <c r="Y58" i="15"/>
  <c r="Z58" i="15"/>
  <c r="AA58" i="15"/>
  <c r="AB58" i="15"/>
  <c r="AC58" i="15"/>
  <c r="AD58" i="15"/>
  <c r="AE58" i="15"/>
  <c r="X59" i="15"/>
  <c r="Y59" i="15"/>
  <c r="Z59" i="15"/>
  <c r="AA59" i="15"/>
  <c r="AB59" i="15"/>
  <c r="AC59" i="15"/>
  <c r="AD59" i="15"/>
  <c r="AE59" i="15"/>
  <c r="X60" i="15"/>
  <c r="Y60" i="15"/>
  <c r="Z60" i="15"/>
  <c r="AA60" i="15"/>
  <c r="AB60" i="15"/>
  <c r="AC60" i="15"/>
  <c r="AD60" i="15"/>
  <c r="AE60" i="15"/>
  <c r="X61" i="15"/>
  <c r="Y61" i="15"/>
  <c r="Z61" i="15"/>
  <c r="AA61" i="15"/>
  <c r="AB61" i="15"/>
  <c r="AC61" i="15"/>
  <c r="AD61" i="15"/>
  <c r="AE61" i="15"/>
  <c r="X62" i="15"/>
  <c r="Y62" i="15"/>
  <c r="Z62" i="15"/>
  <c r="AA62" i="15"/>
  <c r="AB62" i="15"/>
  <c r="AC62" i="15"/>
  <c r="AD62" i="15"/>
  <c r="AE62" i="15"/>
  <c r="X63" i="15"/>
  <c r="Y63" i="15"/>
  <c r="Z63" i="15"/>
  <c r="AA63" i="15"/>
  <c r="AB63" i="15"/>
  <c r="AC63" i="15"/>
  <c r="AD63" i="15"/>
  <c r="AE63" i="15"/>
  <c r="X64" i="15"/>
  <c r="Y64" i="15"/>
  <c r="Z64" i="15"/>
  <c r="AA64" i="15"/>
  <c r="AB64" i="15"/>
  <c r="AC64" i="15"/>
  <c r="AD64" i="15"/>
  <c r="AE64" i="15"/>
  <c r="X65" i="15"/>
  <c r="Y65" i="15"/>
  <c r="Z65" i="15"/>
  <c r="AA65" i="15"/>
  <c r="AB65" i="15"/>
  <c r="AC65" i="15"/>
  <c r="AD65" i="15"/>
  <c r="AE65" i="15"/>
  <c r="X66" i="15"/>
  <c r="Y66" i="15"/>
  <c r="Z66" i="15"/>
  <c r="AA66" i="15"/>
  <c r="AB66" i="15"/>
  <c r="AC66" i="15"/>
  <c r="AD66" i="15"/>
  <c r="AE66" i="15"/>
  <c r="X67" i="15"/>
  <c r="Y67" i="15"/>
  <c r="Z67" i="15"/>
  <c r="AA67" i="15"/>
  <c r="AB67" i="15"/>
  <c r="AC67" i="15"/>
  <c r="AD67" i="15"/>
  <c r="AE67" i="15"/>
  <c r="X68" i="15"/>
  <c r="Y68" i="15"/>
  <c r="Z68" i="15"/>
  <c r="AA68" i="15"/>
  <c r="AB68" i="15"/>
  <c r="AC68" i="15"/>
  <c r="AD68" i="15"/>
  <c r="AE68" i="15"/>
  <c r="X69" i="15"/>
  <c r="Y69" i="15"/>
  <c r="Z69" i="15"/>
  <c r="AA69" i="15"/>
  <c r="AB69" i="15"/>
  <c r="AC69" i="15"/>
  <c r="AD69" i="15"/>
  <c r="AE69" i="15"/>
  <c r="X70" i="15"/>
  <c r="Y70" i="15"/>
  <c r="Z70" i="15"/>
  <c r="AA70" i="15"/>
  <c r="AB70" i="15"/>
  <c r="AC70" i="15"/>
  <c r="AD70" i="15"/>
  <c r="AE70" i="15"/>
  <c r="X71" i="15"/>
  <c r="Y71" i="15"/>
  <c r="Z71" i="15"/>
  <c r="AA71" i="15"/>
  <c r="AB71" i="15"/>
  <c r="AC71" i="15"/>
  <c r="AD71" i="15"/>
  <c r="AE71" i="15"/>
  <c r="X72" i="15"/>
  <c r="Y72" i="15"/>
  <c r="Z72" i="15"/>
  <c r="AA72" i="15"/>
  <c r="AB72" i="15"/>
  <c r="AC72" i="15"/>
  <c r="AD72" i="15"/>
  <c r="AE72" i="15"/>
  <c r="X73" i="15"/>
  <c r="Y73" i="15"/>
  <c r="Z73" i="15"/>
  <c r="AA73" i="15"/>
  <c r="AB73" i="15"/>
  <c r="AC73" i="15"/>
  <c r="AD73" i="15"/>
  <c r="AE73" i="15"/>
  <c r="X74" i="15"/>
  <c r="Y74" i="15"/>
  <c r="Z74" i="15"/>
  <c r="AA74" i="15"/>
  <c r="AB74" i="15"/>
  <c r="AC74" i="15"/>
  <c r="AD74" i="15"/>
  <c r="AE74" i="15"/>
  <c r="X75" i="15"/>
  <c r="Y75" i="15"/>
  <c r="Z75" i="15"/>
  <c r="AA75" i="15"/>
  <c r="AB75" i="15"/>
  <c r="AC75" i="15"/>
  <c r="AD75" i="15"/>
  <c r="AE75" i="15"/>
  <c r="X76" i="15"/>
  <c r="Y76" i="15"/>
  <c r="Z76" i="15"/>
  <c r="AA76" i="15"/>
  <c r="AB76" i="15"/>
  <c r="AC76" i="15"/>
  <c r="AD76" i="15"/>
  <c r="AE76" i="15"/>
  <c r="X77" i="15"/>
  <c r="Y77" i="15"/>
  <c r="Z77" i="15"/>
  <c r="AA77" i="15"/>
  <c r="AB77" i="15"/>
  <c r="AC77" i="15"/>
  <c r="AD77" i="15"/>
  <c r="AE77" i="15"/>
  <c r="X78" i="15"/>
  <c r="Y78" i="15"/>
  <c r="Z78" i="15"/>
  <c r="AA78" i="15"/>
  <c r="AB78" i="15"/>
  <c r="AC78" i="15"/>
  <c r="AD78" i="15"/>
  <c r="AE78" i="15"/>
  <c r="X79" i="15"/>
  <c r="Y79" i="15"/>
  <c r="Z79" i="15"/>
  <c r="AA79" i="15"/>
  <c r="AB79" i="15"/>
  <c r="AC79" i="15"/>
  <c r="AD79" i="15"/>
  <c r="AE79" i="15"/>
  <c r="X80" i="15"/>
  <c r="Y80" i="15"/>
  <c r="Z80" i="15"/>
  <c r="AA80" i="15"/>
  <c r="AB80" i="15"/>
  <c r="AC80" i="15"/>
  <c r="AD80" i="15"/>
  <c r="AE80" i="15"/>
  <c r="X15" i="15"/>
  <c r="Y15" i="15"/>
  <c r="Z15" i="15"/>
  <c r="AA15" i="15"/>
  <c r="AB15" i="15"/>
  <c r="AC15" i="15"/>
  <c r="AD15" i="15"/>
  <c r="AE15" i="15"/>
  <c r="X16" i="15"/>
  <c r="Y16" i="15"/>
  <c r="Z16" i="15"/>
  <c r="AA16" i="15"/>
  <c r="AB16" i="15"/>
  <c r="AC16" i="15"/>
  <c r="AD16" i="15"/>
  <c r="AE16" i="15"/>
  <c r="X17" i="15"/>
  <c r="Y17" i="15"/>
  <c r="Z17" i="15"/>
  <c r="AA17" i="15"/>
  <c r="AB17" i="15"/>
  <c r="AC17" i="15"/>
  <c r="AD17" i="15"/>
  <c r="AE17" i="15"/>
  <c r="X18" i="15"/>
  <c r="Y18" i="15"/>
  <c r="Z18" i="15"/>
  <c r="AA18" i="15"/>
  <c r="AB18" i="15"/>
  <c r="AC18" i="15"/>
  <c r="AD18" i="15"/>
  <c r="AE18" i="15"/>
  <c r="X19" i="15"/>
  <c r="Y19" i="15"/>
  <c r="Z19" i="15"/>
  <c r="AA19" i="15"/>
  <c r="AB19" i="15"/>
  <c r="AC19" i="15"/>
  <c r="AD19" i="15"/>
  <c r="AE19" i="15"/>
  <c r="X20" i="15"/>
  <c r="Y20" i="15"/>
  <c r="Z20" i="15"/>
  <c r="AA20" i="15"/>
  <c r="AB20" i="15"/>
  <c r="AC20" i="15"/>
  <c r="AD20" i="15"/>
  <c r="AE20" i="15"/>
  <c r="X21" i="15"/>
  <c r="Y21" i="15"/>
  <c r="Z21" i="15"/>
  <c r="AA21" i="15"/>
  <c r="AB21" i="15"/>
  <c r="AC21" i="15"/>
  <c r="AD21" i="15"/>
  <c r="AE21" i="15"/>
  <c r="X22" i="15"/>
  <c r="Y22" i="15"/>
  <c r="Z22" i="15"/>
  <c r="AA22" i="15"/>
  <c r="AB22" i="15"/>
  <c r="AC22" i="15"/>
  <c r="AD22" i="15"/>
  <c r="AE22" i="15"/>
  <c r="X23" i="15"/>
  <c r="Y23" i="15"/>
  <c r="Z23" i="15"/>
  <c r="AA23" i="15"/>
  <c r="AB23" i="15"/>
  <c r="AC23" i="15"/>
  <c r="AD23" i="15"/>
  <c r="AE23" i="15"/>
  <c r="X24" i="15"/>
  <c r="Y24" i="15"/>
  <c r="Z24" i="15"/>
  <c r="AA24" i="15"/>
  <c r="AB24" i="15"/>
  <c r="AC24" i="15"/>
  <c r="AD24" i="15"/>
  <c r="AE24" i="15"/>
  <c r="X25" i="15"/>
  <c r="Y25" i="15"/>
  <c r="Z25" i="15"/>
  <c r="AA25" i="15"/>
  <c r="AB25" i="15"/>
  <c r="AC25" i="15"/>
  <c r="AD25" i="15"/>
  <c r="AE25" i="15"/>
  <c r="X26" i="15"/>
  <c r="Y26" i="15"/>
  <c r="Z26" i="15"/>
  <c r="AA26" i="15"/>
  <c r="AB26" i="15"/>
  <c r="AC26" i="15"/>
  <c r="AD26" i="15"/>
  <c r="AE26" i="15"/>
  <c r="X27" i="15"/>
  <c r="Y27" i="15"/>
  <c r="Z27" i="15"/>
  <c r="AA27" i="15"/>
  <c r="AB27" i="15"/>
  <c r="AC27" i="15"/>
  <c r="AD27" i="15"/>
  <c r="AE27" i="15"/>
  <c r="X28" i="15"/>
  <c r="Y28" i="15"/>
  <c r="Z28" i="15"/>
  <c r="AA28" i="15"/>
  <c r="AB28" i="15"/>
  <c r="AC28" i="15"/>
  <c r="AD28" i="15"/>
  <c r="AE28" i="15"/>
  <c r="X29" i="15"/>
  <c r="Y29" i="15"/>
  <c r="Z29" i="15"/>
  <c r="AA29" i="15"/>
  <c r="AB29" i="15"/>
  <c r="AC29" i="15"/>
  <c r="AD29" i="15"/>
  <c r="AE29" i="15"/>
  <c r="Y14" i="15"/>
  <c r="Z14" i="15"/>
  <c r="AA14" i="15"/>
  <c r="AB14" i="15"/>
  <c r="AC14" i="15"/>
  <c r="AD14" i="15"/>
  <c r="AE14" i="15"/>
  <c r="AM44" i="15" l="1"/>
  <c r="AM38" i="15"/>
  <c r="F75" i="7"/>
  <c r="E76" i="13"/>
  <c r="H75" i="7"/>
  <c r="G76" i="13"/>
  <c r="H77" i="13"/>
  <c r="I76" i="7"/>
  <c r="K77" i="13"/>
  <c r="L76" i="7"/>
  <c r="J77" i="13"/>
  <c r="K76" i="7"/>
  <c r="I77" i="13"/>
  <c r="J76" i="7"/>
  <c r="E76" i="4"/>
  <c r="D77" i="13"/>
  <c r="E76" i="7"/>
  <c r="G77" i="13"/>
  <c r="H76" i="7"/>
  <c r="E77" i="13"/>
  <c r="F76" i="7"/>
  <c r="F77" i="13"/>
  <c r="G76" i="7"/>
  <c r="J76" i="13"/>
  <c r="K75" i="7"/>
  <c r="J75" i="7"/>
  <c r="I76" i="13"/>
  <c r="I75" i="7"/>
  <c r="H76" i="13"/>
  <c r="L75" i="7"/>
  <c r="K76" i="13"/>
  <c r="F76" i="13"/>
  <c r="G75" i="7"/>
  <c r="E75" i="7"/>
  <c r="E75" i="4"/>
  <c r="D76" i="13"/>
  <c r="AM80" i="15"/>
  <c r="AI79" i="15"/>
  <c r="AM78" i="15"/>
  <c r="AM76" i="15"/>
  <c r="AI75" i="15"/>
  <c r="AM74" i="15"/>
  <c r="AI73" i="15"/>
  <c r="AM72" i="15"/>
  <c r="AI71" i="15"/>
  <c r="AM70" i="15"/>
  <c r="AG69" i="15"/>
  <c r="AG68" i="15"/>
  <c r="AG67" i="15"/>
  <c r="AG66" i="15"/>
  <c r="AG65" i="15"/>
  <c r="AM34" i="15"/>
  <c r="AM48" i="15"/>
  <c r="AI66" i="15"/>
  <c r="AM65" i="15"/>
  <c r="AI58" i="15"/>
  <c r="AI69" i="15"/>
  <c r="AI67" i="15"/>
  <c r="AI65" i="15"/>
  <c r="AI68" i="15"/>
  <c r="AM69" i="15"/>
  <c r="AM67" i="15"/>
  <c r="AI64" i="15"/>
  <c r="AM55" i="15"/>
  <c r="AM68" i="15"/>
  <c r="AM66" i="15"/>
  <c r="AG64" i="15"/>
  <c r="AG63" i="15"/>
  <c r="AG62" i="15"/>
  <c r="AG61" i="15"/>
  <c r="AG60" i="15"/>
  <c r="AG59" i="15"/>
  <c r="AG58" i="15"/>
  <c r="AI62" i="15"/>
  <c r="AM64" i="15"/>
  <c r="AI63" i="15"/>
  <c r="AM62" i="15"/>
  <c r="AI61" i="15"/>
  <c r="AM60" i="15"/>
  <c r="AM59" i="15"/>
  <c r="AM58" i="15"/>
  <c r="AM57" i="15"/>
  <c r="AL56" i="15"/>
  <c r="AM54" i="15"/>
  <c r="AM52" i="15"/>
  <c r="AM50" i="15"/>
  <c r="AM42" i="15"/>
  <c r="AM40" i="15"/>
  <c r="AM32" i="15"/>
  <c r="AM30" i="15"/>
  <c r="AI60" i="15"/>
  <c r="AG29" i="15"/>
  <c r="AK29" i="15"/>
  <c r="AH29" i="15"/>
  <c r="AL29" i="15"/>
  <c r="AF29" i="15"/>
  <c r="AJ29" i="15"/>
  <c r="AM29" i="15"/>
  <c r="AI29" i="15"/>
  <c r="AG23" i="15"/>
  <c r="AK23" i="15"/>
  <c r="AH23" i="15"/>
  <c r="AL23" i="15"/>
  <c r="AF23" i="15"/>
  <c r="AJ23" i="15"/>
  <c r="AM23" i="15"/>
  <c r="AI23" i="15"/>
  <c r="AG22" i="15"/>
  <c r="AK22" i="15"/>
  <c r="AH22" i="15"/>
  <c r="AL22" i="15"/>
  <c r="AF22" i="15"/>
  <c r="AJ22" i="15"/>
  <c r="AM22" i="15"/>
  <c r="AI22" i="15"/>
  <c r="AG21" i="15"/>
  <c r="AK21" i="15"/>
  <c r="AH21" i="15"/>
  <c r="AL21" i="15"/>
  <c r="AF21" i="15"/>
  <c r="AJ21" i="15"/>
  <c r="AM21" i="15"/>
  <c r="AI21" i="15"/>
  <c r="AG20" i="15"/>
  <c r="AK20" i="15"/>
  <c r="AH20" i="15"/>
  <c r="AL20" i="15"/>
  <c r="AF20" i="15"/>
  <c r="AJ20" i="15"/>
  <c r="AM20" i="15"/>
  <c r="AI20" i="15"/>
  <c r="AI80" i="15"/>
  <c r="AI76" i="15"/>
  <c r="AI72" i="15"/>
  <c r="AL14" i="15"/>
  <c r="AH14" i="15"/>
  <c r="AK14" i="15"/>
  <c r="AG14" i="15"/>
  <c r="AM14" i="15"/>
  <c r="AI14" i="15"/>
  <c r="AM46" i="15"/>
  <c r="AM79" i="15"/>
  <c r="AM75" i="15"/>
  <c r="AM73" i="15"/>
  <c r="AM61" i="15"/>
  <c r="AJ14" i="15"/>
  <c r="AI59" i="15"/>
  <c r="AI57" i="15"/>
  <c r="AG28" i="15"/>
  <c r="AK28" i="15"/>
  <c r="AH28" i="15"/>
  <c r="AL28" i="15"/>
  <c r="AF28" i="15"/>
  <c r="AJ28" i="15"/>
  <c r="AM28" i="15"/>
  <c r="AI28" i="15"/>
  <c r="AG27" i="15"/>
  <c r="AK27" i="15"/>
  <c r="AH27" i="15"/>
  <c r="AL27" i="15"/>
  <c r="AF27" i="15"/>
  <c r="AJ27" i="15"/>
  <c r="AM27" i="15"/>
  <c r="AI27" i="15"/>
  <c r="AG26" i="15"/>
  <c r="AK26" i="15"/>
  <c r="AH26" i="15"/>
  <c r="AL26" i="15"/>
  <c r="AF26" i="15"/>
  <c r="AJ26" i="15"/>
  <c r="AM26" i="15"/>
  <c r="AI26" i="15"/>
  <c r="AG25" i="15"/>
  <c r="AK25" i="15"/>
  <c r="AH25" i="15"/>
  <c r="AL25" i="15"/>
  <c r="AF25" i="15"/>
  <c r="AJ25" i="15"/>
  <c r="AM25" i="15"/>
  <c r="AI25" i="15"/>
  <c r="AG24" i="15"/>
  <c r="AK24" i="15"/>
  <c r="AH24" i="15"/>
  <c r="AL24" i="15"/>
  <c r="AF24" i="15"/>
  <c r="AJ24" i="15"/>
  <c r="AM24" i="15"/>
  <c r="AI24" i="15"/>
  <c r="AG19" i="15"/>
  <c r="AK19" i="15"/>
  <c r="AH19" i="15"/>
  <c r="AL19" i="15"/>
  <c r="AF19" i="15"/>
  <c r="AJ19" i="15"/>
  <c r="AM19" i="15"/>
  <c r="AI19" i="15"/>
  <c r="AG18" i="15"/>
  <c r="AK18" i="15"/>
  <c r="AH18" i="15"/>
  <c r="AL18" i="15"/>
  <c r="AF18" i="15"/>
  <c r="AJ18" i="15"/>
  <c r="AM18" i="15"/>
  <c r="AI18" i="15"/>
  <c r="AG17" i="15"/>
  <c r="AK17" i="15"/>
  <c r="AH17" i="15"/>
  <c r="AL17" i="15"/>
  <c r="AF17" i="15"/>
  <c r="AJ17" i="15"/>
  <c r="AM17" i="15"/>
  <c r="AI17" i="15"/>
  <c r="AG16" i="15"/>
  <c r="AK16" i="15"/>
  <c r="AH16" i="15"/>
  <c r="AL16" i="15"/>
  <c r="AF16" i="15"/>
  <c r="AJ16" i="15"/>
  <c r="AM16" i="15"/>
  <c r="AI16" i="15"/>
  <c r="AG15" i="15"/>
  <c r="AK15" i="15"/>
  <c r="AH15" i="15"/>
  <c r="AL15" i="15"/>
  <c r="AF15" i="15"/>
  <c r="AJ15" i="15"/>
  <c r="AM15" i="15"/>
  <c r="AI15" i="15"/>
  <c r="AG80" i="15"/>
  <c r="AK80" i="15"/>
  <c r="AH80" i="15"/>
  <c r="AL80" i="15"/>
  <c r="AF80" i="15"/>
  <c r="AJ80" i="15"/>
  <c r="AG79" i="15"/>
  <c r="AK79" i="15"/>
  <c r="AH79" i="15"/>
  <c r="AL79" i="15"/>
  <c r="AF79" i="15"/>
  <c r="AJ79" i="15"/>
  <c r="AG78" i="15"/>
  <c r="AK78" i="15"/>
  <c r="AH78" i="15"/>
  <c r="AL78" i="15"/>
  <c r="AF78" i="15"/>
  <c r="AJ78" i="15"/>
  <c r="AG77" i="15"/>
  <c r="AK77" i="15"/>
  <c r="AH77" i="15"/>
  <c r="AL77" i="15"/>
  <c r="AF77" i="15"/>
  <c r="AJ77" i="15"/>
  <c r="AG76" i="15"/>
  <c r="AK76" i="15"/>
  <c r="AH76" i="15"/>
  <c r="AL76" i="15"/>
  <c r="AF76" i="15"/>
  <c r="AJ76" i="15"/>
  <c r="AG75" i="15"/>
  <c r="AK75" i="15"/>
  <c r="AH75" i="15"/>
  <c r="AL75" i="15"/>
  <c r="AF75" i="15"/>
  <c r="AJ75" i="15"/>
  <c r="AG74" i="15"/>
  <c r="AK74" i="15"/>
  <c r="AH74" i="15"/>
  <c r="AL74" i="15"/>
  <c r="AF74" i="15"/>
  <c r="AJ74" i="15"/>
  <c r="AG73" i="15"/>
  <c r="AK73" i="15"/>
  <c r="AH73" i="15"/>
  <c r="AL73" i="15"/>
  <c r="AF73" i="15"/>
  <c r="AJ73" i="15"/>
  <c r="AG72" i="15"/>
  <c r="AK72" i="15"/>
  <c r="AH72" i="15"/>
  <c r="AL72" i="15"/>
  <c r="AF72" i="15"/>
  <c r="AJ72" i="15"/>
  <c r="AG71" i="15"/>
  <c r="AK71" i="15"/>
  <c r="AH71" i="15"/>
  <c r="AL71" i="15"/>
  <c r="AF71" i="15"/>
  <c r="AJ71" i="15"/>
  <c r="AG70" i="15"/>
  <c r="AK70" i="15"/>
  <c r="AH70" i="15"/>
  <c r="AL70" i="15"/>
  <c r="AF70" i="15"/>
  <c r="AJ70" i="15"/>
  <c r="AI78" i="15"/>
  <c r="AI74" i="15"/>
  <c r="AI70" i="15"/>
  <c r="AM36" i="15"/>
  <c r="AF14" i="15"/>
  <c r="AM77" i="15"/>
  <c r="AM71" i="15"/>
  <c r="AM63" i="15"/>
  <c r="AI77" i="15"/>
  <c r="AH56" i="15"/>
  <c r="AF56" i="15"/>
  <c r="AJ56" i="15"/>
  <c r="AH55" i="15"/>
  <c r="AL55" i="15"/>
  <c r="AF55" i="15"/>
  <c r="AJ55" i="15"/>
  <c r="AG54" i="15"/>
  <c r="AK54" i="15"/>
  <c r="AH54" i="15"/>
  <c r="AL54" i="15"/>
  <c r="AF54" i="15"/>
  <c r="AJ54" i="15"/>
  <c r="AG53" i="15"/>
  <c r="AK53" i="15"/>
  <c r="AH53" i="15"/>
  <c r="AL53" i="15"/>
  <c r="AF53" i="15"/>
  <c r="AJ53" i="15"/>
  <c r="AG52" i="15"/>
  <c r="AK52" i="15"/>
  <c r="AH52" i="15"/>
  <c r="AL52" i="15"/>
  <c r="AF52" i="15"/>
  <c r="AJ52" i="15"/>
  <c r="AG51" i="15"/>
  <c r="AK51" i="15"/>
  <c r="AH51" i="15"/>
  <c r="AL51" i="15"/>
  <c r="AF51" i="15"/>
  <c r="AJ51" i="15"/>
  <c r="AG50" i="15"/>
  <c r="AK50" i="15"/>
  <c r="AH50" i="15"/>
  <c r="AL50" i="15"/>
  <c r="AF50" i="15"/>
  <c r="AJ50" i="15"/>
  <c r="AG49" i="15"/>
  <c r="AK49" i="15"/>
  <c r="AH49" i="15"/>
  <c r="AL49" i="15"/>
  <c r="AF49" i="15"/>
  <c r="AJ49" i="15"/>
  <c r="AG48" i="15"/>
  <c r="AK48" i="15"/>
  <c r="AH48" i="15"/>
  <c r="AL48" i="15"/>
  <c r="AF48" i="15"/>
  <c r="AJ48" i="15"/>
  <c r="AG47" i="15"/>
  <c r="AK47" i="15"/>
  <c r="AH47" i="15"/>
  <c r="AL47" i="15"/>
  <c r="AF47" i="15"/>
  <c r="AJ47" i="15"/>
  <c r="AG46" i="15"/>
  <c r="AK46" i="15"/>
  <c r="AH46" i="15"/>
  <c r="AL46" i="15"/>
  <c r="AF46" i="15"/>
  <c r="AJ46" i="15"/>
  <c r="AG45" i="15"/>
  <c r="AK45" i="15"/>
  <c r="AH45" i="15"/>
  <c r="AL45" i="15"/>
  <c r="AF45" i="15"/>
  <c r="AJ45" i="15"/>
  <c r="AG44" i="15"/>
  <c r="AK44" i="15"/>
  <c r="AH44" i="15"/>
  <c r="AL44" i="15"/>
  <c r="AF44" i="15"/>
  <c r="AJ44" i="15"/>
  <c r="AG43" i="15"/>
  <c r="AK43" i="15"/>
  <c r="AH43" i="15"/>
  <c r="AL43" i="15"/>
  <c r="AF43" i="15"/>
  <c r="AJ43" i="15"/>
  <c r="AG42" i="15"/>
  <c r="AK42" i="15"/>
  <c r="AH42" i="15"/>
  <c r="AL42" i="15"/>
  <c r="AF42" i="15"/>
  <c r="AJ42" i="15"/>
  <c r="AG41" i="15"/>
  <c r="AK41" i="15"/>
  <c r="AH41" i="15"/>
  <c r="AL41" i="15"/>
  <c r="AF41" i="15"/>
  <c r="AJ41" i="15"/>
  <c r="AG40" i="15"/>
  <c r="AK40" i="15"/>
  <c r="AH40" i="15"/>
  <c r="AL40" i="15"/>
  <c r="AF40" i="15"/>
  <c r="AJ40" i="15"/>
  <c r="AG39" i="15"/>
  <c r="AK39" i="15"/>
  <c r="AH39" i="15"/>
  <c r="AL39" i="15"/>
  <c r="AF39" i="15"/>
  <c r="AJ39" i="15"/>
  <c r="AG38" i="15"/>
  <c r="AK38" i="15"/>
  <c r="AH38" i="15"/>
  <c r="AL38" i="15"/>
  <c r="AF38" i="15"/>
  <c r="AJ38" i="15"/>
  <c r="AG37" i="15"/>
  <c r="AK37" i="15"/>
  <c r="AH37" i="15"/>
  <c r="AL37" i="15"/>
  <c r="AF37" i="15"/>
  <c r="AJ37" i="15"/>
  <c r="AG36" i="15"/>
  <c r="AK36" i="15"/>
  <c r="AH36" i="15"/>
  <c r="AL36" i="15"/>
  <c r="AF36" i="15"/>
  <c r="AJ36" i="15"/>
  <c r="AG35" i="15"/>
  <c r="AK35" i="15"/>
  <c r="AH35" i="15"/>
  <c r="AL35" i="15"/>
  <c r="AF35" i="15"/>
  <c r="AJ35" i="15"/>
  <c r="AG34" i="15"/>
  <c r="AK34" i="15"/>
  <c r="AH34" i="15"/>
  <c r="AL34" i="15"/>
  <c r="AF34" i="15"/>
  <c r="AJ34" i="15"/>
  <c r="AG33" i="15"/>
  <c r="AK33" i="15"/>
  <c r="AH33" i="15"/>
  <c r="AL33" i="15"/>
  <c r="AF33" i="15"/>
  <c r="AJ33" i="15"/>
  <c r="AG32" i="15"/>
  <c r="AK32" i="15"/>
  <c r="AH32" i="15"/>
  <c r="AL32" i="15"/>
  <c r="AF32" i="15"/>
  <c r="AJ32" i="15"/>
  <c r="AG31" i="15"/>
  <c r="AK31" i="15"/>
  <c r="AH31" i="15"/>
  <c r="AL31" i="15"/>
  <c r="AF31" i="15"/>
  <c r="AJ31" i="15"/>
  <c r="AG30" i="15"/>
  <c r="AK30" i="15"/>
  <c r="AH30" i="15"/>
  <c r="AL30" i="15"/>
  <c r="AF30" i="15"/>
  <c r="AJ30" i="15"/>
  <c r="AJ69" i="15"/>
  <c r="AF69" i="15"/>
  <c r="AJ68" i="15"/>
  <c r="AF68" i="15"/>
  <c r="AJ67" i="15"/>
  <c r="AF67" i="15"/>
  <c r="AJ66" i="15"/>
  <c r="AF66" i="15"/>
  <c r="AJ65" i="15"/>
  <c r="AF65" i="15"/>
  <c r="AJ64" i="15"/>
  <c r="AF64" i="15"/>
  <c r="AJ63" i="15"/>
  <c r="AF63" i="15"/>
  <c r="AJ62" i="15"/>
  <c r="AF62" i="15"/>
  <c r="AJ61" i="15"/>
  <c r="AF61" i="15"/>
  <c r="AJ60" i="15"/>
  <c r="AF60" i="15"/>
  <c r="AJ59" i="15"/>
  <c r="AF59" i="15"/>
  <c r="AJ58" i="15"/>
  <c r="AF58" i="15"/>
  <c r="AJ57" i="15"/>
  <c r="AM56" i="15"/>
  <c r="AG56" i="15"/>
  <c r="AG55" i="15"/>
  <c r="AI53" i="15"/>
  <c r="AI51" i="15"/>
  <c r="AI49" i="15"/>
  <c r="AI47" i="15"/>
  <c r="AI45" i="15"/>
  <c r="AI43" i="15"/>
  <c r="AI41" i="15"/>
  <c r="AI39" i="15"/>
  <c r="AI37" i="15"/>
  <c r="AI35" i="15"/>
  <c r="AI33" i="15"/>
  <c r="AI31" i="15"/>
  <c r="AL69" i="15"/>
  <c r="AH69" i="15"/>
  <c r="AL68" i="15"/>
  <c r="AH68" i="15"/>
  <c r="AL67" i="15"/>
  <c r="AH67" i="15"/>
  <c r="AL66" i="15"/>
  <c r="AH66" i="15"/>
  <c r="AL65" i="15"/>
  <c r="AH65" i="15"/>
  <c r="AL64" i="15"/>
  <c r="AH64" i="15"/>
  <c r="AL63" i="15"/>
  <c r="AH63" i="15"/>
  <c r="AL62" i="15"/>
  <c r="AH62" i="15"/>
  <c r="AL61" i="15"/>
  <c r="AH61" i="15"/>
  <c r="AL60" i="15"/>
  <c r="AH60" i="15"/>
  <c r="AL59" i="15"/>
  <c r="AH59" i="15"/>
  <c r="AL58" i="15"/>
  <c r="AH58" i="15"/>
  <c r="AL57" i="15"/>
  <c r="AH57" i="15"/>
  <c r="AK56" i="15"/>
  <c r="AK55" i="15"/>
  <c r="AI54" i="15"/>
  <c r="AI52" i="15"/>
  <c r="AI50" i="15"/>
  <c r="AI48" i="15"/>
  <c r="AI46" i="15"/>
  <c r="AI44" i="15"/>
  <c r="AI42" i="15"/>
  <c r="AI40" i="15"/>
  <c r="AI38" i="15"/>
  <c r="AI36" i="15"/>
  <c r="AI34" i="15"/>
  <c r="AI32" i="15"/>
  <c r="AI30" i="15"/>
  <c r="AK69" i="15"/>
  <c r="AK68" i="15"/>
  <c r="AK67" i="15"/>
  <c r="AK66" i="15"/>
  <c r="AK65" i="15"/>
  <c r="AK64" i="15"/>
  <c r="AK63" i="15"/>
  <c r="AK62" i="15"/>
  <c r="AK61" i="15"/>
  <c r="AK60" i="15"/>
  <c r="AK59" i="15"/>
  <c r="AK58" i="15"/>
  <c r="AK57" i="15"/>
  <c r="AG57" i="15"/>
  <c r="AI56" i="15"/>
  <c r="AI55" i="15"/>
  <c r="AM53" i="15"/>
  <c r="AM51" i="15"/>
  <c r="AM49" i="15"/>
  <c r="AM47" i="15"/>
  <c r="AM45" i="15"/>
  <c r="AM43" i="15"/>
  <c r="AM41" i="15"/>
  <c r="AM39" i="15"/>
  <c r="AM37" i="15"/>
  <c r="AM35" i="15"/>
  <c r="AM33" i="15"/>
  <c r="AM31" i="15"/>
  <c r="AN23" i="15"/>
  <c r="C3" i="19"/>
  <c r="F76" i="4" l="1"/>
  <c r="F75" i="4"/>
  <c r="E10" i="6"/>
  <c r="E8" i="3"/>
  <c r="E8" i="7" s="1"/>
  <c r="N11" i="19"/>
  <c r="N12" i="19"/>
  <c r="N13" i="19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D3" i="19"/>
  <c r="E3" i="19"/>
  <c r="F3" i="19"/>
  <c r="G3" i="19"/>
  <c r="H3" i="19"/>
  <c r="I3" i="19"/>
  <c r="J3" i="19"/>
  <c r="A13" i="3"/>
  <c r="A13" i="4" s="1"/>
  <c r="A19" i="15" s="1"/>
  <c r="A14" i="3"/>
  <c r="A14" i="4" s="1"/>
  <c r="L20" i="15" s="1"/>
  <c r="A15" i="3"/>
  <c r="A15" i="4" s="1"/>
  <c r="A21" i="15" s="1"/>
  <c r="A16" i="3"/>
  <c r="A16" i="4" s="1"/>
  <c r="A22" i="15" s="1"/>
  <c r="A17" i="3"/>
  <c r="A17" i="4" s="1"/>
  <c r="A15" i="16" s="1"/>
  <c r="A18" i="3"/>
  <c r="A18" i="4" s="1"/>
  <c r="A24" i="15" s="1"/>
  <c r="A19" i="3"/>
  <c r="A19" i="4" s="1"/>
  <c r="A20" i="3"/>
  <c r="A20" i="4" s="1"/>
  <c r="A26" i="15" s="1"/>
  <c r="A21" i="3"/>
  <c r="A21" i="4" s="1"/>
  <c r="A27" i="15" s="1"/>
  <c r="A22" i="3"/>
  <c r="A22" i="4" s="1"/>
  <c r="A28" i="15" s="1"/>
  <c r="A23" i="3"/>
  <c r="A23" i="4" s="1"/>
  <c r="L29" i="15" s="1"/>
  <c r="A24" i="3"/>
  <c r="A24" i="4" s="1"/>
  <c r="A30" i="15" s="1"/>
  <c r="A25" i="3"/>
  <c r="A25" i="4" s="1"/>
  <c r="A31" i="15" s="1"/>
  <c r="A26" i="3"/>
  <c r="A26" i="4" s="1"/>
  <c r="A32" i="15" s="1"/>
  <c r="A27" i="3"/>
  <c r="A27" i="4" s="1"/>
  <c r="A26" i="18" s="1"/>
  <c r="A28" i="3"/>
  <c r="A28" i="4" s="1"/>
  <c r="A34" i="15" s="1"/>
  <c r="A29" i="3"/>
  <c r="A29" i="4" s="1"/>
  <c r="A35" i="15" s="1"/>
  <c r="A30" i="3"/>
  <c r="A30" i="4" s="1"/>
  <c r="A28" i="16" s="1"/>
  <c r="A31" i="3"/>
  <c r="A31" i="4" s="1"/>
  <c r="A30" i="18" s="1"/>
  <c r="A32" i="3"/>
  <c r="A32" i="4" s="1"/>
  <c r="A38" i="15" s="1"/>
  <c r="A33" i="3"/>
  <c r="A33" i="4" s="1"/>
  <c r="A31" i="16" s="1"/>
  <c r="A34" i="3"/>
  <c r="A34" i="4" s="1"/>
  <c r="L40" i="15" s="1"/>
  <c r="A35" i="3"/>
  <c r="A35" i="4" s="1"/>
  <c r="A34" i="18" s="1"/>
  <c r="A36" i="3"/>
  <c r="A36" i="4" s="1"/>
  <c r="L42" i="15" s="1"/>
  <c r="A37" i="3"/>
  <c r="A37" i="4" s="1"/>
  <c r="A35" i="16" s="1"/>
  <c r="A38" i="3"/>
  <c r="A38" i="4" s="1"/>
  <c r="L44" i="15" s="1"/>
  <c r="A39" i="3"/>
  <c r="A39" i="4" s="1"/>
  <c r="A38" i="18" s="1"/>
  <c r="A40" i="3"/>
  <c r="A40" i="4" s="1"/>
  <c r="A39" i="5" s="1"/>
  <c r="A39" i="6" s="1"/>
  <c r="A40" i="7" s="1"/>
  <c r="A40" i="8" s="1"/>
  <c r="A39" i="9" s="1"/>
  <c r="A39" i="10" s="1"/>
  <c r="A41" i="3"/>
  <c r="A41" i="4" s="1"/>
  <c r="A42" i="3"/>
  <c r="A42" i="4" s="1"/>
  <c r="L48" i="15" s="1"/>
  <c r="A43" i="3"/>
  <c r="A43" i="4" s="1"/>
  <c r="A41" i="16" s="1"/>
  <c r="A44" i="3"/>
  <c r="A44" i="4" s="1"/>
  <c r="L50" i="15" s="1"/>
  <c r="A45" i="3"/>
  <c r="A45" i="4" s="1"/>
  <c r="L51" i="15" s="1"/>
  <c r="A46" i="3"/>
  <c r="A46" i="4" s="1"/>
  <c r="L52" i="15" s="1"/>
  <c r="A47" i="3"/>
  <c r="A47" i="4" s="1"/>
  <c r="A46" i="5" s="1"/>
  <c r="A46" i="6" s="1"/>
  <c r="A47" i="7" s="1"/>
  <c r="A47" i="8" s="1"/>
  <c r="A46" i="9" s="1"/>
  <c r="A46" i="10" s="1"/>
  <c r="A48" i="3"/>
  <c r="A48" i="4" s="1"/>
  <c r="A47" i="18" s="1"/>
  <c r="A49" i="3"/>
  <c r="A49" i="4" s="1"/>
  <c r="A48" i="18" s="1"/>
  <c r="A50" i="3"/>
  <c r="A50" i="4" s="1"/>
  <c r="L56" i="15" s="1"/>
  <c r="A51" i="3"/>
  <c r="A51" i="4" s="1"/>
  <c r="A50" i="18" s="1"/>
  <c r="A52" i="3"/>
  <c r="A52" i="4" s="1"/>
  <c r="L58" i="15" s="1"/>
  <c r="A53" i="3"/>
  <c r="A53" i="4" s="1"/>
  <c r="A54" i="3"/>
  <c r="A54" i="4" s="1"/>
  <c r="L60" i="15" s="1"/>
  <c r="A55" i="3"/>
  <c r="A55" i="4" s="1"/>
  <c r="A54" i="18" s="1"/>
  <c r="A56" i="3"/>
  <c r="A56" i="4" s="1"/>
  <c r="A57" i="3"/>
  <c r="A57" i="4" s="1"/>
  <c r="A58" i="3"/>
  <c r="A58" i="4" s="1"/>
  <c r="L64" i="15" s="1"/>
  <c r="A59" i="3"/>
  <c r="A59" i="4" s="1"/>
  <c r="A58" i="18" s="1"/>
  <c r="A60" i="3"/>
  <c r="A60" i="4" s="1"/>
  <c r="L66" i="15" s="1"/>
  <c r="A61" i="3"/>
  <c r="A61" i="4" s="1"/>
  <c r="A62" i="3"/>
  <c r="A62" i="4" s="1"/>
  <c r="L68" i="15" s="1"/>
  <c r="A63" i="3"/>
  <c r="A63" i="4" s="1"/>
  <c r="A64" i="3"/>
  <c r="A64" i="4" s="1"/>
  <c r="L70" i="15" s="1"/>
  <c r="A65" i="3"/>
  <c r="A65" i="4" s="1"/>
  <c r="A66" i="3"/>
  <c r="A66" i="4" s="1"/>
  <c r="L72" i="15" s="1"/>
  <c r="A67" i="3"/>
  <c r="A67" i="4" s="1"/>
  <c r="A68" i="3"/>
  <c r="A68" i="4" s="1"/>
  <c r="L74" i="15" s="1"/>
  <c r="A69" i="3"/>
  <c r="A69" i="4" s="1"/>
  <c r="A70" i="3"/>
  <c r="A70" i="4" s="1"/>
  <c r="L76" i="15" s="1"/>
  <c r="A71" i="3"/>
  <c r="A71" i="4" s="1"/>
  <c r="A72" i="3"/>
  <c r="A72" i="4" s="1"/>
  <c r="L78" i="15" s="1"/>
  <c r="T78" i="15" s="1"/>
  <c r="A73" i="3"/>
  <c r="A73" i="4" s="1"/>
  <c r="A74" i="3"/>
  <c r="A74" i="4" s="1"/>
  <c r="L80" i="15" s="1"/>
  <c r="T80" i="15" s="1"/>
  <c r="A12" i="3"/>
  <c r="A12" i="4" s="1"/>
  <c r="A10" i="16" s="1"/>
  <c r="AN15" i="15"/>
  <c r="AN16" i="15"/>
  <c r="AN17" i="15"/>
  <c r="AN18" i="15"/>
  <c r="AN19" i="15"/>
  <c r="AN20" i="15"/>
  <c r="AN21" i="15"/>
  <c r="AN22" i="15"/>
  <c r="AN24" i="15"/>
  <c r="AN25" i="15"/>
  <c r="AN26" i="15"/>
  <c r="AN27" i="15"/>
  <c r="AN28" i="15"/>
  <c r="AN29" i="15"/>
  <c r="AN30" i="15"/>
  <c r="AN31" i="15"/>
  <c r="AN32" i="15"/>
  <c r="AN33" i="15"/>
  <c r="AN34" i="15"/>
  <c r="AN35" i="15"/>
  <c r="AN36" i="15"/>
  <c r="AN37" i="15"/>
  <c r="AN38" i="15"/>
  <c r="AN39" i="15"/>
  <c r="AN40" i="15"/>
  <c r="AN14" i="15"/>
  <c r="A44" i="15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61" i="6"/>
  <c r="J65" i="6"/>
  <c r="J66" i="6"/>
  <c r="J67" i="6"/>
  <c r="J68" i="6"/>
  <c r="J69" i="6"/>
  <c r="J70" i="6"/>
  <c r="J71" i="6"/>
  <c r="J72" i="6"/>
  <c r="J63" i="6"/>
  <c r="J62" i="6"/>
  <c r="J64" i="6"/>
  <c r="J73" i="6"/>
  <c r="E11" i="3"/>
  <c r="F32" i="3"/>
  <c r="E33" i="13" s="1"/>
  <c r="AN41" i="15"/>
  <c r="AN42" i="15"/>
  <c r="AN43" i="15"/>
  <c r="AN44" i="15"/>
  <c r="AN45" i="15"/>
  <c r="G46" i="3"/>
  <c r="F57" i="3"/>
  <c r="E69" i="3"/>
  <c r="E69" i="4" s="1"/>
  <c r="A1" i="1"/>
  <c r="B58" i="1"/>
  <c r="C58" i="1"/>
  <c r="D58" i="1"/>
  <c r="F13" i="6"/>
  <c r="F8" i="6"/>
  <c r="E3" i="3"/>
  <c r="F3" i="3"/>
  <c r="G3" i="3"/>
  <c r="H3" i="3"/>
  <c r="I3" i="3"/>
  <c r="J3" i="3"/>
  <c r="K3" i="3"/>
  <c r="L3" i="3"/>
  <c r="A5" i="3"/>
  <c r="A5" i="4" s="1"/>
  <c r="B5" i="3"/>
  <c r="B5" i="4" s="1"/>
  <c r="B4" i="18" s="1"/>
  <c r="A6" i="3"/>
  <c r="A6" i="4" s="1"/>
  <c r="L12" i="15" s="1"/>
  <c r="B6" i="3"/>
  <c r="B6" i="4" s="1"/>
  <c r="A7" i="3"/>
  <c r="B7" i="3"/>
  <c r="B7" i="4" s="1"/>
  <c r="A8" i="3"/>
  <c r="A8" i="4" s="1"/>
  <c r="A6" i="16" s="1"/>
  <c r="B8" i="3"/>
  <c r="B8" i="4" s="1"/>
  <c r="A9" i="3"/>
  <c r="A9" i="4" s="1"/>
  <c r="A15" i="15" s="1"/>
  <c r="B9" i="3"/>
  <c r="B9" i="4" s="1"/>
  <c r="K9" i="3"/>
  <c r="K9" i="7" s="1"/>
  <c r="A10" i="3"/>
  <c r="A10" i="4" s="1"/>
  <c r="B10" i="3"/>
  <c r="B10" i="4" s="1"/>
  <c r="L10" i="3"/>
  <c r="A11" i="3"/>
  <c r="A11" i="4" s="1"/>
  <c r="B11" i="3"/>
  <c r="B11" i="4" s="1"/>
  <c r="B10" i="5" s="1"/>
  <c r="B10" i="6" s="1"/>
  <c r="B11" i="7" s="1"/>
  <c r="B11" i="8" s="1"/>
  <c r="I11" i="3"/>
  <c r="H12" i="13" s="1"/>
  <c r="B12" i="3"/>
  <c r="B12" i="4" s="1"/>
  <c r="B13" i="3"/>
  <c r="B13" i="4" s="1"/>
  <c r="B14" i="3"/>
  <c r="B14" i="4" s="1"/>
  <c r="B15" i="3"/>
  <c r="B15" i="4" s="1"/>
  <c r="B16" i="3"/>
  <c r="B16" i="4" s="1"/>
  <c r="B17" i="3"/>
  <c r="B17" i="4" s="1"/>
  <c r="B18" i="3"/>
  <c r="B18" i="4" s="1"/>
  <c r="B19" i="3"/>
  <c r="B19" i="4" s="1"/>
  <c r="B18" i="5" s="1"/>
  <c r="B18" i="6" s="1"/>
  <c r="B19" i="7" s="1"/>
  <c r="B19" i="8" s="1"/>
  <c r="B20" i="3"/>
  <c r="B20" i="4" s="1"/>
  <c r="B19" i="18" s="1"/>
  <c r="B21" i="3"/>
  <c r="B21" i="4" s="1"/>
  <c r="L21" i="3"/>
  <c r="L21" i="7" s="1"/>
  <c r="B22" i="3"/>
  <c r="B22" i="4" s="1"/>
  <c r="B23" i="3"/>
  <c r="B23" i="4" s="1"/>
  <c r="B24" i="3"/>
  <c r="B24" i="4" s="1"/>
  <c r="B25" i="3"/>
  <c r="B25" i="4" s="1"/>
  <c r="B24" i="5" s="1"/>
  <c r="B24" i="6" s="1"/>
  <c r="B25" i="7" s="1"/>
  <c r="B25" i="8" s="1"/>
  <c r="B26" i="3"/>
  <c r="B26" i="4" s="1"/>
  <c r="B27" i="3"/>
  <c r="B27" i="4" s="1"/>
  <c r="B28" i="3"/>
  <c r="B28" i="4" s="1"/>
  <c r="H28" i="3"/>
  <c r="H28" i="7" s="1"/>
  <c r="B29" i="3"/>
  <c r="B29" i="4" s="1"/>
  <c r="B30" i="3"/>
  <c r="B30" i="4" s="1"/>
  <c r="B31" i="3"/>
  <c r="B31" i="4" s="1"/>
  <c r="B32" i="3"/>
  <c r="B32" i="4" s="1"/>
  <c r="B33" i="3"/>
  <c r="B33" i="4" s="1"/>
  <c r="B32" i="5" s="1"/>
  <c r="B32" i="6" s="1"/>
  <c r="B33" i="7" s="1"/>
  <c r="B33" i="8" s="1"/>
  <c r="B34" i="3"/>
  <c r="B34" i="4" s="1"/>
  <c r="J34" i="3"/>
  <c r="J34" i="7" s="1"/>
  <c r="B35" i="3"/>
  <c r="B35" i="4" s="1"/>
  <c r="B34" i="5" s="1"/>
  <c r="B34" i="6" s="1"/>
  <c r="B35" i="7" s="1"/>
  <c r="B35" i="8" s="1"/>
  <c r="B36" i="3"/>
  <c r="B36" i="4" s="1"/>
  <c r="B37" i="3"/>
  <c r="B37" i="4" s="1"/>
  <c r="I37" i="3"/>
  <c r="H38" i="13" s="1"/>
  <c r="B38" i="3"/>
  <c r="B38" i="4" s="1"/>
  <c r="B39" i="3"/>
  <c r="B39" i="4" s="1"/>
  <c r="B40" i="3"/>
  <c r="B40" i="4" s="1"/>
  <c r="B41" i="3"/>
  <c r="B41" i="4" s="1"/>
  <c r="B40" i="5" s="1"/>
  <c r="B40" i="6" s="1"/>
  <c r="B41" i="7" s="1"/>
  <c r="B41" i="8" s="1"/>
  <c r="H41" i="3"/>
  <c r="H41" i="7" s="1"/>
  <c r="B42" i="3"/>
  <c r="B42" i="4" s="1"/>
  <c r="B43" i="3"/>
  <c r="B43" i="4" s="1"/>
  <c r="H43" i="3"/>
  <c r="G44" i="13" s="1"/>
  <c r="B44" i="3"/>
  <c r="B44" i="4" s="1"/>
  <c r="K44" i="3"/>
  <c r="J45" i="13" s="1"/>
  <c r="B45" i="3"/>
  <c r="B45" i="4" s="1"/>
  <c r="B46" i="3"/>
  <c r="B46" i="4" s="1"/>
  <c r="B47" i="3"/>
  <c r="B47" i="4" s="1"/>
  <c r="B48" i="3"/>
  <c r="B48" i="4" s="1"/>
  <c r="B47" i="5" s="1"/>
  <c r="B47" i="6" s="1"/>
  <c r="B48" i="7" s="1"/>
  <c r="B48" i="8" s="1"/>
  <c r="B49" i="3"/>
  <c r="B49" i="4" s="1"/>
  <c r="B50" i="3"/>
  <c r="B50" i="4" s="1"/>
  <c r="J50" i="3"/>
  <c r="J50" i="7" s="1"/>
  <c r="B51" i="3"/>
  <c r="B51" i="4" s="1"/>
  <c r="B52" i="3"/>
  <c r="B52" i="4" s="1"/>
  <c r="B53" i="3"/>
  <c r="B53" i="4" s="1"/>
  <c r="B52" i="18" s="1"/>
  <c r="I53" i="3"/>
  <c r="H54" i="13" s="1"/>
  <c r="B54" i="3"/>
  <c r="B54" i="4" s="1"/>
  <c r="B55" i="3"/>
  <c r="B55" i="4" s="1"/>
  <c r="B56" i="3"/>
  <c r="B56" i="4" s="1"/>
  <c r="B57" i="3"/>
  <c r="B57" i="4" s="1"/>
  <c r="H57" i="3"/>
  <c r="H57" i="7" s="1"/>
  <c r="B58" i="3"/>
  <c r="B58" i="4" s="1"/>
  <c r="B59" i="3"/>
  <c r="B59" i="4" s="1"/>
  <c r="H59" i="3"/>
  <c r="H59" i="7" s="1"/>
  <c r="B60" i="3"/>
  <c r="K60" i="3"/>
  <c r="K60" i="7" s="1"/>
  <c r="B61" i="3"/>
  <c r="B61" i="4" s="1"/>
  <c r="B60" i="5" s="1"/>
  <c r="B60" i="6" s="1"/>
  <c r="B61" i="7" s="1"/>
  <c r="B61" i="8" s="1"/>
  <c r="B62" i="3"/>
  <c r="B62" i="4" s="1"/>
  <c r="B63" i="3"/>
  <c r="B63" i="4" s="1"/>
  <c r="B62" i="5" s="1"/>
  <c r="B62" i="6" s="1"/>
  <c r="B63" i="7" s="1"/>
  <c r="B63" i="8" s="1"/>
  <c r="B64" i="3"/>
  <c r="B64" i="4" s="1"/>
  <c r="K64" i="3"/>
  <c r="K64" i="7" s="1"/>
  <c r="B65" i="3"/>
  <c r="B65" i="4" s="1"/>
  <c r="B64" i="5" s="1"/>
  <c r="B64" i="6" s="1"/>
  <c r="B65" i="7" s="1"/>
  <c r="B65" i="8" s="1"/>
  <c r="B66" i="3"/>
  <c r="B66" i="4" s="1"/>
  <c r="B65" i="5" s="1"/>
  <c r="B65" i="6" s="1"/>
  <c r="B66" i="7" s="1"/>
  <c r="B66" i="8" s="1"/>
  <c r="B67" i="3"/>
  <c r="B67" i="4" s="1"/>
  <c r="B68" i="3"/>
  <c r="B68" i="4" s="1"/>
  <c r="B69" i="3"/>
  <c r="B69" i="4" s="1"/>
  <c r="B68" i="18" s="1"/>
  <c r="H69" i="3"/>
  <c r="B70" i="3"/>
  <c r="B70" i="4" s="1"/>
  <c r="J70" i="3"/>
  <c r="I71" i="13" s="1"/>
  <c r="B71" i="3"/>
  <c r="B71" i="4" s="1"/>
  <c r="I71" i="3"/>
  <c r="I71" i="7" s="1"/>
  <c r="B72" i="3"/>
  <c r="B72" i="4" s="1"/>
  <c r="B71" i="5" s="1"/>
  <c r="B71" i="6" s="1"/>
  <c r="B72" i="7" s="1"/>
  <c r="B72" i="8" s="1"/>
  <c r="K72" i="3"/>
  <c r="J73" i="13" s="1"/>
  <c r="B73" i="3"/>
  <c r="B73" i="4" s="1"/>
  <c r="B72" i="5" s="1"/>
  <c r="B72" i="6" s="1"/>
  <c r="B73" i="7" s="1"/>
  <c r="B73" i="8" s="1"/>
  <c r="B74" i="3"/>
  <c r="B74" i="4" s="1"/>
  <c r="B73" i="18" s="1"/>
  <c r="K74" i="3"/>
  <c r="K74" i="7" s="1"/>
  <c r="E4" i="4"/>
  <c r="X7" i="15" s="1"/>
  <c r="X8" i="15" s="1"/>
  <c r="F4" i="4"/>
  <c r="Y7" i="15" s="1"/>
  <c r="G4" i="4"/>
  <c r="Z7" i="15" s="1"/>
  <c r="H4" i="4"/>
  <c r="I4" i="4"/>
  <c r="AB7" i="15" s="1"/>
  <c r="J4" i="4"/>
  <c r="AC7" i="15" s="1"/>
  <c r="K4" i="4"/>
  <c r="AD7" i="15" s="1"/>
  <c r="L4" i="4"/>
  <c r="AE7" i="15" s="1"/>
  <c r="E3" i="4"/>
  <c r="F3" i="4"/>
  <c r="G3" i="4"/>
  <c r="H3" i="4"/>
  <c r="I3" i="4"/>
  <c r="J3" i="4"/>
  <c r="K3" i="4"/>
  <c r="L3" i="4"/>
  <c r="A7" i="4"/>
  <c r="A6" i="5" s="1"/>
  <c r="A6" i="6" s="1"/>
  <c r="A7" i="7" s="1"/>
  <c r="A7" i="8" s="1"/>
  <c r="A6" i="9" s="1"/>
  <c r="A6" i="10" s="1"/>
  <c r="B60" i="4"/>
  <c r="B59" i="5" s="1"/>
  <c r="B59" i="6" s="1"/>
  <c r="B60" i="7" s="1"/>
  <c r="B60" i="8" s="1"/>
  <c r="A33" i="5"/>
  <c r="A33" i="6" s="1"/>
  <c r="A34" i="7" s="1"/>
  <c r="A34" i="8" s="1"/>
  <c r="A33" i="9" s="1"/>
  <c r="A33" i="10" s="1"/>
  <c r="A63" i="5"/>
  <c r="A63" i="6" s="1"/>
  <c r="A64" i="7" s="1"/>
  <c r="A64" i="8" s="1"/>
  <c r="A63" i="9" s="1"/>
  <c r="A63" i="10" s="1"/>
  <c r="A23" i="18"/>
  <c r="W4" i="18"/>
  <c r="W5" i="18" s="1"/>
  <c r="AG30" i="18" s="1"/>
  <c r="X4" i="18"/>
  <c r="X6" i="18" s="1"/>
  <c r="Y4" i="18"/>
  <c r="Z4" i="18"/>
  <c r="Z6" i="18" s="1"/>
  <c r="AA4" i="18"/>
  <c r="AA5" i="18" s="1"/>
  <c r="AK30" i="18" s="1"/>
  <c r="AB4" i="18"/>
  <c r="AC4" i="18"/>
  <c r="AD4" i="18"/>
  <c r="W6" i="18"/>
  <c r="A27" i="18"/>
  <c r="AJ36" i="18"/>
  <c r="A63" i="18"/>
  <c r="A71" i="18"/>
  <c r="A74" i="18"/>
  <c r="B74" i="18"/>
  <c r="A75" i="18"/>
  <c r="B75" i="18"/>
  <c r="A76" i="18"/>
  <c r="B76" i="18"/>
  <c r="A77" i="18"/>
  <c r="B77" i="18"/>
  <c r="A78" i="18"/>
  <c r="B78" i="18"/>
  <c r="A79" i="18"/>
  <c r="B79" i="18"/>
  <c r="A80" i="18"/>
  <c r="B80" i="18"/>
  <c r="A81" i="18"/>
  <c r="B81" i="18"/>
  <c r="E4" i="6"/>
  <c r="F4" i="6"/>
  <c r="G4" i="6"/>
  <c r="H4" i="6"/>
  <c r="I4" i="6"/>
  <c r="J4" i="6"/>
  <c r="E5" i="6"/>
  <c r="F5" i="6"/>
  <c r="G5" i="6"/>
  <c r="H5" i="6"/>
  <c r="I5" i="6"/>
  <c r="J5" i="6"/>
  <c r="E8" i="6"/>
  <c r="G8" i="6"/>
  <c r="H8" i="6"/>
  <c r="I8" i="6"/>
  <c r="E9" i="6"/>
  <c r="F9" i="6"/>
  <c r="G9" i="6"/>
  <c r="H9" i="6"/>
  <c r="I9" i="6"/>
  <c r="F10" i="6"/>
  <c r="G10" i="6"/>
  <c r="H10" i="6"/>
  <c r="I10" i="6"/>
  <c r="E11" i="6"/>
  <c r="F11" i="6"/>
  <c r="G11" i="6"/>
  <c r="H11" i="6"/>
  <c r="I11" i="6"/>
  <c r="E12" i="6"/>
  <c r="F12" i="6"/>
  <c r="G12" i="6"/>
  <c r="H12" i="6"/>
  <c r="I12" i="6"/>
  <c r="E13" i="6"/>
  <c r="G13" i="6"/>
  <c r="H13" i="6"/>
  <c r="I13" i="6"/>
  <c r="E14" i="6"/>
  <c r="F14" i="6"/>
  <c r="G14" i="6"/>
  <c r="H14" i="6"/>
  <c r="I14" i="6"/>
  <c r="E15" i="6"/>
  <c r="F15" i="6"/>
  <c r="G15" i="6"/>
  <c r="H15" i="6"/>
  <c r="I15" i="6"/>
  <c r="E16" i="6"/>
  <c r="F16" i="6"/>
  <c r="G16" i="6"/>
  <c r="H16" i="6"/>
  <c r="I16" i="6"/>
  <c r="E17" i="6"/>
  <c r="F17" i="6"/>
  <c r="G17" i="6"/>
  <c r="H17" i="6"/>
  <c r="I17" i="6"/>
  <c r="E18" i="6"/>
  <c r="F18" i="6"/>
  <c r="G18" i="6"/>
  <c r="H18" i="6"/>
  <c r="I18" i="6"/>
  <c r="E19" i="6"/>
  <c r="F19" i="6"/>
  <c r="G19" i="6"/>
  <c r="H19" i="6"/>
  <c r="I19" i="6"/>
  <c r="E20" i="6"/>
  <c r="F20" i="6"/>
  <c r="G20" i="6"/>
  <c r="H20" i="6"/>
  <c r="I20" i="6"/>
  <c r="E21" i="6"/>
  <c r="F21" i="6"/>
  <c r="G21" i="6"/>
  <c r="H21" i="6"/>
  <c r="I21" i="6"/>
  <c r="E22" i="6"/>
  <c r="F22" i="6"/>
  <c r="G22" i="6"/>
  <c r="H22" i="6"/>
  <c r="I22" i="6"/>
  <c r="E23" i="6"/>
  <c r="F23" i="6"/>
  <c r="G23" i="6"/>
  <c r="H23" i="6"/>
  <c r="I23" i="6"/>
  <c r="E24" i="6"/>
  <c r="F24" i="6"/>
  <c r="G24" i="6"/>
  <c r="H24" i="6"/>
  <c r="I24" i="6"/>
  <c r="E25" i="6"/>
  <c r="F25" i="6"/>
  <c r="G25" i="6"/>
  <c r="H25" i="6"/>
  <c r="I25" i="6"/>
  <c r="E26" i="6"/>
  <c r="F26" i="6"/>
  <c r="G26" i="6"/>
  <c r="H26" i="6"/>
  <c r="I26" i="6"/>
  <c r="E27" i="6"/>
  <c r="F27" i="6"/>
  <c r="G27" i="6"/>
  <c r="H27" i="6"/>
  <c r="I27" i="6"/>
  <c r="E28" i="6"/>
  <c r="F28" i="6"/>
  <c r="G28" i="6"/>
  <c r="H28" i="6"/>
  <c r="I28" i="6"/>
  <c r="E29" i="6"/>
  <c r="F29" i="6"/>
  <c r="G29" i="6"/>
  <c r="H29" i="6"/>
  <c r="I29" i="6"/>
  <c r="E30" i="6"/>
  <c r="F30" i="6"/>
  <c r="G30" i="6"/>
  <c r="H30" i="6"/>
  <c r="I30" i="6"/>
  <c r="E31" i="6"/>
  <c r="F31" i="6"/>
  <c r="G31" i="6"/>
  <c r="H31" i="6"/>
  <c r="I31" i="6"/>
  <c r="E32" i="6"/>
  <c r="F32" i="6"/>
  <c r="G32" i="6"/>
  <c r="H32" i="6"/>
  <c r="I32" i="6"/>
  <c r="E33" i="6"/>
  <c r="F33" i="6"/>
  <c r="G33" i="6"/>
  <c r="H33" i="6"/>
  <c r="I33" i="6"/>
  <c r="E34" i="6"/>
  <c r="F34" i="6"/>
  <c r="G34" i="6"/>
  <c r="H34" i="6"/>
  <c r="I34" i="6"/>
  <c r="E35" i="6"/>
  <c r="F35" i="6"/>
  <c r="G35" i="6"/>
  <c r="H35" i="6"/>
  <c r="I35" i="6"/>
  <c r="E36" i="6"/>
  <c r="F36" i="6"/>
  <c r="G36" i="6"/>
  <c r="H36" i="6"/>
  <c r="I36" i="6"/>
  <c r="E37" i="6"/>
  <c r="F37" i="6"/>
  <c r="G37" i="6"/>
  <c r="H37" i="6"/>
  <c r="I37" i="6"/>
  <c r="E38" i="6"/>
  <c r="F38" i="6"/>
  <c r="G38" i="6"/>
  <c r="H38" i="6"/>
  <c r="I38" i="6"/>
  <c r="E39" i="6"/>
  <c r="F39" i="6"/>
  <c r="G39" i="6"/>
  <c r="H39" i="6"/>
  <c r="I39" i="6"/>
  <c r="E40" i="6"/>
  <c r="F40" i="6"/>
  <c r="G40" i="6"/>
  <c r="H40" i="6"/>
  <c r="I40" i="6"/>
  <c r="E41" i="6"/>
  <c r="F41" i="6"/>
  <c r="G41" i="6"/>
  <c r="H41" i="6"/>
  <c r="I41" i="6"/>
  <c r="E42" i="6"/>
  <c r="F42" i="6"/>
  <c r="G42" i="6"/>
  <c r="H42" i="6"/>
  <c r="I42" i="6"/>
  <c r="E43" i="6"/>
  <c r="F43" i="6"/>
  <c r="G43" i="6"/>
  <c r="H43" i="6"/>
  <c r="I43" i="6"/>
  <c r="E44" i="6"/>
  <c r="F44" i="6"/>
  <c r="G44" i="6"/>
  <c r="H44" i="6"/>
  <c r="I44" i="6"/>
  <c r="E45" i="6"/>
  <c r="F45" i="6"/>
  <c r="G45" i="6"/>
  <c r="H45" i="6"/>
  <c r="I45" i="6"/>
  <c r="E46" i="6"/>
  <c r="F46" i="6"/>
  <c r="G46" i="6"/>
  <c r="H46" i="6"/>
  <c r="I46" i="6"/>
  <c r="E47" i="6"/>
  <c r="F47" i="6"/>
  <c r="G47" i="6"/>
  <c r="H47" i="6"/>
  <c r="I47" i="6"/>
  <c r="E48" i="6"/>
  <c r="F48" i="6"/>
  <c r="G48" i="6"/>
  <c r="H48" i="6"/>
  <c r="I48" i="6"/>
  <c r="E49" i="6"/>
  <c r="F49" i="6"/>
  <c r="G49" i="6"/>
  <c r="H49" i="6"/>
  <c r="I49" i="6"/>
  <c r="E50" i="6"/>
  <c r="F50" i="6"/>
  <c r="G50" i="6"/>
  <c r="H50" i="6"/>
  <c r="I50" i="6"/>
  <c r="E51" i="6"/>
  <c r="F51" i="6"/>
  <c r="G51" i="6"/>
  <c r="H51" i="6"/>
  <c r="I51" i="6"/>
  <c r="E52" i="6"/>
  <c r="F52" i="6"/>
  <c r="G52" i="6"/>
  <c r="H52" i="6"/>
  <c r="I52" i="6"/>
  <c r="E53" i="6"/>
  <c r="F53" i="6"/>
  <c r="G53" i="6"/>
  <c r="H53" i="6"/>
  <c r="I53" i="6"/>
  <c r="E54" i="6"/>
  <c r="F54" i="6"/>
  <c r="G54" i="6"/>
  <c r="H54" i="6"/>
  <c r="I54" i="6"/>
  <c r="E55" i="6"/>
  <c r="F55" i="6"/>
  <c r="G55" i="6"/>
  <c r="H55" i="6"/>
  <c r="I55" i="6"/>
  <c r="E56" i="6"/>
  <c r="F56" i="6"/>
  <c r="G56" i="6"/>
  <c r="H56" i="6"/>
  <c r="I56" i="6"/>
  <c r="E57" i="6"/>
  <c r="F57" i="6"/>
  <c r="G57" i="6"/>
  <c r="H57" i="6"/>
  <c r="I57" i="6"/>
  <c r="E58" i="6"/>
  <c r="F58" i="6"/>
  <c r="G58" i="6"/>
  <c r="H58" i="6"/>
  <c r="I58" i="6"/>
  <c r="E59" i="6"/>
  <c r="F59" i="6"/>
  <c r="G59" i="6"/>
  <c r="H59" i="6"/>
  <c r="I59" i="6"/>
  <c r="E60" i="6"/>
  <c r="F60" i="6"/>
  <c r="G60" i="6"/>
  <c r="H60" i="6"/>
  <c r="I60" i="6"/>
  <c r="E61" i="6"/>
  <c r="F61" i="6"/>
  <c r="G61" i="6"/>
  <c r="H61" i="6"/>
  <c r="I61" i="6"/>
  <c r="E62" i="6"/>
  <c r="F62" i="6"/>
  <c r="G62" i="6"/>
  <c r="H62" i="6"/>
  <c r="I62" i="6"/>
  <c r="E63" i="6"/>
  <c r="F63" i="6"/>
  <c r="G63" i="6"/>
  <c r="H63" i="6"/>
  <c r="I63" i="6"/>
  <c r="E64" i="6"/>
  <c r="F64" i="6"/>
  <c r="G64" i="6"/>
  <c r="H64" i="6"/>
  <c r="I64" i="6"/>
  <c r="E65" i="6"/>
  <c r="F65" i="6"/>
  <c r="G65" i="6"/>
  <c r="H65" i="6"/>
  <c r="I65" i="6"/>
  <c r="E66" i="6"/>
  <c r="F66" i="6"/>
  <c r="G66" i="6"/>
  <c r="H66" i="6"/>
  <c r="I66" i="6"/>
  <c r="E67" i="6"/>
  <c r="F67" i="6"/>
  <c r="G67" i="6"/>
  <c r="H67" i="6"/>
  <c r="I67" i="6"/>
  <c r="E68" i="6"/>
  <c r="F68" i="6"/>
  <c r="G68" i="6"/>
  <c r="H68" i="6"/>
  <c r="I68" i="6"/>
  <c r="E69" i="6"/>
  <c r="F69" i="6"/>
  <c r="G69" i="6"/>
  <c r="H69" i="6"/>
  <c r="I69" i="6"/>
  <c r="E70" i="6"/>
  <c r="F70" i="6"/>
  <c r="G70" i="6"/>
  <c r="H70" i="6"/>
  <c r="I70" i="6"/>
  <c r="E71" i="6"/>
  <c r="F71" i="6"/>
  <c r="G71" i="6"/>
  <c r="H71" i="6"/>
  <c r="I71" i="6"/>
  <c r="E72" i="6"/>
  <c r="F72" i="6"/>
  <c r="G72" i="6"/>
  <c r="H72" i="6"/>
  <c r="I72" i="6"/>
  <c r="E73" i="6"/>
  <c r="F73" i="6"/>
  <c r="G73" i="6"/>
  <c r="H73" i="6"/>
  <c r="I73" i="6"/>
  <c r="E4" i="7"/>
  <c r="E4" i="8" s="1"/>
  <c r="F4" i="7"/>
  <c r="F4" i="8" s="1"/>
  <c r="G4" i="7"/>
  <c r="G4" i="8" s="1"/>
  <c r="H4" i="7"/>
  <c r="H4" i="8" s="1"/>
  <c r="I4" i="7"/>
  <c r="I4" i="8" s="1"/>
  <c r="J4" i="7"/>
  <c r="J4" i="8" s="1"/>
  <c r="K4" i="7"/>
  <c r="K4" i="8" s="1"/>
  <c r="L4" i="7"/>
  <c r="L4" i="8" s="1"/>
  <c r="D2" i="13"/>
  <c r="E3" i="13"/>
  <c r="E2" i="13" s="1"/>
  <c r="F3" i="13"/>
  <c r="F2" i="13" s="1"/>
  <c r="G3" i="13"/>
  <c r="G2" i="13" s="1"/>
  <c r="H3" i="13"/>
  <c r="H2" i="13" s="1"/>
  <c r="I3" i="13"/>
  <c r="I2" i="13" s="1"/>
  <c r="J3" i="13"/>
  <c r="J2" i="13" s="1"/>
  <c r="K3" i="13"/>
  <c r="K2" i="13" s="1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9" i="12"/>
  <c r="N8" i="17"/>
  <c r="P8" i="17" s="1"/>
  <c r="R8" i="17" s="1"/>
  <c r="O8" i="17"/>
  <c r="Q8" i="17" s="1"/>
  <c r="S8" i="17" s="1"/>
  <c r="A10" i="12"/>
  <c r="N9" i="17"/>
  <c r="P9" i="17" s="1"/>
  <c r="R9" i="17" s="1"/>
  <c r="O9" i="17"/>
  <c r="Q9" i="17" s="1"/>
  <c r="S9" i="17"/>
  <c r="A11" i="12"/>
  <c r="A10" i="20" s="1"/>
  <c r="N10" i="17"/>
  <c r="P10" i="17" s="1"/>
  <c r="R10" i="17" s="1"/>
  <c r="O10" i="17"/>
  <c r="Q10" i="17" s="1"/>
  <c r="S10" i="17" s="1"/>
  <c r="A12" i="12"/>
  <c r="A11" i="20" s="1"/>
  <c r="N11" i="17"/>
  <c r="P11" i="17" s="1"/>
  <c r="R11" i="17" s="1"/>
  <c r="O11" i="17"/>
  <c r="Q11" i="17" s="1"/>
  <c r="S11" i="17" s="1"/>
  <c r="A13" i="12"/>
  <c r="A12" i="20" s="1"/>
  <c r="N12" i="17"/>
  <c r="P12" i="17" s="1"/>
  <c r="R12" i="17" s="1"/>
  <c r="O12" i="17"/>
  <c r="Q12" i="17" s="1"/>
  <c r="S12" i="17" s="1"/>
  <c r="A14" i="12"/>
  <c r="A13" i="20" s="1"/>
  <c r="N13" i="17"/>
  <c r="P13" i="17" s="1"/>
  <c r="R13" i="17" s="1"/>
  <c r="O13" i="17"/>
  <c r="Q13" i="17" s="1"/>
  <c r="S13" i="17" s="1"/>
  <c r="A15" i="12"/>
  <c r="A14" i="20" s="1"/>
  <c r="N14" i="17"/>
  <c r="P14" i="17" s="1"/>
  <c r="R14" i="17" s="1"/>
  <c r="O14" i="17"/>
  <c r="Q14" i="17" s="1"/>
  <c r="S14" i="17" s="1"/>
  <c r="A16" i="12"/>
  <c r="A15" i="20" s="1"/>
  <c r="N15" i="17"/>
  <c r="P15" i="17" s="1"/>
  <c r="R15" i="17" s="1"/>
  <c r="O15" i="17"/>
  <c r="Q15" i="17" s="1"/>
  <c r="S15" i="17" s="1"/>
  <c r="A17" i="12"/>
  <c r="A16" i="20" s="1"/>
  <c r="N16" i="17"/>
  <c r="P16" i="17" s="1"/>
  <c r="R16" i="17" s="1"/>
  <c r="O16" i="17"/>
  <c r="Q16" i="17" s="1"/>
  <c r="S16" i="17" s="1"/>
  <c r="A18" i="12"/>
  <c r="A17" i="20" s="1"/>
  <c r="N17" i="17"/>
  <c r="P17" i="17" s="1"/>
  <c r="R17" i="17" s="1"/>
  <c r="O17" i="17"/>
  <c r="Q17" i="17" s="1"/>
  <c r="S17" i="17" s="1"/>
  <c r="A19" i="12"/>
  <c r="A18" i="20" s="1"/>
  <c r="N18" i="17"/>
  <c r="P18" i="17" s="1"/>
  <c r="R18" i="17" s="1"/>
  <c r="O18" i="17"/>
  <c r="Q18" i="17" s="1"/>
  <c r="S18" i="17" s="1"/>
  <c r="A20" i="12"/>
  <c r="A19" i="20" s="1"/>
  <c r="N19" i="17"/>
  <c r="P19" i="17" s="1"/>
  <c r="R19" i="17" s="1"/>
  <c r="O19" i="17"/>
  <c r="Q19" i="17" s="1"/>
  <c r="S19" i="17" s="1"/>
  <c r="A21" i="12"/>
  <c r="A20" i="20" s="1"/>
  <c r="N20" i="17"/>
  <c r="P20" i="17" s="1"/>
  <c r="R20" i="17" s="1"/>
  <c r="O20" i="17"/>
  <c r="Q20" i="17" s="1"/>
  <c r="S20" i="17" s="1"/>
  <c r="A22" i="12"/>
  <c r="A21" i="20" s="1"/>
  <c r="N21" i="17"/>
  <c r="P21" i="17" s="1"/>
  <c r="R21" i="17" s="1"/>
  <c r="O21" i="17"/>
  <c r="Q21" i="17" s="1"/>
  <c r="S21" i="17" s="1"/>
  <c r="A23" i="12"/>
  <c r="A22" i="20" s="1"/>
  <c r="N22" i="17"/>
  <c r="P22" i="17" s="1"/>
  <c r="R22" i="17" s="1"/>
  <c r="O22" i="17"/>
  <c r="Q22" i="17" s="1"/>
  <c r="S22" i="17" s="1"/>
  <c r="A24" i="12"/>
  <c r="A23" i="20" s="1"/>
  <c r="N23" i="17"/>
  <c r="P23" i="17" s="1"/>
  <c r="R23" i="17" s="1"/>
  <c r="O23" i="17"/>
  <c r="Q23" i="17" s="1"/>
  <c r="S23" i="17" s="1"/>
  <c r="A25" i="12"/>
  <c r="A24" i="20" s="1"/>
  <c r="N24" i="17"/>
  <c r="P24" i="17" s="1"/>
  <c r="R24" i="17" s="1"/>
  <c r="O24" i="17"/>
  <c r="Q24" i="17" s="1"/>
  <c r="S24" i="17" s="1"/>
  <c r="A26" i="12"/>
  <c r="A25" i="20" s="1"/>
  <c r="N25" i="17"/>
  <c r="O25" i="17"/>
  <c r="Q25" i="17" s="1"/>
  <c r="S25" i="17" s="1"/>
  <c r="P25" i="17"/>
  <c r="R25" i="17" s="1"/>
  <c r="A27" i="12"/>
  <c r="A26" i="20" s="1"/>
  <c r="N26" i="17"/>
  <c r="O26" i="17"/>
  <c r="Q26" i="17" s="1"/>
  <c r="S26" i="17" s="1"/>
  <c r="P26" i="17"/>
  <c r="R26" i="17" s="1"/>
  <c r="A28" i="12"/>
  <c r="A27" i="20" s="1"/>
  <c r="N27" i="17"/>
  <c r="P27" i="17" s="1"/>
  <c r="R27" i="17" s="1"/>
  <c r="O27" i="17"/>
  <c r="Q27" i="17" s="1"/>
  <c r="S27" i="17" s="1"/>
  <c r="A29" i="12"/>
  <c r="N28" i="17"/>
  <c r="P28" i="17" s="1"/>
  <c r="R28" i="17" s="1"/>
  <c r="O28" i="17"/>
  <c r="Q28" i="17" s="1"/>
  <c r="S28" i="17" s="1"/>
  <c r="A30" i="12"/>
  <c r="A29" i="20" s="1"/>
  <c r="N29" i="17"/>
  <c r="P29" i="17" s="1"/>
  <c r="R29" i="17" s="1"/>
  <c r="O29" i="17"/>
  <c r="Q29" i="17" s="1"/>
  <c r="S29" i="17" s="1"/>
  <c r="A31" i="12"/>
  <c r="A30" i="20" s="1"/>
  <c r="N30" i="17"/>
  <c r="P30" i="17" s="1"/>
  <c r="R30" i="17" s="1"/>
  <c r="O30" i="17"/>
  <c r="Q30" i="17" s="1"/>
  <c r="S30" i="17" s="1"/>
  <c r="A32" i="12"/>
  <c r="A31" i="20" s="1"/>
  <c r="N31" i="17"/>
  <c r="P31" i="17" s="1"/>
  <c r="R31" i="17" s="1"/>
  <c r="O31" i="17"/>
  <c r="Q31" i="17" s="1"/>
  <c r="S31" i="17" s="1"/>
  <c r="A33" i="12"/>
  <c r="A32" i="20" s="1"/>
  <c r="N32" i="17"/>
  <c r="P32" i="17" s="1"/>
  <c r="R32" i="17" s="1"/>
  <c r="O32" i="17"/>
  <c r="Q32" i="17" s="1"/>
  <c r="S32" i="17" s="1"/>
  <c r="A34" i="12"/>
  <c r="A35" i="12"/>
  <c r="A34" i="20" s="1"/>
  <c r="A36" i="12"/>
  <c r="A35" i="20" s="1"/>
  <c r="A37" i="12"/>
  <c r="A36" i="20" s="1"/>
  <c r="A38" i="12"/>
  <c r="A39" i="12"/>
  <c r="A40" i="12"/>
  <c r="A39" i="20" s="1"/>
  <c r="A41" i="12"/>
  <c r="A40" i="20" s="1"/>
  <c r="A42" i="12"/>
  <c r="A41" i="20" s="1"/>
  <c r="A43" i="12"/>
  <c r="A42" i="20" s="1"/>
  <c r="A44" i="12"/>
  <c r="A43" i="20" s="1"/>
  <c r="A45" i="12"/>
  <c r="A44" i="20" s="1"/>
  <c r="A46" i="12"/>
  <c r="A45" i="20" s="1"/>
  <c r="A47" i="12"/>
  <c r="A48" i="12"/>
  <c r="A47" i="20" s="1"/>
  <c r="A49" i="12"/>
  <c r="A48" i="20" s="1"/>
  <c r="A50" i="12"/>
  <c r="A49" i="20" s="1"/>
  <c r="A51" i="12"/>
  <c r="A50" i="20" s="1"/>
  <c r="A52" i="12"/>
  <c r="A51" i="20" s="1"/>
  <c r="A53" i="12"/>
  <c r="A52" i="20" s="1"/>
  <c r="A54" i="12"/>
  <c r="A53" i="20" s="1"/>
  <c r="A55" i="12"/>
  <c r="A54" i="20" s="1"/>
  <c r="A56" i="12"/>
  <c r="C55" i="17"/>
  <c r="F55" i="17"/>
  <c r="G55" i="17" s="1"/>
  <c r="K55" i="17" s="1"/>
  <c r="I55" i="17"/>
  <c r="J55" i="17"/>
  <c r="M55" i="17"/>
  <c r="A57" i="12"/>
  <c r="A56" i="20" s="1"/>
  <c r="C56" i="17"/>
  <c r="F56" i="17"/>
  <c r="G56" i="17" s="1"/>
  <c r="K56" i="17" s="1"/>
  <c r="I56" i="17"/>
  <c r="J56" i="17"/>
  <c r="M56" i="17"/>
  <c r="A58" i="12"/>
  <c r="C57" i="17"/>
  <c r="F57" i="17"/>
  <c r="G57" i="17" s="1"/>
  <c r="K57" i="17" s="1"/>
  <c r="I57" i="17"/>
  <c r="J57" i="17"/>
  <c r="M57" i="17"/>
  <c r="A59" i="12"/>
  <c r="A58" i="20" s="1"/>
  <c r="C58" i="17"/>
  <c r="F58" i="17"/>
  <c r="G58" i="17" s="1"/>
  <c r="K58" i="17" s="1"/>
  <c r="I58" i="17"/>
  <c r="J58" i="17"/>
  <c r="M58" i="17"/>
  <c r="A60" i="12"/>
  <c r="A59" i="20" s="1"/>
  <c r="C59" i="17"/>
  <c r="F59" i="17"/>
  <c r="G59" i="17" s="1"/>
  <c r="K59" i="17" s="1"/>
  <c r="I59" i="17"/>
  <c r="J59" i="17"/>
  <c r="M59" i="17"/>
  <c r="A61" i="12"/>
  <c r="A60" i="20" s="1"/>
  <c r="C60" i="17"/>
  <c r="F60" i="17"/>
  <c r="G60" i="17" s="1"/>
  <c r="K60" i="17" s="1"/>
  <c r="I60" i="17"/>
  <c r="J60" i="17"/>
  <c r="M60" i="17"/>
  <c r="A62" i="12"/>
  <c r="A61" i="20" s="1"/>
  <c r="C61" i="17"/>
  <c r="F61" i="17"/>
  <c r="G61" i="17" s="1"/>
  <c r="K61" i="17" s="1"/>
  <c r="I61" i="17"/>
  <c r="J61" i="17"/>
  <c r="M61" i="17"/>
  <c r="A63" i="12"/>
  <c r="A62" i="20" s="1"/>
  <c r="C62" i="17"/>
  <c r="F62" i="17"/>
  <c r="G62" i="17" s="1"/>
  <c r="K62" i="17" s="1"/>
  <c r="I62" i="17"/>
  <c r="J62" i="17"/>
  <c r="M62" i="17"/>
  <c r="A64" i="12"/>
  <c r="C63" i="17"/>
  <c r="F63" i="17"/>
  <c r="G63" i="17" s="1"/>
  <c r="K63" i="17" s="1"/>
  <c r="I63" i="17"/>
  <c r="J63" i="17"/>
  <c r="M63" i="17"/>
  <c r="A65" i="12"/>
  <c r="A64" i="20" s="1"/>
  <c r="C64" i="17"/>
  <c r="F64" i="17"/>
  <c r="G64" i="17" s="1"/>
  <c r="K64" i="17" s="1"/>
  <c r="I64" i="17"/>
  <c r="J64" i="17"/>
  <c r="M64" i="17"/>
  <c r="A66" i="12"/>
  <c r="C65" i="17"/>
  <c r="F65" i="17"/>
  <c r="G65" i="17" s="1"/>
  <c r="K65" i="17" s="1"/>
  <c r="I65" i="17"/>
  <c r="J65" i="17"/>
  <c r="M65" i="17"/>
  <c r="A67" i="12"/>
  <c r="A66" i="20" s="1"/>
  <c r="C66" i="17"/>
  <c r="F66" i="17"/>
  <c r="G66" i="17" s="1"/>
  <c r="K66" i="17" s="1"/>
  <c r="I66" i="17"/>
  <c r="J66" i="17"/>
  <c r="M66" i="17"/>
  <c r="A68" i="12"/>
  <c r="C67" i="17"/>
  <c r="F67" i="17"/>
  <c r="G67" i="17" s="1"/>
  <c r="K67" i="17" s="1"/>
  <c r="I67" i="17"/>
  <c r="J67" i="17"/>
  <c r="M67" i="17"/>
  <c r="A69" i="12"/>
  <c r="A68" i="20" s="1"/>
  <c r="C68" i="17"/>
  <c r="F68" i="17"/>
  <c r="G68" i="17" s="1"/>
  <c r="K68" i="17" s="1"/>
  <c r="I68" i="17"/>
  <c r="J68" i="17"/>
  <c r="M68" i="17"/>
  <c r="A70" i="12"/>
  <c r="C69" i="17"/>
  <c r="F69" i="17"/>
  <c r="G69" i="17" s="1"/>
  <c r="K69" i="17" s="1"/>
  <c r="I69" i="17"/>
  <c r="J69" i="17"/>
  <c r="M69" i="17"/>
  <c r="A71" i="12"/>
  <c r="A70" i="20" s="1"/>
  <c r="A54" i="14"/>
  <c r="A72" i="12"/>
  <c r="A71" i="20" s="1"/>
  <c r="A73" i="12"/>
  <c r="A72" i="20" s="1"/>
  <c r="A74" i="12"/>
  <c r="A73" i="20" s="1"/>
  <c r="A75" i="12"/>
  <c r="A74" i="20" s="1"/>
  <c r="A76" i="12"/>
  <c r="A75" i="20" s="1"/>
  <c r="A77" i="12"/>
  <c r="A76" i="20" s="1"/>
  <c r="A78" i="12"/>
  <c r="A77" i="20" s="1"/>
  <c r="D3" i="12"/>
  <c r="D4" i="12"/>
  <c r="J4" i="12"/>
  <c r="A79" i="12"/>
  <c r="A78" i="20" s="1"/>
  <c r="A80" i="12"/>
  <c r="A79" i="20" s="1"/>
  <c r="A81" i="12"/>
  <c r="D81" i="12"/>
  <c r="E81" i="12"/>
  <c r="F81" i="12"/>
  <c r="G81" i="12"/>
  <c r="H81" i="12"/>
  <c r="I81" i="12"/>
  <c r="A82" i="12"/>
  <c r="D82" i="12"/>
  <c r="E82" i="12"/>
  <c r="F82" i="12"/>
  <c r="G82" i="12"/>
  <c r="H82" i="12"/>
  <c r="I82" i="12"/>
  <c r="A83" i="12"/>
  <c r="D83" i="12"/>
  <c r="E83" i="12"/>
  <c r="F83" i="12"/>
  <c r="G83" i="12"/>
  <c r="H83" i="12"/>
  <c r="I83" i="12"/>
  <c r="A84" i="12"/>
  <c r="D84" i="12"/>
  <c r="E84" i="12"/>
  <c r="F84" i="12"/>
  <c r="G84" i="12"/>
  <c r="H84" i="12"/>
  <c r="I84" i="12"/>
  <c r="D85" i="12"/>
  <c r="E85" i="12"/>
  <c r="F85" i="12"/>
  <c r="G85" i="12"/>
  <c r="H85" i="12"/>
  <c r="I85" i="12"/>
  <c r="B11" i="15"/>
  <c r="A12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L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AN46" i="15"/>
  <c r="B47" i="15"/>
  <c r="AN47" i="15"/>
  <c r="B48" i="15"/>
  <c r="AN48" i="15"/>
  <c r="B49" i="15"/>
  <c r="AN49" i="15"/>
  <c r="B50" i="15"/>
  <c r="AN50" i="15"/>
  <c r="B51" i="15"/>
  <c r="AN51" i="15"/>
  <c r="B52" i="15"/>
  <c r="AN52" i="15"/>
  <c r="B53" i="15"/>
  <c r="AN53" i="15"/>
  <c r="AN54" i="15"/>
  <c r="AN55" i="15"/>
  <c r="B56" i="15"/>
  <c r="AN56" i="15"/>
  <c r="B57" i="15"/>
  <c r="AN57" i="15"/>
  <c r="B58" i="15"/>
  <c r="AN58" i="15"/>
  <c r="B59" i="15"/>
  <c r="AN59" i="15"/>
  <c r="B60" i="15"/>
  <c r="AN60" i="15"/>
  <c r="B61" i="15"/>
  <c r="AN61" i="15"/>
  <c r="B62" i="15"/>
  <c r="AN62" i="15"/>
  <c r="B63" i="15"/>
  <c r="AN63" i="15"/>
  <c r="B64" i="15"/>
  <c r="AN64" i="15"/>
  <c r="B65" i="15"/>
  <c r="AN65" i="15"/>
  <c r="B66" i="15"/>
  <c r="AN66" i="15"/>
  <c r="B67" i="15"/>
  <c r="AN67" i="15"/>
  <c r="B68" i="15"/>
  <c r="AN68" i="15"/>
  <c r="B69" i="15"/>
  <c r="AN69" i="15"/>
  <c r="B70" i="15"/>
  <c r="AN70" i="15"/>
  <c r="B71" i="15"/>
  <c r="AN71" i="15"/>
  <c r="B72" i="15"/>
  <c r="AN72" i="15"/>
  <c r="B73" i="15"/>
  <c r="AN73" i="15"/>
  <c r="B74" i="15"/>
  <c r="AN74" i="15"/>
  <c r="B75" i="15"/>
  <c r="AN75" i="15"/>
  <c r="B76" i="15"/>
  <c r="AN76" i="15"/>
  <c r="B77" i="15"/>
  <c r="AN77" i="15"/>
  <c r="B78" i="15"/>
  <c r="AN78" i="15"/>
  <c r="B79" i="15"/>
  <c r="AN79" i="15"/>
  <c r="B80" i="15"/>
  <c r="AN80" i="15"/>
  <c r="K3" i="16"/>
  <c r="A18" i="16"/>
  <c r="A21" i="16"/>
  <c r="A26" i="16"/>
  <c r="A45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M11" i="19"/>
  <c r="M1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29" i="19"/>
  <c r="M30" i="19"/>
  <c r="M31" i="19"/>
  <c r="M32" i="19"/>
  <c r="M33" i="19"/>
  <c r="M34" i="19"/>
  <c r="M35" i="19"/>
  <c r="M36" i="19"/>
  <c r="M37" i="19"/>
  <c r="AA6" i="18" l="1"/>
  <c r="A7" i="16"/>
  <c r="A22" i="5"/>
  <c r="A22" i="6" s="1"/>
  <c r="A23" i="7" s="1"/>
  <c r="A23" i="8" s="1"/>
  <c r="A22" i="9" s="1"/>
  <c r="A22" i="10" s="1"/>
  <c r="L18" i="15"/>
  <c r="L15" i="15"/>
  <c r="B65" i="18"/>
  <c r="B73" i="5"/>
  <c r="B73" i="6" s="1"/>
  <c r="B74" i="7" s="1"/>
  <c r="B74" i="8" s="1"/>
  <c r="A40" i="16"/>
  <c r="A49" i="18"/>
  <c r="A57" i="5"/>
  <c r="A57" i="6" s="1"/>
  <c r="A58" i="7" s="1"/>
  <c r="A58" i="8" s="1"/>
  <c r="A57" i="9" s="1"/>
  <c r="A57" i="10" s="1"/>
  <c r="A36" i="16"/>
  <c r="A68" i="15"/>
  <c r="A48" i="16"/>
  <c r="A32" i="16"/>
  <c r="A49" i="5"/>
  <c r="A49" i="6" s="1"/>
  <c r="A50" i="7" s="1"/>
  <c r="A50" i="8" s="1"/>
  <c r="A49" i="9" s="1"/>
  <c r="A49" i="10" s="1"/>
  <c r="A60" i="15"/>
  <c r="A61" i="18"/>
  <c r="A37" i="18"/>
  <c r="A73" i="5"/>
  <c r="A73" i="6" s="1"/>
  <c r="A74" i="7" s="1"/>
  <c r="A74" i="8" s="1"/>
  <c r="A73" i="9" s="1"/>
  <c r="A73" i="10" s="1"/>
  <c r="A53" i="5"/>
  <c r="A53" i="6" s="1"/>
  <c r="A54" i="7" s="1"/>
  <c r="A54" i="8" s="1"/>
  <c r="A53" i="9" s="1"/>
  <c r="A53" i="10" s="1"/>
  <c r="A53" i="18"/>
  <c r="A33" i="18"/>
  <c r="A61" i="5"/>
  <c r="A61" i="6" s="1"/>
  <c r="A62" i="7" s="1"/>
  <c r="A62" i="8" s="1"/>
  <c r="A61" i="9" s="1"/>
  <c r="A61" i="10" s="1"/>
  <c r="A37" i="5"/>
  <c r="A37" i="6" s="1"/>
  <c r="A38" i="7" s="1"/>
  <c r="A38" i="8" s="1"/>
  <c r="A37" i="9" s="1"/>
  <c r="A37" i="10" s="1"/>
  <c r="A56" i="15"/>
  <c r="A44" i="16"/>
  <c r="A45" i="5"/>
  <c r="A45" i="6" s="1"/>
  <c r="A46" i="7" s="1"/>
  <c r="A46" i="8" s="1"/>
  <c r="A45" i="9" s="1"/>
  <c r="A45" i="10" s="1"/>
  <c r="A45" i="18"/>
  <c r="A25" i="16"/>
  <c r="L33" i="15"/>
  <c r="A34" i="16"/>
  <c r="A22" i="16"/>
  <c r="A29" i="16"/>
  <c r="L22" i="15"/>
  <c r="A30" i="5"/>
  <c r="A30" i="6" s="1"/>
  <c r="A31" i="7" s="1"/>
  <c r="A31" i="8" s="1"/>
  <c r="A30" i="9" s="1"/>
  <c r="A30" i="10" s="1"/>
  <c r="A33" i="16"/>
  <c r="A14" i="16"/>
  <c r="A15" i="18"/>
  <c r="A19" i="5"/>
  <c r="A19" i="6" s="1"/>
  <c r="A20" i="7" s="1"/>
  <c r="A20" i="8" s="1"/>
  <c r="A19" i="9" s="1"/>
  <c r="A19" i="10" s="1"/>
  <c r="A69" i="14"/>
  <c r="A69" i="20"/>
  <c r="A65" i="14"/>
  <c r="A65" i="20"/>
  <c r="A55" i="14"/>
  <c r="A55" i="20"/>
  <c r="A67" i="18"/>
  <c r="A43" i="18"/>
  <c r="A6" i="18"/>
  <c r="A71" i="5"/>
  <c r="A71" i="6" s="1"/>
  <c r="A72" i="7" s="1"/>
  <c r="A72" i="8" s="1"/>
  <c r="A71" i="9" s="1"/>
  <c r="A71" i="10" s="1"/>
  <c r="A59" i="5"/>
  <c r="A59" i="6" s="1"/>
  <c r="A60" i="7" s="1"/>
  <c r="A60" i="8" s="1"/>
  <c r="A59" i="9" s="1"/>
  <c r="A59" i="10" s="1"/>
  <c r="A67" i="14"/>
  <c r="A67" i="20"/>
  <c r="A63" i="14"/>
  <c r="A63" i="20"/>
  <c r="A57" i="14"/>
  <c r="A57" i="20"/>
  <c r="A4" i="16"/>
  <c r="A23" i="16"/>
  <c r="A67" i="5"/>
  <c r="A67" i="6" s="1"/>
  <c r="A68" i="7" s="1"/>
  <c r="A68" i="8" s="1"/>
  <c r="A67" i="9" s="1"/>
  <c r="A67" i="10" s="1"/>
  <c r="A30" i="16"/>
  <c r="A19" i="16"/>
  <c r="A37" i="14"/>
  <c r="A37" i="20"/>
  <c r="A33" i="14"/>
  <c r="A33" i="20"/>
  <c r="A35" i="18"/>
  <c r="A35" i="5"/>
  <c r="A35" i="6" s="1"/>
  <c r="A36" i="7" s="1"/>
  <c r="A36" i="8" s="1"/>
  <c r="A35" i="9" s="1"/>
  <c r="A35" i="10" s="1"/>
  <c r="A27" i="16"/>
  <c r="A31" i="5"/>
  <c r="A31" i="6" s="1"/>
  <c r="A32" i="7" s="1"/>
  <c r="A32" i="8" s="1"/>
  <c r="A31" i="9" s="1"/>
  <c r="A31" i="10" s="1"/>
  <c r="A12" i="5"/>
  <c r="A12" i="6" s="1"/>
  <c r="A13" i="7" s="1"/>
  <c r="A13" i="8" s="1"/>
  <c r="A12" i="9" s="1"/>
  <c r="A12" i="10" s="1"/>
  <c r="L19" i="15"/>
  <c r="A46" i="14"/>
  <c r="A46" i="20"/>
  <c r="A38" i="14"/>
  <c r="A38" i="20"/>
  <c r="A28" i="14"/>
  <c r="A28" i="20"/>
  <c r="A11" i="16"/>
  <c r="L23" i="15"/>
  <c r="A12" i="18"/>
  <c r="A12" i="16"/>
  <c r="A23" i="14"/>
  <c r="A15" i="14"/>
  <c r="X9" i="15"/>
  <c r="X11" i="15" s="1"/>
  <c r="BC13" i="15" s="1"/>
  <c r="AB9" i="15"/>
  <c r="AB11" i="15" s="1"/>
  <c r="BG13" i="15" s="1"/>
  <c r="AE8" i="15"/>
  <c r="AC8" i="15"/>
  <c r="Y8" i="15"/>
  <c r="AD8" i="15"/>
  <c r="Z8" i="15"/>
  <c r="AA7" i="15"/>
  <c r="AA8" i="15" s="1"/>
  <c r="K2" i="5"/>
  <c r="K2" i="18" s="1"/>
  <c r="AD9" i="15"/>
  <c r="AD11" i="15" s="1"/>
  <c r="BI13" i="15" s="1"/>
  <c r="G2" i="5"/>
  <c r="G2" i="18" s="1"/>
  <c r="Z9" i="15"/>
  <c r="Z11" i="15" s="1"/>
  <c r="BE13" i="15" s="1"/>
  <c r="J2" i="5"/>
  <c r="J2" i="18" s="1"/>
  <c r="AC9" i="15"/>
  <c r="AC11" i="15" s="1"/>
  <c r="BH13" i="15" s="1"/>
  <c r="F2" i="5"/>
  <c r="F2" i="18" s="1"/>
  <c r="Y9" i="15"/>
  <c r="Y11" i="15" s="1"/>
  <c r="AO81" i="15" s="1"/>
  <c r="AP81" i="15" s="1"/>
  <c r="AU70" i="15" s="1"/>
  <c r="AV70" i="15" s="1"/>
  <c r="L2" i="5"/>
  <c r="L2" i="18" s="1"/>
  <c r="AE9" i="15"/>
  <c r="H2" i="5"/>
  <c r="H2" i="18" s="1"/>
  <c r="K1" i="4"/>
  <c r="G1" i="4"/>
  <c r="J2" i="4"/>
  <c r="F2" i="4"/>
  <c r="I1" i="4"/>
  <c r="L3" i="5"/>
  <c r="L3" i="18" s="1"/>
  <c r="E1" i="4"/>
  <c r="O3" i="18"/>
  <c r="B5" i="5"/>
  <c r="B5" i="6" s="1"/>
  <c r="B6" i="7" s="1"/>
  <c r="B6" i="8" s="1"/>
  <c r="B5" i="18"/>
  <c r="L28" i="15"/>
  <c r="A13" i="15"/>
  <c r="L24" i="15"/>
  <c r="L32" i="15"/>
  <c r="B18" i="18"/>
  <c r="B68" i="5"/>
  <c r="B68" i="6" s="1"/>
  <c r="B69" i="7" s="1"/>
  <c r="B69" i="8" s="1"/>
  <c r="A70" i="15"/>
  <c r="T71" i="15" s="1"/>
  <c r="B56" i="5"/>
  <c r="B56" i="6" s="1"/>
  <c r="B57" i="7" s="1"/>
  <c r="B57" i="8" s="1"/>
  <c r="B56" i="18"/>
  <c r="B46" i="5"/>
  <c r="B46" i="6" s="1"/>
  <c r="B47" i="7" s="1"/>
  <c r="B47" i="8" s="1"/>
  <c r="B46" i="18"/>
  <c r="L71" i="15"/>
  <c r="A64" i="18"/>
  <c r="B61" i="5"/>
  <c r="B61" i="6" s="1"/>
  <c r="B62" i="7" s="1"/>
  <c r="B62" i="8" s="1"/>
  <c r="B61" i="18"/>
  <c r="B70" i="5"/>
  <c r="B70" i="6" s="1"/>
  <c r="B71" i="7" s="1"/>
  <c r="B71" i="8" s="1"/>
  <c r="B70" i="18"/>
  <c r="A9" i="5"/>
  <c r="A9" i="6" s="1"/>
  <c r="A10" i="7" s="1"/>
  <c r="A10" i="8" s="1"/>
  <c r="A9" i="9" s="1"/>
  <c r="A9" i="10" s="1"/>
  <c r="L16" i="15"/>
  <c r="A8" i="16"/>
  <c r="A76" i="15"/>
  <c r="A41" i="14"/>
  <c r="A74" i="15"/>
  <c r="T75" i="15" s="1"/>
  <c r="B32" i="18"/>
  <c r="B62" i="18"/>
  <c r="A46" i="18"/>
  <c r="A50" i="5"/>
  <c r="A50" i="6" s="1"/>
  <c r="A51" i="7" s="1"/>
  <c r="A51" i="8" s="1"/>
  <c r="A50" i="9" s="1"/>
  <c r="A50" i="10" s="1"/>
  <c r="A78" i="15"/>
  <c r="L14" i="15"/>
  <c r="A14" i="15"/>
  <c r="T15" i="15" s="1"/>
  <c r="G3" i="5"/>
  <c r="G3" i="18" s="1"/>
  <c r="S3" i="18"/>
  <c r="P2" i="18"/>
  <c r="N3" i="18"/>
  <c r="N2" i="18"/>
  <c r="R3" i="18"/>
  <c r="R2" i="18"/>
  <c r="J3" i="5"/>
  <c r="J3" i="18" s="1"/>
  <c r="M3" i="18"/>
  <c r="E2" i="4"/>
  <c r="B30" i="5"/>
  <c r="B30" i="6" s="1"/>
  <c r="B31" i="7" s="1"/>
  <c r="B31" i="8" s="1"/>
  <c r="B30" i="18"/>
  <c r="L17" i="15"/>
  <c r="A17" i="15"/>
  <c r="T18" i="15" s="1"/>
  <c r="AT7" i="15" s="1"/>
  <c r="A10" i="18"/>
  <c r="A10" i="5"/>
  <c r="A10" i="6" s="1"/>
  <c r="A11" i="7" s="1"/>
  <c r="A11" i="8" s="1"/>
  <c r="A10" i="9" s="1"/>
  <c r="A10" i="10" s="1"/>
  <c r="B66" i="18"/>
  <c r="B66" i="5"/>
  <c r="B66" i="6" s="1"/>
  <c r="B67" i="7" s="1"/>
  <c r="B67" i="8" s="1"/>
  <c r="B26" i="5"/>
  <c r="B26" i="6" s="1"/>
  <c r="B27" i="7" s="1"/>
  <c r="B27" i="8" s="1"/>
  <c r="B26" i="18"/>
  <c r="L69" i="15"/>
  <c r="A62" i="18"/>
  <c r="A62" i="5"/>
  <c r="A62" i="6" s="1"/>
  <c r="A63" i="7" s="1"/>
  <c r="A63" i="8" s="1"/>
  <c r="A62" i="9" s="1"/>
  <c r="A62" i="10" s="1"/>
  <c r="B57" i="18"/>
  <c r="B57" i="5"/>
  <c r="B57" i="6" s="1"/>
  <c r="B58" i="7" s="1"/>
  <c r="B58" i="8" s="1"/>
  <c r="A69" i="19"/>
  <c r="L69" i="19" s="1"/>
  <c r="AT69" i="15"/>
  <c r="L26" i="15"/>
  <c r="A16" i="15"/>
  <c r="T17" i="15" s="1"/>
  <c r="A41" i="17"/>
  <c r="A69" i="18"/>
  <c r="B60" i="18"/>
  <c r="A19" i="18"/>
  <c r="O2" i="18"/>
  <c r="A69" i="5"/>
  <c r="A69" i="6" s="1"/>
  <c r="A70" i="7" s="1"/>
  <c r="A70" i="8" s="1"/>
  <c r="A69" i="9" s="1"/>
  <c r="A69" i="10" s="1"/>
  <c r="A65" i="5"/>
  <c r="A65" i="6" s="1"/>
  <c r="A66" i="7" s="1"/>
  <c r="A66" i="8" s="1"/>
  <c r="A65" i="9" s="1"/>
  <c r="A65" i="10" s="1"/>
  <c r="A34" i="5"/>
  <c r="A34" i="6" s="1"/>
  <c r="A35" i="7" s="1"/>
  <c r="A35" i="8" s="1"/>
  <c r="A34" i="9" s="1"/>
  <c r="A34" i="10" s="1"/>
  <c r="A27" i="5"/>
  <c r="A27" i="6" s="1"/>
  <c r="A28" i="7" s="1"/>
  <c r="A28" i="8" s="1"/>
  <c r="A27" i="9" s="1"/>
  <c r="A27" i="10" s="1"/>
  <c r="A15" i="5"/>
  <c r="A15" i="6" s="1"/>
  <c r="A16" i="7" s="1"/>
  <c r="A16" i="8" s="1"/>
  <c r="A15" i="9" s="1"/>
  <c r="A15" i="10" s="1"/>
  <c r="A67" i="19"/>
  <c r="L67" i="19" s="1"/>
  <c r="AT67" i="15"/>
  <c r="L30" i="15"/>
  <c r="A73" i="18"/>
  <c r="A65" i="18"/>
  <c r="A59" i="18"/>
  <c r="A9" i="18"/>
  <c r="A64" i="5"/>
  <c r="A64" i="6" s="1"/>
  <c r="A65" i="7" s="1"/>
  <c r="A65" i="8" s="1"/>
  <c r="A64" i="9" s="1"/>
  <c r="A64" i="10" s="1"/>
  <c r="A54" i="5"/>
  <c r="A54" i="6" s="1"/>
  <c r="A55" i="7" s="1"/>
  <c r="A55" i="8" s="1"/>
  <c r="A54" i="9" s="1"/>
  <c r="A54" i="10" s="1"/>
  <c r="A23" i="5"/>
  <c r="A23" i="6" s="1"/>
  <c r="A24" i="7" s="1"/>
  <c r="A24" i="8" s="1"/>
  <c r="A23" i="9" s="1"/>
  <c r="A23" i="10" s="1"/>
  <c r="A50" i="15"/>
  <c r="T51" i="15" s="1"/>
  <c r="D70" i="13"/>
  <c r="G75" i="4"/>
  <c r="G76" i="4"/>
  <c r="B72" i="18"/>
  <c r="B64" i="18"/>
  <c r="B59" i="18"/>
  <c r="L79" i="15"/>
  <c r="T79" i="15" s="1"/>
  <c r="A72" i="5"/>
  <c r="A72" i="6" s="1"/>
  <c r="A73" i="7" s="1"/>
  <c r="A73" i="8" s="1"/>
  <c r="A72" i="9" s="1"/>
  <c r="A72" i="10" s="1"/>
  <c r="A79" i="15"/>
  <c r="A72" i="18"/>
  <c r="L77" i="15"/>
  <c r="T77" i="15" s="1"/>
  <c r="A70" i="5"/>
  <c r="A70" i="6" s="1"/>
  <c r="A71" i="7" s="1"/>
  <c r="A71" i="8" s="1"/>
  <c r="A70" i="9" s="1"/>
  <c r="A70" i="10" s="1"/>
  <c r="A70" i="18"/>
  <c r="A76" i="14"/>
  <c r="A72" i="14"/>
  <c r="A77" i="14"/>
  <c r="A61" i="14"/>
  <c r="A67" i="17"/>
  <c r="A63" i="17"/>
  <c r="A66" i="15"/>
  <c r="T67" i="15" s="1"/>
  <c r="A75" i="14"/>
  <c r="A73" i="14"/>
  <c r="A71" i="14"/>
  <c r="A68" i="17"/>
  <c r="A64" i="17"/>
  <c r="A71" i="15"/>
  <c r="T72" i="15" s="1"/>
  <c r="A69" i="17"/>
  <c r="A65" i="17"/>
  <c r="A61" i="17"/>
  <c r="A74" i="14"/>
  <c r="A62" i="17"/>
  <c r="J70" i="7"/>
  <c r="B36" i="5"/>
  <c r="B36" i="6" s="1"/>
  <c r="B37" i="7" s="1"/>
  <c r="B37" i="8" s="1"/>
  <c r="B36" i="18"/>
  <c r="B22" i="5"/>
  <c r="B22" i="6" s="1"/>
  <c r="B23" i="7" s="1"/>
  <c r="B23" i="8" s="1"/>
  <c r="B22" i="18"/>
  <c r="A25" i="15"/>
  <c r="T26" i="15" s="1"/>
  <c r="A18" i="18"/>
  <c r="A18" i="5"/>
  <c r="A18" i="6" s="1"/>
  <c r="A19" i="7" s="1"/>
  <c r="A19" i="8" s="1"/>
  <c r="A18" i="9" s="1"/>
  <c r="A18" i="10" s="1"/>
  <c r="L25" i="15"/>
  <c r="A17" i="16"/>
  <c r="B28" i="5"/>
  <c r="B28" i="6" s="1"/>
  <c r="B29" i="7" s="1"/>
  <c r="B29" i="8" s="1"/>
  <c r="B28" i="18"/>
  <c r="B14" i="5"/>
  <c r="B14" i="6" s="1"/>
  <c r="B15" i="7" s="1"/>
  <c r="B15" i="8" s="1"/>
  <c r="B14" i="18"/>
  <c r="A4" i="5"/>
  <c r="A4" i="6" s="1"/>
  <c r="A5" i="7" s="1"/>
  <c r="A5" i="8" s="1"/>
  <c r="A4" i="9" s="1"/>
  <c r="A4" i="10" s="1"/>
  <c r="A4" i="18"/>
  <c r="A11" i="15"/>
  <c r="A3" i="16"/>
  <c r="L11" i="15"/>
  <c r="A35" i="17"/>
  <c r="A31" i="17"/>
  <c r="A28" i="17"/>
  <c r="A24" i="17"/>
  <c r="A10" i="17"/>
  <c r="A39" i="17"/>
  <c r="A34" i="17"/>
  <c r="A21" i="17"/>
  <c r="A19" i="17"/>
  <c r="A21" i="18"/>
  <c r="A25" i="5"/>
  <c r="A25" i="6" s="1"/>
  <c r="A26" i="7" s="1"/>
  <c r="A26" i="8" s="1"/>
  <c r="A25" i="9" s="1"/>
  <c r="A25" i="10" s="1"/>
  <c r="B4" i="5"/>
  <c r="B4" i="6" s="1"/>
  <c r="B5" i="7" s="1"/>
  <c r="B5" i="8" s="1"/>
  <c r="A38" i="16"/>
  <c r="A13" i="16"/>
  <c r="A9" i="16"/>
  <c r="A5" i="16"/>
  <c r="L35" i="15"/>
  <c r="L31" i="15"/>
  <c r="L27" i="15"/>
  <c r="L21" i="15"/>
  <c r="L13" i="15"/>
  <c r="A20" i="17"/>
  <c r="A15" i="17"/>
  <c r="A8" i="14"/>
  <c r="A8" i="20"/>
  <c r="B34" i="18"/>
  <c r="A31" i="18"/>
  <c r="A28" i="18"/>
  <c r="B24" i="18"/>
  <c r="A20" i="18"/>
  <c r="A17" i="18"/>
  <c r="A21" i="5"/>
  <c r="A21" i="6" s="1"/>
  <c r="A22" i="7" s="1"/>
  <c r="A22" i="8" s="1"/>
  <c r="A21" i="9" s="1"/>
  <c r="A21" i="10" s="1"/>
  <c r="A29" i="14"/>
  <c r="A27" i="17"/>
  <c r="A37" i="17"/>
  <c r="A25" i="17"/>
  <c r="A23" i="17"/>
  <c r="A14" i="17"/>
  <c r="A9" i="17"/>
  <c r="A9" i="20"/>
  <c r="A25" i="18"/>
  <c r="A14" i="18"/>
  <c r="A14" i="5"/>
  <c r="A14" i="6" s="1"/>
  <c r="A15" i="7" s="1"/>
  <c r="A15" i="8" s="1"/>
  <c r="A14" i="9" s="1"/>
  <c r="A14" i="10" s="1"/>
  <c r="A24" i="16"/>
  <c r="A20" i="16"/>
  <c r="A16" i="16"/>
  <c r="A25" i="14"/>
  <c r="A9" i="14"/>
  <c r="A38" i="17"/>
  <c r="A33" i="17"/>
  <c r="A32" i="17"/>
  <c r="A16" i="17"/>
  <c r="A24" i="18"/>
  <c r="B10" i="18"/>
  <c r="A28" i="5"/>
  <c r="A28" i="6" s="1"/>
  <c r="A29" i="7" s="1"/>
  <c r="A29" i="8" s="1"/>
  <c r="A28" i="9" s="1"/>
  <c r="A28" i="10" s="1"/>
  <c r="A24" i="5"/>
  <c r="A24" i="6" s="1"/>
  <c r="A25" i="7" s="1"/>
  <c r="A25" i="8" s="1"/>
  <c r="A24" i="9" s="1"/>
  <c r="A24" i="10" s="1"/>
  <c r="A20" i="5"/>
  <c r="A20" i="6" s="1"/>
  <c r="A21" i="7" s="1"/>
  <c r="A21" i="8" s="1"/>
  <c r="A20" i="9" s="1"/>
  <c r="A20" i="10" s="1"/>
  <c r="A17" i="5"/>
  <c r="A17" i="6" s="1"/>
  <c r="A18" i="7" s="1"/>
  <c r="A18" i="8" s="1"/>
  <c r="A17" i="9" s="1"/>
  <c r="A17" i="10" s="1"/>
  <c r="A42" i="15"/>
  <c r="T43" i="15" s="1"/>
  <c r="B38" i="18"/>
  <c r="B38" i="5"/>
  <c r="B38" i="6" s="1"/>
  <c r="B39" i="7" s="1"/>
  <c r="B39" i="8" s="1"/>
  <c r="B44" i="5"/>
  <c r="B44" i="6" s="1"/>
  <c r="B45" i="7" s="1"/>
  <c r="B45" i="8" s="1"/>
  <c r="B44" i="18"/>
  <c r="A42" i="16"/>
  <c r="A47" i="16"/>
  <c r="A43" i="5"/>
  <c r="A43" i="6" s="1"/>
  <c r="A44" i="7" s="1"/>
  <c r="A44" i="8" s="1"/>
  <c r="A43" i="9" s="1"/>
  <c r="A43" i="10" s="1"/>
  <c r="A46" i="16"/>
  <c r="B40" i="18"/>
  <c r="A47" i="5"/>
  <c r="A47" i="6" s="1"/>
  <c r="A48" i="7" s="1"/>
  <c r="A48" i="8" s="1"/>
  <c r="A47" i="9" s="1"/>
  <c r="A47" i="10" s="1"/>
  <c r="B54" i="5"/>
  <c r="B54" i="6" s="1"/>
  <c r="B55" i="7" s="1"/>
  <c r="B55" i="8" s="1"/>
  <c r="B54" i="18"/>
  <c r="B48" i="5"/>
  <c r="B48" i="6" s="1"/>
  <c r="B49" i="7" s="1"/>
  <c r="B49" i="8" s="1"/>
  <c r="B48" i="18"/>
  <c r="L63" i="15"/>
  <c r="A56" i="5"/>
  <c r="A56" i="6" s="1"/>
  <c r="A57" i="7" s="1"/>
  <c r="A57" i="8" s="1"/>
  <c r="A56" i="9" s="1"/>
  <c r="A56" i="10" s="1"/>
  <c r="A56" i="18"/>
  <c r="A63" i="15"/>
  <c r="A58" i="17"/>
  <c r="A55" i="17"/>
  <c r="A58" i="14"/>
  <c r="A56" i="17"/>
  <c r="A49" i="16"/>
  <c r="A60" i="17"/>
  <c r="A57" i="17"/>
  <c r="A54" i="17"/>
  <c r="A51" i="18"/>
  <c r="B52" i="5"/>
  <c r="B52" i="6" s="1"/>
  <c r="B53" i="7" s="1"/>
  <c r="B53" i="8" s="1"/>
  <c r="A53" i="14"/>
  <c r="A59" i="17"/>
  <c r="A59" i="14"/>
  <c r="A56" i="14"/>
  <c r="A57" i="18"/>
  <c r="A51" i="5"/>
  <c r="A51" i="6" s="1"/>
  <c r="A52" i="7" s="1"/>
  <c r="A52" i="8" s="1"/>
  <c r="A51" i="9" s="1"/>
  <c r="A51" i="10" s="1"/>
  <c r="L47" i="15"/>
  <c r="A40" i="18"/>
  <c r="A39" i="16"/>
  <c r="A47" i="15"/>
  <c r="A40" i="5"/>
  <c r="A40" i="6" s="1"/>
  <c r="A41" i="7" s="1"/>
  <c r="A41" i="8" s="1"/>
  <c r="A40" i="9" s="1"/>
  <c r="A40" i="10" s="1"/>
  <c r="A49" i="17"/>
  <c r="A45" i="14"/>
  <c r="A38" i="5"/>
  <c r="A38" i="6" s="1"/>
  <c r="A39" i="7" s="1"/>
  <c r="A39" i="8" s="1"/>
  <c r="A38" i="9" s="1"/>
  <c r="A38" i="10" s="1"/>
  <c r="A47" i="17"/>
  <c r="A42" i="17"/>
  <c r="A37" i="16"/>
  <c r="A41" i="18"/>
  <c r="A44" i="5"/>
  <c r="A44" i="6" s="1"/>
  <c r="A45" i="7" s="1"/>
  <c r="A45" i="8" s="1"/>
  <c r="A44" i="9" s="1"/>
  <c r="A44" i="10" s="1"/>
  <c r="A48" i="15"/>
  <c r="T49" i="15" s="1"/>
  <c r="AT38" i="15" s="1"/>
  <c r="A51" i="17"/>
  <c r="A46" i="17"/>
  <c r="A43" i="16"/>
  <c r="A50" i="17"/>
  <c r="A43" i="17"/>
  <c r="A44" i="18"/>
  <c r="A41" i="5"/>
  <c r="A41" i="6" s="1"/>
  <c r="A42" i="7" s="1"/>
  <c r="A42" i="8" s="1"/>
  <c r="A41" i="9" s="1"/>
  <c r="A41" i="10" s="1"/>
  <c r="A52" i="15"/>
  <c r="T2" i="18"/>
  <c r="S2" i="18"/>
  <c r="Q3" i="18"/>
  <c r="I3" i="5"/>
  <c r="I2" i="4"/>
  <c r="J61" i="13"/>
  <c r="L74" i="3"/>
  <c r="K75" i="13" s="1"/>
  <c r="L71" i="3"/>
  <c r="L71" i="7" s="1"/>
  <c r="K70" i="3"/>
  <c r="K70" i="7" s="1"/>
  <c r="I69" i="3"/>
  <c r="I69" i="7" s="1"/>
  <c r="J68" i="3"/>
  <c r="J68" i="7" s="1"/>
  <c r="L66" i="3"/>
  <c r="L66" i="7" s="1"/>
  <c r="L64" i="3"/>
  <c r="K65" i="13" s="1"/>
  <c r="K62" i="3"/>
  <c r="K62" i="7" s="1"/>
  <c r="I59" i="3"/>
  <c r="L55" i="3"/>
  <c r="L55" i="7" s="1"/>
  <c r="L53" i="3"/>
  <c r="L53" i="7" s="1"/>
  <c r="J52" i="3"/>
  <c r="J52" i="7" s="1"/>
  <c r="K46" i="3"/>
  <c r="J47" i="13" s="1"/>
  <c r="I43" i="3"/>
  <c r="H44" i="13" s="1"/>
  <c r="L39" i="3"/>
  <c r="L39" i="7" s="1"/>
  <c r="L37" i="3"/>
  <c r="K38" i="13" s="1"/>
  <c r="J36" i="3"/>
  <c r="J36" i="7" s="1"/>
  <c r="K30" i="3"/>
  <c r="J31" i="13" s="1"/>
  <c r="L26" i="3"/>
  <c r="L26" i="7" s="1"/>
  <c r="J20" i="3"/>
  <c r="K14" i="3"/>
  <c r="J15" i="13" s="1"/>
  <c r="F71" i="3"/>
  <c r="E72" i="13" s="1"/>
  <c r="G59" i="3"/>
  <c r="G59" i="7" s="1"/>
  <c r="E49" i="3"/>
  <c r="E39" i="3"/>
  <c r="D40" i="13" s="1"/>
  <c r="F16" i="3"/>
  <c r="F16" i="7" s="1"/>
  <c r="J75" i="13"/>
  <c r="J10" i="13"/>
  <c r="E69" i="7"/>
  <c r="H74" i="3"/>
  <c r="G75" i="13" s="1"/>
  <c r="J72" i="3"/>
  <c r="H71" i="3"/>
  <c r="L67" i="3"/>
  <c r="K68" i="13" s="1"/>
  <c r="J65" i="3"/>
  <c r="L61" i="3"/>
  <c r="L61" i="7" s="1"/>
  <c r="J60" i="3"/>
  <c r="J60" i="7" s="1"/>
  <c r="K54" i="3"/>
  <c r="J55" i="13" s="1"/>
  <c r="I51" i="3"/>
  <c r="H52" i="13" s="1"/>
  <c r="L47" i="3"/>
  <c r="L47" i="7" s="1"/>
  <c r="L45" i="3"/>
  <c r="K46" i="13" s="1"/>
  <c r="J44" i="3"/>
  <c r="J44" i="7" s="1"/>
  <c r="K38" i="3"/>
  <c r="J39" i="13" s="1"/>
  <c r="I35" i="3"/>
  <c r="H36" i="13" s="1"/>
  <c r="L31" i="3"/>
  <c r="L31" i="7" s="1"/>
  <c r="L29" i="3"/>
  <c r="L29" i="7" s="1"/>
  <c r="L25" i="3"/>
  <c r="L25" i="7" s="1"/>
  <c r="L23" i="3"/>
  <c r="I21" i="3"/>
  <c r="H22" i="13" s="1"/>
  <c r="H11" i="3"/>
  <c r="H11" i="7" s="1"/>
  <c r="K10" i="3"/>
  <c r="K10" i="7" s="1"/>
  <c r="E66" i="3"/>
  <c r="E66" i="4" s="1"/>
  <c r="F54" i="3"/>
  <c r="E55" i="13" s="1"/>
  <c r="G43" i="3"/>
  <c r="F44" i="13" s="1"/>
  <c r="E27" i="3"/>
  <c r="E27" i="7" s="1"/>
  <c r="F63" i="3"/>
  <c r="L69" i="3"/>
  <c r="K70" i="13" s="1"/>
  <c r="K68" i="3"/>
  <c r="J69" i="13" s="1"/>
  <c r="I61" i="3"/>
  <c r="J58" i="3"/>
  <c r="J58" i="7" s="1"/>
  <c r="K52" i="3"/>
  <c r="J53" i="13" s="1"/>
  <c r="H51" i="3"/>
  <c r="H51" i="7" s="1"/>
  <c r="H49" i="3"/>
  <c r="G50" i="13" s="1"/>
  <c r="I45" i="3"/>
  <c r="J42" i="3"/>
  <c r="J42" i="7" s="1"/>
  <c r="K36" i="3"/>
  <c r="J37" i="13" s="1"/>
  <c r="H35" i="3"/>
  <c r="H35" i="7" s="1"/>
  <c r="H33" i="3"/>
  <c r="H33" i="7" s="1"/>
  <c r="H29" i="3"/>
  <c r="H29" i="7" s="1"/>
  <c r="H25" i="3"/>
  <c r="H25" i="7" s="1"/>
  <c r="J18" i="3"/>
  <c r="I19" i="13" s="1"/>
  <c r="K12" i="3"/>
  <c r="F74" i="3"/>
  <c r="G62" i="3"/>
  <c r="E52" i="3"/>
  <c r="G21" i="3"/>
  <c r="G21" i="7" s="1"/>
  <c r="M10" i="19"/>
  <c r="M6" i="19"/>
  <c r="F32" i="7"/>
  <c r="H69" i="7"/>
  <c r="G70" i="13"/>
  <c r="F57" i="7"/>
  <c r="E58" i="13"/>
  <c r="G46" i="7"/>
  <c r="F47" i="13"/>
  <c r="E11" i="4"/>
  <c r="M10" i="18" s="1"/>
  <c r="E11" i="7"/>
  <c r="D12" i="13"/>
  <c r="I74" i="3"/>
  <c r="L72" i="3"/>
  <c r="H72" i="3"/>
  <c r="J71" i="3"/>
  <c r="L70" i="3"/>
  <c r="H70" i="3"/>
  <c r="J69" i="3"/>
  <c r="L68" i="3"/>
  <c r="H68" i="3"/>
  <c r="I67" i="3"/>
  <c r="I67" i="7" s="1"/>
  <c r="H66" i="3"/>
  <c r="L59" i="3"/>
  <c r="L59" i="7" s="1"/>
  <c r="K58" i="3"/>
  <c r="I57" i="3"/>
  <c r="H58" i="13" s="1"/>
  <c r="J56" i="3"/>
  <c r="J56" i="7" s="1"/>
  <c r="H55" i="3"/>
  <c r="H55" i="7" s="1"/>
  <c r="L51" i="3"/>
  <c r="K50" i="3"/>
  <c r="I49" i="3"/>
  <c r="H50" i="13" s="1"/>
  <c r="J48" i="3"/>
  <c r="J48" i="7" s="1"/>
  <c r="H47" i="3"/>
  <c r="G48" i="13" s="1"/>
  <c r="L43" i="3"/>
  <c r="K42" i="3"/>
  <c r="J43" i="13" s="1"/>
  <c r="I41" i="3"/>
  <c r="H42" i="13" s="1"/>
  <c r="J40" i="3"/>
  <c r="J40" i="7" s="1"/>
  <c r="H39" i="3"/>
  <c r="G40" i="13" s="1"/>
  <c r="L35" i="3"/>
  <c r="L35" i="7" s="1"/>
  <c r="K34" i="3"/>
  <c r="J35" i="13" s="1"/>
  <c r="I33" i="3"/>
  <c r="H34" i="13" s="1"/>
  <c r="J32" i="3"/>
  <c r="J32" i="7" s="1"/>
  <c r="H31" i="3"/>
  <c r="H31" i="7" s="1"/>
  <c r="J28" i="3"/>
  <c r="J28" i="7" s="1"/>
  <c r="I27" i="3"/>
  <c r="H28" i="13" s="1"/>
  <c r="K20" i="3"/>
  <c r="H19" i="3"/>
  <c r="G20" i="13" s="1"/>
  <c r="H17" i="3"/>
  <c r="H17" i="7" s="1"/>
  <c r="I13" i="3"/>
  <c r="H14" i="13" s="1"/>
  <c r="J8" i="3"/>
  <c r="J8" i="7" s="1"/>
  <c r="E7" i="4"/>
  <c r="G6" i="3"/>
  <c r="E5" i="3"/>
  <c r="G71" i="3"/>
  <c r="F66" i="3"/>
  <c r="E60" i="3"/>
  <c r="G54" i="3"/>
  <c r="F49" i="3"/>
  <c r="E44" i="3"/>
  <c r="E37" i="3"/>
  <c r="G34" i="3"/>
  <c r="G34" i="7" s="1"/>
  <c r="F29" i="3"/>
  <c r="F29" i="7" s="1"/>
  <c r="E24" i="3"/>
  <c r="G18" i="3"/>
  <c r="F13" i="3"/>
  <c r="F13" i="7" s="1"/>
  <c r="H63" i="3"/>
  <c r="L63" i="3"/>
  <c r="E9" i="3"/>
  <c r="F10" i="3"/>
  <c r="F10" i="7" s="1"/>
  <c r="G11" i="3"/>
  <c r="G11" i="7" s="1"/>
  <c r="E13" i="3"/>
  <c r="F14" i="3"/>
  <c r="G15" i="3"/>
  <c r="E17" i="3"/>
  <c r="F18" i="3"/>
  <c r="E19" i="13" s="1"/>
  <c r="G19" i="3"/>
  <c r="G19" i="7" s="1"/>
  <c r="E21" i="3"/>
  <c r="E21" i="4" s="1"/>
  <c r="F22" i="3"/>
  <c r="F22" i="7" s="1"/>
  <c r="G23" i="3"/>
  <c r="G23" i="7" s="1"/>
  <c r="E25" i="3"/>
  <c r="F26" i="3"/>
  <c r="F26" i="7" s="1"/>
  <c r="G27" i="3"/>
  <c r="E29" i="3"/>
  <c r="F30" i="3"/>
  <c r="F30" i="7" s="1"/>
  <c r="G31" i="3"/>
  <c r="G31" i="7" s="1"/>
  <c r="E33" i="3"/>
  <c r="E33" i="4" s="1"/>
  <c r="M32" i="18" s="1"/>
  <c r="F34" i="3"/>
  <c r="F34" i="7" s="1"/>
  <c r="G35" i="3"/>
  <c r="G36" i="3"/>
  <c r="G36" i="7" s="1"/>
  <c r="G37" i="3"/>
  <c r="F38" i="13" s="1"/>
  <c r="G38" i="3"/>
  <c r="F39" i="13" s="1"/>
  <c r="G39" i="3"/>
  <c r="G40" i="3"/>
  <c r="G40" i="7" s="1"/>
  <c r="E42" i="3"/>
  <c r="F43" i="3"/>
  <c r="E44" i="13" s="1"/>
  <c r="G44" i="3"/>
  <c r="G44" i="7" s="1"/>
  <c r="E46" i="3"/>
  <c r="F47" i="3"/>
  <c r="F47" i="7" s="1"/>
  <c r="G48" i="3"/>
  <c r="F49" i="13" s="1"/>
  <c r="E50" i="3"/>
  <c r="D51" i="13" s="1"/>
  <c r="F51" i="3"/>
  <c r="E52" i="13" s="1"/>
  <c r="G52" i="3"/>
  <c r="F53" i="13" s="1"/>
  <c r="E54" i="3"/>
  <c r="E54" i="4" s="1"/>
  <c r="M53" i="18" s="1"/>
  <c r="F55" i="3"/>
  <c r="F55" i="7" s="1"/>
  <c r="G56" i="3"/>
  <c r="G56" i="7" s="1"/>
  <c r="E58" i="3"/>
  <c r="F59" i="3"/>
  <c r="G60" i="3"/>
  <c r="E62" i="3"/>
  <c r="F64" i="3"/>
  <c r="G65" i="3"/>
  <c r="E67" i="3"/>
  <c r="F68" i="3"/>
  <c r="G69" i="3"/>
  <c r="E71" i="3"/>
  <c r="F72" i="3"/>
  <c r="G73" i="3"/>
  <c r="H73" i="3"/>
  <c r="L73" i="3"/>
  <c r="G5" i="3"/>
  <c r="K5" i="3"/>
  <c r="K5" i="7" s="1"/>
  <c r="E6" i="3"/>
  <c r="I6" i="3"/>
  <c r="F8" i="13"/>
  <c r="K7" i="7"/>
  <c r="H8" i="3"/>
  <c r="H8" i="7" s="1"/>
  <c r="L8" i="3"/>
  <c r="I9" i="3"/>
  <c r="H10" i="13" s="1"/>
  <c r="J10" i="3"/>
  <c r="K11" i="3"/>
  <c r="J12" i="13" s="1"/>
  <c r="I12" i="3"/>
  <c r="H13" i="13" s="1"/>
  <c r="K13" i="3"/>
  <c r="K13" i="7" s="1"/>
  <c r="I14" i="3"/>
  <c r="K15" i="3"/>
  <c r="I16" i="3"/>
  <c r="K17" i="3"/>
  <c r="I18" i="3"/>
  <c r="K19" i="3"/>
  <c r="J20" i="13" s="1"/>
  <c r="I20" i="3"/>
  <c r="K21" i="3"/>
  <c r="J22" i="13" s="1"/>
  <c r="I22" i="3"/>
  <c r="K23" i="3"/>
  <c r="K23" i="7" s="1"/>
  <c r="I24" i="3"/>
  <c r="H25" i="13" s="1"/>
  <c r="K25" i="3"/>
  <c r="I26" i="3"/>
  <c r="K27" i="3"/>
  <c r="K27" i="7" s="1"/>
  <c r="I28" i="3"/>
  <c r="H29" i="13" s="1"/>
  <c r="K29" i="3"/>
  <c r="K29" i="7" s="1"/>
  <c r="G63" i="3"/>
  <c r="K63" i="3"/>
  <c r="K63" i="7" s="1"/>
  <c r="G8" i="3"/>
  <c r="G8" i="7" s="1"/>
  <c r="E10" i="3"/>
  <c r="F11" i="3"/>
  <c r="G12" i="3"/>
  <c r="G12" i="7" s="1"/>
  <c r="E14" i="3"/>
  <c r="F15" i="3"/>
  <c r="F15" i="7" s="1"/>
  <c r="G16" i="3"/>
  <c r="F17" i="13" s="1"/>
  <c r="E18" i="3"/>
  <c r="E18" i="4" s="1"/>
  <c r="M17" i="18" s="1"/>
  <c r="F19" i="3"/>
  <c r="G20" i="3"/>
  <c r="G20" i="7" s="1"/>
  <c r="E22" i="3"/>
  <c r="F23" i="3"/>
  <c r="E24" i="13" s="1"/>
  <c r="G24" i="3"/>
  <c r="E26" i="3"/>
  <c r="F27" i="3"/>
  <c r="G28" i="3"/>
  <c r="F29" i="13" s="1"/>
  <c r="E30" i="3"/>
  <c r="F31" i="3"/>
  <c r="F31" i="7" s="1"/>
  <c r="G32" i="3"/>
  <c r="G32" i="7" s="1"/>
  <c r="E34" i="3"/>
  <c r="F35" i="3"/>
  <c r="F35" i="7" s="1"/>
  <c r="F36" i="3"/>
  <c r="F36" i="7" s="1"/>
  <c r="F37" i="3"/>
  <c r="F37" i="7" s="1"/>
  <c r="F38" i="3"/>
  <c r="F38" i="7" s="1"/>
  <c r="F39" i="3"/>
  <c r="E40" i="13" s="1"/>
  <c r="F40" i="3"/>
  <c r="F40" i="7" s="1"/>
  <c r="G41" i="3"/>
  <c r="G41" i="7" s="1"/>
  <c r="E43" i="3"/>
  <c r="F44" i="3"/>
  <c r="F44" i="7" s="1"/>
  <c r="G45" i="3"/>
  <c r="G45" i="7" s="1"/>
  <c r="E47" i="3"/>
  <c r="D48" i="13" s="1"/>
  <c r="F48" i="3"/>
  <c r="F48" i="7" s="1"/>
  <c r="G49" i="3"/>
  <c r="G49" i="7" s="1"/>
  <c r="E51" i="3"/>
  <c r="F52" i="3"/>
  <c r="G53" i="3"/>
  <c r="F54" i="13" s="1"/>
  <c r="E55" i="3"/>
  <c r="F56" i="3"/>
  <c r="G57" i="3"/>
  <c r="F58" i="13" s="1"/>
  <c r="E59" i="3"/>
  <c r="F60" i="3"/>
  <c r="G61" i="3"/>
  <c r="E64" i="3"/>
  <c r="F65" i="3"/>
  <c r="F65" i="7" s="1"/>
  <c r="G66" i="3"/>
  <c r="E68" i="3"/>
  <c r="E68" i="4" s="1"/>
  <c r="F69" i="3"/>
  <c r="G70" i="3"/>
  <c r="E72" i="3"/>
  <c r="F73" i="3"/>
  <c r="F73" i="7" s="1"/>
  <c r="G74" i="3"/>
  <c r="K73" i="3"/>
  <c r="F5" i="3"/>
  <c r="F5" i="7" s="1"/>
  <c r="J5" i="3"/>
  <c r="H6" i="3"/>
  <c r="H6" i="7" s="1"/>
  <c r="L6" i="3"/>
  <c r="K7" i="13" s="1"/>
  <c r="E8" i="13"/>
  <c r="I8" i="13"/>
  <c r="K8" i="3"/>
  <c r="J9" i="13" s="1"/>
  <c r="H9" i="3"/>
  <c r="H9" i="7" s="1"/>
  <c r="L9" i="3"/>
  <c r="L9" i="7" s="1"/>
  <c r="I10" i="3"/>
  <c r="I10" i="7" s="1"/>
  <c r="J11" i="3"/>
  <c r="J11" i="7" s="1"/>
  <c r="H12" i="3"/>
  <c r="G13" i="13" s="1"/>
  <c r="L12" i="3"/>
  <c r="L12" i="7" s="1"/>
  <c r="J13" i="3"/>
  <c r="J13" i="7" s="1"/>
  <c r="H14" i="3"/>
  <c r="H14" i="7" s="1"/>
  <c r="L14" i="3"/>
  <c r="L14" i="7" s="1"/>
  <c r="J15" i="3"/>
  <c r="J15" i="7" s="1"/>
  <c r="H16" i="3"/>
  <c r="H16" i="7" s="1"/>
  <c r="L16" i="3"/>
  <c r="L16" i="7" s="1"/>
  <c r="J17" i="3"/>
  <c r="J17" i="7" s="1"/>
  <c r="H18" i="3"/>
  <c r="H18" i="7" s="1"/>
  <c r="L18" i="3"/>
  <c r="L18" i="7" s="1"/>
  <c r="J19" i="3"/>
  <c r="J19" i="7" s="1"/>
  <c r="H20" i="3"/>
  <c r="G21" i="13" s="1"/>
  <c r="L20" i="3"/>
  <c r="L20" i="7" s="1"/>
  <c r="J21" i="3"/>
  <c r="J21" i="7" s="1"/>
  <c r="H22" i="3"/>
  <c r="L22" i="3"/>
  <c r="L22" i="7" s="1"/>
  <c r="J23" i="3"/>
  <c r="J23" i="7" s="1"/>
  <c r="H24" i="3"/>
  <c r="H24" i="7" s="1"/>
  <c r="L24" i="3"/>
  <c r="L24" i="7" s="1"/>
  <c r="J63" i="3"/>
  <c r="G9" i="3"/>
  <c r="F12" i="3"/>
  <c r="E15" i="3"/>
  <c r="G17" i="3"/>
  <c r="F20" i="3"/>
  <c r="E23" i="3"/>
  <c r="G25" i="3"/>
  <c r="F28" i="3"/>
  <c r="E31" i="3"/>
  <c r="G33" i="3"/>
  <c r="E36" i="3"/>
  <c r="E38" i="3"/>
  <c r="E40" i="3"/>
  <c r="G42" i="3"/>
  <c r="F45" i="3"/>
  <c r="E48" i="3"/>
  <c r="G50" i="3"/>
  <c r="F53" i="3"/>
  <c r="E56" i="3"/>
  <c r="G58" i="3"/>
  <c r="F61" i="3"/>
  <c r="E65" i="3"/>
  <c r="G67" i="3"/>
  <c r="F70" i="3"/>
  <c r="E73" i="3"/>
  <c r="J73" i="3"/>
  <c r="I5" i="3"/>
  <c r="H6" i="13" s="1"/>
  <c r="F6" i="3"/>
  <c r="E7" i="13" s="1"/>
  <c r="I8" i="3"/>
  <c r="J9" i="3"/>
  <c r="J9" i="7" s="1"/>
  <c r="H10" i="3"/>
  <c r="H10" i="7" s="1"/>
  <c r="H13" i="3"/>
  <c r="H13" i="7" s="1"/>
  <c r="J14" i="3"/>
  <c r="I15" i="3"/>
  <c r="K16" i="3"/>
  <c r="L17" i="3"/>
  <c r="L17" i="7" s="1"/>
  <c r="H21" i="3"/>
  <c r="G22" i="13" s="1"/>
  <c r="J22" i="3"/>
  <c r="J22" i="7" s="1"/>
  <c r="I23" i="3"/>
  <c r="K24" i="3"/>
  <c r="J25" i="13" s="1"/>
  <c r="J25" i="3"/>
  <c r="J25" i="7" s="1"/>
  <c r="J26" i="3"/>
  <c r="H27" i="3"/>
  <c r="H27" i="7" s="1"/>
  <c r="L28" i="3"/>
  <c r="L28" i="7" s="1"/>
  <c r="J29" i="3"/>
  <c r="I30" i="3"/>
  <c r="K31" i="3"/>
  <c r="K31" i="7" s="1"/>
  <c r="I32" i="3"/>
  <c r="I32" i="7" s="1"/>
  <c r="K33" i="3"/>
  <c r="I34" i="3"/>
  <c r="H35" i="13" s="1"/>
  <c r="K35" i="3"/>
  <c r="I36" i="3"/>
  <c r="I36" i="7" s="1"/>
  <c r="K37" i="3"/>
  <c r="I38" i="3"/>
  <c r="H39" i="13" s="1"/>
  <c r="K39" i="3"/>
  <c r="I40" i="3"/>
  <c r="I40" i="7" s="1"/>
  <c r="K41" i="3"/>
  <c r="K41" i="7" s="1"/>
  <c r="I42" i="3"/>
  <c r="K43" i="3"/>
  <c r="K43" i="7" s="1"/>
  <c r="I44" i="3"/>
  <c r="K45" i="3"/>
  <c r="J46" i="13" s="1"/>
  <c r="I46" i="3"/>
  <c r="K47" i="3"/>
  <c r="J48" i="13" s="1"/>
  <c r="I48" i="3"/>
  <c r="K49" i="3"/>
  <c r="I50" i="3"/>
  <c r="H51" i="13" s="1"/>
  <c r="K51" i="3"/>
  <c r="I52" i="3"/>
  <c r="K53" i="3"/>
  <c r="I54" i="3"/>
  <c r="I54" i="7" s="1"/>
  <c r="K55" i="3"/>
  <c r="I56" i="3"/>
  <c r="H57" i="13" s="1"/>
  <c r="K57" i="3"/>
  <c r="J58" i="13" s="1"/>
  <c r="I58" i="3"/>
  <c r="K59" i="3"/>
  <c r="I60" i="3"/>
  <c r="K61" i="3"/>
  <c r="I62" i="3"/>
  <c r="J64" i="3"/>
  <c r="H65" i="3"/>
  <c r="L65" i="3"/>
  <c r="J66" i="3"/>
  <c r="H67" i="3"/>
  <c r="I63" i="3"/>
  <c r="H64" i="13" s="1"/>
  <c r="F9" i="3"/>
  <c r="F9" i="7" s="1"/>
  <c r="E12" i="3"/>
  <c r="E12" i="4" s="1"/>
  <c r="M11" i="18" s="1"/>
  <c r="G14" i="3"/>
  <c r="G14" i="7" s="1"/>
  <c r="F17" i="3"/>
  <c r="E20" i="3"/>
  <c r="G22" i="3"/>
  <c r="G22" i="7" s="1"/>
  <c r="F25" i="3"/>
  <c r="E28" i="3"/>
  <c r="G30" i="3"/>
  <c r="F33" i="3"/>
  <c r="F42" i="3"/>
  <c r="F42" i="7" s="1"/>
  <c r="E45" i="3"/>
  <c r="G47" i="3"/>
  <c r="F50" i="3"/>
  <c r="F50" i="7" s="1"/>
  <c r="E53" i="3"/>
  <c r="G55" i="3"/>
  <c r="G55" i="7" s="1"/>
  <c r="F58" i="3"/>
  <c r="E61" i="3"/>
  <c r="E61" i="7" s="1"/>
  <c r="G64" i="3"/>
  <c r="F67" i="3"/>
  <c r="F67" i="7" s="1"/>
  <c r="E70" i="3"/>
  <c r="G72" i="3"/>
  <c r="F73" i="13" s="1"/>
  <c r="I73" i="3"/>
  <c r="H5" i="3"/>
  <c r="H5" i="7" s="1"/>
  <c r="K6" i="3"/>
  <c r="G8" i="13"/>
  <c r="L11" i="3"/>
  <c r="L11" i="7" s="1"/>
  <c r="H15" i="3"/>
  <c r="G16" i="13" s="1"/>
  <c r="J16" i="3"/>
  <c r="I17" i="3"/>
  <c r="K18" i="3"/>
  <c r="J19" i="13" s="1"/>
  <c r="L19" i="3"/>
  <c r="L19" i="7" s="1"/>
  <c r="H23" i="3"/>
  <c r="J24" i="3"/>
  <c r="J24" i="7" s="1"/>
  <c r="I25" i="3"/>
  <c r="H26" i="13" s="1"/>
  <c r="H26" i="3"/>
  <c r="H26" i="7" s="1"/>
  <c r="L27" i="3"/>
  <c r="K28" i="13" s="1"/>
  <c r="K28" i="3"/>
  <c r="J29" i="13" s="1"/>
  <c r="I29" i="3"/>
  <c r="H30" i="13" s="1"/>
  <c r="H30" i="3"/>
  <c r="H30" i="7" s="1"/>
  <c r="L30" i="3"/>
  <c r="L30" i="7" s="1"/>
  <c r="J31" i="3"/>
  <c r="I32" i="13" s="1"/>
  <c r="H32" i="3"/>
  <c r="H32" i="7" s="1"/>
  <c r="L32" i="3"/>
  <c r="L32" i="7" s="1"/>
  <c r="J33" i="3"/>
  <c r="J33" i="7" s="1"/>
  <c r="H34" i="3"/>
  <c r="H34" i="7" s="1"/>
  <c r="L34" i="3"/>
  <c r="L34" i="7" s="1"/>
  <c r="J35" i="3"/>
  <c r="I36" i="13" s="1"/>
  <c r="H36" i="3"/>
  <c r="G37" i="13" s="1"/>
  <c r="L36" i="3"/>
  <c r="L36" i="7" s="1"/>
  <c r="J37" i="3"/>
  <c r="J37" i="7" s="1"/>
  <c r="H38" i="3"/>
  <c r="H38" i="7" s="1"/>
  <c r="L38" i="3"/>
  <c r="L38" i="7" s="1"/>
  <c r="J39" i="3"/>
  <c r="H40" i="3"/>
  <c r="G41" i="13" s="1"/>
  <c r="L40" i="3"/>
  <c r="L40" i="7" s="1"/>
  <c r="J41" i="3"/>
  <c r="J41" i="7" s="1"/>
  <c r="H42" i="3"/>
  <c r="H42" i="7" s="1"/>
  <c r="L42" i="3"/>
  <c r="L42" i="7" s="1"/>
  <c r="J43" i="3"/>
  <c r="J43" i="7" s="1"/>
  <c r="H44" i="3"/>
  <c r="H44" i="7" s="1"/>
  <c r="L44" i="3"/>
  <c r="L44" i="7" s="1"/>
  <c r="J45" i="3"/>
  <c r="H46" i="3"/>
  <c r="H46" i="7" s="1"/>
  <c r="L46" i="3"/>
  <c r="L46" i="7" s="1"/>
  <c r="J47" i="3"/>
  <c r="J47" i="7" s="1"/>
  <c r="H48" i="3"/>
  <c r="H48" i="7" s="1"/>
  <c r="L48" i="3"/>
  <c r="L48" i="7" s="1"/>
  <c r="J49" i="3"/>
  <c r="J49" i="7" s="1"/>
  <c r="H50" i="3"/>
  <c r="G51" i="13" s="1"/>
  <c r="L50" i="3"/>
  <c r="L50" i="7" s="1"/>
  <c r="J51" i="3"/>
  <c r="I52" i="13" s="1"/>
  <c r="H52" i="3"/>
  <c r="H52" i="7" s="1"/>
  <c r="L52" i="3"/>
  <c r="K53" i="13" s="1"/>
  <c r="J53" i="3"/>
  <c r="J53" i="7" s="1"/>
  <c r="H54" i="3"/>
  <c r="H54" i="7" s="1"/>
  <c r="L54" i="3"/>
  <c r="L54" i="7" s="1"/>
  <c r="J55" i="3"/>
  <c r="J55" i="7" s="1"/>
  <c r="H56" i="3"/>
  <c r="H56" i="7" s="1"/>
  <c r="L56" i="3"/>
  <c r="L56" i="7" s="1"/>
  <c r="J57" i="3"/>
  <c r="J57" i="7" s="1"/>
  <c r="H58" i="3"/>
  <c r="L58" i="3"/>
  <c r="L58" i="7" s="1"/>
  <c r="J59" i="3"/>
  <c r="J59" i="7" s="1"/>
  <c r="H60" i="3"/>
  <c r="H60" i="7" s="1"/>
  <c r="L60" i="3"/>
  <c r="J61" i="3"/>
  <c r="H62" i="3"/>
  <c r="L62" i="3"/>
  <c r="L62" i="7" s="1"/>
  <c r="I64" i="3"/>
  <c r="K65" i="3"/>
  <c r="K65" i="7" s="1"/>
  <c r="I66" i="3"/>
  <c r="K67" i="3"/>
  <c r="K67" i="7" s="1"/>
  <c r="F41" i="3"/>
  <c r="E32" i="3"/>
  <c r="G26" i="3"/>
  <c r="F21" i="3"/>
  <c r="F21" i="7" s="1"/>
  <c r="E16" i="3"/>
  <c r="D17" i="13" s="1"/>
  <c r="G10" i="3"/>
  <c r="E63" i="3"/>
  <c r="J74" i="3"/>
  <c r="J74" i="7" s="1"/>
  <c r="I72" i="3"/>
  <c r="I72" i="7" s="1"/>
  <c r="K71" i="3"/>
  <c r="I70" i="3"/>
  <c r="K69" i="3"/>
  <c r="I68" i="3"/>
  <c r="J67" i="3"/>
  <c r="K66" i="3"/>
  <c r="I65" i="3"/>
  <c r="H66" i="13" s="1"/>
  <c r="H64" i="3"/>
  <c r="J62" i="3"/>
  <c r="I63" i="13" s="1"/>
  <c r="H61" i="3"/>
  <c r="H61" i="7" s="1"/>
  <c r="L57" i="3"/>
  <c r="L57" i="7" s="1"/>
  <c r="K56" i="3"/>
  <c r="J57" i="13" s="1"/>
  <c r="I55" i="3"/>
  <c r="H56" i="13" s="1"/>
  <c r="J54" i="3"/>
  <c r="J54" i="7" s="1"/>
  <c r="H53" i="3"/>
  <c r="H53" i="7" s="1"/>
  <c r="L49" i="3"/>
  <c r="L49" i="7" s="1"/>
  <c r="K48" i="3"/>
  <c r="J49" i="13" s="1"/>
  <c r="I47" i="3"/>
  <c r="H48" i="13" s="1"/>
  <c r="J46" i="3"/>
  <c r="J46" i="7" s="1"/>
  <c r="H45" i="3"/>
  <c r="G46" i="13" s="1"/>
  <c r="L41" i="3"/>
  <c r="L41" i="7" s="1"/>
  <c r="K40" i="3"/>
  <c r="J41" i="13" s="1"/>
  <c r="I39" i="3"/>
  <c r="H40" i="13" s="1"/>
  <c r="J38" i="3"/>
  <c r="J38" i="7" s="1"/>
  <c r="H37" i="3"/>
  <c r="H37" i="7" s="1"/>
  <c r="L33" i="3"/>
  <c r="L33" i="7" s="1"/>
  <c r="K32" i="3"/>
  <c r="J33" i="13" s="1"/>
  <c r="I31" i="3"/>
  <c r="H32" i="13" s="1"/>
  <c r="J30" i="3"/>
  <c r="J30" i="7" s="1"/>
  <c r="J27" i="3"/>
  <c r="J27" i="7" s="1"/>
  <c r="K26" i="3"/>
  <c r="J27" i="13" s="1"/>
  <c r="K22" i="3"/>
  <c r="J23" i="13" s="1"/>
  <c r="I19" i="3"/>
  <c r="H20" i="13" s="1"/>
  <c r="L15" i="3"/>
  <c r="K16" i="13" s="1"/>
  <c r="L13" i="3"/>
  <c r="K14" i="13" s="1"/>
  <c r="J12" i="3"/>
  <c r="J12" i="7" s="1"/>
  <c r="L7" i="7"/>
  <c r="J6" i="3"/>
  <c r="J6" i="7" s="1"/>
  <c r="L5" i="3"/>
  <c r="K6" i="13" s="1"/>
  <c r="E74" i="3"/>
  <c r="G68" i="3"/>
  <c r="F62" i="3"/>
  <c r="E57" i="3"/>
  <c r="G51" i="3"/>
  <c r="F46" i="3"/>
  <c r="F46" i="7" s="1"/>
  <c r="E41" i="3"/>
  <c r="E35" i="3"/>
  <c r="G29" i="3"/>
  <c r="F24" i="3"/>
  <c r="E19" i="3"/>
  <c r="G13" i="3"/>
  <c r="F8" i="3"/>
  <c r="M3" i="19"/>
  <c r="M9" i="19"/>
  <c r="M8" i="19"/>
  <c r="M7" i="19"/>
  <c r="M5" i="19"/>
  <c r="M4" i="19"/>
  <c r="G60" i="13"/>
  <c r="E8" i="4"/>
  <c r="M7" i="18" s="1"/>
  <c r="D9" i="13"/>
  <c r="G29" i="13"/>
  <c r="J65" i="13"/>
  <c r="H72" i="13"/>
  <c r="I51" i="13"/>
  <c r="I35" i="13"/>
  <c r="H43" i="7"/>
  <c r="T16" i="15"/>
  <c r="AT5" i="15" s="1"/>
  <c r="A53" i="17"/>
  <c r="A29" i="17"/>
  <c r="L73" i="15"/>
  <c r="A73" i="15"/>
  <c r="T74" i="15" s="1"/>
  <c r="AT63" i="15" s="1"/>
  <c r="A66" i="5"/>
  <c r="A66" i="6" s="1"/>
  <c r="A67" i="7" s="1"/>
  <c r="A67" i="8" s="1"/>
  <c r="A66" i="9" s="1"/>
  <c r="A66" i="10" s="1"/>
  <c r="A66" i="18"/>
  <c r="L67" i="15"/>
  <c r="A60" i="5"/>
  <c r="A60" i="6" s="1"/>
  <c r="A61" i="7" s="1"/>
  <c r="A61" i="8" s="1"/>
  <c r="A60" i="9" s="1"/>
  <c r="A60" i="10" s="1"/>
  <c r="A67" i="15"/>
  <c r="A60" i="18"/>
  <c r="G58" i="13"/>
  <c r="G42" i="13"/>
  <c r="K22" i="13"/>
  <c r="L59" i="15"/>
  <c r="A52" i="5"/>
  <c r="A52" i="6" s="1"/>
  <c r="A53" i="7" s="1"/>
  <c r="A53" i="8" s="1"/>
  <c r="A52" i="9" s="1"/>
  <c r="A52" i="10" s="1"/>
  <c r="A52" i="18"/>
  <c r="L55" i="15"/>
  <c r="A48" i="5"/>
  <c r="A48" i="6" s="1"/>
  <c r="A49" i="7" s="1"/>
  <c r="A49" i="8" s="1"/>
  <c r="A48" i="9" s="1"/>
  <c r="A48" i="10" s="1"/>
  <c r="A55" i="15"/>
  <c r="T56" i="15" s="1"/>
  <c r="T14" i="15"/>
  <c r="A64" i="14"/>
  <c r="A49" i="14"/>
  <c r="A32" i="14"/>
  <c r="A24" i="14"/>
  <c r="A19" i="14"/>
  <c r="A16" i="14"/>
  <c r="A14" i="14"/>
  <c r="A10" i="14"/>
  <c r="H2" i="4"/>
  <c r="P3" i="18"/>
  <c r="K72" i="7"/>
  <c r="B69" i="5"/>
  <c r="B69" i="6" s="1"/>
  <c r="B70" i="7" s="1"/>
  <c r="B70" i="8" s="1"/>
  <c r="B69" i="18"/>
  <c r="B67" i="5"/>
  <c r="B67" i="6" s="1"/>
  <c r="B68" i="7" s="1"/>
  <c r="B68" i="8" s="1"/>
  <c r="B67" i="18"/>
  <c r="B63" i="5"/>
  <c r="B63" i="6" s="1"/>
  <c r="B64" i="7" s="1"/>
  <c r="B64" i="8" s="1"/>
  <c r="B63" i="18"/>
  <c r="B9" i="5"/>
  <c r="B9" i="6" s="1"/>
  <c r="B10" i="7" s="1"/>
  <c r="B10" i="8" s="1"/>
  <c r="B9" i="18"/>
  <c r="A8" i="5"/>
  <c r="A8" i="6" s="1"/>
  <c r="A9" i="7" s="1"/>
  <c r="A9" i="8" s="1"/>
  <c r="A8" i="9" s="1"/>
  <c r="A8" i="10" s="1"/>
  <c r="A8" i="18"/>
  <c r="B6" i="5"/>
  <c r="B6" i="6" s="1"/>
  <c r="B7" i="7" s="1"/>
  <c r="B7" i="8" s="1"/>
  <c r="B6" i="18"/>
  <c r="L75" i="15"/>
  <c r="A68" i="18"/>
  <c r="A75" i="15"/>
  <c r="T76" i="15" s="1"/>
  <c r="L65" i="15"/>
  <c r="A58" i="5"/>
  <c r="A58" i="6" s="1"/>
  <c r="A59" i="7" s="1"/>
  <c r="A59" i="8" s="1"/>
  <c r="A58" i="9" s="1"/>
  <c r="A58" i="10" s="1"/>
  <c r="A65" i="15"/>
  <c r="A33" i="15"/>
  <c r="A26" i="5"/>
  <c r="A26" i="6" s="1"/>
  <c r="A27" i="7" s="1"/>
  <c r="A27" i="8" s="1"/>
  <c r="A26" i="9" s="1"/>
  <c r="A26" i="10" s="1"/>
  <c r="A29" i="15"/>
  <c r="A22" i="18"/>
  <c r="A68" i="14"/>
  <c r="A39" i="14"/>
  <c r="A21" i="14"/>
  <c r="B71" i="18"/>
  <c r="AC5" i="18"/>
  <c r="AM30" i="18" s="1"/>
  <c r="AC6" i="18"/>
  <c r="Y6" i="18"/>
  <c r="Y5" i="18"/>
  <c r="AI30" i="18" s="1"/>
  <c r="A68" i="5"/>
  <c r="A68" i="6" s="1"/>
  <c r="A69" i="7" s="1"/>
  <c r="A69" i="8" s="1"/>
  <c r="A68" i="9" s="1"/>
  <c r="A68" i="10" s="1"/>
  <c r="B58" i="5"/>
  <c r="B58" i="6" s="1"/>
  <c r="B59" i="7" s="1"/>
  <c r="B59" i="8" s="1"/>
  <c r="B58" i="18"/>
  <c r="B20" i="18"/>
  <c r="B20" i="5"/>
  <c r="B20" i="6" s="1"/>
  <c r="B21" i="7" s="1"/>
  <c r="B21" i="8" s="1"/>
  <c r="B12" i="5"/>
  <c r="B12" i="6" s="1"/>
  <c r="B13" i="7" s="1"/>
  <c r="B13" i="8" s="1"/>
  <c r="B12" i="18"/>
  <c r="B7" i="5"/>
  <c r="B7" i="6" s="1"/>
  <c r="B8" i="7" s="1"/>
  <c r="B8" i="8" s="1"/>
  <c r="B7" i="18"/>
  <c r="I2" i="5"/>
  <c r="I2" i="18" s="1"/>
  <c r="Q2" i="18"/>
  <c r="E2" i="5"/>
  <c r="E2" i="18" s="1"/>
  <c r="M2" i="18"/>
  <c r="L43" i="15"/>
  <c r="A43" i="15"/>
  <c r="T44" i="15" s="1"/>
  <c r="A36" i="5"/>
  <c r="A36" i="6" s="1"/>
  <c r="A37" i="7" s="1"/>
  <c r="A37" i="8" s="1"/>
  <c r="A36" i="9" s="1"/>
  <c r="A36" i="10" s="1"/>
  <c r="A36" i="18"/>
  <c r="Z5" i="18"/>
  <c r="AJ30" i="18" s="1"/>
  <c r="K3" i="5"/>
  <c r="E3" i="5"/>
  <c r="E10" i="5" s="1"/>
  <c r="G2" i="4"/>
  <c r="T39" i="15"/>
  <c r="AT28" i="15" s="1"/>
  <c r="T36" i="15"/>
  <c r="AT25" i="15" s="1"/>
  <c r="T33" i="15"/>
  <c r="AT22" i="15" s="1"/>
  <c r="T23" i="15"/>
  <c r="T20" i="15"/>
  <c r="T35" i="15"/>
  <c r="AT24" i="15" s="1"/>
  <c r="T32" i="15"/>
  <c r="AT21" i="15" s="1"/>
  <c r="T29" i="15"/>
  <c r="T22" i="15"/>
  <c r="AT11" i="15" s="1"/>
  <c r="N10" i="19"/>
  <c r="N9" i="19"/>
  <c r="N8" i="19"/>
  <c r="N7" i="19"/>
  <c r="N6" i="19"/>
  <c r="N5" i="19"/>
  <c r="N4" i="19"/>
  <c r="A77" i="15"/>
  <c r="A69" i="15"/>
  <c r="A58" i="15"/>
  <c r="T59" i="15" s="1"/>
  <c r="A51" i="15"/>
  <c r="T52" i="15" s="1"/>
  <c r="T31" i="15"/>
  <c r="AT20" i="15" s="1"/>
  <c r="T25" i="15"/>
  <c r="AT14" i="15" s="1"/>
  <c r="N3" i="19"/>
  <c r="A80" i="15"/>
  <c r="A72" i="15"/>
  <c r="T73" i="15" s="1"/>
  <c r="A64" i="15"/>
  <c r="T65" i="15" s="1"/>
  <c r="P10" i="19"/>
  <c r="P9" i="19"/>
  <c r="P8" i="19"/>
  <c r="P7" i="19"/>
  <c r="P6" i="19"/>
  <c r="P5" i="19"/>
  <c r="P4" i="19"/>
  <c r="P3" i="19"/>
  <c r="O10" i="19"/>
  <c r="O9" i="19"/>
  <c r="O8" i="19"/>
  <c r="O7" i="19"/>
  <c r="O6" i="19"/>
  <c r="O5" i="19"/>
  <c r="O4" i="19"/>
  <c r="O3" i="19"/>
  <c r="M68" i="18"/>
  <c r="G11" i="1"/>
  <c r="P37" i="19"/>
  <c r="P36" i="19"/>
  <c r="P35" i="19"/>
  <c r="P34" i="19"/>
  <c r="P33" i="19"/>
  <c r="P32" i="19"/>
  <c r="P31" i="19"/>
  <c r="P30" i="19"/>
  <c r="P29" i="19"/>
  <c r="P28" i="19"/>
  <c r="P27" i="19"/>
  <c r="P26" i="19"/>
  <c r="P25" i="19"/>
  <c r="P24" i="19"/>
  <c r="P23" i="19"/>
  <c r="P22" i="19"/>
  <c r="P21" i="19"/>
  <c r="P20" i="19"/>
  <c r="P19" i="19"/>
  <c r="P18" i="19"/>
  <c r="P17" i="19"/>
  <c r="P16" i="19"/>
  <c r="P15" i="19"/>
  <c r="P14" i="19"/>
  <c r="P13" i="19"/>
  <c r="P12" i="19"/>
  <c r="P11" i="19"/>
  <c r="O37" i="19"/>
  <c r="O36" i="19"/>
  <c r="O35" i="19"/>
  <c r="O34" i="19"/>
  <c r="O33" i="19"/>
  <c r="O32" i="19"/>
  <c r="O31" i="19"/>
  <c r="O30" i="19"/>
  <c r="O29" i="19"/>
  <c r="O28" i="19"/>
  <c r="O27" i="19"/>
  <c r="O26" i="19"/>
  <c r="O25" i="19"/>
  <c r="O24" i="19"/>
  <c r="O23" i="19"/>
  <c r="O22" i="19"/>
  <c r="O21" i="19"/>
  <c r="O20" i="19"/>
  <c r="O19" i="19"/>
  <c r="O18" i="19"/>
  <c r="O17" i="19"/>
  <c r="O16" i="19"/>
  <c r="O15" i="19"/>
  <c r="O14" i="19"/>
  <c r="O13" i="19"/>
  <c r="O12" i="19"/>
  <c r="O11" i="19"/>
  <c r="T69" i="15"/>
  <c r="T61" i="15"/>
  <c r="AT50" i="15" s="1"/>
  <c r="T57" i="15"/>
  <c r="AT46" i="15" s="1"/>
  <c r="T45" i="15"/>
  <c r="AT34" i="15" s="1"/>
  <c r="T64" i="15"/>
  <c r="T28" i="15"/>
  <c r="T27" i="15"/>
  <c r="L2" i="4"/>
  <c r="L1" i="4"/>
  <c r="T3" i="18"/>
  <c r="K2" i="4"/>
  <c r="J1" i="4"/>
  <c r="H1" i="4"/>
  <c r="H3" i="5"/>
  <c r="F3" i="5"/>
  <c r="F1" i="4"/>
  <c r="A51" i="14"/>
  <c r="A42" i="14"/>
  <c r="A35" i="14"/>
  <c r="A31" i="14"/>
  <c r="A45" i="17"/>
  <c r="A8" i="17"/>
  <c r="B55" i="5"/>
  <c r="B55" i="6" s="1"/>
  <c r="B56" i="7" s="1"/>
  <c r="B56" i="8" s="1"/>
  <c r="B55" i="18"/>
  <c r="B53" i="5"/>
  <c r="B53" i="6" s="1"/>
  <c r="B54" i="7" s="1"/>
  <c r="B54" i="8" s="1"/>
  <c r="B53" i="18"/>
  <c r="I53" i="7"/>
  <c r="B51" i="5"/>
  <c r="B51" i="6" s="1"/>
  <c r="B52" i="7" s="1"/>
  <c r="B52" i="8" s="1"/>
  <c r="B51" i="18"/>
  <c r="B49" i="5"/>
  <c r="B49" i="6" s="1"/>
  <c r="B50" i="7" s="1"/>
  <c r="B50" i="8" s="1"/>
  <c r="B49" i="18"/>
  <c r="B45" i="5"/>
  <c r="B45" i="6" s="1"/>
  <c r="B46" i="7" s="1"/>
  <c r="B46" i="8" s="1"/>
  <c r="B45" i="18"/>
  <c r="K44" i="7"/>
  <c r="B43" i="5"/>
  <c r="B43" i="6" s="1"/>
  <c r="B44" i="7" s="1"/>
  <c r="B44" i="8" s="1"/>
  <c r="B43" i="18"/>
  <c r="B39" i="5"/>
  <c r="B39" i="6" s="1"/>
  <c r="B40" i="7" s="1"/>
  <c r="B40" i="8" s="1"/>
  <c r="B39" i="18"/>
  <c r="B37" i="5"/>
  <c r="B37" i="6" s="1"/>
  <c r="B38" i="7" s="1"/>
  <c r="B38" i="8" s="1"/>
  <c r="B37" i="18"/>
  <c r="I37" i="7"/>
  <c r="B35" i="5"/>
  <c r="B35" i="6" s="1"/>
  <c r="B36" i="7" s="1"/>
  <c r="B36" i="8" s="1"/>
  <c r="B35" i="18"/>
  <c r="B33" i="5"/>
  <c r="B33" i="6" s="1"/>
  <c r="B34" i="7" s="1"/>
  <c r="B34" i="8" s="1"/>
  <c r="B33" i="18"/>
  <c r="B31" i="5"/>
  <c r="B31" i="6" s="1"/>
  <c r="B32" i="7" s="1"/>
  <c r="B32" i="8" s="1"/>
  <c r="B31" i="18"/>
  <c r="B29" i="5"/>
  <c r="B29" i="6" s="1"/>
  <c r="B30" i="7" s="1"/>
  <c r="B30" i="8" s="1"/>
  <c r="B29" i="18"/>
  <c r="B27" i="18"/>
  <c r="B27" i="5"/>
  <c r="B27" i="6" s="1"/>
  <c r="B28" i="7" s="1"/>
  <c r="B28" i="8" s="1"/>
  <c r="B25" i="5"/>
  <c r="B25" i="6" s="1"/>
  <c r="B26" i="7" s="1"/>
  <c r="B26" i="8" s="1"/>
  <c r="B25" i="18"/>
  <c r="B23" i="5"/>
  <c r="B23" i="6" s="1"/>
  <c r="B24" i="7" s="1"/>
  <c r="B24" i="8" s="1"/>
  <c r="B23" i="18"/>
  <c r="B21" i="18"/>
  <c r="B21" i="5"/>
  <c r="B21" i="6" s="1"/>
  <c r="B22" i="7" s="1"/>
  <c r="B22" i="8" s="1"/>
  <c r="B17" i="5"/>
  <c r="B17" i="6" s="1"/>
  <c r="B18" i="7" s="1"/>
  <c r="B18" i="8" s="1"/>
  <c r="B17" i="18"/>
  <c r="B15" i="5"/>
  <c r="B15" i="6" s="1"/>
  <c r="B16" i="7" s="1"/>
  <c r="B16" i="8" s="1"/>
  <c r="B15" i="18"/>
  <c r="B13" i="5"/>
  <c r="B13" i="6" s="1"/>
  <c r="B14" i="7" s="1"/>
  <c r="B14" i="8" s="1"/>
  <c r="B13" i="18"/>
  <c r="B11" i="5"/>
  <c r="B11" i="6" s="1"/>
  <c r="B12" i="7" s="1"/>
  <c r="B12" i="8" s="1"/>
  <c r="B11" i="18"/>
  <c r="I11" i="7"/>
  <c r="L10" i="7"/>
  <c r="K11" i="13"/>
  <c r="B8" i="5"/>
  <c r="B8" i="6" s="1"/>
  <c r="B9" i="7" s="1"/>
  <c r="B9" i="8" s="1"/>
  <c r="B8" i="18"/>
  <c r="A7" i="18"/>
  <c r="A7" i="5"/>
  <c r="A7" i="6" s="1"/>
  <c r="A8" i="7" s="1"/>
  <c r="A8" i="8" s="1"/>
  <c r="A7" i="9" s="1"/>
  <c r="A7" i="10" s="1"/>
  <c r="A5" i="5"/>
  <c r="A5" i="6" s="1"/>
  <c r="A6" i="7" s="1"/>
  <c r="A6" i="8" s="1"/>
  <c r="A5" i="9" s="1"/>
  <c r="A5" i="10" s="1"/>
  <c r="A5" i="18"/>
  <c r="A18" i="15"/>
  <c r="A11" i="5"/>
  <c r="A11" i="6" s="1"/>
  <c r="A12" i="7" s="1"/>
  <c r="A12" i="8" s="1"/>
  <c r="A11" i="9" s="1"/>
  <c r="A11" i="10" s="1"/>
  <c r="A11" i="18"/>
  <c r="L62" i="15"/>
  <c r="A62" i="15"/>
  <c r="A55" i="5"/>
  <c r="A55" i="6" s="1"/>
  <c r="A56" i="7" s="1"/>
  <c r="A56" i="8" s="1"/>
  <c r="A55" i="9" s="1"/>
  <c r="A55" i="10" s="1"/>
  <c r="A55" i="18"/>
  <c r="L49" i="15"/>
  <c r="A49" i="15"/>
  <c r="A42" i="18"/>
  <c r="A42" i="5"/>
  <c r="A42" i="6" s="1"/>
  <c r="A43" i="7" s="1"/>
  <c r="A43" i="8" s="1"/>
  <c r="A42" i="9" s="1"/>
  <c r="A42" i="10" s="1"/>
  <c r="L46" i="15"/>
  <c r="A46" i="15"/>
  <c r="A39" i="18"/>
  <c r="A32" i="18"/>
  <c r="A32" i="5"/>
  <c r="A32" i="6" s="1"/>
  <c r="A33" i="7" s="1"/>
  <c r="A33" i="8" s="1"/>
  <c r="A32" i="9" s="1"/>
  <c r="A32" i="10" s="1"/>
  <c r="A36" i="15"/>
  <c r="L36" i="15"/>
  <c r="A29" i="5"/>
  <c r="A29" i="6" s="1"/>
  <c r="A30" i="7" s="1"/>
  <c r="A30" i="8" s="1"/>
  <c r="A29" i="9" s="1"/>
  <c r="A29" i="10" s="1"/>
  <c r="A29" i="18"/>
  <c r="A23" i="15"/>
  <c r="A16" i="5"/>
  <c r="A16" i="6" s="1"/>
  <c r="A17" i="7" s="1"/>
  <c r="A17" i="8" s="1"/>
  <c r="A16" i="9" s="1"/>
  <c r="A16" i="10" s="1"/>
  <c r="A16" i="18"/>
  <c r="A20" i="15"/>
  <c r="A13" i="5"/>
  <c r="A13" i="6" s="1"/>
  <c r="A14" i="7" s="1"/>
  <c r="A14" i="8" s="1"/>
  <c r="A13" i="9" s="1"/>
  <c r="A13" i="10" s="1"/>
  <c r="A13" i="18"/>
  <c r="A50" i="14"/>
  <c r="A43" i="14"/>
  <c r="A34" i="14"/>
  <c r="B19" i="5"/>
  <c r="B19" i="6" s="1"/>
  <c r="B20" i="7" s="1"/>
  <c r="B20" i="8" s="1"/>
  <c r="A60" i="14"/>
  <c r="A47" i="14"/>
  <c r="A27" i="14"/>
  <c r="A20" i="14"/>
  <c r="B47" i="18"/>
  <c r="B42" i="5"/>
  <c r="B42" i="6" s="1"/>
  <c r="B43" i="7" s="1"/>
  <c r="B43" i="8" s="1"/>
  <c r="B42" i="18"/>
  <c r="B16" i="5"/>
  <c r="B16" i="6" s="1"/>
  <c r="B17" i="7" s="1"/>
  <c r="B17" i="8" s="1"/>
  <c r="B16" i="18"/>
  <c r="A59" i="15"/>
  <c r="L61" i="15"/>
  <c r="A61" i="15"/>
  <c r="L45" i="15"/>
  <c r="A45" i="15"/>
  <c r="L57" i="15"/>
  <c r="A57" i="15"/>
  <c r="L54" i="15"/>
  <c r="A54" i="15"/>
  <c r="L41" i="15"/>
  <c r="A41" i="15"/>
  <c r="L53" i="15"/>
  <c r="A53" i="15"/>
  <c r="A52" i="17"/>
  <c r="A52" i="14"/>
  <c r="A22" i="17"/>
  <c r="A22" i="14"/>
  <c r="A12" i="17"/>
  <c r="A12" i="14"/>
  <c r="A18" i="17"/>
  <c r="A18" i="14"/>
  <c r="A62" i="14"/>
  <c r="A44" i="17"/>
  <c r="A44" i="14"/>
  <c r="A70" i="17"/>
  <c r="A70" i="14"/>
  <c r="A36" i="17"/>
  <c r="A36" i="14"/>
  <c r="A48" i="17"/>
  <c r="A48" i="14"/>
  <c r="A26" i="17"/>
  <c r="A26" i="14"/>
  <c r="A17" i="17"/>
  <c r="A17" i="14"/>
  <c r="A11" i="17"/>
  <c r="A11" i="14"/>
  <c r="A66" i="17"/>
  <c r="A66" i="14"/>
  <c r="A40" i="17"/>
  <c r="A40" i="14"/>
  <c r="A30" i="17"/>
  <c r="A30" i="14"/>
  <c r="A13" i="17"/>
  <c r="A13" i="14"/>
  <c r="AB5" i="18"/>
  <c r="AL30" i="18" s="1"/>
  <c r="AB6" i="18"/>
  <c r="AD6" i="18"/>
  <c r="AD5" i="18"/>
  <c r="AN30" i="18" s="1"/>
  <c r="X5" i="18"/>
  <c r="AH30" i="18" s="1"/>
  <c r="B50" i="5"/>
  <c r="B50" i="6" s="1"/>
  <c r="B51" i="7" s="1"/>
  <c r="B51" i="8" s="1"/>
  <c r="B50" i="18"/>
  <c r="B41" i="5"/>
  <c r="B41" i="6" s="1"/>
  <c r="B42" i="7" s="1"/>
  <c r="B42" i="8" s="1"/>
  <c r="B41" i="18"/>
  <c r="B60" i="1"/>
  <c r="B61" i="1"/>
  <c r="A39" i="15"/>
  <c r="L39" i="15"/>
  <c r="A37" i="15"/>
  <c r="L37" i="15"/>
  <c r="A40" i="15"/>
  <c r="L38" i="15"/>
  <c r="X10" i="15" l="1"/>
  <c r="AA9" i="15"/>
  <c r="AA11" i="15" s="1"/>
  <c r="BF13" i="15" s="1"/>
  <c r="E81" i="15"/>
  <c r="D82" i="15"/>
  <c r="E13" i="4"/>
  <c r="M12" i="18" s="1"/>
  <c r="H16" i="14"/>
  <c r="H16" i="20" s="1"/>
  <c r="H16" i="17"/>
  <c r="AB10" i="15"/>
  <c r="E14" i="4"/>
  <c r="M13" i="18" s="1"/>
  <c r="H17" i="17"/>
  <c r="H17" i="14"/>
  <c r="H17" i="20" s="1"/>
  <c r="A5" i="19"/>
  <c r="L5" i="19" s="1"/>
  <c r="E10" i="4"/>
  <c r="M9" i="18" s="1"/>
  <c r="H13" i="17"/>
  <c r="H13" i="14"/>
  <c r="H13" i="20" s="1"/>
  <c r="E9" i="4"/>
  <c r="D15" i="15" s="1"/>
  <c r="H12" i="17"/>
  <c r="H12" i="14"/>
  <c r="H12" i="20" s="1"/>
  <c r="A14" i="19"/>
  <c r="L14" i="19" s="1"/>
  <c r="AB8" i="15"/>
  <c r="D27" i="15"/>
  <c r="AC10" i="15"/>
  <c r="F82" i="15"/>
  <c r="AD10" i="15"/>
  <c r="AO83" i="15"/>
  <c r="AP83" i="15" s="1"/>
  <c r="AU72" i="15" s="1"/>
  <c r="AV72" i="15" s="1"/>
  <c r="Y10" i="15"/>
  <c r="D75" i="15"/>
  <c r="D72" i="15"/>
  <c r="AO82" i="15"/>
  <c r="AP82" i="15" s="1"/>
  <c r="AU71" i="15" s="1"/>
  <c r="AV71" i="15" s="1"/>
  <c r="D81" i="15"/>
  <c r="BD13" i="15"/>
  <c r="Z10" i="15"/>
  <c r="AE11" i="15"/>
  <c r="BJ13" i="15" s="1"/>
  <c r="AE10" i="15"/>
  <c r="D13" i="15"/>
  <c r="O13" i="15" s="1"/>
  <c r="F81" i="15"/>
  <c r="E17" i="4"/>
  <c r="M16" i="18" s="1"/>
  <c r="H20" i="17"/>
  <c r="H20" i="14"/>
  <c r="H20" i="20" s="1"/>
  <c r="H11" i="17"/>
  <c r="H11" i="14"/>
  <c r="H11" i="20" s="1"/>
  <c r="A20" i="19"/>
  <c r="L20" i="19" s="1"/>
  <c r="AI7" i="18"/>
  <c r="D7" i="13"/>
  <c r="H9" i="20"/>
  <c r="H9" i="14"/>
  <c r="H9" i="17"/>
  <c r="D6" i="13"/>
  <c r="H8" i="20"/>
  <c r="H8" i="17"/>
  <c r="H8" i="14"/>
  <c r="G45" i="5"/>
  <c r="G46" i="8" s="1"/>
  <c r="I36" i="5"/>
  <c r="I36" i="18" s="1"/>
  <c r="G28" i="5"/>
  <c r="G29" i="8" s="1"/>
  <c r="J33" i="5"/>
  <c r="J34" i="8" s="1"/>
  <c r="J69" i="5"/>
  <c r="J69" i="18" s="1"/>
  <c r="J66" i="5"/>
  <c r="J67" i="8" s="1"/>
  <c r="J60" i="5"/>
  <c r="J61" i="8" s="1"/>
  <c r="G61" i="5"/>
  <c r="G61" i="18" s="1"/>
  <c r="G24" i="5"/>
  <c r="G25" i="8" s="1"/>
  <c r="G14" i="5"/>
  <c r="G15" i="8" s="1"/>
  <c r="G53" i="5"/>
  <c r="G53" i="18" s="1"/>
  <c r="J19" i="5"/>
  <c r="J19" i="18" s="1"/>
  <c r="E82" i="15"/>
  <c r="J75" i="5"/>
  <c r="J76" i="8" s="1"/>
  <c r="G12" i="5"/>
  <c r="G12" i="18" s="1"/>
  <c r="F52" i="5"/>
  <c r="F52" i="18" s="1"/>
  <c r="G41" i="5"/>
  <c r="G41" i="18" s="1"/>
  <c r="F55" i="5"/>
  <c r="F55" i="18" s="1"/>
  <c r="G4" i="5"/>
  <c r="G4" i="18" s="1"/>
  <c r="F71" i="5"/>
  <c r="F72" i="8" s="1"/>
  <c r="G38" i="5"/>
  <c r="G38" i="18" s="1"/>
  <c r="G17" i="5"/>
  <c r="G17" i="18" s="1"/>
  <c r="F40" i="5"/>
  <c r="F40" i="18" s="1"/>
  <c r="F32" i="5"/>
  <c r="F33" i="8" s="1"/>
  <c r="F44" i="5"/>
  <c r="F45" i="8" s="1"/>
  <c r="E14" i="5"/>
  <c r="E15" i="8" s="1"/>
  <c r="F26" i="5"/>
  <c r="F27" i="8" s="1"/>
  <c r="F67" i="5"/>
  <c r="F67" i="18" s="1"/>
  <c r="F63" i="5"/>
  <c r="F64" i="8" s="1"/>
  <c r="F15" i="5"/>
  <c r="F16" i="8" s="1"/>
  <c r="K67" i="13"/>
  <c r="J22" i="5"/>
  <c r="J22" i="18" s="1"/>
  <c r="K22" i="7"/>
  <c r="E13" i="7"/>
  <c r="A41" i="19"/>
  <c r="L41" i="19" s="1"/>
  <c r="AT41" i="15"/>
  <c r="A45" i="19"/>
  <c r="L45" i="19" s="1"/>
  <c r="AT45" i="15"/>
  <c r="A62" i="19"/>
  <c r="L62" i="19" s="1"/>
  <c r="AT62" i="15"/>
  <c r="A33" i="19"/>
  <c r="L33" i="19" s="1"/>
  <c r="AT33" i="15"/>
  <c r="A56" i="19"/>
  <c r="L56" i="19" s="1"/>
  <c r="AT56" i="15"/>
  <c r="A32" i="19"/>
  <c r="L32" i="19" s="1"/>
  <c r="AT32" i="15"/>
  <c r="A60" i="19"/>
  <c r="L60" i="19" s="1"/>
  <c r="AT60" i="15"/>
  <c r="A17" i="19"/>
  <c r="L17" i="19" s="1"/>
  <c r="AT17" i="15"/>
  <c r="A53" i="19"/>
  <c r="L53" i="19" s="1"/>
  <c r="AT53" i="15"/>
  <c r="A58" i="19"/>
  <c r="L58" i="19" s="1"/>
  <c r="AT58" i="15"/>
  <c r="K74" i="5"/>
  <c r="K75" i="8" s="1"/>
  <c r="K75" i="5"/>
  <c r="K76" i="8" s="1"/>
  <c r="K57" i="5"/>
  <c r="K58" i="8" s="1"/>
  <c r="A7" i="19"/>
  <c r="L7" i="19" s="1"/>
  <c r="K8" i="5"/>
  <c r="K8" i="18" s="1"/>
  <c r="A40" i="19"/>
  <c r="L40" i="19" s="1"/>
  <c r="AT40" i="15"/>
  <c r="A64" i="19"/>
  <c r="L64" i="19" s="1"/>
  <c r="AT64" i="15"/>
  <c r="A61" i="19"/>
  <c r="L61" i="19" s="1"/>
  <c r="AT61" i="15"/>
  <c r="A18" i="19"/>
  <c r="L18" i="19" s="1"/>
  <c r="AT18" i="15"/>
  <c r="A9" i="19"/>
  <c r="L9" i="19" s="1"/>
  <c r="AT9" i="15"/>
  <c r="H50" i="7"/>
  <c r="K68" i="5"/>
  <c r="K69" i="8" s="1"/>
  <c r="K52" i="5"/>
  <c r="K53" i="8" s="1"/>
  <c r="K16" i="5"/>
  <c r="K16" i="18" s="1"/>
  <c r="F74" i="5"/>
  <c r="F75" i="8" s="1"/>
  <c r="F75" i="5"/>
  <c r="F76" i="8" s="1"/>
  <c r="A48" i="19"/>
  <c r="L48" i="19" s="1"/>
  <c r="AT48" i="15"/>
  <c r="A11" i="19"/>
  <c r="L11" i="19" s="1"/>
  <c r="A65" i="19"/>
  <c r="L65" i="19" s="1"/>
  <c r="AT65" i="15"/>
  <c r="A63" i="19"/>
  <c r="L63" i="19" s="1"/>
  <c r="A12" i="19"/>
  <c r="L12" i="19" s="1"/>
  <c r="AT12" i="15"/>
  <c r="F57" i="13"/>
  <c r="G25" i="5"/>
  <c r="G26" i="8" s="1"/>
  <c r="G23" i="5"/>
  <c r="G23" i="18" s="1"/>
  <c r="A66" i="19"/>
  <c r="L66" i="19" s="1"/>
  <c r="AT66" i="15"/>
  <c r="A68" i="19"/>
  <c r="L68" i="19" s="1"/>
  <c r="AT68" i="15"/>
  <c r="F31" i="5"/>
  <c r="F31" i="18" s="1"/>
  <c r="F50" i="5"/>
  <c r="F51" i="8" s="1"/>
  <c r="A46" i="19"/>
  <c r="L46" i="19" s="1"/>
  <c r="H74" i="5"/>
  <c r="H75" i="8" s="1"/>
  <c r="H75" i="5"/>
  <c r="H76" i="8" s="1"/>
  <c r="A16" i="19"/>
  <c r="L16" i="19" s="1"/>
  <c r="AT16" i="15"/>
  <c r="A54" i="19"/>
  <c r="L54" i="19" s="1"/>
  <c r="AT54" i="15"/>
  <c r="A15" i="19"/>
  <c r="L15" i="19" s="1"/>
  <c r="AT15" i="15"/>
  <c r="E75" i="5"/>
  <c r="E76" i="8" s="1"/>
  <c r="E74" i="5"/>
  <c r="E75" i="8" s="1"/>
  <c r="A4" i="19"/>
  <c r="L4" i="19" s="1"/>
  <c r="AT4" i="15"/>
  <c r="A6" i="19"/>
  <c r="L6" i="19" s="1"/>
  <c r="AT6" i="15"/>
  <c r="G63" i="5"/>
  <c r="G63" i="18" s="1"/>
  <c r="G16" i="5"/>
  <c r="G17" i="8" s="1"/>
  <c r="G26" i="5"/>
  <c r="G27" i="8" s="1"/>
  <c r="H62" i="5"/>
  <c r="H62" i="18" s="1"/>
  <c r="I3" i="18"/>
  <c r="I75" i="5"/>
  <c r="I76" i="8" s="1"/>
  <c r="I74" i="5"/>
  <c r="I75" i="8" s="1"/>
  <c r="G74" i="5"/>
  <c r="G75" i="8" s="1"/>
  <c r="J74" i="5"/>
  <c r="J75" i="8" s="1"/>
  <c r="L75" i="5"/>
  <c r="L76" i="8" s="1"/>
  <c r="G75" i="5"/>
  <c r="G76" i="8" s="1"/>
  <c r="L74" i="5"/>
  <c r="L75" i="8" s="1"/>
  <c r="I43" i="13"/>
  <c r="H76" i="4"/>
  <c r="G82" i="15" s="1"/>
  <c r="H75" i="4"/>
  <c r="G81" i="15" s="1"/>
  <c r="D54" i="13"/>
  <c r="H56" i="14"/>
  <c r="H56" i="20" s="1"/>
  <c r="H56" i="17"/>
  <c r="L56" i="17" s="1"/>
  <c r="E59" i="4"/>
  <c r="M58" i="18" s="1"/>
  <c r="H62" i="14"/>
  <c r="H62" i="20" s="1"/>
  <c r="H62" i="17"/>
  <c r="L62" i="17" s="1"/>
  <c r="H61" i="17"/>
  <c r="L61" i="17" s="1"/>
  <c r="H61" i="14"/>
  <c r="H61" i="20" s="1"/>
  <c r="D67" i="13"/>
  <c r="H69" i="17"/>
  <c r="L69" i="17" s="1"/>
  <c r="H69" i="14"/>
  <c r="H69" i="20" s="1"/>
  <c r="D75" i="13"/>
  <c r="H77" i="14"/>
  <c r="H77" i="20" s="1"/>
  <c r="E61" i="4"/>
  <c r="M60" i="18" s="1"/>
  <c r="H64" i="14"/>
  <c r="H64" i="20" s="1"/>
  <c r="H64" i="17"/>
  <c r="L64" i="17" s="1"/>
  <c r="H59" i="17"/>
  <c r="L59" i="17" s="1"/>
  <c r="H59" i="14"/>
  <c r="H59" i="20" s="1"/>
  <c r="F69" i="7"/>
  <c r="H72" i="14"/>
  <c r="H72" i="20" s="1"/>
  <c r="E64" i="7"/>
  <c r="H67" i="14"/>
  <c r="H67" i="20" s="1"/>
  <c r="H67" i="17"/>
  <c r="L67" i="17" s="1"/>
  <c r="H65" i="17"/>
  <c r="L65" i="17" s="1"/>
  <c r="H65" i="14"/>
  <c r="H65" i="20" s="1"/>
  <c r="H55" i="14"/>
  <c r="H55" i="20" s="1"/>
  <c r="H55" i="17"/>
  <c r="L55" i="17" s="1"/>
  <c r="H60" i="17"/>
  <c r="L60" i="17" s="1"/>
  <c r="H60" i="14"/>
  <c r="H60" i="20" s="1"/>
  <c r="D71" i="13"/>
  <c r="H73" i="14"/>
  <c r="H73" i="20" s="1"/>
  <c r="H68" i="17"/>
  <c r="L68" i="17" s="1"/>
  <c r="H68" i="14"/>
  <c r="H68" i="20" s="1"/>
  <c r="D69" i="13"/>
  <c r="H71" i="14"/>
  <c r="H71" i="20" s="1"/>
  <c r="E51" i="7"/>
  <c r="H54" i="14"/>
  <c r="H54" i="20" s="1"/>
  <c r="H54" i="17"/>
  <c r="H70" i="14"/>
  <c r="H70" i="20" s="1"/>
  <c r="E50" i="4"/>
  <c r="M49" i="18" s="1"/>
  <c r="H53" i="14"/>
  <c r="H53" i="20" s="1"/>
  <c r="H53" i="17"/>
  <c r="H63" i="17"/>
  <c r="L63" i="17" s="1"/>
  <c r="H63" i="14"/>
  <c r="H63" i="20" s="1"/>
  <c r="E63" i="4"/>
  <c r="F63" i="4" s="1"/>
  <c r="H66" i="17"/>
  <c r="L66" i="17" s="1"/>
  <c r="H66" i="14"/>
  <c r="H66" i="20" s="1"/>
  <c r="D46" i="13"/>
  <c r="H48" i="17"/>
  <c r="H48" i="14"/>
  <c r="H48" i="20" s="1"/>
  <c r="H76" i="14"/>
  <c r="H76" i="20" s="1"/>
  <c r="D73" i="13"/>
  <c r="H75" i="14"/>
  <c r="H75" i="20" s="1"/>
  <c r="E55" i="4"/>
  <c r="M54" i="18" s="1"/>
  <c r="H58" i="14"/>
  <c r="H58" i="20" s="1"/>
  <c r="H58" i="17"/>
  <c r="L58" i="17" s="1"/>
  <c r="H74" i="14"/>
  <c r="H74" i="20" s="1"/>
  <c r="H47" i="14"/>
  <c r="H47" i="20" s="1"/>
  <c r="H47" i="17"/>
  <c r="E49" i="4"/>
  <c r="M48" i="18" s="1"/>
  <c r="H52" i="14"/>
  <c r="H52" i="20" s="1"/>
  <c r="H52" i="17"/>
  <c r="A34" i="19"/>
  <c r="L34" i="19" s="1"/>
  <c r="T66" i="15"/>
  <c r="T68" i="15"/>
  <c r="T70" i="15"/>
  <c r="I21" i="7"/>
  <c r="E72" i="7"/>
  <c r="K41" i="13"/>
  <c r="G34" i="13"/>
  <c r="I59" i="13"/>
  <c r="G53" i="7"/>
  <c r="D60" i="13"/>
  <c r="H23" i="17"/>
  <c r="H23" i="14"/>
  <c r="H23" i="20" s="1"/>
  <c r="E26" i="4"/>
  <c r="D32" i="15" s="1"/>
  <c r="H29" i="17"/>
  <c r="H29" i="14"/>
  <c r="H29" i="20" s="1"/>
  <c r="E25" i="4"/>
  <c r="M24" i="18" s="1"/>
  <c r="H28" i="17"/>
  <c r="H28" i="14"/>
  <c r="H28" i="20" s="1"/>
  <c r="H40" i="17"/>
  <c r="H40" i="14"/>
  <c r="H40" i="20" s="1"/>
  <c r="A25" i="19"/>
  <c r="L25" i="19" s="1"/>
  <c r="K46" i="7"/>
  <c r="H22" i="14"/>
  <c r="H22" i="20" s="1"/>
  <c r="H22" i="17"/>
  <c r="E28" i="4"/>
  <c r="D34" i="15" s="1"/>
  <c r="H31" i="17"/>
  <c r="H31" i="14"/>
  <c r="H31" i="20" s="1"/>
  <c r="D31" i="13"/>
  <c r="H33" i="17"/>
  <c r="H33" i="14"/>
  <c r="H33" i="20" s="1"/>
  <c r="E29" i="4"/>
  <c r="D35" i="15" s="1"/>
  <c r="H32" i="17"/>
  <c r="H32" i="14"/>
  <c r="H32" i="20" s="1"/>
  <c r="H27" i="17"/>
  <c r="H27" i="14"/>
  <c r="H27" i="20" s="1"/>
  <c r="A28" i="19"/>
  <c r="L28" i="19" s="1"/>
  <c r="H38" i="17"/>
  <c r="H38" i="14"/>
  <c r="H38" i="20" s="1"/>
  <c r="D33" i="13"/>
  <c r="H35" i="17"/>
  <c r="H35" i="14"/>
  <c r="H35" i="20" s="1"/>
  <c r="D35" i="13"/>
  <c r="H37" i="14"/>
  <c r="H37" i="20" s="1"/>
  <c r="H37" i="17"/>
  <c r="A38" i="19"/>
  <c r="L38" i="19" s="1"/>
  <c r="E22" i="4"/>
  <c r="M21" i="18" s="1"/>
  <c r="H25" i="17"/>
  <c r="H25" i="14"/>
  <c r="H25" i="20" s="1"/>
  <c r="I39" i="13"/>
  <c r="G43" i="13"/>
  <c r="K32" i="13"/>
  <c r="K27" i="5"/>
  <c r="K28" i="8" s="1"/>
  <c r="G15" i="7"/>
  <c r="J20" i="5"/>
  <c r="J20" i="18" s="1"/>
  <c r="K26" i="7"/>
  <c r="K26" i="13"/>
  <c r="F11" i="7"/>
  <c r="H14" i="14"/>
  <c r="H14" i="20" s="1"/>
  <c r="H14" i="17"/>
  <c r="H21" i="7"/>
  <c r="E25" i="7"/>
  <c r="L37" i="5"/>
  <c r="L38" i="8" s="1"/>
  <c r="I42" i="13"/>
  <c r="G55" i="5"/>
  <c r="G55" i="18" s="1"/>
  <c r="I51" i="7"/>
  <c r="K55" i="5"/>
  <c r="K56" i="8" s="1"/>
  <c r="H47" i="7"/>
  <c r="J8" i="13"/>
  <c r="E12" i="7"/>
  <c r="E70" i="13"/>
  <c r="K45" i="13"/>
  <c r="L52" i="7"/>
  <c r="G30" i="5"/>
  <c r="G31" i="8" s="1"/>
  <c r="F70" i="5"/>
  <c r="F71" i="8" s="1"/>
  <c r="I33" i="7"/>
  <c r="E60" i="5"/>
  <c r="E60" i="18" s="1"/>
  <c r="I10" i="13"/>
  <c r="F16" i="13"/>
  <c r="I56" i="13"/>
  <c r="E16" i="7"/>
  <c r="G72" i="7"/>
  <c r="G7" i="13"/>
  <c r="F27" i="7"/>
  <c r="K8" i="7"/>
  <c r="D69" i="17"/>
  <c r="E69" i="17" s="1"/>
  <c r="F71" i="7"/>
  <c r="K72" i="13"/>
  <c r="E11" i="5"/>
  <c r="E11" i="18" s="1"/>
  <c r="F36" i="5"/>
  <c r="F36" i="18" s="1"/>
  <c r="D18" i="15"/>
  <c r="M20" i="18"/>
  <c r="F51" i="7"/>
  <c r="K30" i="7"/>
  <c r="L70" i="5"/>
  <c r="L71" i="8" s="1"/>
  <c r="F69" i="4"/>
  <c r="N68" i="18" s="1"/>
  <c r="L65" i="5"/>
  <c r="L65" i="18" s="1"/>
  <c r="K50" i="13"/>
  <c r="E47" i="7"/>
  <c r="H74" i="7"/>
  <c r="K56" i="13"/>
  <c r="F41" i="13"/>
  <c r="H73" i="13"/>
  <c r="F23" i="13"/>
  <c r="I13" i="13"/>
  <c r="I23" i="13"/>
  <c r="E47" i="4"/>
  <c r="M46" i="18" s="1"/>
  <c r="J31" i="7"/>
  <c r="I48" i="13"/>
  <c r="H15" i="5"/>
  <c r="H16" i="8" s="1"/>
  <c r="G30" i="13"/>
  <c r="L37" i="7"/>
  <c r="I47" i="13"/>
  <c r="J14" i="13"/>
  <c r="K19" i="13"/>
  <c r="I75" i="13"/>
  <c r="L5" i="7"/>
  <c r="D52" i="13"/>
  <c r="L69" i="7"/>
  <c r="J63" i="13"/>
  <c r="H70" i="13"/>
  <c r="J47" i="5"/>
  <c r="J48" i="8" s="1"/>
  <c r="F39" i="5"/>
  <c r="F39" i="18" s="1"/>
  <c r="L44" i="5"/>
  <c r="L44" i="18" s="1"/>
  <c r="H20" i="5"/>
  <c r="H21" i="8" s="1"/>
  <c r="J59" i="5"/>
  <c r="J60" i="8" s="1"/>
  <c r="E8" i="5"/>
  <c r="E9" i="8" s="1"/>
  <c r="L58" i="5"/>
  <c r="L59" i="8" s="1"/>
  <c r="G18" i="13"/>
  <c r="K58" i="13"/>
  <c r="L45" i="7"/>
  <c r="I61" i="13"/>
  <c r="J30" i="13"/>
  <c r="F45" i="13"/>
  <c r="K60" i="13"/>
  <c r="G61" i="13"/>
  <c r="J41" i="5"/>
  <c r="J41" i="18" s="1"/>
  <c r="J12" i="5"/>
  <c r="J12" i="18" s="1"/>
  <c r="F30" i="5"/>
  <c r="F30" i="18" s="1"/>
  <c r="K32" i="7"/>
  <c r="K34" i="7"/>
  <c r="K52" i="7"/>
  <c r="L26" i="5"/>
  <c r="L26" i="18" s="1"/>
  <c r="G7" i="7"/>
  <c r="D26" i="13"/>
  <c r="E16" i="13"/>
  <c r="L27" i="7"/>
  <c r="I29" i="13"/>
  <c r="F21" i="13"/>
  <c r="D50" i="13"/>
  <c r="E43" i="4"/>
  <c r="F43" i="4" s="1"/>
  <c r="G43" i="4" s="1"/>
  <c r="H43" i="4" s="1"/>
  <c r="H46" i="14"/>
  <c r="H46" i="20" s="1"/>
  <c r="H46" i="17"/>
  <c r="J28" i="13"/>
  <c r="H39" i="17"/>
  <c r="H39" i="14"/>
  <c r="H39" i="20" s="1"/>
  <c r="E15" i="5"/>
  <c r="E15" i="18" s="1"/>
  <c r="J23" i="5"/>
  <c r="J23" i="18" s="1"/>
  <c r="G39" i="5"/>
  <c r="G40" i="8" s="1"/>
  <c r="E5" i="7"/>
  <c r="I43" i="7"/>
  <c r="H45" i="7"/>
  <c r="E48" i="13"/>
  <c r="E33" i="7"/>
  <c r="J11" i="13"/>
  <c r="J18" i="7"/>
  <c r="G10" i="13"/>
  <c r="K43" i="13"/>
  <c r="K25" i="13"/>
  <c r="K17" i="13"/>
  <c r="I20" i="13"/>
  <c r="D28" i="13"/>
  <c r="H45" i="14"/>
  <c r="H45" i="20" s="1"/>
  <c r="H45" i="17"/>
  <c r="K29" i="5"/>
  <c r="K29" i="18" s="1"/>
  <c r="E26" i="5"/>
  <c r="E26" i="18" s="1"/>
  <c r="E17" i="13"/>
  <c r="H6" i="5"/>
  <c r="H7" i="8" s="1"/>
  <c r="H26" i="5"/>
  <c r="H26" i="18" s="1"/>
  <c r="G40" i="5"/>
  <c r="G41" i="8" s="1"/>
  <c r="E5" i="4"/>
  <c r="D11" i="15" s="1"/>
  <c r="I13" i="7"/>
  <c r="K38" i="7"/>
  <c r="E6" i="7"/>
  <c r="I38" i="7"/>
  <c r="E27" i="13"/>
  <c r="E14" i="13"/>
  <c r="E12" i="13"/>
  <c r="K37" i="13"/>
  <c r="G16" i="7"/>
  <c r="E41" i="7"/>
  <c r="H44" i="14"/>
  <c r="H44" i="20" s="1"/>
  <c r="H44" i="17"/>
  <c r="E27" i="4"/>
  <c r="D33" i="15" s="1"/>
  <c r="E39" i="4"/>
  <c r="M38" i="18" s="1"/>
  <c r="T53" i="15"/>
  <c r="J51" i="5"/>
  <c r="J52" i="8" s="1"/>
  <c r="F53" i="5"/>
  <c r="F53" i="18" s="1"/>
  <c r="E49" i="7"/>
  <c r="F54" i="7"/>
  <c r="E51" i="4"/>
  <c r="M50" i="18" s="1"/>
  <c r="K51" i="5"/>
  <c r="K52" i="8" s="1"/>
  <c r="L57" i="5"/>
  <c r="L57" i="18" s="1"/>
  <c r="I53" i="13"/>
  <c r="G56" i="13"/>
  <c r="G54" i="13"/>
  <c r="T48" i="15"/>
  <c r="K43" i="5"/>
  <c r="K43" i="18" s="1"/>
  <c r="K47" i="5"/>
  <c r="K48" i="8" s="1"/>
  <c r="K61" i="5"/>
  <c r="K61" i="18" s="1"/>
  <c r="L20" i="5"/>
  <c r="L21" i="8" s="1"/>
  <c r="L32" i="5"/>
  <c r="L32" i="18" s="1"/>
  <c r="L54" i="5"/>
  <c r="L54" i="18" s="1"/>
  <c r="L51" i="5"/>
  <c r="L52" i="8" s="1"/>
  <c r="L43" i="5"/>
  <c r="L44" i="8" s="1"/>
  <c r="K59" i="5"/>
  <c r="K59" i="18" s="1"/>
  <c r="L12" i="5"/>
  <c r="L13" i="8" s="1"/>
  <c r="K60" i="5"/>
  <c r="K60" i="18" s="1"/>
  <c r="K54" i="5"/>
  <c r="K54" i="18" s="1"/>
  <c r="K50" i="5"/>
  <c r="K51" i="8" s="1"/>
  <c r="K38" i="5"/>
  <c r="K38" i="18" s="1"/>
  <c r="K15" i="5"/>
  <c r="K16" i="8" s="1"/>
  <c r="K14" i="5"/>
  <c r="K14" i="18" s="1"/>
  <c r="K19" i="5"/>
  <c r="K19" i="18" s="1"/>
  <c r="L42" i="5"/>
  <c r="L42" i="18" s="1"/>
  <c r="K49" i="5"/>
  <c r="K49" i="18" s="1"/>
  <c r="L71" i="5"/>
  <c r="L71" i="18" s="1"/>
  <c r="K40" i="5"/>
  <c r="K40" i="18" s="1"/>
  <c r="L9" i="5"/>
  <c r="L10" i="8" s="1"/>
  <c r="K58" i="5"/>
  <c r="K58" i="18" s="1"/>
  <c r="K53" i="5"/>
  <c r="K53" i="18" s="1"/>
  <c r="K6" i="5"/>
  <c r="K6" i="18" s="1"/>
  <c r="L30" i="5"/>
  <c r="L30" i="18" s="1"/>
  <c r="L50" i="5"/>
  <c r="L51" i="8" s="1"/>
  <c r="L73" i="5"/>
  <c r="L73" i="18" s="1"/>
  <c r="L68" i="5"/>
  <c r="L69" i="8" s="1"/>
  <c r="L35" i="5"/>
  <c r="L35" i="18" s="1"/>
  <c r="L59" i="5"/>
  <c r="L60" i="8" s="1"/>
  <c r="L69" i="5"/>
  <c r="L70" i="8" s="1"/>
  <c r="K32" i="5"/>
  <c r="K33" i="8" s="1"/>
  <c r="K44" i="5"/>
  <c r="K44" i="18" s="1"/>
  <c r="K9" i="5"/>
  <c r="K10" i="8" s="1"/>
  <c r="K13" i="5"/>
  <c r="K14" i="8" s="1"/>
  <c r="K24" i="5"/>
  <c r="K24" i="18" s="1"/>
  <c r="K62" i="5"/>
  <c r="K62" i="18" s="1"/>
  <c r="K37" i="5"/>
  <c r="K37" i="18" s="1"/>
  <c r="K63" i="5"/>
  <c r="K64" i="8" s="1"/>
  <c r="L24" i="5"/>
  <c r="L24" i="18" s="1"/>
  <c r="L36" i="5"/>
  <c r="L36" i="18" s="1"/>
  <c r="L56" i="5"/>
  <c r="L57" i="8" s="1"/>
  <c r="L7" i="5"/>
  <c r="L7" i="18" s="1"/>
  <c r="K11" i="5"/>
  <c r="K12" i="8" s="1"/>
  <c r="L22" i="5"/>
  <c r="L22" i="18" s="1"/>
  <c r="J15" i="5"/>
  <c r="J15" i="18" s="1"/>
  <c r="J45" i="5"/>
  <c r="J46" i="8" s="1"/>
  <c r="J55" i="5"/>
  <c r="J56" i="8" s="1"/>
  <c r="J63" i="5"/>
  <c r="J63" i="18" s="1"/>
  <c r="J70" i="5"/>
  <c r="J70" i="18" s="1"/>
  <c r="I14" i="5"/>
  <c r="I15" i="8" s="1"/>
  <c r="I10" i="5"/>
  <c r="I11" i="8" s="1"/>
  <c r="J39" i="5"/>
  <c r="J39" i="18" s="1"/>
  <c r="J49" i="5"/>
  <c r="J49" i="18" s="1"/>
  <c r="J4" i="5"/>
  <c r="J4" i="18" s="1"/>
  <c r="J30" i="5"/>
  <c r="J31" i="8" s="1"/>
  <c r="J64" i="5"/>
  <c r="J65" i="8" s="1"/>
  <c r="I4" i="5"/>
  <c r="I4" i="18" s="1"/>
  <c r="I8" i="5"/>
  <c r="I8" i="18" s="1"/>
  <c r="J38" i="5"/>
  <c r="J39" i="8" s="1"/>
  <c r="J65" i="5"/>
  <c r="J66" i="8" s="1"/>
  <c r="J25" i="5"/>
  <c r="J25" i="18" s="1"/>
  <c r="J9" i="5"/>
  <c r="J10" i="8" s="1"/>
  <c r="I26" i="5"/>
  <c r="I26" i="18" s="1"/>
  <c r="I30" i="5"/>
  <c r="I31" i="8" s="1"/>
  <c r="I38" i="5"/>
  <c r="I38" i="18" s="1"/>
  <c r="I42" i="5"/>
  <c r="I43" i="8" s="1"/>
  <c r="H64" i="5"/>
  <c r="H64" i="18" s="1"/>
  <c r="I6" i="5"/>
  <c r="I6" i="18" s="1"/>
  <c r="H13" i="5"/>
  <c r="H14" i="8" s="1"/>
  <c r="I50" i="5"/>
  <c r="I50" i="18" s="1"/>
  <c r="I22" i="5"/>
  <c r="I22" i="18" s="1"/>
  <c r="I16" i="5"/>
  <c r="I16" i="18" s="1"/>
  <c r="I17" i="5"/>
  <c r="I17" i="18" s="1"/>
  <c r="H28" i="5"/>
  <c r="H29" i="8" s="1"/>
  <c r="I20" i="5"/>
  <c r="I21" i="8" s="1"/>
  <c r="I40" i="5"/>
  <c r="I40" i="18" s="1"/>
  <c r="I52" i="5"/>
  <c r="I52" i="18" s="1"/>
  <c r="F16" i="5"/>
  <c r="F16" i="18" s="1"/>
  <c r="E30" i="5"/>
  <c r="E31" i="8" s="1"/>
  <c r="F58" i="5"/>
  <c r="F58" i="18" s="1"/>
  <c r="F62" i="5"/>
  <c r="F62" i="18" s="1"/>
  <c r="F51" i="5"/>
  <c r="F52" i="8" s="1"/>
  <c r="F12" i="5"/>
  <c r="F12" i="18" s="1"/>
  <c r="F24" i="5"/>
  <c r="F25" i="8" s="1"/>
  <c r="F56" i="5"/>
  <c r="F57" i="8" s="1"/>
  <c r="E7" i="5"/>
  <c r="E7" i="18" s="1"/>
  <c r="E48" i="5"/>
  <c r="E49" i="8" s="1"/>
  <c r="F23" i="5"/>
  <c r="F23" i="18" s="1"/>
  <c r="F69" i="5"/>
  <c r="F70" i="8" s="1"/>
  <c r="F68" i="5"/>
  <c r="F69" i="8" s="1"/>
  <c r="F22" i="5"/>
  <c r="F22" i="18" s="1"/>
  <c r="F73" i="5"/>
  <c r="F74" i="8" s="1"/>
  <c r="E25" i="5"/>
  <c r="E26" i="8" s="1"/>
  <c r="F57" i="5"/>
  <c r="F57" i="18" s="1"/>
  <c r="E19" i="5"/>
  <c r="E20" i="8" s="1"/>
  <c r="J11" i="5"/>
  <c r="J12" i="8" s="1"/>
  <c r="J21" i="5"/>
  <c r="J22" i="8" s="1"/>
  <c r="F49" i="5"/>
  <c r="F49" i="18" s="1"/>
  <c r="F25" i="5"/>
  <c r="F25" i="18" s="1"/>
  <c r="F10" i="5"/>
  <c r="F10" i="18" s="1"/>
  <c r="J10" i="5"/>
  <c r="J11" i="8" s="1"/>
  <c r="J18" i="5"/>
  <c r="J18" i="18" s="1"/>
  <c r="G31" i="5"/>
  <c r="G31" i="18" s="1"/>
  <c r="G56" i="5"/>
  <c r="G56" i="18" s="1"/>
  <c r="G21" i="5"/>
  <c r="G22" i="8" s="1"/>
  <c r="G33" i="5"/>
  <c r="G34" i="8" s="1"/>
  <c r="J67" i="5"/>
  <c r="J67" i="18" s="1"/>
  <c r="E4" i="5"/>
  <c r="E4" i="18" s="1"/>
  <c r="I5" i="7"/>
  <c r="I27" i="7"/>
  <c r="K28" i="7"/>
  <c r="I32" i="5"/>
  <c r="I32" i="18" s="1"/>
  <c r="E20" i="5"/>
  <c r="E20" i="18" s="1"/>
  <c r="J46" i="5"/>
  <c r="J46" i="18" s="1"/>
  <c r="J54" i="5"/>
  <c r="J55" i="8" s="1"/>
  <c r="L48" i="5"/>
  <c r="L48" i="18" s="1"/>
  <c r="L47" i="5"/>
  <c r="L48" i="8" s="1"/>
  <c r="F66" i="4"/>
  <c r="G66" i="4" s="1"/>
  <c r="O65" i="18" s="1"/>
  <c r="E73" i="5"/>
  <c r="E73" i="18" s="1"/>
  <c r="K68" i="7"/>
  <c r="F37" i="13"/>
  <c r="J6" i="13"/>
  <c r="H55" i="13"/>
  <c r="E21" i="7"/>
  <c r="I50" i="7"/>
  <c r="I12" i="13"/>
  <c r="E38" i="13"/>
  <c r="E16" i="4"/>
  <c r="M15" i="18" s="1"/>
  <c r="I25" i="13"/>
  <c r="E51" i="13"/>
  <c r="F68" i="4"/>
  <c r="G68" i="4" s="1"/>
  <c r="H68" i="4" s="1"/>
  <c r="E28" i="13"/>
  <c r="G57" i="7"/>
  <c r="F42" i="13"/>
  <c r="G15" i="13"/>
  <c r="D23" i="13"/>
  <c r="J8" i="5"/>
  <c r="J9" i="8" s="1"/>
  <c r="J37" i="5"/>
  <c r="J37" i="18" s="1"/>
  <c r="J57" i="5"/>
  <c r="J58" i="8" s="1"/>
  <c r="F33" i="5"/>
  <c r="F34" i="8" s="1"/>
  <c r="F9" i="5"/>
  <c r="F10" i="8" s="1"/>
  <c r="G20" i="5"/>
  <c r="G21" i="8" s="1"/>
  <c r="H5" i="5"/>
  <c r="H5" i="18" s="1"/>
  <c r="L15" i="5"/>
  <c r="L15" i="18" s="1"/>
  <c r="G35" i="5"/>
  <c r="G36" i="8" s="1"/>
  <c r="F66" i="5"/>
  <c r="F66" i="18" s="1"/>
  <c r="K4" i="5"/>
  <c r="K5" i="8" s="1"/>
  <c r="F12" i="4"/>
  <c r="E18" i="15" s="1"/>
  <c r="I12" i="5"/>
  <c r="I13" i="8" s="1"/>
  <c r="K21" i="5"/>
  <c r="K22" i="8" s="1"/>
  <c r="I31" i="7"/>
  <c r="K35" i="5"/>
  <c r="K36" i="8" s="1"/>
  <c r="K56" i="7"/>
  <c r="E21" i="5"/>
  <c r="E21" i="18" s="1"/>
  <c r="G15" i="5"/>
  <c r="G15" i="18" s="1"/>
  <c r="L66" i="5"/>
  <c r="L66" i="18" s="1"/>
  <c r="L23" i="5"/>
  <c r="L23" i="18" s="1"/>
  <c r="G12" i="13"/>
  <c r="H7" i="7"/>
  <c r="G26" i="13"/>
  <c r="E22" i="7"/>
  <c r="I41" i="13"/>
  <c r="D22" i="13"/>
  <c r="I34" i="7"/>
  <c r="E11" i="13"/>
  <c r="F32" i="13"/>
  <c r="I60" i="13"/>
  <c r="D13" i="13"/>
  <c r="F35" i="13"/>
  <c r="F33" i="13"/>
  <c r="G35" i="13"/>
  <c r="G43" i="7"/>
  <c r="L67" i="7"/>
  <c r="K14" i="7"/>
  <c r="H12" i="7"/>
  <c r="D44" i="13"/>
  <c r="F15" i="13"/>
  <c r="K59" i="13"/>
  <c r="E66" i="13"/>
  <c r="K15" i="13"/>
  <c r="E16" i="5"/>
  <c r="E17" i="8" s="1"/>
  <c r="J35" i="5"/>
  <c r="J35" i="18" s="1"/>
  <c r="J43" i="5"/>
  <c r="J43" i="18" s="1"/>
  <c r="J61" i="5"/>
  <c r="J62" i="8" s="1"/>
  <c r="F37" i="5"/>
  <c r="F38" i="8" s="1"/>
  <c r="F8" i="5"/>
  <c r="F8" i="18" s="1"/>
  <c r="H11" i="5"/>
  <c r="H12" i="8" s="1"/>
  <c r="K30" i="5"/>
  <c r="K30" i="18" s="1"/>
  <c r="K45" i="5"/>
  <c r="K45" i="18" s="1"/>
  <c r="I55" i="7"/>
  <c r="L21" i="5"/>
  <c r="L22" i="8" s="1"/>
  <c r="L61" i="5"/>
  <c r="L61" i="18" s="1"/>
  <c r="F33" i="4"/>
  <c r="E39" i="15" s="1"/>
  <c r="E56" i="5"/>
  <c r="E57" i="8" s="1"/>
  <c r="K30" i="13"/>
  <c r="E59" i="7"/>
  <c r="I45" i="13"/>
  <c r="L74" i="7"/>
  <c r="I65" i="7"/>
  <c r="K57" i="7"/>
  <c r="G52" i="13"/>
  <c r="E53" i="7"/>
  <c r="L13" i="7"/>
  <c r="E22" i="13"/>
  <c r="L6" i="7"/>
  <c r="E18" i="7"/>
  <c r="G53" i="13"/>
  <c r="F22" i="13"/>
  <c r="L64" i="7"/>
  <c r="E39" i="7"/>
  <c r="L4" i="5"/>
  <c r="L4" i="18" s="1"/>
  <c r="K18" i="5"/>
  <c r="K19" i="8" s="1"/>
  <c r="L5" i="5"/>
  <c r="L5" i="18" s="1"/>
  <c r="J32" i="5"/>
  <c r="J33" i="8" s="1"/>
  <c r="J73" i="5"/>
  <c r="J73" i="18" s="1"/>
  <c r="K25" i="5"/>
  <c r="K31" i="5"/>
  <c r="K32" i="8" s="1"/>
  <c r="K36" i="7"/>
  <c r="I39" i="7"/>
  <c r="K54" i="7"/>
  <c r="E32" i="5"/>
  <c r="E32" i="18" s="1"/>
  <c r="L28" i="5"/>
  <c r="L28" i="18" s="1"/>
  <c r="L45" i="5"/>
  <c r="L46" i="8" s="1"/>
  <c r="L49" i="5"/>
  <c r="L50" i="8" s="1"/>
  <c r="F11" i="4"/>
  <c r="N10" i="18" s="1"/>
  <c r="I37" i="13"/>
  <c r="H68" i="13"/>
  <c r="K45" i="7"/>
  <c r="D14" i="17"/>
  <c r="J64" i="13"/>
  <c r="E34" i="4"/>
  <c r="M33" i="18" s="1"/>
  <c r="E68" i="7"/>
  <c r="E37" i="13"/>
  <c r="I69" i="13"/>
  <c r="I7" i="7"/>
  <c r="I44" i="13"/>
  <c r="E6" i="13"/>
  <c r="E27" i="5"/>
  <c r="E27" i="18" s="1"/>
  <c r="L16" i="5"/>
  <c r="L16" i="18" s="1"/>
  <c r="K18" i="13"/>
  <c r="K40" i="13"/>
  <c r="D16" i="17"/>
  <c r="H21" i="17"/>
  <c r="G31" i="13"/>
  <c r="J35" i="7"/>
  <c r="J14" i="5"/>
  <c r="J15" i="8" s="1"/>
  <c r="I49" i="7"/>
  <c r="H15" i="7"/>
  <c r="H51" i="17"/>
  <c r="D30" i="13"/>
  <c r="F56" i="13"/>
  <c r="D56" i="13"/>
  <c r="F25" i="13"/>
  <c r="E12" i="5"/>
  <c r="E12" i="18" s="1"/>
  <c r="F60" i="5"/>
  <c r="F61" i="8" s="1"/>
  <c r="I7" i="13"/>
  <c r="G62" i="13"/>
  <c r="D57" i="17"/>
  <c r="E57" i="17" s="1"/>
  <c r="H36" i="17"/>
  <c r="H49" i="7"/>
  <c r="D14" i="13"/>
  <c r="H10" i="14"/>
  <c r="H10" i="20" s="1"/>
  <c r="I28" i="7"/>
  <c r="E29" i="7"/>
  <c r="H15" i="14"/>
  <c r="H15" i="20" s="1"/>
  <c r="K36" i="13"/>
  <c r="G47" i="13"/>
  <c r="K24" i="13"/>
  <c r="I16" i="13"/>
  <c r="G24" i="7"/>
  <c r="E72" i="4"/>
  <c r="F72" i="4" s="1"/>
  <c r="G72" i="4" s="1"/>
  <c r="F78" i="15" s="1"/>
  <c r="F50" i="13"/>
  <c r="D48" i="17"/>
  <c r="D28" i="17"/>
  <c r="D38" i="17"/>
  <c r="D19" i="17"/>
  <c r="D51" i="17"/>
  <c r="H41" i="14"/>
  <c r="H41" i="20" s="1"/>
  <c r="G62" i="7"/>
  <c r="F63" i="13"/>
  <c r="I66" i="13"/>
  <c r="J65" i="7"/>
  <c r="I73" i="13"/>
  <c r="J72" i="7"/>
  <c r="J17" i="5"/>
  <c r="J17" i="18" s="1"/>
  <c r="F42" i="5"/>
  <c r="F43" i="8" s="1"/>
  <c r="D8" i="13"/>
  <c r="I34" i="5"/>
  <c r="I34" i="18" s="1"/>
  <c r="K69" i="5"/>
  <c r="K69" i="18" s="1"/>
  <c r="L18" i="5"/>
  <c r="L19" i="8" s="1"/>
  <c r="L52" i="5"/>
  <c r="L53" i="8" s="1"/>
  <c r="L60" i="5"/>
  <c r="L60" i="18" s="1"/>
  <c r="H4" i="5"/>
  <c r="H4" i="18" s="1"/>
  <c r="G22" i="5"/>
  <c r="G22" i="18" s="1"/>
  <c r="J34" i="5"/>
  <c r="J35" i="8" s="1"/>
  <c r="F54" i="4"/>
  <c r="G54" i="4" s="1"/>
  <c r="H54" i="4" s="1"/>
  <c r="E7" i="7"/>
  <c r="I35" i="7"/>
  <c r="I47" i="7"/>
  <c r="E29" i="5"/>
  <c r="E29" i="18" s="1"/>
  <c r="J5" i="5"/>
  <c r="J5" i="18" s="1"/>
  <c r="L46" i="5"/>
  <c r="L46" i="18" s="1"/>
  <c r="L63" i="5"/>
  <c r="L63" i="18" s="1"/>
  <c r="L25" i="5"/>
  <c r="L25" i="18" s="1"/>
  <c r="E65" i="5"/>
  <c r="E66" i="8" s="1"/>
  <c r="G6" i="13"/>
  <c r="K54" i="13"/>
  <c r="K62" i="13"/>
  <c r="I55" i="13"/>
  <c r="H42" i="14"/>
  <c r="H42" i="20" s="1"/>
  <c r="E30" i="7"/>
  <c r="I57" i="13"/>
  <c r="D39" i="17"/>
  <c r="K48" i="13"/>
  <c r="H41" i="13"/>
  <c r="E54" i="7"/>
  <c r="I12" i="7"/>
  <c r="D8" i="17"/>
  <c r="H34" i="14"/>
  <c r="H34" i="20" s="1"/>
  <c r="K10" i="13"/>
  <c r="G27" i="13"/>
  <c r="E45" i="7"/>
  <c r="L23" i="7"/>
  <c r="I63" i="7"/>
  <c r="D29" i="13"/>
  <c r="J66" i="13"/>
  <c r="K27" i="13"/>
  <c r="G49" i="13"/>
  <c r="G36" i="13"/>
  <c r="E75" i="13"/>
  <c r="F74" i="7"/>
  <c r="H60" i="13"/>
  <c r="I59" i="7"/>
  <c r="E52" i="4"/>
  <c r="E52" i="7"/>
  <c r="D53" i="13"/>
  <c r="H62" i="13"/>
  <c r="I61" i="7"/>
  <c r="E64" i="13"/>
  <c r="F63" i="7"/>
  <c r="G47" i="5"/>
  <c r="G48" i="8" s="1"/>
  <c r="J71" i="5"/>
  <c r="J72" i="8" s="1"/>
  <c r="K40" i="7"/>
  <c r="L34" i="5"/>
  <c r="L34" i="18" s="1"/>
  <c r="L39" i="5"/>
  <c r="L39" i="18" s="1"/>
  <c r="J53" i="5"/>
  <c r="J53" i="18" s="1"/>
  <c r="F17" i="5"/>
  <c r="F18" i="8" s="1"/>
  <c r="G37" i="5"/>
  <c r="G37" i="18" s="1"/>
  <c r="H8" i="13"/>
  <c r="K24" i="7"/>
  <c r="K42" i="7"/>
  <c r="J50" i="5"/>
  <c r="J50" i="18" s="1"/>
  <c r="L38" i="5"/>
  <c r="L39" i="8" s="1"/>
  <c r="L8" i="5"/>
  <c r="L9" i="8" s="1"/>
  <c r="K34" i="13"/>
  <c r="J71" i="13"/>
  <c r="L15" i="7"/>
  <c r="H51" i="14"/>
  <c r="H51" i="20" s="1"/>
  <c r="D42" i="17"/>
  <c r="I56" i="7"/>
  <c r="E66" i="7"/>
  <c r="E28" i="7"/>
  <c r="G55" i="13"/>
  <c r="E68" i="13"/>
  <c r="H26" i="17"/>
  <c r="F60" i="13"/>
  <c r="K12" i="7"/>
  <c r="J13" i="13"/>
  <c r="H46" i="13"/>
  <c r="I45" i="7"/>
  <c r="H71" i="7"/>
  <c r="G72" i="13"/>
  <c r="J20" i="7"/>
  <c r="I21" i="13"/>
  <c r="J31" i="5"/>
  <c r="J31" i="18" s="1"/>
  <c r="F27" i="5"/>
  <c r="F27" i="18" s="1"/>
  <c r="J7" i="5"/>
  <c r="J7" i="18" s="1"/>
  <c r="G10" i="5"/>
  <c r="G10" i="18" s="1"/>
  <c r="K22" i="5"/>
  <c r="K23" i="8" s="1"/>
  <c r="K10" i="5"/>
  <c r="K11" i="8" s="1"/>
  <c r="G51" i="5"/>
  <c r="G51" i="18" s="1"/>
  <c r="K46" i="5"/>
  <c r="K46" i="18" s="1"/>
  <c r="I18" i="5"/>
  <c r="I18" i="18" s="1"/>
  <c r="E31" i="5"/>
  <c r="E32" i="8" s="1"/>
  <c r="E33" i="5"/>
  <c r="E34" i="8" s="1"/>
  <c r="L40" i="5"/>
  <c r="L41" i="8" s="1"/>
  <c r="L41" i="5"/>
  <c r="L42" i="8" s="1"/>
  <c r="D17" i="15"/>
  <c r="J52" i="5"/>
  <c r="J53" i="8" s="1"/>
  <c r="E43" i="7"/>
  <c r="D58" i="17"/>
  <c r="E58" i="17" s="1"/>
  <c r="H49" i="17"/>
  <c r="G9" i="13"/>
  <c r="E23" i="13"/>
  <c r="D49" i="17"/>
  <c r="E6" i="4"/>
  <c r="M5" i="18" s="1"/>
  <c r="J44" i="13"/>
  <c r="D21" i="17"/>
  <c r="F12" i="13"/>
  <c r="D10" i="17"/>
  <c r="H42" i="17"/>
  <c r="D26" i="17"/>
  <c r="F6" i="7"/>
  <c r="F13" i="13"/>
  <c r="K8" i="13"/>
  <c r="I31" i="13"/>
  <c r="I18" i="13"/>
  <c r="G28" i="13"/>
  <c r="G33" i="13"/>
  <c r="E43" i="13"/>
  <c r="E34" i="7"/>
  <c r="D19" i="13"/>
  <c r="F23" i="7"/>
  <c r="I54" i="13"/>
  <c r="D43" i="17"/>
  <c r="E17" i="5"/>
  <c r="E17" i="18" s="1"/>
  <c r="F47" i="5"/>
  <c r="F47" i="18" s="1"/>
  <c r="J16" i="5"/>
  <c r="J17" i="8" s="1"/>
  <c r="H9" i="5"/>
  <c r="H10" i="8" s="1"/>
  <c r="K26" i="5"/>
  <c r="K26" i="18" s="1"/>
  <c r="L13" i="5"/>
  <c r="L14" i="8" s="1"/>
  <c r="G27" i="5"/>
  <c r="G28" i="8" s="1"/>
  <c r="F48" i="5"/>
  <c r="F48" i="18" s="1"/>
  <c r="I9" i="13"/>
  <c r="G11" i="13"/>
  <c r="K18" i="7"/>
  <c r="I25" i="7"/>
  <c r="I29" i="7"/>
  <c r="I57" i="7"/>
  <c r="F5" i="5"/>
  <c r="F5" i="18" s="1"/>
  <c r="J44" i="5"/>
  <c r="J44" i="18" s="1"/>
  <c r="K12" i="13"/>
  <c r="D54" i="17"/>
  <c r="H49" i="14"/>
  <c r="H49" i="20" s="1"/>
  <c r="H39" i="7"/>
  <c r="E17" i="7"/>
  <c r="D18" i="13"/>
  <c r="K19" i="7"/>
  <c r="K47" i="7"/>
  <c r="J24" i="13"/>
  <c r="J32" i="13"/>
  <c r="H15" i="17"/>
  <c r="H20" i="7"/>
  <c r="G57" i="13"/>
  <c r="E32" i="7"/>
  <c r="E53" i="4"/>
  <c r="M52" i="18" s="1"/>
  <c r="I38" i="13"/>
  <c r="E47" i="13"/>
  <c r="K35" i="13"/>
  <c r="D20" i="17"/>
  <c r="H40" i="7"/>
  <c r="K51" i="13"/>
  <c r="H30" i="17"/>
  <c r="H30" i="14"/>
  <c r="H30" i="20" s="1"/>
  <c r="J29" i="5"/>
  <c r="J30" i="8" s="1"/>
  <c r="F41" i="5"/>
  <c r="F41" i="18" s="1"/>
  <c r="F21" i="5"/>
  <c r="F21" i="18" s="1"/>
  <c r="G36" i="5"/>
  <c r="G36" i="18" s="1"/>
  <c r="H7" i="5"/>
  <c r="H8" i="8" s="1"/>
  <c r="K34" i="5"/>
  <c r="K34" i="18" s="1"/>
  <c r="F28" i="5"/>
  <c r="F28" i="18" s="1"/>
  <c r="J36" i="5"/>
  <c r="J36" i="18" s="1"/>
  <c r="K42" i="5"/>
  <c r="K42" i="18" s="1"/>
  <c r="F46" i="5"/>
  <c r="F46" i="18" s="1"/>
  <c r="K17" i="5"/>
  <c r="K17" i="18" s="1"/>
  <c r="I24" i="5"/>
  <c r="I24" i="18" s="1"/>
  <c r="I28" i="5"/>
  <c r="I28" i="18" s="1"/>
  <c r="I56" i="5"/>
  <c r="I56" i="18" s="1"/>
  <c r="L10" i="5"/>
  <c r="L11" i="8" s="1"/>
  <c r="L33" i="5"/>
  <c r="L33" i="18" s="1"/>
  <c r="E52" i="5"/>
  <c r="E52" i="18" s="1"/>
  <c r="G38" i="13"/>
  <c r="G52" i="7"/>
  <c r="D12" i="17"/>
  <c r="K11" i="7"/>
  <c r="G37" i="7"/>
  <c r="D34" i="13"/>
  <c r="D34" i="17"/>
  <c r="D39" i="15"/>
  <c r="G28" i="7"/>
  <c r="K23" i="13"/>
  <c r="E32" i="4"/>
  <c r="D38" i="15" s="1"/>
  <c r="E30" i="13"/>
  <c r="E39" i="13"/>
  <c r="E49" i="13"/>
  <c r="I33" i="13"/>
  <c r="D25" i="17"/>
  <c r="E19" i="4"/>
  <c r="E19" i="7"/>
  <c r="D20" i="13"/>
  <c r="E41" i="4"/>
  <c r="D42" i="13"/>
  <c r="F62" i="7"/>
  <c r="E63" i="13"/>
  <c r="I70" i="7"/>
  <c r="H71" i="13"/>
  <c r="H23" i="7"/>
  <c r="G24" i="13"/>
  <c r="J16" i="7"/>
  <c r="I17" i="13"/>
  <c r="K6" i="7"/>
  <c r="J7" i="13"/>
  <c r="E70" i="4"/>
  <c r="E70" i="7"/>
  <c r="F58" i="7"/>
  <c r="E59" i="13"/>
  <c r="G47" i="7"/>
  <c r="F48" i="13"/>
  <c r="G30" i="7"/>
  <c r="F31" i="13"/>
  <c r="E20" i="4"/>
  <c r="D21" i="13"/>
  <c r="L65" i="7"/>
  <c r="K66" i="13"/>
  <c r="K61" i="7"/>
  <c r="J62" i="13"/>
  <c r="K53" i="7"/>
  <c r="J54" i="13"/>
  <c r="K49" i="7"/>
  <c r="J50" i="13"/>
  <c r="J38" i="13"/>
  <c r="K37" i="7"/>
  <c r="K33" i="7"/>
  <c r="J34" i="13"/>
  <c r="J29" i="7"/>
  <c r="I30" i="13"/>
  <c r="J14" i="7"/>
  <c r="I15" i="13"/>
  <c r="I8" i="7"/>
  <c r="H9" i="13"/>
  <c r="I74" i="13"/>
  <c r="J73" i="7"/>
  <c r="E65" i="4"/>
  <c r="E65" i="7"/>
  <c r="D68" i="17"/>
  <c r="E68" i="17" s="1"/>
  <c r="D66" i="13"/>
  <c r="E54" i="13"/>
  <c r="F53" i="7"/>
  <c r="F43" i="13"/>
  <c r="G42" i="7"/>
  <c r="G33" i="7"/>
  <c r="F34" i="13"/>
  <c r="E23" i="4"/>
  <c r="E23" i="7"/>
  <c r="D24" i="13"/>
  <c r="E13" i="13"/>
  <c r="F12" i="7"/>
  <c r="J5" i="7"/>
  <c r="I6" i="13"/>
  <c r="G61" i="7"/>
  <c r="F62" i="13"/>
  <c r="F56" i="7"/>
  <c r="E57" i="13"/>
  <c r="J26" i="13"/>
  <c r="K25" i="7"/>
  <c r="J18" i="13"/>
  <c r="K17" i="7"/>
  <c r="G5" i="7"/>
  <c r="F6" i="13"/>
  <c r="F72" i="7"/>
  <c r="E73" i="13"/>
  <c r="E67" i="4"/>
  <c r="E67" i="7"/>
  <c r="D68" i="13"/>
  <c r="F61" i="13"/>
  <c r="G60" i="7"/>
  <c r="G39" i="7"/>
  <c r="F40" i="13"/>
  <c r="G35" i="7"/>
  <c r="F36" i="13"/>
  <c r="E15" i="13"/>
  <c r="F14" i="7"/>
  <c r="F19" i="13"/>
  <c r="G18" i="7"/>
  <c r="E37" i="4"/>
  <c r="E37" i="7"/>
  <c r="D38" i="13"/>
  <c r="E60" i="4"/>
  <c r="E60" i="7"/>
  <c r="D63" i="17"/>
  <c r="E63" i="17" s="1"/>
  <c r="D61" i="13"/>
  <c r="G6" i="7"/>
  <c r="F7" i="13"/>
  <c r="L68" i="7"/>
  <c r="K69" i="13"/>
  <c r="J71" i="7"/>
  <c r="I72" i="13"/>
  <c r="H36" i="14"/>
  <c r="H36" i="20" s="1"/>
  <c r="I28" i="13"/>
  <c r="D15" i="17"/>
  <c r="G17" i="13"/>
  <c r="G45" i="13"/>
  <c r="H19" i="14"/>
  <c r="H19" i="20" s="1"/>
  <c r="J67" i="7"/>
  <c r="I68" i="13"/>
  <c r="I66" i="7"/>
  <c r="H67" i="13"/>
  <c r="F17" i="7"/>
  <c r="E18" i="13"/>
  <c r="H49" i="13"/>
  <c r="I48" i="7"/>
  <c r="E73" i="4"/>
  <c r="D74" i="13"/>
  <c r="E73" i="7"/>
  <c r="G50" i="7"/>
  <c r="F51" i="13"/>
  <c r="E31" i="4"/>
  <c r="E31" i="7"/>
  <c r="D32" i="13"/>
  <c r="D11" i="17"/>
  <c r="I6" i="7"/>
  <c r="H7" i="13"/>
  <c r="E71" i="4"/>
  <c r="D72" i="13"/>
  <c r="E71" i="7"/>
  <c r="G65" i="7"/>
  <c r="F66" i="13"/>
  <c r="F59" i="7"/>
  <c r="E60" i="13"/>
  <c r="L63" i="7"/>
  <c r="K64" i="13"/>
  <c r="E24" i="4"/>
  <c r="D25" i="13"/>
  <c r="E44" i="4"/>
  <c r="D45" i="13"/>
  <c r="E44" i="7"/>
  <c r="F66" i="7"/>
  <c r="E67" i="13"/>
  <c r="G67" i="13"/>
  <c r="H66" i="7"/>
  <c r="J69" i="7"/>
  <c r="I70" i="13"/>
  <c r="G73" i="13"/>
  <c r="H72" i="7"/>
  <c r="H22" i="5"/>
  <c r="H23" i="8" s="1"/>
  <c r="J27" i="5"/>
  <c r="J27" i="18" s="1"/>
  <c r="F61" i="5"/>
  <c r="F62" i="8" s="1"/>
  <c r="F45" i="5"/>
  <c r="F46" i="8" s="1"/>
  <c r="G18" i="5"/>
  <c r="G19" i="8" s="1"/>
  <c r="K36" i="5"/>
  <c r="K37" i="8" s="1"/>
  <c r="K20" i="5"/>
  <c r="K21" i="8" s="1"/>
  <c r="L11" i="5"/>
  <c r="L12" i="8" s="1"/>
  <c r="F72" i="5"/>
  <c r="F72" i="18" s="1"/>
  <c r="G7" i="5"/>
  <c r="G8" i="8" s="1"/>
  <c r="J28" i="5"/>
  <c r="J28" i="18" s="1"/>
  <c r="F38" i="5"/>
  <c r="F39" i="8" s="1"/>
  <c r="G48" i="5"/>
  <c r="G48" i="18" s="1"/>
  <c r="G64" i="5"/>
  <c r="G64" i="18" s="1"/>
  <c r="K5" i="5"/>
  <c r="K6" i="8" s="1"/>
  <c r="F21" i="4"/>
  <c r="E27" i="15" s="1"/>
  <c r="E6" i="5"/>
  <c r="E6" i="18" s="1"/>
  <c r="K23" i="5"/>
  <c r="K24" i="8" s="1"/>
  <c r="K39" i="5"/>
  <c r="K39" i="18" s="1"/>
  <c r="K41" i="5"/>
  <c r="K42" i="8" s="1"/>
  <c r="I46" i="5"/>
  <c r="I47" i="8" s="1"/>
  <c r="I48" i="5"/>
  <c r="I49" i="8" s="1"/>
  <c r="I54" i="5"/>
  <c r="I54" i="18" s="1"/>
  <c r="E22" i="5"/>
  <c r="E22" i="18" s="1"/>
  <c r="E18" i="5"/>
  <c r="E19" i="8" s="1"/>
  <c r="L17" i="5"/>
  <c r="L17" i="18" s="1"/>
  <c r="L6" i="5"/>
  <c r="L6" i="18" s="1"/>
  <c r="L55" i="5"/>
  <c r="L56" i="8" s="1"/>
  <c r="L53" i="5"/>
  <c r="L54" i="8" s="1"/>
  <c r="L31" i="5"/>
  <c r="L31" i="18" s="1"/>
  <c r="H19" i="7"/>
  <c r="J67" i="13"/>
  <c r="D37" i="17"/>
  <c r="D55" i="17"/>
  <c r="E55" i="17" s="1"/>
  <c r="D59" i="17"/>
  <c r="E59" i="17" s="1"/>
  <c r="E10" i="7"/>
  <c r="H41" i="17"/>
  <c r="D52" i="17"/>
  <c r="H57" i="14"/>
  <c r="H57" i="20" s="1"/>
  <c r="J62" i="7"/>
  <c r="D46" i="17"/>
  <c r="E50" i="7"/>
  <c r="E31" i="13"/>
  <c r="D9" i="17"/>
  <c r="D36" i="17"/>
  <c r="H21" i="14"/>
  <c r="H21" i="20" s="1"/>
  <c r="G38" i="7"/>
  <c r="H33" i="13"/>
  <c r="D55" i="13"/>
  <c r="D29" i="17"/>
  <c r="E9" i="7"/>
  <c r="K21" i="7"/>
  <c r="F20" i="13"/>
  <c r="E35" i="13"/>
  <c r="E56" i="13"/>
  <c r="D30" i="17"/>
  <c r="H50" i="17"/>
  <c r="D41" i="17"/>
  <c r="D31" i="17"/>
  <c r="E45" i="13"/>
  <c r="K55" i="13"/>
  <c r="K63" i="13"/>
  <c r="D27" i="17"/>
  <c r="E45" i="4"/>
  <c r="D51" i="15" s="1"/>
  <c r="E20" i="7"/>
  <c r="I14" i="13"/>
  <c r="E41" i="13"/>
  <c r="I58" i="13"/>
  <c r="J68" i="13"/>
  <c r="H34" i="17"/>
  <c r="F46" i="13"/>
  <c r="E74" i="13"/>
  <c r="K13" i="13"/>
  <c r="K57" i="13"/>
  <c r="D27" i="13"/>
  <c r="E36" i="13"/>
  <c r="K21" i="13"/>
  <c r="G32" i="13"/>
  <c r="J7" i="7"/>
  <c r="K33" i="13"/>
  <c r="K49" i="13"/>
  <c r="I24" i="13"/>
  <c r="G19" i="13"/>
  <c r="F8" i="7"/>
  <c r="E9" i="13"/>
  <c r="G29" i="7"/>
  <c r="F30" i="13"/>
  <c r="G51" i="7"/>
  <c r="F52" i="13"/>
  <c r="E74" i="4"/>
  <c r="E74" i="7"/>
  <c r="G65" i="13"/>
  <c r="H64" i="7"/>
  <c r="I68" i="7"/>
  <c r="H69" i="13"/>
  <c r="F11" i="13"/>
  <c r="G10" i="7"/>
  <c r="J61" i="7"/>
  <c r="I62" i="13"/>
  <c r="J45" i="7"/>
  <c r="I46" i="13"/>
  <c r="I73" i="7"/>
  <c r="H74" i="13"/>
  <c r="G64" i="7"/>
  <c r="F65" i="13"/>
  <c r="F25" i="7"/>
  <c r="E26" i="13"/>
  <c r="H67" i="7"/>
  <c r="G68" i="13"/>
  <c r="J64" i="7"/>
  <c r="I65" i="13"/>
  <c r="K59" i="7"/>
  <c r="J60" i="13"/>
  <c r="J56" i="13"/>
  <c r="K55" i="7"/>
  <c r="K51" i="7"/>
  <c r="J52" i="13"/>
  <c r="J40" i="13"/>
  <c r="K39" i="7"/>
  <c r="K35" i="7"/>
  <c r="J36" i="13"/>
  <c r="I23" i="7"/>
  <c r="H24" i="13"/>
  <c r="K16" i="7"/>
  <c r="J17" i="13"/>
  <c r="E71" i="13"/>
  <c r="F70" i="7"/>
  <c r="F59" i="13"/>
  <c r="G58" i="7"/>
  <c r="E48" i="4"/>
  <c r="D54" i="15" s="1"/>
  <c r="D49" i="13"/>
  <c r="E48" i="7"/>
  <c r="E38" i="4"/>
  <c r="E38" i="7"/>
  <c r="D39" i="13"/>
  <c r="F28" i="7"/>
  <c r="E29" i="13"/>
  <c r="F18" i="13"/>
  <c r="G17" i="7"/>
  <c r="J62" i="5"/>
  <c r="J63" i="7"/>
  <c r="I64" i="13"/>
  <c r="K73" i="7"/>
  <c r="J74" i="13"/>
  <c r="F71" i="13"/>
  <c r="G70" i="7"/>
  <c r="D62" i="17"/>
  <c r="E62" i="17" s="1"/>
  <c r="H26" i="14"/>
  <c r="H26" i="20" s="1"/>
  <c r="J16" i="13"/>
  <c r="K15" i="7"/>
  <c r="H73" i="7"/>
  <c r="G74" i="13"/>
  <c r="G69" i="7"/>
  <c r="F70" i="13"/>
  <c r="F64" i="7"/>
  <c r="E65" i="13"/>
  <c r="E58" i="4"/>
  <c r="E58" i="7"/>
  <c r="D59" i="13"/>
  <c r="D61" i="17"/>
  <c r="E61" i="17" s="1"/>
  <c r="E42" i="4"/>
  <c r="D43" i="13"/>
  <c r="E42" i="7"/>
  <c r="F28" i="13"/>
  <c r="G27" i="7"/>
  <c r="H63" i="7"/>
  <c r="G64" i="13"/>
  <c r="F49" i="7"/>
  <c r="E50" i="13"/>
  <c r="F72" i="13"/>
  <c r="G71" i="7"/>
  <c r="K20" i="7"/>
  <c r="J21" i="13"/>
  <c r="L43" i="7"/>
  <c r="K44" i="13"/>
  <c r="K50" i="7"/>
  <c r="J51" i="13"/>
  <c r="H70" i="7"/>
  <c r="G71" i="13"/>
  <c r="L72" i="7"/>
  <c r="K73" i="13"/>
  <c r="D24" i="17"/>
  <c r="H50" i="14"/>
  <c r="H50" i="20" s="1"/>
  <c r="D23" i="17"/>
  <c r="I34" i="13"/>
  <c r="K39" i="13"/>
  <c r="K31" i="13"/>
  <c r="H24" i="17"/>
  <c r="H43" i="14"/>
  <c r="H43" i="20" s="1"/>
  <c r="H11" i="13"/>
  <c r="K47" i="13"/>
  <c r="D22" i="17"/>
  <c r="F24" i="7"/>
  <c r="E25" i="13"/>
  <c r="G68" i="7"/>
  <c r="F69" i="13"/>
  <c r="J72" i="13"/>
  <c r="K71" i="7"/>
  <c r="E63" i="7"/>
  <c r="D66" i="17"/>
  <c r="E66" i="17" s="1"/>
  <c r="G26" i="7"/>
  <c r="F27" i="13"/>
  <c r="H62" i="7"/>
  <c r="G63" i="13"/>
  <c r="H65" i="7"/>
  <c r="G66" i="13"/>
  <c r="I60" i="7"/>
  <c r="H61" i="13"/>
  <c r="H53" i="13"/>
  <c r="I52" i="7"/>
  <c r="H45" i="13"/>
  <c r="I44" i="7"/>
  <c r="F61" i="7"/>
  <c r="E62" i="13"/>
  <c r="E40" i="4"/>
  <c r="D41" i="13"/>
  <c r="E40" i="7"/>
  <c r="E21" i="13"/>
  <c r="F20" i="7"/>
  <c r="F10" i="13"/>
  <c r="G9" i="7"/>
  <c r="H10" i="17"/>
  <c r="G66" i="7"/>
  <c r="F67" i="13"/>
  <c r="F60" i="7"/>
  <c r="E61" i="13"/>
  <c r="D33" i="17"/>
  <c r="F19" i="7"/>
  <c r="E20" i="13"/>
  <c r="H21" i="13"/>
  <c r="I20" i="7"/>
  <c r="H17" i="13"/>
  <c r="I16" i="7"/>
  <c r="L8" i="7"/>
  <c r="K9" i="13"/>
  <c r="K74" i="13"/>
  <c r="L73" i="7"/>
  <c r="E13" i="5"/>
  <c r="E14" i="8" s="1"/>
  <c r="H18" i="5"/>
  <c r="H19" i="8" s="1"/>
  <c r="F29" i="5"/>
  <c r="F30" i="8" s="1"/>
  <c r="F13" i="5"/>
  <c r="F14" i="8" s="1"/>
  <c r="F14" i="5"/>
  <c r="F15" i="8" s="1"/>
  <c r="F6" i="5"/>
  <c r="F7" i="8" s="1"/>
  <c r="G34" i="5"/>
  <c r="G34" i="18" s="1"/>
  <c r="K28" i="5"/>
  <c r="K28" i="18" s="1"/>
  <c r="K12" i="5"/>
  <c r="K13" i="8" s="1"/>
  <c r="J13" i="5"/>
  <c r="J14" i="8" s="1"/>
  <c r="F59" i="5"/>
  <c r="F60" i="8" s="1"/>
  <c r="F43" i="5"/>
  <c r="F44" i="8" s="1"/>
  <c r="F35" i="5"/>
  <c r="F36" i="8" s="1"/>
  <c r="F19" i="5"/>
  <c r="F20" i="8" s="1"/>
  <c r="F11" i="5"/>
  <c r="F11" i="18" s="1"/>
  <c r="F4" i="5"/>
  <c r="F5" i="8" s="1"/>
  <c r="J6" i="5"/>
  <c r="J6" i="18" s="1"/>
  <c r="G32" i="5"/>
  <c r="G33" i="8" s="1"/>
  <c r="G5" i="5"/>
  <c r="G5" i="18" s="1"/>
  <c r="L62" i="5"/>
  <c r="L62" i="18" s="1"/>
  <c r="F20" i="5"/>
  <c r="F20" i="18" s="1"/>
  <c r="J26" i="5"/>
  <c r="J26" i="18" s="1"/>
  <c r="J48" i="5"/>
  <c r="J49" i="8" s="1"/>
  <c r="F54" i="5"/>
  <c r="F55" i="8" s="1"/>
  <c r="J68" i="5"/>
  <c r="J68" i="18" s="1"/>
  <c r="J72" i="5"/>
  <c r="J73" i="8" s="1"/>
  <c r="F18" i="5"/>
  <c r="F18" i="18" s="1"/>
  <c r="J24" i="5"/>
  <c r="J25" i="8" s="1"/>
  <c r="G29" i="5"/>
  <c r="G30" i="8" s="1"/>
  <c r="F34" i="5"/>
  <c r="F35" i="8" s="1"/>
  <c r="J40" i="5"/>
  <c r="J40" i="18" s="1"/>
  <c r="G43" i="5"/>
  <c r="G43" i="18" s="1"/>
  <c r="J56" i="5"/>
  <c r="J57" i="8" s="1"/>
  <c r="G59" i="5"/>
  <c r="G59" i="18" s="1"/>
  <c r="F65" i="5"/>
  <c r="F65" i="18" s="1"/>
  <c r="F43" i="7"/>
  <c r="I19" i="7"/>
  <c r="K33" i="5"/>
  <c r="K34" i="8" s="1"/>
  <c r="I41" i="7"/>
  <c r="K48" i="7"/>
  <c r="E24" i="5"/>
  <c r="E24" i="18" s="1"/>
  <c r="E23" i="5"/>
  <c r="E24" i="8" s="1"/>
  <c r="J58" i="5"/>
  <c r="J58" i="18" s="1"/>
  <c r="L27" i="5"/>
  <c r="L27" i="18" s="1"/>
  <c r="L19" i="5"/>
  <c r="L19" i="18" s="1"/>
  <c r="L14" i="5"/>
  <c r="L15" i="8" s="1"/>
  <c r="L72" i="5"/>
  <c r="L73" i="8" s="1"/>
  <c r="L67" i="5"/>
  <c r="L67" i="18" s="1"/>
  <c r="L64" i="5"/>
  <c r="L65" i="8" s="1"/>
  <c r="L29" i="5"/>
  <c r="L30" i="8" s="1"/>
  <c r="E44" i="5"/>
  <c r="E44" i="18" s="1"/>
  <c r="K20" i="13"/>
  <c r="J42" i="5"/>
  <c r="J42" i="18" s="1"/>
  <c r="K66" i="7"/>
  <c r="G14" i="13"/>
  <c r="K42" i="13"/>
  <c r="H43" i="17"/>
  <c r="D56" i="17"/>
  <c r="E56" i="17" s="1"/>
  <c r="D60" i="17"/>
  <c r="E60" i="17" s="1"/>
  <c r="E14" i="7"/>
  <c r="E26" i="7"/>
  <c r="I49" i="13"/>
  <c r="D44" i="17"/>
  <c r="H57" i="17"/>
  <c r="L57" i="17" s="1"/>
  <c r="D47" i="17"/>
  <c r="D50" i="17"/>
  <c r="D13" i="17"/>
  <c r="D40" i="17"/>
  <c r="H24" i="14"/>
  <c r="H24" i="20" s="1"/>
  <c r="G48" i="7"/>
  <c r="D10" i="13"/>
  <c r="J42" i="13"/>
  <c r="D35" i="17"/>
  <c r="D60" i="15"/>
  <c r="I9" i="7"/>
  <c r="F18" i="7"/>
  <c r="I24" i="7"/>
  <c r="F24" i="13"/>
  <c r="H37" i="13"/>
  <c r="D17" i="17"/>
  <c r="D32" i="17"/>
  <c r="D18" i="17"/>
  <c r="F39" i="7"/>
  <c r="E10" i="13"/>
  <c r="D15" i="13"/>
  <c r="I26" i="13"/>
  <c r="K29" i="13"/>
  <c r="G39" i="13"/>
  <c r="D64" i="13"/>
  <c r="E24" i="7"/>
  <c r="E55" i="7"/>
  <c r="D11" i="13"/>
  <c r="E32" i="13"/>
  <c r="E30" i="4"/>
  <c r="D36" i="15" s="1"/>
  <c r="F9" i="13"/>
  <c r="F7" i="7"/>
  <c r="H36" i="7"/>
  <c r="I22" i="13"/>
  <c r="I50" i="13"/>
  <c r="H18" i="14"/>
  <c r="H18" i="20" s="1"/>
  <c r="J51" i="7"/>
  <c r="G25" i="13"/>
  <c r="G13" i="7"/>
  <c r="F14" i="13"/>
  <c r="E35" i="4"/>
  <c r="E35" i="7"/>
  <c r="D36" i="13"/>
  <c r="E57" i="4"/>
  <c r="D58" i="13"/>
  <c r="E57" i="7"/>
  <c r="K69" i="7"/>
  <c r="J70" i="13"/>
  <c r="F41" i="7"/>
  <c r="E42" i="13"/>
  <c r="I64" i="7"/>
  <c r="H65" i="13"/>
  <c r="L60" i="7"/>
  <c r="K61" i="13"/>
  <c r="H58" i="7"/>
  <c r="G59" i="13"/>
  <c r="D53" i="17"/>
  <c r="D45" i="17"/>
  <c r="J39" i="7"/>
  <c r="I40" i="13"/>
  <c r="I17" i="7"/>
  <c r="H18" i="13"/>
  <c r="D62" i="13"/>
  <c r="D64" i="17"/>
  <c r="E64" i="17" s="1"/>
  <c r="F33" i="7"/>
  <c r="E34" i="13"/>
  <c r="J66" i="7"/>
  <c r="I67" i="13"/>
  <c r="H63" i="13"/>
  <c r="I62" i="7"/>
  <c r="I58" i="7"/>
  <c r="H59" i="13"/>
  <c r="I46" i="7"/>
  <c r="H47" i="13"/>
  <c r="I42" i="7"/>
  <c r="H43" i="13"/>
  <c r="H31" i="13"/>
  <c r="I30" i="7"/>
  <c r="J26" i="7"/>
  <c r="I27" i="13"/>
  <c r="I15" i="7"/>
  <c r="H16" i="13"/>
  <c r="F68" i="13"/>
  <c r="G67" i="7"/>
  <c r="E56" i="4"/>
  <c r="E56" i="7"/>
  <c r="D57" i="13"/>
  <c r="F45" i="7"/>
  <c r="E46" i="13"/>
  <c r="E36" i="4"/>
  <c r="D37" i="13"/>
  <c r="E36" i="7"/>
  <c r="F26" i="13"/>
  <c r="G25" i="7"/>
  <c r="E15" i="4"/>
  <c r="E15" i="7"/>
  <c r="D16" i="13"/>
  <c r="H18" i="17"/>
  <c r="G23" i="13"/>
  <c r="H22" i="7"/>
  <c r="F75" i="13"/>
  <c r="G74" i="7"/>
  <c r="E64" i="4"/>
  <c r="D65" i="13"/>
  <c r="D67" i="17"/>
  <c r="E67" i="17" s="1"/>
  <c r="E53" i="13"/>
  <c r="F52" i="7"/>
  <c r="H19" i="17"/>
  <c r="G63" i="7"/>
  <c r="F64" i="13"/>
  <c r="H27" i="13"/>
  <c r="I26" i="7"/>
  <c r="I22" i="7"/>
  <c r="H23" i="13"/>
  <c r="I18" i="7"/>
  <c r="H19" i="13"/>
  <c r="I14" i="7"/>
  <c r="H15" i="13"/>
  <c r="I11" i="13"/>
  <c r="J10" i="7"/>
  <c r="F74" i="13"/>
  <c r="G73" i="7"/>
  <c r="F68" i="7"/>
  <c r="E69" i="13"/>
  <c r="E62" i="4"/>
  <c r="E62" i="7"/>
  <c r="D63" i="13"/>
  <c r="D65" i="17"/>
  <c r="E65" i="17" s="1"/>
  <c r="E46" i="4"/>
  <c r="E46" i="7"/>
  <c r="D47" i="13"/>
  <c r="F55" i="13"/>
  <c r="G54" i="7"/>
  <c r="L51" i="7"/>
  <c r="K52" i="13"/>
  <c r="K58" i="7"/>
  <c r="J59" i="13"/>
  <c r="G69" i="13"/>
  <c r="H68" i="7"/>
  <c r="L70" i="7"/>
  <c r="K71" i="13"/>
  <c r="H75" i="13"/>
  <c r="I74" i="7"/>
  <c r="F18" i="4"/>
  <c r="E24" i="15" s="1"/>
  <c r="M65" i="18"/>
  <c r="M67" i="18"/>
  <c r="D74" i="15"/>
  <c r="D14" i="15"/>
  <c r="F8" i="4"/>
  <c r="N7" i="18" s="1"/>
  <c r="D24" i="15"/>
  <c r="AX23" i="15"/>
  <c r="AX7" i="15"/>
  <c r="AX10" i="15"/>
  <c r="AX17" i="15"/>
  <c r="T24" i="15"/>
  <c r="T21" i="15"/>
  <c r="K56" i="5"/>
  <c r="K64" i="5"/>
  <c r="K7" i="5"/>
  <c r="K72" i="5"/>
  <c r="K73" i="5"/>
  <c r="K3" i="18"/>
  <c r="K70" i="5"/>
  <c r="K48" i="5"/>
  <c r="K66" i="5"/>
  <c r="T34" i="15"/>
  <c r="T40" i="15"/>
  <c r="A50" i="19"/>
  <c r="L50" i="19" s="1"/>
  <c r="K67" i="5"/>
  <c r="K71" i="5"/>
  <c r="T41" i="15"/>
  <c r="T38" i="15"/>
  <c r="T30" i="15"/>
  <c r="K65" i="5"/>
  <c r="E9" i="5"/>
  <c r="E34" i="5"/>
  <c r="E39" i="5"/>
  <c r="E54" i="5"/>
  <c r="E62" i="5"/>
  <c r="E66" i="5"/>
  <c r="E70" i="5"/>
  <c r="E5" i="5"/>
  <c r="E35" i="5"/>
  <c r="E38" i="5"/>
  <c r="E42" i="5"/>
  <c r="E45" i="5"/>
  <c r="E72" i="5"/>
  <c r="E37" i="5"/>
  <c r="E40" i="5"/>
  <c r="E47" i="5"/>
  <c r="E49" i="5"/>
  <c r="E51" i="5"/>
  <c r="E57" i="5"/>
  <c r="E59" i="5"/>
  <c r="E63" i="5"/>
  <c r="E67" i="5"/>
  <c r="E68" i="5"/>
  <c r="E71" i="5"/>
  <c r="E3" i="18"/>
  <c r="E46" i="5"/>
  <c r="E55" i="5"/>
  <c r="E58" i="5"/>
  <c r="E36" i="5"/>
  <c r="E41" i="5"/>
  <c r="E50" i="5"/>
  <c r="E53" i="5"/>
  <c r="E61" i="5"/>
  <c r="E28" i="5"/>
  <c r="E64" i="5"/>
  <c r="E43" i="5"/>
  <c r="E69" i="5"/>
  <c r="AX19" i="15"/>
  <c r="AX16" i="15"/>
  <c r="AX13" i="15"/>
  <c r="AX21" i="15"/>
  <c r="AX14" i="15"/>
  <c r="AX11" i="15"/>
  <c r="AX6" i="15"/>
  <c r="AX18" i="15"/>
  <c r="AX15" i="15"/>
  <c r="AX22" i="15"/>
  <c r="E50" i="16"/>
  <c r="F51" i="16"/>
  <c r="G51" i="16" s="1"/>
  <c r="F52" i="16"/>
  <c r="G52" i="16" s="1"/>
  <c r="F56" i="16"/>
  <c r="G56" i="16" s="1"/>
  <c r="E61" i="16"/>
  <c r="E62" i="16"/>
  <c r="F63" i="16"/>
  <c r="G63" i="16" s="1"/>
  <c r="F64" i="16"/>
  <c r="G64" i="16" s="1"/>
  <c r="F50" i="16"/>
  <c r="G50" i="16" s="1"/>
  <c r="E55" i="16"/>
  <c r="E59" i="16"/>
  <c r="E60" i="16"/>
  <c r="F61" i="16"/>
  <c r="G61" i="16" s="1"/>
  <c r="F62" i="16"/>
  <c r="G62" i="16" s="1"/>
  <c r="E53" i="16"/>
  <c r="E54" i="16"/>
  <c r="E57" i="16"/>
  <c r="E58" i="16"/>
  <c r="F59" i="16"/>
  <c r="G59" i="16" s="1"/>
  <c r="F60" i="16"/>
  <c r="G60" i="16" s="1"/>
  <c r="F54" i="16"/>
  <c r="G54" i="16" s="1"/>
  <c r="E51" i="16"/>
  <c r="E52" i="16"/>
  <c r="F53" i="16"/>
  <c r="G53" i="16" s="1"/>
  <c r="E56" i="16"/>
  <c r="F57" i="16"/>
  <c r="G57" i="16" s="1"/>
  <c r="F58" i="16"/>
  <c r="G58" i="16" s="1"/>
  <c r="E63" i="16"/>
  <c r="E64" i="16"/>
  <c r="F55" i="16"/>
  <c r="G55" i="16" s="1"/>
  <c r="AX24" i="15"/>
  <c r="T60" i="15"/>
  <c r="T42" i="15"/>
  <c r="T58" i="15"/>
  <c r="T62" i="15"/>
  <c r="A21" i="19"/>
  <c r="L21" i="19" s="1"/>
  <c r="T37" i="15"/>
  <c r="T47" i="15"/>
  <c r="T50" i="15"/>
  <c r="T63" i="15"/>
  <c r="A3" i="19"/>
  <c r="L3" i="19" s="1"/>
  <c r="T19" i="15"/>
  <c r="AT8" i="15" s="1"/>
  <c r="T54" i="15"/>
  <c r="T55" i="15"/>
  <c r="T46" i="15"/>
  <c r="BC14" i="15"/>
  <c r="H32" i="5"/>
  <c r="H40" i="5"/>
  <c r="H48" i="5"/>
  <c r="H56" i="5"/>
  <c r="H10" i="5"/>
  <c r="I13" i="5"/>
  <c r="I15" i="5"/>
  <c r="H19" i="5"/>
  <c r="I23" i="5"/>
  <c r="I29" i="5"/>
  <c r="H43" i="5"/>
  <c r="I57" i="5"/>
  <c r="I58" i="5"/>
  <c r="H59" i="5"/>
  <c r="H61" i="5"/>
  <c r="I63" i="5"/>
  <c r="I67" i="5"/>
  <c r="H69" i="5"/>
  <c r="I70" i="5"/>
  <c r="I72" i="5"/>
  <c r="I5" i="5"/>
  <c r="I9" i="5"/>
  <c r="I11" i="5"/>
  <c r="H16" i="5"/>
  <c r="I19" i="5"/>
  <c r="H25" i="5"/>
  <c r="H31" i="5"/>
  <c r="H35" i="5"/>
  <c r="H37" i="5"/>
  <c r="H39" i="5"/>
  <c r="H41" i="5"/>
  <c r="I43" i="5"/>
  <c r="H45" i="5"/>
  <c r="H49" i="5"/>
  <c r="H51" i="5"/>
  <c r="I59" i="5"/>
  <c r="I61" i="5"/>
  <c r="I64" i="5"/>
  <c r="H66" i="5"/>
  <c r="I69" i="5"/>
  <c r="H71" i="5"/>
  <c r="H3" i="18"/>
  <c r="H14" i="5"/>
  <c r="H21" i="5"/>
  <c r="I25" i="5"/>
  <c r="H27" i="5"/>
  <c r="I31" i="5"/>
  <c r="H33" i="5"/>
  <c r="I35" i="5"/>
  <c r="I37" i="5"/>
  <c r="I39" i="5"/>
  <c r="I41" i="5"/>
  <c r="I45" i="5"/>
  <c r="H47" i="5"/>
  <c r="I49" i="5"/>
  <c r="I51" i="5"/>
  <c r="H53" i="5"/>
  <c r="H55" i="5"/>
  <c r="H65" i="5"/>
  <c r="I66" i="5"/>
  <c r="H68" i="5"/>
  <c r="I71" i="5"/>
  <c r="I73" i="5"/>
  <c r="H8" i="5"/>
  <c r="H12" i="5"/>
  <c r="H17" i="5"/>
  <c r="I21" i="5"/>
  <c r="H23" i="5"/>
  <c r="I27" i="5"/>
  <c r="H29" i="5"/>
  <c r="I33" i="5"/>
  <c r="I47" i="5"/>
  <c r="I53" i="5"/>
  <c r="I55" i="5"/>
  <c r="H57" i="5"/>
  <c r="I60" i="5"/>
  <c r="I62" i="5"/>
  <c r="H63" i="5"/>
  <c r="I65" i="5"/>
  <c r="H67" i="5"/>
  <c r="I68" i="5"/>
  <c r="H70" i="5"/>
  <c r="H72" i="5"/>
  <c r="H34" i="5"/>
  <c r="H42" i="5"/>
  <c r="H50" i="5"/>
  <c r="H58" i="5"/>
  <c r="I44" i="5"/>
  <c r="H24" i="5"/>
  <c r="H25" i="8" s="1"/>
  <c r="I7" i="5"/>
  <c r="H36" i="5"/>
  <c r="H44" i="5"/>
  <c r="H52" i="5"/>
  <c r="H60" i="5"/>
  <c r="H30" i="5"/>
  <c r="H38" i="5"/>
  <c r="H46" i="5"/>
  <c r="H54" i="5"/>
  <c r="H73" i="5"/>
  <c r="G19" i="5"/>
  <c r="F7" i="5"/>
  <c r="G49" i="5"/>
  <c r="G52" i="5"/>
  <c r="G58" i="5"/>
  <c r="G60" i="5"/>
  <c r="F64" i="5"/>
  <c r="G69" i="5"/>
  <c r="G70" i="5"/>
  <c r="G6" i="5"/>
  <c r="G42" i="5"/>
  <c r="G46" i="5"/>
  <c r="G62" i="5"/>
  <c r="G67" i="5"/>
  <c r="G68" i="5"/>
  <c r="F3" i="18"/>
  <c r="G9" i="5"/>
  <c r="G50" i="5"/>
  <c r="G54" i="5"/>
  <c r="G57" i="5"/>
  <c r="G65" i="5"/>
  <c r="G66" i="5"/>
  <c r="G72" i="5"/>
  <c r="G73" i="5"/>
  <c r="G8" i="5"/>
  <c r="G11" i="5"/>
  <c r="G13" i="5"/>
  <c r="G44" i="5"/>
  <c r="G71" i="5"/>
  <c r="AX4" i="15"/>
  <c r="AX20" i="15"/>
  <c r="AX31" i="15"/>
  <c r="AX9" i="15"/>
  <c r="F7" i="4"/>
  <c r="M6" i="18"/>
  <c r="BD14" i="15"/>
  <c r="AX37" i="15"/>
  <c r="AX41" i="15"/>
  <c r="AX45" i="15"/>
  <c r="AX49" i="15"/>
  <c r="AX53" i="15"/>
  <c r="AX57" i="15"/>
  <c r="AX38" i="15"/>
  <c r="AX46" i="15"/>
  <c r="AX54" i="15"/>
  <c r="AX67" i="15"/>
  <c r="E11" i="8"/>
  <c r="E10" i="18"/>
  <c r="AX60" i="15"/>
  <c r="AX5" i="15"/>
  <c r="AX40" i="15"/>
  <c r="AX48" i="15"/>
  <c r="AX56" i="15"/>
  <c r="AX29" i="15"/>
  <c r="AX65" i="15"/>
  <c r="AX61" i="15"/>
  <c r="AX12" i="15"/>
  <c r="A24" i="19"/>
  <c r="L24" i="19" s="1"/>
  <c r="AO14" i="15"/>
  <c r="AP14" i="15" s="1"/>
  <c r="AX28" i="15"/>
  <c r="AX3" i="15"/>
  <c r="AX42" i="15"/>
  <c r="AX50" i="15"/>
  <c r="AX59" i="15"/>
  <c r="AX63" i="15"/>
  <c r="AX64" i="15"/>
  <c r="A22" i="19"/>
  <c r="L22" i="19" s="1"/>
  <c r="AX8" i="15"/>
  <c r="AX35" i="15"/>
  <c r="AX43" i="15"/>
  <c r="AX47" i="15"/>
  <c r="AX51" i="15"/>
  <c r="AX55" i="15"/>
  <c r="AX36" i="15"/>
  <c r="AX44" i="15"/>
  <c r="AX52" i="15"/>
  <c r="AX69" i="15"/>
  <c r="AX66" i="15"/>
  <c r="AX62" i="15"/>
  <c r="F10" i="4" l="1"/>
  <c r="N9" i="18" s="1"/>
  <c r="AA10" i="15"/>
  <c r="F14" i="4"/>
  <c r="G14" i="4" s="1"/>
  <c r="H14" i="4" s="1"/>
  <c r="I13" i="9" s="1"/>
  <c r="I17" i="17" s="1"/>
  <c r="D19" i="15"/>
  <c r="D16" i="15"/>
  <c r="D55" i="15"/>
  <c r="F13" i="4"/>
  <c r="N12" i="18" s="1"/>
  <c r="D67" i="15"/>
  <c r="D20" i="15"/>
  <c r="D61" i="15"/>
  <c r="AW19" i="15"/>
  <c r="AW5" i="15"/>
  <c r="AW45" i="15"/>
  <c r="AW44" i="15"/>
  <c r="AW66" i="15"/>
  <c r="AW40" i="15"/>
  <c r="AW38" i="15"/>
  <c r="AW42" i="15"/>
  <c r="AW41" i="15"/>
  <c r="AW39" i="15"/>
  <c r="AW43" i="15"/>
  <c r="D28" i="15"/>
  <c r="F9" i="4"/>
  <c r="N8" i="18" s="1"/>
  <c r="M8" i="18"/>
  <c r="F17" i="4"/>
  <c r="N16" i="18" s="1"/>
  <c r="D23" i="15"/>
  <c r="A8" i="19"/>
  <c r="L8" i="19" s="1"/>
  <c r="J60" i="18"/>
  <c r="K62" i="8"/>
  <c r="AO33" i="15"/>
  <c r="AP33" i="15" s="1"/>
  <c r="AU22" i="15" s="1"/>
  <c r="AV22" i="15" s="1"/>
  <c r="AO20" i="15"/>
  <c r="AP20" i="15" s="1"/>
  <c r="AU9" i="15" s="1"/>
  <c r="AV9" i="15" s="1"/>
  <c r="AO18" i="15"/>
  <c r="AP18" i="15" s="1"/>
  <c r="AU7" i="15" s="1"/>
  <c r="AV7" i="15" s="1"/>
  <c r="AO28" i="15"/>
  <c r="AP28" i="15" s="1"/>
  <c r="AU17" i="15" s="1"/>
  <c r="AV17" i="15" s="1"/>
  <c r="AO31" i="15"/>
  <c r="AP31" i="15" s="1"/>
  <c r="AU20" i="15" s="1"/>
  <c r="AV20" i="15" s="1"/>
  <c r="AO35" i="15"/>
  <c r="AP35" i="15" s="1"/>
  <c r="AU24" i="15" s="1"/>
  <c r="AV24" i="15" s="1"/>
  <c r="AW16" i="15"/>
  <c r="AO25" i="15"/>
  <c r="AP25" i="15" s="1"/>
  <c r="AU14" i="15" s="1"/>
  <c r="AV14" i="15" s="1"/>
  <c r="AO16" i="15"/>
  <c r="AO19" i="15"/>
  <c r="AP19" i="15" s="1"/>
  <c r="AU8" i="15" s="1"/>
  <c r="AO30" i="15"/>
  <c r="AP30" i="15" s="1"/>
  <c r="AU19" i="15" s="1"/>
  <c r="AV19" i="15" s="1"/>
  <c r="AO24" i="15"/>
  <c r="AP24" i="15" s="1"/>
  <c r="AU13" i="15" s="1"/>
  <c r="AV13" i="15" s="1"/>
  <c r="AO15" i="15"/>
  <c r="AP15" i="15" s="1"/>
  <c r="AW18" i="15"/>
  <c r="AO26" i="15"/>
  <c r="AP26" i="15" s="1"/>
  <c r="AU15" i="15" s="1"/>
  <c r="AV15" i="15" s="1"/>
  <c r="AO21" i="15"/>
  <c r="AP21" i="15" s="1"/>
  <c r="AU10" i="15" s="1"/>
  <c r="AO34" i="15"/>
  <c r="AP34" i="15" s="1"/>
  <c r="AU23" i="15" s="1"/>
  <c r="AV23" i="15" s="1"/>
  <c r="AW10" i="15"/>
  <c r="AO23" i="15"/>
  <c r="AP23" i="15" s="1"/>
  <c r="AU12" i="15" s="1"/>
  <c r="AV12" i="15" s="1"/>
  <c r="AO27" i="15"/>
  <c r="AP27" i="15" s="1"/>
  <c r="AU16" i="15" s="1"/>
  <c r="AV16" i="15" s="1"/>
  <c r="AO17" i="15"/>
  <c r="AP17" i="15" s="1"/>
  <c r="AU6" i="15" s="1"/>
  <c r="AV6" i="15" s="1"/>
  <c r="AO32" i="15"/>
  <c r="AP32" i="15" s="1"/>
  <c r="AU21" i="15" s="1"/>
  <c r="AV21" i="15" s="1"/>
  <c r="AO29" i="15"/>
  <c r="AP29" i="15" s="1"/>
  <c r="AU18" i="15" s="1"/>
  <c r="AV18" i="15" s="1"/>
  <c r="AO22" i="15"/>
  <c r="AP22" i="15" s="1"/>
  <c r="AU11" i="15" s="1"/>
  <c r="AV11" i="15" s="1"/>
  <c r="AW63" i="15"/>
  <c r="AW12" i="15"/>
  <c r="AW61" i="15"/>
  <c r="AW64" i="15"/>
  <c r="AW55" i="15"/>
  <c r="AW71" i="15"/>
  <c r="AW4" i="15"/>
  <c r="Q13" i="15"/>
  <c r="AW17" i="15"/>
  <c r="AW15" i="15"/>
  <c r="AW65" i="15"/>
  <c r="AW70" i="15"/>
  <c r="AW62" i="15"/>
  <c r="AW6" i="15"/>
  <c r="P13" i="15"/>
  <c r="H5" i="16" s="1"/>
  <c r="AW20" i="15"/>
  <c r="AW14" i="15"/>
  <c r="AW11" i="15"/>
  <c r="AW22" i="15"/>
  <c r="AW67" i="15"/>
  <c r="AW59" i="15"/>
  <c r="AW56" i="15"/>
  <c r="AW72" i="15"/>
  <c r="AW9" i="15"/>
  <c r="AW13" i="15"/>
  <c r="AW23" i="15"/>
  <c r="AW21" i="15"/>
  <c r="AW24" i="15"/>
  <c r="AW69" i="15"/>
  <c r="AW60" i="15"/>
  <c r="AW57" i="15"/>
  <c r="AW54" i="15"/>
  <c r="AW58" i="15"/>
  <c r="AW7" i="15"/>
  <c r="AW8" i="15"/>
  <c r="F26" i="18"/>
  <c r="F44" i="18"/>
  <c r="G45" i="18"/>
  <c r="F41" i="8"/>
  <c r="G28" i="18"/>
  <c r="I37" i="8"/>
  <c r="G24" i="18"/>
  <c r="G5" i="8"/>
  <c r="G13" i="8"/>
  <c r="G54" i="8"/>
  <c r="K54" i="8"/>
  <c r="H63" i="8"/>
  <c r="F56" i="8"/>
  <c r="F63" i="18"/>
  <c r="G62" i="8"/>
  <c r="F71" i="18"/>
  <c r="J20" i="8"/>
  <c r="F53" i="8"/>
  <c r="J33" i="18"/>
  <c r="J70" i="8"/>
  <c r="G42" i="8"/>
  <c r="G39" i="8"/>
  <c r="F32" i="18"/>
  <c r="G26" i="18"/>
  <c r="J66" i="18"/>
  <c r="G14" i="18"/>
  <c r="G18" i="8"/>
  <c r="F15" i="18"/>
  <c r="J50" i="8"/>
  <c r="G24" i="8"/>
  <c r="F37" i="8"/>
  <c r="J59" i="18"/>
  <c r="K50" i="8"/>
  <c r="E14" i="18"/>
  <c r="F68" i="8"/>
  <c r="F67" i="8"/>
  <c r="F69" i="18"/>
  <c r="G39" i="18"/>
  <c r="F32" i="8"/>
  <c r="K27" i="18"/>
  <c r="F50" i="8"/>
  <c r="F50" i="18"/>
  <c r="L68" i="18"/>
  <c r="G16" i="18"/>
  <c r="F73" i="18"/>
  <c r="J42" i="8"/>
  <c r="G64" i="8"/>
  <c r="K52" i="18"/>
  <c r="J68" i="8"/>
  <c r="J23" i="8"/>
  <c r="I20" i="18"/>
  <c r="L33" i="8"/>
  <c r="M25" i="18"/>
  <c r="L58" i="18"/>
  <c r="D65" i="15"/>
  <c r="F59" i="8"/>
  <c r="H11" i="18"/>
  <c r="K57" i="18"/>
  <c r="L69" i="18"/>
  <c r="L74" i="8"/>
  <c r="F47" i="4"/>
  <c r="N46" i="18" s="1"/>
  <c r="D31" i="15"/>
  <c r="G57" i="8"/>
  <c r="F24" i="8"/>
  <c r="K68" i="18"/>
  <c r="L49" i="8"/>
  <c r="E74" i="8"/>
  <c r="J51" i="18"/>
  <c r="G25" i="18"/>
  <c r="K59" i="8"/>
  <c r="K17" i="8"/>
  <c r="O71" i="18"/>
  <c r="K55" i="18"/>
  <c r="E5" i="8"/>
  <c r="F55" i="4"/>
  <c r="G55" i="4" s="1"/>
  <c r="F61" i="4"/>
  <c r="G61" i="4" s="1"/>
  <c r="H61" i="4" s="1"/>
  <c r="I61" i="4" s="1"/>
  <c r="H60" i="9" s="1"/>
  <c r="K61" i="8"/>
  <c r="J47" i="18"/>
  <c r="E74" i="15"/>
  <c r="K51" i="18"/>
  <c r="G74" i="10"/>
  <c r="E75" i="10"/>
  <c r="K4" i="18"/>
  <c r="F24" i="18"/>
  <c r="J57" i="18"/>
  <c r="F48" i="8"/>
  <c r="F70" i="18"/>
  <c r="F11" i="8"/>
  <c r="K63" i="18"/>
  <c r="L70" i="18"/>
  <c r="K9" i="8"/>
  <c r="L72" i="8"/>
  <c r="N67" i="18"/>
  <c r="F25" i="4"/>
  <c r="N24" i="18" s="1"/>
  <c r="F68" i="18"/>
  <c r="H6" i="8"/>
  <c r="K39" i="8"/>
  <c r="L8" i="8"/>
  <c r="J45" i="18"/>
  <c r="E8" i="8"/>
  <c r="G16" i="8"/>
  <c r="J21" i="8"/>
  <c r="F20" i="10" s="1"/>
  <c r="H66" i="4"/>
  <c r="I65" i="9" s="1"/>
  <c r="I69" i="14" s="1"/>
  <c r="I69" i="20" s="1"/>
  <c r="F9" i="18"/>
  <c r="I41" i="8"/>
  <c r="D69" i="15"/>
  <c r="F51" i="4"/>
  <c r="N50" i="18" s="1"/>
  <c r="D57" i="15"/>
  <c r="A37" i="19"/>
  <c r="L37" i="19" s="1"/>
  <c r="AT37" i="15"/>
  <c r="A59" i="19"/>
  <c r="L59" i="19" s="1"/>
  <c r="AT59" i="15"/>
  <c r="A44" i="19"/>
  <c r="L44" i="19" s="1"/>
  <c r="AT44" i="15"/>
  <c r="A49" i="19"/>
  <c r="L49" i="19" s="1"/>
  <c r="AT49" i="15"/>
  <c r="A23" i="19"/>
  <c r="L23" i="19" s="1"/>
  <c r="AT23" i="15"/>
  <c r="A19" i="19"/>
  <c r="L19" i="19" s="1"/>
  <c r="AT19" i="15"/>
  <c r="A27" i="19"/>
  <c r="L27" i="19" s="1"/>
  <c r="AT27" i="15"/>
  <c r="G52" i="8"/>
  <c r="E72" i="15"/>
  <c r="A36" i="19"/>
  <c r="L36" i="19" s="1"/>
  <c r="AT36" i="15"/>
  <c r="A47" i="19"/>
  <c r="L47" i="19" s="1"/>
  <c r="AT47" i="15"/>
  <c r="N65" i="18"/>
  <c r="A30" i="19"/>
  <c r="L30" i="19" s="1"/>
  <c r="AT30" i="15"/>
  <c r="A13" i="19"/>
  <c r="L13" i="19" s="1"/>
  <c r="AT13" i="15"/>
  <c r="I67" i="9"/>
  <c r="I71" i="14" s="1"/>
  <c r="I71" i="20" s="1"/>
  <c r="A57" i="19"/>
  <c r="L57" i="19" s="1"/>
  <c r="AT57" i="15"/>
  <c r="G75" i="10"/>
  <c r="I74" i="10"/>
  <c r="F75" i="10"/>
  <c r="D75" i="10"/>
  <c r="H75" i="10"/>
  <c r="A52" i="19"/>
  <c r="L52" i="19" s="1"/>
  <c r="AT52" i="15"/>
  <c r="A43" i="19"/>
  <c r="L43" i="19" s="1"/>
  <c r="AT43" i="15"/>
  <c r="A39" i="19"/>
  <c r="L39" i="19" s="1"/>
  <c r="AT39" i="15"/>
  <c r="A51" i="19"/>
  <c r="L51" i="19" s="1"/>
  <c r="AT51" i="15"/>
  <c r="A10" i="19"/>
  <c r="L10" i="19" s="1"/>
  <c r="AT10" i="15"/>
  <c r="F72" i="15"/>
  <c r="F51" i="18"/>
  <c r="G33" i="18"/>
  <c r="I9" i="8"/>
  <c r="A35" i="19"/>
  <c r="L35" i="19" s="1"/>
  <c r="AT35" i="15"/>
  <c r="A26" i="19"/>
  <c r="L26" i="19" s="1"/>
  <c r="AT26" i="15"/>
  <c r="A31" i="19"/>
  <c r="L31" i="19" s="1"/>
  <c r="AT31" i="15"/>
  <c r="A29" i="19"/>
  <c r="L29" i="19" s="1"/>
  <c r="AT29" i="15"/>
  <c r="A42" i="19"/>
  <c r="L42" i="19" s="1"/>
  <c r="AT42" i="15"/>
  <c r="A55" i="19"/>
  <c r="L55" i="19" s="1"/>
  <c r="AT55" i="15"/>
  <c r="I75" i="9"/>
  <c r="E74" i="10"/>
  <c r="I75" i="10"/>
  <c r="F74" i="10"/>
  <c r="H74" i="10"/>
  <c r="D74" i="10"/>
  <c r="J36" i="8"/>
  <c r="F54" i="8"/>
  <c r="G56" i="8"/>
  <c r="L56" i="18"/>
  <c r="L17" i="8"/>
  <c r="D56" i="15"/>
  <c r="F49" i="4"/>
  <c r="E55" i="15" s="1"/>
  <c r="J71" i="8"/>
  <c r="J74" i="8"/>
  <c r="F74" i="15"/>
  <c r="L50" i="18"/>
  <c r="F59" i="4"/>
  <c r="G59" i="4" s="1"/>
  <c r="F65" i="15" s="1"/>
  <c r="D40" i="15"/>
  <c r="G69" i="4"/>
  <c r="F75" i="15" s="1"/>
  <c r="F9" i="8"/>
  <c r="E7" i="8"/>
  <c r="E8" i="18"/>
  <c r="L45" i="18"/>
  <c r="F34" i="4"/>
  <c r="E40" i="15" s="1"/>
  <c r="F50" i="4"/>
  <c r="G50" i="4" s="1"/>
  <c r="F56" i="15" s="1"/>
  <c r="F26" i="4"/>
  <c r="N25" i="18" s="1"/>
  <c r="M27" i="18"/>
  <c r="N62" i="18"/>
  <c r="E69" i="15"/>
  <c r="G63" i="4"/>
  <c r="O62" i="18" s="1"/>
  <c r="L58" i="8"/>
  <c r="L43" i="18"/>
  <c r="L61" i="8"/>
  <c r="F39" i="4"/>
  <c r="N38" i="18" s="1"/>
  <c r="F31" i="8"/>
  <c r="J9" i="18"/>
  <c r="J5" i="8"/>
  <c r="J32" i="18"/>
  <c r="H27" i="8"/>
  <c r="F73" i="8"/>
  <c r="K55" i="8"/>
  <c r="F58" i="8"/>
  <c r="L27" i="8"/>
  <c r="L66" i="8"/>
  <c r="L45" i="8"/>
  <c r="E61" i="8"/>
  <c r="M62" i="18"/>
  <c r="K13" i="18"/>
  <c r="E12" i="8"/>
  <c r="K30" i="8"/>
  <c r="K15" i="8"/>
  <c r="E14" i="10" s="1"/>
  <c r="F17" i="8"/>
  <c r="I42" i="18"/>
  <c r="I14" i="18"/>
  <c r="L20" i="18"/>
  <c r="I76" i="4"/>
  <c r="H82" i="15" s="1"/>
  <c r="I75" i="4"/>
  <c r="H81" i="15" s="1"/>
  <c r="I74" i="9"/>
  <c r="E75" i="15"/>
  <c r="E23" i="18"/>
  <c r="N53" i="18"/>
  <c r="E60" i="15"/>
  <c r="M44" i="18"/>
  <c r="K50" i="18"/>
  <c r="O67" i="18"/>
  <c r="H65" i="8"/>
  <c r="H20" i="18"/>
  <c r="L47" i="18"/>
  <c r="L67" i="8"/>
  <c r="F29" i="4"/>
  <c r="N28" i="18" s="1"/>
  <c r="K60" i="8"/>
  <c r="F60" i="18"/>
  <c r="K32" i="18"/>
  <c r="K7" i="8"/>
  <c r="M28" i="18"/>
  <c r="G40" i="18"/>
  <c r="J55" i="18"/>
  <c r="N20" i="18"/>
  <c r="E48" i="18"/>
  <c r="L40" i="18"/>
  <c r="F61" i="18"/>
  <c r="J34" i="18"/>
  <c r="L40" i="8"/>
  <c r="F28" i="4"/>
  <c r="N27" i="18" s="1"/>
  <c r="K27" i="8"/>
  <c r="L29" i="8"/>
  <c r="G65" i="8"/>
  <c r="F49" i="8"/>
  <c r="E65" i="18"/>
  <c r="L47" i="8"/>
  <c r="J51" i="8"/>
  <c r="G60" i="8"/>
  <c r="J32" i="8"/>
  <c r="D53" i="15"/>
  <c r="G35" i="18"/>
  <c r="H28" i="18"/>
  <c r="F29" i="8"/>
  <c r="H7" i="18"/>
  <c r="J29" i="18"/>
  <c r="I30" i="18"/>
  <c r="I12" i="18"/>
  <c r="K46" i="8"/>
  <c r="F6" i="4"/>
  <c r="E12" i="15" s="1"/>
  <c r="F22" i="4"/>
  <c r="G22" i="4" s="1"/>
  <c r="H22" i="4" s="1"/>
  <c r="I21" i="9" s="1"/>
  <c r="I25" i="14" s="1"/>
  <c r="I25" i="20" s="1"/>
  <c r="D45" i="15"/>
  <c r="F28" i="8"/>
  <c r="K36" i="18"/>
  <c r="J28" i="8"/>
  <c r="G7" i="18"/>
  <c r="H9" i="18"/>
  <c r="J11" i="18"/>
  <c r="M4" i="18"/>
  <c r="I17" i="8"/>
  <c r="L21" i="18"/>
  <c r="L31" i="8"/>
  <c r="G38" i="8"/>
  <c r="G21" i="18"/>
  <c r="F13" i="8"/>
  <c r="J44" i="8"/>
  <c r="J30" i="18"/>
  <c r="K11" i="18"/>
  <c r="J21" i="18"/>
  <c r="E13" i="8"/>
  <c r="H15" i="18"/>
  <c r="J38" i="18"/>
  <c r="G30" i="18"/>
  <c r="J14" i="18"/>
  <c r="F33" i="18"/>
  <c r="K33" i="18"/>
  <c r="I10" i="18"/>
  <c r="N11" i="18"/>
  <c r="L37" i="18"/>
  <c r="L35" i="8"/>
  <c r="L25" i="8"/>
  <c r="D22" i="15"/>
  <c r="L5" i="8"/>
  <c r="J10" i="18"/>
  <c r="K25" i="8"/>
  <c r="K41" i="8"/>
  <c r="K35" i="18"/>
  <c r="I27" i="8"/>
  <c r="K44" i="8"/>
  <c r="E30" i="18"/>
  <c r="F23" i="8"/>
  <c r="L16" i="8"/>
  <c r="I23" i="8"/>
  <c r="E19" i="18"/>
  <c r="K20" i="8"/>
  <c r="L34" i="8"/>
  <c r="E27" i="8"/>
  <c r="I35" i="8"/>
  <c r="K20" i="18"/>
  <c r="G32" i="18"/>
  <c r="H13" i="18"/>
  <c r="F6" i="18"/>
  <c r="J13" i="8"/>
  <c r="E12" i="10" s="1"/>
  <c r="F40" i="8"/>
  <c r="H6" i="18"/>
  <c r="I39" i="8"/>
  <c r="E23" i="8"/>
  <c r="E22" i="8"/>
  <c r="K9" i="18"/>
  <c r="J54" i="8"/>
  <c r="K31" i="18"/>
  <c r="F42" i="18"/>
  <c r="J7" i="8"/>
  <c r="K12" i="18"/>
  <c r="J71" i="18"/>
  <c r="N42" i="18"/>
  <c r="I53" i="8"/>
  <c r="E52" i="10" s="1"/>
  <c r="E30" i="8"/>
  <c r="N71" i="18"/>
  <c r="J52" i="18"/>
  <c r="E56" i="18"/>
  <c r="M71" i="18"/>
  <c r="F63" i="8"/>
  <c r="J8" i="8"/>
  <c r="H72" i="4"/>
  <c r="G78" i="15" s="1"/>
  <c r="J29" i="8"/>
  <c r="F49" i="15"/>
  <c r="F56" i="18"/>
  <c r="E78" i="15"/>
  <c r="J54" i="18"/>
  <c r="D78" i="15"/>
  <c r="K43" i="8"/>
  <c r="O42" i="18"/>
  <c r="I25" i="8"/>
  <c r="F45" i="18"/>
  <c r="J26" i="8"/>
  <c r="J16" i="8"/>
  <c r="H5" i="8"/>
  <c r="J24" i="8"/>
  <c r="E16" i="8"/>
  <c r="K15" i="18"/>
  <c r="J38" i="8"/>
  <c r="I18" i="8"/>
  <c r="K21" i="18"/>
  <c r="F5" i="4"/>
  <c r="E11" i="15" s="1"/>
  <c r="K38" i="8"/>
  <c r="E31" i="18"/>
  <c r="E17" i="15"/>
  <c r="L18" i="18"/>
  <c r="C15" i="17"/>
  <c r="F10" i="16" s="1"/>
  <c r="K4" i="16" s="1"/>
  <c r="M26" i="18"/>
  <c r="F27" i="4"/>
  <c r="G32" i="8"/>
  <c r="F37" i="18"/>
  <c r="D12" i="15"/>
  <c r="Q12" i="15" s="1"/>
  <c r="I5" i="8"/>
  <c r="G47" i="18"/>
  <c r="F19" i="18"/>
  <c r="F34" i="18"/>
  <c r="G20" i="18"/>
  <c r="H18" i="18"/>
  <c r="F38" i="18"/>
  <c r="G27" i="18"/>
  <c r="E49" i="15"/>
  <c r="E33" i="8"/>
  <c r="E25" i="18"/>
  <c r="E18" i="18"/>
  <c r="L24" i="8"/>
  <c r="L8" i="18"/>
  <c r="G11" i="4"/>
  <c r="F17" i="15" s="1"/>
  <c r="J45" i="8"/>
  <c r="M42" i="18"/>
  <c r="D49" i="15"/>
  <c r="I48" i="18"/>
  <c r="I57" i="8"/>
  <c r="L26" i="8"/>
  <c r="L62" i="8"/>
  <c r="L59" i="18"/>
  <c r="L51" i="18"/>
  <c r="L6" i="8"/>
  <c r="L36" i="8"/>
  <c r="L43" i="8"/>
  <c r="L12" i="18"/>
  <c r="K45" i="8"/>
  <c r="K47" i="18"/>
  <c r="L55" i="8"/>
  <c r="L38" i="18"/>
  <c r="L23" i="8"/>
  <c r="L37" i="8"/>
  <c r="K63" i="8"/>
  <c r="L9" i="18"/>
  <c r="L11" i="18"/>
  <c r="K10" i="18"/>
  <c r="L68" i="8"/>
  <c r="L28" i="8"/>
  <c r="L53" i="18"/>
  <c r="L7" i="8"/>
  <c r="J27" i="8"/>
  <c r="J37" i="8"/>
  <c r="K31" i="8"/>
  <c r="J64" i="8"/>
  <c r="J18" i="8"/>
  <c r="K5" i="18"/>
  <c r="J47" i="8"/>
  <c r="J72" i="18"/>
  <c r="J19" i="8"/>
  <c r="J13" i="18"/>
  <c r="K70" i="8"/>
  <c r="J16" i="18"/>
  <c r="J64" i="18"/>
  <c r="J65" i="18"/>
  <c r="J40" i="8"/>
  <c r="J8" i="18"/>
  <c r="J61" i="18"/>
  <c r="I51" i="8"/>
  <c r="I7" i="8"/>
  <c r="I33" i="8"/>
  <c r="I55" i="8"/>
  <c r="I46" i="18"/>
  <c r="I19" i="8"/>
  <c r="F22" i="8"/>
  <c r="E16" i="18"/>
  <c r="F26" i="8"/>
  <c r="F66" i="8"/>
  <c r="E21" i="8"/>
  <c r="F54" i="18"/>
  <c r="K18" i="18"/>
  <c r="F4" i="18"/>
  <c r="O53" i="18"/>
  <c r="G21" i="4"/>
  <c r="F27" i="15" s="1"/>
  <c r="F6" i="8"/>
  <c r="J6" i="8"/>
  <c r="L41" i="18"/>
  <c r="L49" i="18"/>
  <c r="N32" i="18"/>
  <c r="K40" i="8"/>
  <c r="C24" i="17"/>
  <c r="E19" i="16" s="1"/>
  <c r="F16" i="4"/>
  <c r="F43" i="18"/>
  <c r="K47" i="8"/>
  <c r="G37" i="8"/>
  <c r="F42" i="8"/>
  <c r="K18" i="8"/>
  <c r="G12" i="4"/>
  <c r="O11" i="18" s="1"/>
  <c r="E28" i="8"/>
  <c r="H24" i="18"/>
  <c r="L64" i="8"/>
  <c r="L52" i="18"/>
  <c r="F45" i="4"/>
  <c r="G45" i="4" s="1"/>
  <c r="F51" i="15" s="1"/>
  <c r="D59" i="15"/>
  <c r="G33" i="4"/>
  <c r="H33" i="4" s="1"/>
  <c r="P32" i="18" s="1"/>
  <c r="C30" i="17"/>
  <c r="F25" i="16" s="1"/>
  <c r="G25" i="16" s="1"/>
  <c r="C9" i="17"/>
  <c r="E4" i="16" s="1"/>
  <c r="C50" i="17"/>
  <c r="F45" i="16" s="1"/>
  <c r="G45" i="16" s="1"/>
  <c r="F53" i="4"/>
  <c r="N52" i="18" s="1"/>
  <c r="C35" i="17"/>
  <c r="F30" i="16" s="1"/>
  <c r="G30" i="16" s="1"/>
  <c r="C10" i="17"/>
  <c r="E5" i="16" s="1"/>
  <c r="L72" i="18"/>
  <c r="F14" i="18"/>
  <c r="F60" i="15"/>
  <c r="K41" i="18"/>
  <c r="J59" i="8"/>
  <c r="K25" i="18"/>
  <c r="K26" i="8"/>
  <c r="J69" i="8"/>
  <c r="F59" i="18"/>
  <c r="E13" i="18"/>
  <c r="J41" i="8"/>
  <c r="L10" i="18"/>
  <c r="L64" i="18"/>
  <c r="L55" i="18"/>
  <c r="C54" i="17"/>
  <c r="E49" i="16" s="1"/>
  <c r="C8" i="17"/>
  <c r="F3" i="16" s="1"/>
  <c r="G3" i="16" s="1"/>
  <c r="K35" i="8"/>
  <c r="G35" i="8"/>
  <c r="F29" i="18"/>
  <c r="E25" i="8"/>
  <c r="I24" i="10" s="1"/>
  <c r="E33" i="18"/>
  <c r="F12" i="8"/>
  <c r="E18" i="8"/>
  <c r="G11" i="8"/>
  <c r="G49" i="8"/>
  <c r="G23" i="8"/>
  <c r="L20" i="8"/>
  <c r="L32" i="8"/>
  <c r="C34" i="17"/>
  <c r="E29" i="16" s="1"/>
  <c r="C19" i="17"/>
  <c r="E14" i="16" s="1"/>
  <c r="C53" i="17"/>
  <c r="F48" i="16" s="1"/>
  <c r="G48" i="16" s="1"/>
  <c r="C26" i="17"/>
  <c r="F21" i="16" s="1"/>
  <c r="G21" i="16" s="1"/>
  <c r="C14" i="17"/>
  <c r="F9" i="16" s="1"/>
  <c r="G9" i="16" s="1"/>
  <c r="J48" i="18"/>
  <c r="G6" i="8"/>
  <c r="F47" i="8"/>
  <c r="F19" i="8"/>
  <c r="I18" i="10" s="1"/>
  <c r="F17" i="18"/>
  <c r="E53" i="8"/>
  <c r="E45" i="8"/>
  <c r="C42" i="17"/>
  <c r="F37" i="16" s="1"/>
  <c r="G37" i="16" s="1"/>
  <c r="F21" i="8"/>
  <c r="H22" i="18"/>
  <c r="I29" i="8"/>
  <c r="E14" i="15"/>
  <c r="C18" i="17"/>
  <c r="E13" i="16" s="1"/>
  <c r="C48" i="17"/>
  <c r="F43" i="16" s="1"/>
  <c r="G43" i="16" s="1"/>
  <c r="C31" i="17"/>
  <c r="F26" i="16" s="1"/>
  <c r="G26" i="16" s="1"/>
  <c r="M51" i="18"/>
  <c r="D58" i="15"/>
  <c r="F52" i="4"/>
  <c r="C17" i="17"/>
  <c r="E12" i="16" s="1"/>
  <c r="G18" i="18"/>
  <c r="G8" i="4"/>
  <c r="C49" i="17"/>
  <c r="E44" i="16" s="1"/>
  <c r="C39" i="17"/>
  <c r="F34" i="16" s="1"/>
  <c r="G34" i="16" s="1"/>
  <c r="C46" i="17"/>
  <c r="F41" i="16" s="1"/>
  <c r="G41" i="16" s="1"/>
  <c r="C32" i="17"/>
  <c r="E27" i="16" s="1"/>
  <c r="C40" i="17"/>
  <c r="E35" i="16" s="1"/>
  <c r="F35" i="18"/>
  <c r="J56" i="18"/>
  <c r="G29" i="18"/>
  <c r="L13" i="18"/>
  <c r="K22" i="18"/>
  <c r="K23" i="18"/>
  <c r="L18" i="8"/>
  <c r="J43" i="8"/>
  <c r="C36" i="17"/>
  <c r="E31" i="16" s="1"/>
  <c r="C16" i="17"/>
  <c r="E11" i="16" s="1"/>
  <c r="C45" i="17"/>
  <c r="F40" i="16" s="1"/>
  <c r="G40" i="16" s="1"/>
  <c r="C22" i="17"/>
  <c r="E17" i="16" s="1"/>
  <c r="M31" i="18"/>
  <c r="F32" i="4"/>
  <c r="C52" i="17"/>
  <c r="F47" i="16" s="1"/>
  <c r="G47" i="16" s="1"/>
  <c r="C21" i="17"/>
  <c r="E16" i="16" s="1"/>
  <c r="C25" i="17"/>
  <c r="F20" i="16" s="1"/>
  <c r="G20" i="16" s="1"/>
  <c r="C38" i="17"/>
  <c r="C11" i="17"/>
  <c r="E6" i="16" s="1"/>
  <c r="C13" i="17"/>
  <c r="F8" i="16" s="1"/>
  <c r="G8" i="16" s="1"/>
  <c r="C12" i="17"/>
  <c r="F7" i="16" s="1"/>
  <c r="G7" i="16" s="1"/>
  <c r="C44" i="17"/>
  <c r="E39" i="16" s="1"/>
  <c r="C51" i="17"/>
  <c r="E46" i="16" s="1"/>
  <c r="C28" i="17"/>
  <c r="F23" i="16" s="1"/>
  <c r="G23" i="16" s="1"/>
  <c r="C37" i="17"/>
  <c r="C27" i="17"/>
  <c r="E22" i="16" s="1"/>
  <c r="C20" i="17"/>
  <c r="F15" i="16" s="1"/>
  <c r="G15" i="16" s="1"/>
  <c r="L63" i="8"/>
  <c r="K29" i="8"/>
  <c r="F13" i="18"/>
  <c r="G44" i="8"/>
  <c r="J24" i="18"/>
  <c r="M56" i="18"/>
  <c r="D63" i="15"/>
  <c r="F57" i="4"/>
  <c r="J62" i="18"/>
  <c r="J63" i="8"/>
  <c r="C23" i="17"/>
  <c r="C47" i="17"/>
  <c r="F71" i="4"/>
  <c r="M70" i="18"/>
  <c r="D77" i="15"/>
  <c r="M59" i="18"/>
  <c r="D66" i="15"/>
  <c r="F60" i="4"/>
  <c r="M66" i="18"/>
  <c r="D73" i="15"/>
  <c r="F67" i="4"/>
  <c r="C41" i="17"/>
  <c r="C33" i="17"/>
  <c r="M43" i="18"/>
  <c r="F44" i="4"/>
  <c r="D50" i="15"/>
  <c r="M64" i="18"/>
  <c r="D71" i="15"/>
  <c r="F65" i="4"/>
  <c r="L29" i="18"/>
  <c r="L14" i="18"/>
  <c r="M35" i="18"/>
  <c r="D42" i="15"/>
  <c r="F36" i="4"/>
  <c r="F30" i="4"/>
  <c r="M29" i="18"/>
  <c r="M47" i="18"/>
  <c r="F48" i="4"/>
  <c r="E54" i="15" s="1"/>
  <c r="M73" i="18"/>
  <c r="D80" i="15"/>
  <c r="F74" i="4"/>
  <c r="C29" i="17"/>
  <c r="M30" i="18"/>
  <c r="D37" i="15"/>
  <c r="F31" i="4"/>
  <c r="F19" i="4"/>
  <c r="M18" i="18"/>
  <c r="D25" i="15"/>
  <c r="M63" i="18"/>
  <c r="D70" i="15"/>
  <c r="F64" i="4"/>
  <c r="M14" i="18"/>
  <c r="F15" i="4"/>
  <c r="D21" i="15"/>
  <c r="M39" i="18"/>
  <c r="D46" i="15"/>
  <c r="F40" i="4"/>
  <c r="M45" i="18"/>
  <c r="D52" i="15"/>
  <c r="F46" i="4"/>
  <c r="M61" i="18"/>
  <c r="D68" i="15"/>
  <c r="F62" i="4"/>
  <c r="M55" i="18"/>
  <c r="D62" i="15"/>
  <c r="F56" i="4"/>
  <c r="M34" i="18"/>
  <c r="D41" i="15"/>
  <c r="F35" i="4"/>
  <c r="M41" i="18"/>
  <c r="F42" i="4"/>
  <c r="D48" i="15"/>
  <c r="D64" i="15"/>
  <c r="M57" i="18"/>
  <c r="F58" i="4"/>
  <c r="M37" i="18"/>
  <c r="D44" i="15"/>
  <c r="F38" i="4"/>
  <c r="C43" i="17"/>
  <c r="M23" i="18"/>
  <c r="D30" i="15"/>
  <c r="F24" i="4"/>
  <c r="F73" i="4"/>
  <c r="M72" i="18"/>
  <c r="D79" i="15"/>
  <c r="M36" i="18"/>
  <c r="D43" i="15"/>
  <c r="F37" i="4"/>
  <c r="M22" i="18"/>
  <c r="F23" i="4"/>
  <c r="D29" i="15"/>
  <c r="M19" i="18"/>
  <c r="F20" i="4"/>
  <c r="D26" i="15"/>
  <c r="M69" i="18"/>
  <c r="D76" i="15"/>
  <c r="F70" i="4"/>
  <c r="D47" i="15"/>
  <c r="F41" i="4"/>
  <c r="M40" i="18"/>
  <c r="N17" i="18"/>
  <c r="G18" i="4"/>
  <c r="E28" i="18"/>
  <c r="E29" i="8"/>
  <c r="E41" i="18"/>
  <c r="E42" i="8"/>
  <c r="E46" i="18"/>
  <c r="E47" i="8"/>
  <c r="E67" i="18"/>
  <c r="E68" i="8"/>
  <c r="E52" i="8"/>
  <c r="E51" i="18"/>
  <c r="E37" i="18"/>
  <c r="E38" i="8"/>
  <c r="E38" i="18"/>
  <c r="E39" i="8"/>
  <c r="E66" i="18"/>
  <c r="E67" i="8"/>
  <c r="E34" i="18"/>
  <c r="E35" i="8"/>
  <c r="K65" i="18"/>
  <c r="K66" i="8"/>
  <c r="K68" i="8"/>
  <c r="K67" i="18"/>
  <c r="K70" i="18"/>
  <c r="K71" i="8"/>
  <c r="K8" i="8"/>
  <c r="K7" i="18"/>
  <c r="E69" i="18"/>
  <c r="E70" i="8"/>
  <c r="E61" i="18"/>
  <c r="E62" i="8"/>
  <c r="E36" i="18"/>
  <c r="E37" i="8"/>
  <c r="E63" i="18"/>
  <c r="E64" i="8"/>
  <c r="E49" i="18"/>
  <c r="E50" i="8"/>
  <c r="E72" i="18"/>
  <c r="E73" i="8"/>
  <c r="E36" i="8"/>
  <c r="E35" i="18"/>
  <c r="E62" i="18"/>
  <c r="E63" i="8"/>
  <c r="E9" i="18"/>
  <c r="E10" i="8"/>
  <c r="K64" i="18"/>
  <c r="K65" i="8"/>
  <c r="E43" i="18"/>
  <c r="E44" i="8"/>
  <c r="E53" i="18"/>
  <c r="E54" i="8"/>
  <c r="E58" i="18"/>
  <c r="E59" i="8"/>
  <c r="E71" i="18"/>
  <c r="E72" i="8"/>
  <c r="E59" i="18"/>
  <c r="E60" i="8"/>
  <c r="E47" i="18"/>
  <c r="E48" i="8"/>
  <c r="E45" i="18"/>
  <c r="E46" i="8"/>
  <c r="E5" i="18"/>
  <c r="E6" i="8"/>
  <c r="E54" i="18"/>
  <c r="E55" i="8"/>
  <c r="K66" i="18"/>
  <c r="K67" i="8"/>
  <c r="K73" i="18"/>
  <c r="K74" i="8"/>
  <c r="K56" i="18"/>
  <c r="K57" i="8"/>
  <c r="E64" i="18"/>
  <c r="E65" i="8"/>
  <c r="E50" i="18"/>
  <c r="E51" i="8"/>
  <c r="E55" i="18"/>
  <c r="E56" i="8"/>
  <c r="E69" i="8"/>
  <c r="E68" i="18"/>
  <c r="E57" i="18"/>
  <c r="E58" i="8"/>
  <c r="E41" i="8"/>
  <c r="E40" i="18"/>
  <c r="E42" i="18"/>
  <c r="E43" i="8"/>
  <c r="E70" i="18"/>
  <c r="E71" i="8"/>
  <c r="E39" i="18"/>
  <c r="E40" i="8"/>
  <c r="K72" i="8"/>
  <c r="K71" i="18"/>
  <c r="K48" i="18"/>
  <c r="K49" i="8"/>
  <c r="K73" i="8"/>
  <c r="K72" i="18"/>
  <c r="BE14" i="15"/>
  <c r="AX58" i="15"/>
  <c r="AX68" i="15"/>
  <c r="H54" i="18"/>
  <c r="H55" i="8"/>
  <c r="H60" i="18"/>
  <c r="H61" i="8"/>
  <c r="I8" i="8"/>
  <c r="I7" i="18"/>
  <c r="H50" i="18"/>
  <c r="H51" i="8"/>
  <c r="H71" i="8"/>
  <c r="H70" i="18"/>
  <c r="H63" i="18"/>
  <c r="H64" i="8"/>
  <c r="I55" i="18"/>
  <c r="I56" i="8"/>
  <c r="E55" i="10" s="1"/>
  <c r="H29" i="18"/>
  <c r="H30" i="8"/>
  <c r="H17" i="18"/>
  <c r="H18" i="8"/>
  <c r="I72" i="8"/>
  <c r="I71" i="18"/>
  <c r="H55" i="18"/>
  <c r="H56" i="8"/>
  <c r="H47" i="18"/>
  <c r="H48" i="8"/>
  <c r="I38" i="8"/>
  <c r="I37" i="18"/>
  <c r="H27" i="18"/>
  <c r="H28" i="8"/>
  <c r="I64" i="18"/>
  <c r="I65" i="8"/>
  <c r="H49" i="18"/>
  <c r="H50" i="8"/>
  <c r="H39" i="18"/>
  <c r="H40" i="8"/>
  <c r="H25" i="18"/>
  <c r="H26" i="8"/>
  <c r="I9" i="18"/>
  <c r="I10" i="8"/>
  <c r="F9" i="10" s="1"/>
  <c r="H69" i="18"/>
  <c r="H70" i="8"/>
  <c r="H59" i="18"/>
  <c r="H60" i="8"/>
  <c r="I29" i="18"/>
  <c r="I30" i="8"/>
  <c r="I14" i="8"/>
  <c r="E13" i="10" s="1"/>
  <c r="I13" i="18"/>
  <c r="H40" i="18"/>
  <c r="H41" i="8"/>
  <c r="H46" i="18"/>
  <c r="H47" i="8"/>
  <c r="H52" i="18"/>
  <c r="H53" i="8"/>
  <c r="H43" i="8"/>
  <c r="H42" i="18"/>
  <c r="I69" i="8"/>
  <c r="I68" i="18"/>
  <c r="I62" i="18"/>
  <c r="I63" i="8"/>
  <c r="I53" i="18"/>
  <c r="I54" i="8"/>
  <c r="I27" i="18"/>
  <c r="I28" i="8"/>
  <c r="H12" i="18"/>
  <c r="H13" i="8"/>
  <c r="H69" i="8"/>
  <c r="H68" i="18"/>
  <c r="H53" i="18"/>
  <c r="H54" i="8"/>
  <c r="I45" i="18"/>
  <c r="I46" i="8"/>
  <c r="I35" i="18"/>
  <c r="I36" i="8"/>
  <c r="I25" i="18"/>
  <c r="I26" i="8"/>
  <c r="H72" i="8"/>
  <c r="H71" i="18"/>
  <c r="I61" i="18"/>
  <c r="I62" i="8"/>
  <c r="H46" i="8"/>
  <c r="H45" i="18"/>
  <c r="H37" i="18"/>
  <c r="H38" i="8"/>
  <c r="I20" i="8"/>
  <c r="I19" i="18"/>
  <c r="I5" i="18"/>
  <c r="I6" i="8"/>
  <c r="I67" i="18"/>
  <c r="I68" i="8"/>
  <c r="I59" i="8"/>
  <c r="I58" i="18"/>
  <c r="I24" i="8"/>
  <c r="I23" i="18"/>
  <c r="H10" i="18"/>
  <c r="H11" i="8"/>
  <c r="F10" i="10" s="1"/>
  <c r="H32" i="18"/>
  <c r="H33" i="8"/>
  <c r="H39" i="8"/>
  <c r="H38" i="18"/>
  <c r="H44" i="18"/>
  <c r="H45" i="8"/>
  <c r="I44" i="18"/>
  <c r="I45" i="8"/>
  <c r="H34" i="18"/>
  <c r="H35" i="8"/>
  <c r="H67" i="18"/>
  <c r="H68" i="8"/>
  <c r="I60" i="18"/>
  <c r="I61" i="8"/>
  <c r="I48" i="8"/>
  <c r="E47" i="10" s="1"/>
  <c r="I47" i="18"/>
  <c r="H24" i="8"/>
  <c r="H23" i="18"/>
  <c r="H8" i="18"/>
  <c r="H9" i="8"/>
  <c r="I66" i="18"/>
  <c r="I67" i="8"/>
  <c r="I51" i="18"/>
  <c r="I52" i="8"/>
  <c r="E51" i="10" s="1"/>
  <c r="I42" i="8"/>
  <c r="I41" i="18"/>
  <c r="H33" i="18"/>
  <c r="H34" i="8"/>
  <c r="I33" i="10" s="1"/>
  <c r="H21" i="18"/>
  <c r="H22" i="8"/>
  <c r="I69" i="18"/>
  <c r="I70" i="8"/>
  <c r="I60" i="8"/>
  <c r="I59" i="18"/>
  <c r="I44" i="8"/>
  <c r="I43" i="18"/>
  <c r="H35" i="18"/>
  <c r="H36" i="8"/>
  <c r="H16" i="18"/>
  <c r="H17" i="8"/>
  <c r="I72" i="18"/>
  <c r="I73" i="8"/>
  <c r="I64" i="8"/>
  <c r="I63" i="18"/>
  <c r="I57" i="18"/>
  <c r="I58" i="8"/>
  <c r="H19" i="18"/>
  <c r="H20" i="8"/>
  <c r="H56" i="18"/>
  <c r="H57" i="8"/>
  <c r="H73" i="18"/>
  <c r="H74" i="8"/>
  <c r="H30" i="18"/>
  <c r="H31" i="8"/>
  <c r="G30" i="10" s="1"/>
  <c r="H37" i="8"/>
  <c r="H36" i="18"/>
  <c r="H59" i="8"/>
  <c r="H58" i="18"/>
  <c r="H72" i="18"/>
  <c r="H73" i="8"/>
  <c r="I65" i="18"/>
  <c r="I66" i="8"/>
  <c r="H57" i="18"/>
  <c r="H58" i="8"/>
  <c r="I34" i="8"/>
  <c r="I33" i="18"/>
  <c r="I21" i="18"/>
  <c r="I22" i="8"/>
  <c r="E21" i="10" s="1"/>
  <c r="I73" i="18"/>
  <c r="I74" i="8"/>
  <c r="H65" i="18"/>
  <c r="H66" i="8"/>
  <c r="I49" i="18"/>
  <c r="I50" i="8"/>
  <c r="E49" i="10" s="1"/>
  <c r="I39" i="18"/>
  <c r="I40" i="8"/>
  <c r="I31" i="18"/>
  <c r="I32" i="8"/>
  <c r="H14" i="18"/>
  <c r="H15" i="8"/>
  <c r="G14" i="10" s="1"/>
  <c r="H66" i="18"/>
  <c r="H67" i="8"/>
  <c r="H51" i="18"/>
  <c r="H52" i="8"/>
  <c r="H41" i="18"/>
  <c r="H42" i="8"/>
  <c r="H31" i="18"/>
  <c r="H32" i="8"/>
  <c r="I11" i="18"/>
  <c r="I12" i="8"/>
  <c r="F11" i="10" s="1"/>
  <c r="I70" i="18"/>
  <c r="I71" i="8"/>
  <c r="H61" i="18"/>
  <c r="H62" i="8"/>
  <c r="H44" i="8"/>
  <c r="H43" i="18"/>
  <c r="I15" i="18"/>
  <c r="I16" i="8"/>
  <c r="H48" i="18"/>
  <c r="H49" i="8"/>
  <c r="G13" i="18"/>
  <c r="G14" i="8"/>
  <c r="I13" i="10" s="1"/>
  <c r="G72" i="18"/>
  <c r="G73" i="8"/>
  <c r="G54" i="18"/>
  <c r="G55" i="8"/>
  <c r="G68" i="18"/>
  <c r="G69" i="8"/>
  <c r="G42" i="18"/>
  <c r="G43" i="8"/>
  <c r="F64" i="18"/>
  <c r="F65" i="8"/>
  <c r="G49" i="18"/>
  <c r="G50" i="8"/>
  <c r="G12" i="8"/>
  <c r="G11" i="18"/>
  <c r="G66" i="18"/>
  <c r="G67" i="8"/>
  <c r="G66" i="10" s="1"/>
  <c r="G50" i="18"/>
  <c r="G51" i="8"/>
  <c r="G67" i="18"/>
  <c r="G68" i="8"/>
  <c r="G6" i="18"/>
  <c r="G7" i="8"/>
  <c r="G60" i="18"/>
  <c r="G61" i="8"/>
  <c r="G60" i="10" s="1"/>
  <c r="F7" i="18"/>
  <c r="F8" i="8"/>
  <c r="G71" i="18"/>
  <c r="G72" i="8"/>
  <c r="G8" i="18"/>
  <c r="G9" i="8"/>
  <c r="G65" i="18"/>
  <c r="G66" i="8"/>
  <c r="G9" i="18"/>
  <c r="G10" i="8"/>
  <c r="G62" i="18"/>
  <c r="G63" i="8"/>
  <c r="G70" i="18"/>
  <c r="G71" i="8"/>
  <c r="G58" i="18"/>
  <c r="G59" i="8"/>
  <c r="G19" i="18"/>
  <c r="G20" i="8"/>
  <c r="G44" i="18"/>
  <c r="G45" i="8"/>
  <c r="G73" i="18"/>
  <c r="G74" i="8"/>
  <c r="G57" i="18"/>
  <c r="G58" i="8"/>
  <c r="G46" i="18"/>
  <c r="G47" i="8"/>
  <c r="G70" i="8"/>
  <c r="G69" i="18"/>
  <c r="G53" i="8"/>
  <c r="G52" i="18"/>
  <c r="I42" i="9"/>
  <c r="I53" i="9"/>
  <c r="AX39" i="15"/>
  <c r="G7" i="4"/>
  <c r="N6" i="18"/>
  <c r="E13" i="15"/>
  <c r="AX25" i="15"/>
  <c r="AX26" i="15"/>
  <c r="I43" i="4"/>
  <c r="P42" i="18"/>
  <c r="G49" i="15"/>
  <c r="I54" i="4"/>
  <c r="P53" i="18"/>
  <c r="G60" i="15"/>
  <c r="AX30" i="15"/>
  <c r="I68" i="4"/>
  <c r="P67" i="18"/>
  <c r="G74" i="15"/>
  <c r="BF14" i="15"/>
  <c r="AX33" i="15"/>
  <c r="AX32" i="15"/>
  <c r="E10" i="10"/>
  <c r="AX27" i="15"/>
  <c r="AX34" i="15"/>
  <c r="AP16" i="15" l="1"/>
  <c r="AU5" i="15" s="1"/>
  <c r="BP20" i="15" s="1"/>
  <c r="AU4" i="15"/>
  <c r="AV4" i="15" s="1"/>
  <c r="G10" i="4"/>
  <c r="H10" i="4" s="1"/>
  <c r="I9" i="9" s="1"/>
  <c r="I13" i="14" s="1"/>
  <c r="I13" i="20" s="1"/>
  <c r="E16" i="15"/>
  <c r="E8" i="10"/>
  <c r="E19" i="15"/>
  <c r="P13" i="18"/>
  <c r="E20" i="15"/>
  <c r="F20" i="15"/>
  <c r="N13" i="18"/>
  <c r="G20" i="15"/>
  <c r="O13" i="18"/>
  <c r="I14" i="4"/>
  <c r="Q13" i="18" s="1"/>
  <c r="X7" i="18"/>
  <c r="AH31" i="18" s="1"/>
  <c r="I17" i="14"/>
  <c r="I17" i="20" s="1"/>
  <c r="G13" i="11"/>
  <c r="I18" i="12" s="1"/>
  <c r="G47" i="4"/>
  <c r="F53" i="15" s="1"/>
  <c r="D24" i="10"/>
  <c r="G17" i="4"/>
  <c r="H17" i="4" s="1"/>
  <c r="P16" i="18" s="1"/>
  <c r="W7" i="18"/>
  <c r="W9" i="18" s="1"/>
  <c r="Y7" i="18"/>
  <c r="AI31" i="18" s="1"/>
  <c r="BD5" i="15"/>
  <c r="G13" i="4"/>
  <c r="O12" i="18" s="1"/>
  <c r="G9" i="4"/>
  <c r="O8" i="18" s="1"/>
  <c r="E15" i="15"/>
  <c r="AV8" i="15"/>
  <c r="E23" i="15"/>
  <c r="W8" i="18"/>
  <c r="W10" i="18" s="1"/>
  <c r="AD7" i="18"/>
  <c r="AD9" i="18" s="1"/>
  <c r="AB7" i="18"/>
  <c r="AB9" i="18" s="1"/>
  <c r="AV10" i="15"/>
  <c r="E20" i="10"/>
  <c r="I72" i="4"/>
  <c r="J72" i="4" s="1"/>
  <c r="E32" i="10"/>
  <c r="G20" i="10"/>
  <c r="E41" i="10"/>
  <c r="I4" i="10"/>
  <c r="F22" i="10"/>
  <c r="G71" i="10"/>
  <c r="E67" i="10"/>
  <c r="E61" i="10"/>
  <c r="G55" i="10"/>
  <c r="N60" i="18"/>
  <c r="G67" i="15"/>
  <c r="P60" i="18"/>
  <c r="E53" i="15"/>
  <c r="N5" i="18"/>
  <c r="E48" i="10"/>
  <c r="I25" i="17"/>
  <c r="N58" i="18"/>
  <c r="G25" i="4"/>
  <c r="H25" i="4" s="1"/>
  <c r="G31" i="15" s="1"/>
  <c r="I22" i="4"/>
  <c r="H28" i="15" s="1"/>
  <c r="D20" i="10"/>
  <c r="E31" i="15"/>
  <c r="E61" i="15"/>
  <c r="D70" i="10"/>
  <c r="H68" i="10"/>
  <c r="E70" i="10"/>
  <c r="D59" i="10"/>
  <c r="E56" i="15"/>
  <c r="I66" i="4"/>
  <c r="H65" i="9" s="1"/>
  <c r="F67" i="15"/>
  <c r="O54" i="18"/>
  <c r="H55" i="4"/>
  <c r="P71" i="18"/>
  <c r="F66" i="10"/>
  <c r="E65" i="10"/>
  <c r="E57" i="10"/>
  <c r="E72" i="10"/>
  <c r="E66" i="10"/>
  <c r="AA7" i="18"/>
  <c r="AK31" i="18" s="1"/>
  <c r="F52" i="10"/>
  <c r="E29" i="10"/>
  <c r="AC7" i="18"/>
  <c r="AM31" i="18" s="1"/>
  <c r="N54" i="18"/>
  <c r="I60" i="9"/>
  <c r="I64" i="14" s="1"/>
  <c r="I64" i="20" s="1"/>
  <c r="O60" i="18"/>
  <c r="H59" i="10"/>
  <c r="F61" i="15"/>
  <c r="E67" i="15"/>
  <c r="G72" i="15"/>
  <c r="D72" i="10"/>
  <c r="D51" i="10"/>
  <c r="E69" i="10"/>
  <c r="F8" i="10"/>
  <c r="F69" i="15"/>
  <c r="P65" i="18"/>
  <c r="H63" i="10"/>
  <c r="E58" i="10"/>
  <c r="F68" i="10"/>
  <c r="G7" i="10"/>
  <c r="E40" i="10"/>
  <c r="I15" i="10"/>
  <c r="E38" i="10"/>
  <c r="H63" i="4"/>
  <c r="P62" i="18" s="1"/>
  <c r="G51" i="4"/>
  <c r="O50" i="18" s="1"/>
  <c r="O68" i="18"/>
  <c r="E50" i="10"/>
  <c r="E22" i="10"/>
  <c r="G57" i="10"/>
  <c r="G62" i="10"/>
  <c r="G65" i="10"/>
  <c r="G67" i="10"/>
  <c r="F61" i="10"/>
  <c r="E73" i="10"/>
  <c r="G56" i="10"/>
  <c r="E60" i="10"/>
  <c r="D53" i="10"/>
  <c r="G26" i="4"/>
  <c r="F32" i="15" s="1"/>
  <c r="E32" i="15"/>
  <c r="E46" i="10"/>
  <c r="E54" i="10"/>
  <c r="E57" i="15"/>
  <c r="E45" i="15"/>
  <c r="H69" i="4"/>
  <c r="I68" i="9" s="1"/>
  <c r="I72" i="14" s="1"/>
  <c r="I72" i="20" s="1"/>
  <c r="E53" i="10"/>
  <c r="H69" i="10"/>
  <c r="F50" i="10"/>
  <c r="D69" i="10"/>
  <c r="E59" i="10"/>
  <c r="E10" i="16"/>
  <c r="N49" i="18"/>
  <c r="H50" i="4"/>
  <c r="P49" i="18" s="1"/>
  <c r="G39" i="4"/>
  <c r="E16" i="10"/>
  <c r="G74" i="11"/>
  <c r="I79" i="12" s="1"/>
  <c r="G75" i="11"/>
  <c r="I80" i="12" s="1"/>
  <c r="O49" i="18"/>
  <c r="D63" i="10"/>
  <c r="F71" i="10"/>
  <c r="E68" i="10"/>
  <c r="E71" i="10"/>
  <c r="E59" i="15"/>
  <c r="I26" i="10"/>
  <c r="G58" i="10"/>
  <c r="D65" i="10"/>
  <c r="D71" i="10"/>
  <c r="G70" i="10"/>
  <c r="G68" i="10"/>
  <c r="E45" i="10"/>
  <c r="F54" i="10"/>
  <c r="O16" i="18"/>
  <c r="G29" i="4"/>
  <c r="O28" i="18" s="1"/>
  <c r="H26" i="10"/>
  <c r="G49" i="4"/>
  <c r="F55" i="15" s="1"/>
  <c r="N48" i="18"/>
  <c r="I28" i="10"/>
  <c r="G34" i="4"/>
  <c r="F40" i="15" s="1"/>
  <c r="H28" i="10"/>
  <c r="D57" i="10"/>
  <c r="D8" i="10"/>
  <c r="G16" i="10"/>
  <c r="E62" i="10"/>
  <c r="E56" i="10"/>
  <c r="N33" i="18"/>
  <c r="O58" i="18"/>
  <c r="D67" i="10"/>
  <c r="D52" i="10"/>
  <c r="E63" i="10"/>
  <c r="E65" i="15"/>
  <c r="H59" i="4"/>
  <c r="P58" i="18" s="1"/>
  <c r="H70" i="10"/>
  <c r="D68" i="10"/>
  <c r="D60" i="10"/>
  <c r="G69" i="10"/>
  <c r="F58" i="10"/>
  <c r="I59" i="10"/>
  <c r="H74" i="9"/>
  <c r="F74" i="11" s="1"/>
  <c r="H79" i="12" s="1"/>
  <c r="H73" i="10"/>
  <c r="H66" i="10"/>
  <c r="D73" i="10"/>
  <c r="H61" i="10"/>
  <c r="D66" i="10"/>
  <c r="G73" i="10"/>
  <c r="G72" i="10"/>
  <c r="F65" i="10"/>
  <c r="F57" i="10"/>
  <c r="F72" i="10"/>
  <c r="F67" i="10"/>
  <c r="E64" i="10"/>
  <c r="F29" i="16"/>
  <c r="G29" i="16" s="1"/>
  <c r="E35" i="15"/>
  <c r="J76" i="4"/>
  <c r="H75" i="9"/>
  <c r="F75" i="11" s="1"/>
  <c r="H80" i="12" s="1"/>
  <c r="H53" i="10"/>
  <c r="H57" i="10"/>
  <c r="D61" i="10"/>
  <c r="H67" i="10"/>
  <c r="H72" i="10"/>
  <c r="H60" i="10"/>
  <c r="F60" i="11" s="1"/>
  <c r="H65" i="12" s="1"/>
  <c r="H71" i="10"/>
  <c r="J75" i="4"/>
  <c r="D58" i="10"/>
  <c r="F73" i="10"/>
  <c r="F59" i="10"/>
  <c r="I70" i="10"/>
  <c r="I69" i="10"/>
  <c r="G64" i="10"/>
  <c r="I73" i="10"/>
  <c r="F62" i="10"/>
  <c r="H67" i="9"/>
  <c r="F70" i="10"/>
  <c r="I68" i="10"/>
  <c r="I71" i="10"/>
  <c r="H65" i="10"/>
  <c r="H71" i="9"/>
  <c r="I71" i="9"/>
  <c r="I75" i="14" s="1"/>
  <c r="I75" i="20" s="1"/>
  <c r="F64" i="10"/>
  <c r="I60" i="10"/>
  <c r="G61" i="10"/>
  <c r="F69" i="10"/>
  <c r="F63" i="10"/>
  <c r="F60" i="10"/>
  <c r="I57" i="10"/>
  <c r="I64" i="10"/>
  <c r="I62" i="10"/>
  <c r="I72" i="10"/>
  <c r="I63" i="10"/>
  <c r="I61" i="10"/>
  <c r="I66" i="10"/>
  <c r="I67" i="10"/>
  <c r="G67" i="11" s="1"/>
  <c r="I72" i="12" s="1"/>
  <c r="H58" i="10"/>
  <c r="I58" i="10"/>
  <c r="D62" i="10"/>
  <c r="G22" i="10"/>
  <c r="G59" i="10"/>
  <c r="I65" i="10"/>
  <c r="G65" i="11" s="1"/>
  <c r="I70" i="12" s="1"/>
  <c r="G63" i="10"/>
  <c r="E43" i="10"/>
  <c r="H11" i="4"/>
  <c r="I10" i="9" s="1"/>
  <c r="I14" i="17" s="1"/>
  <c r="O10" i="18"/>
  <c r="E30" i="10"/>
  <c r="E15" i="10"/>
  <c r="D32" i="10"/>
  <c r="G12" i="10"/>
  <c r="I29" i="10"/>
  <c r="F19" i="16"/>
  <c r="G19" i="16" s="1"/>
  <c r="E33" i="10"/>
  <c r="G6" i="4"/>
  <c r="F12" i="15" s="1"/>
  <c r="D26" i="10"/>
  <c r="O21" i="18"/>
  <c r="G28" i="4"/>
  <c r="F34" i="15" s="1"/>
  <c r="G28" i="15"/>
  <c r="H62" i="10"/>
  <c r="E34" i="15"/>
  <c r="F24" i="10"/>
  <c r="P21" i="18"/>
  <c r="H6" i="10"/>
  <c r="I31" i="10"/>
  <c r="N21" i="18"/>
  <c r="F28" i="15"/>
  <c r="E28" i="15"/>
  <c r="H45" i="4"/>
  <c r="I44" i="9" s="1"/>
  <c r="I48" i="14" s="1"/>
  <c r="I48" i="20" s="1"/>
  <c r="I22" i="10"/>
  <c r="E4" i="10"/>
  <c r="H12" i="10"/>
  <c r="G4" i="10"/>
  <c r="I20" i="10"/>
  <c r="E3" i="16"/>
  <c r="H22" i="10"/>
  <c r="E24" i="10"/>
  <c r="O20" i="18"/>
  <c r="N4" i="18"/>
  <c r="E20" i="16"/>
  <c r="E7" i="16"/>
  <c r="G26" i="10"/>
  <c r="I33" i="4"/>
  <c r="J33" i="4" s="1"/>
  <c r="D22" i="10"/>
  <c r="E26" i="10"/>
  <c r="G24" i="10"/>
  <c r="F14" i="16"/>
  <c r="G14" i="16" s="1"/>
  <c r="H29" i="10"/>
  <c r="H4" i="10"/>
  <c r="H24" i="10"/>
  <c r="F26" i="10"/>
  <c r="F18" i="15"/>
  <c r="G5" i="4"/>
  <c r="O4" i="18" s="1"/>
  <c r="F19" i="10"/>
  <c r="E23" i="16"/>
  <c r="F16" i="15"/>
  <c r="E26" i="16"/>
  <c r="E34" i="10"/>
  <c r="F12" i="16"/>
  <c r="G12" i="16" s="1"/>
  <c r="G18" i="10"/>
  <c r="F6" i="10"/>
  <c r="E18" i="10"/>
  <c r="G40" i="10"/>
  <c r="N44" i="18"/>
  <c r="F5" i="16"/>
  <c r="G5" i="16" s="1"/>
  <c r="F40" i="10"/>
  <c r="F5" i="10"/>
  <c r="E51" i="15"/>
  <c r="F4" i="16"/>
  <c r="G4" i="16" s="1"/>
  <c r="F11" i="16"/>
  <c r="G11" i="16" s="1"/>
  <c r="E41" i="16"/>
  <c r="D18" i="10"/>
  <c r="I21" i="10"/>
  <c r="G21" i="11" s="1"/>
  <c r="I26" i="12" s="1"/>
  <c r="O44" i="18"/>
  <c r="F18" i="10"/>
  <c r="I39" i="10"/>
  <c r="E6" i="10"/>
  <c r="I25" i="10"/>
  <c r="E43" i="16"/>
  <c r="F12" i="10"/>
  <c r="H40" i="10"/>
  <c r="H20" i="10"/>
  <c r="D4" i="10"/>
  <c r="G39" i="15"/>
  <c r="I12" i="10"/>
  <c r="H12" i="4"/>
  <c r="P11" i="18" s="1"/>
  <c r="H21" i="4"/>
  <c r="I21" i="4" s="1"/>
  <c r="H20" i="9" s="1"/>
  <c r="I32" i="9"/>
  <c r="I36" i="17" s="1"/>
  <c r="E44" i="10"/>
  <c r="E23" i="10"/>
  <c r="E19" i="10"/>
  <c r="E34" i="16"/>
  <c r="E25" i="16"/>
  <c r="E36" i="10"/>
  <c r="E35" i="10"/>
  <c r="E33" i="15"/>
  <c r="N26" i="18"/>
  <c r="G27" i="4"/>
  <c r="F4" i="10"/>
  <c r="G36" i="10"/>
  <c r="O32" i="18"/>
  <c r="F39" i="15"/>
  <c r="P12" i="15"/>
  <c r="H4" i="16" s="1"/>
  <c r="O12" i="15"/>
  <c r="G53" i="4"/>
  <c r="F59" i="15" s="1"/>
  <c r="E42" i="10"/>
  <c r="E17" i="10"/>
  <c r="E27" i="10"/>
  <c r="E39" i="10"/>
  <c r="G32" i="10"/>
  <c r="G15" i="10"/>
  <c r="G43" i="10"/>
  <c r="I17" i="10"/>
  <c r="E8" i="16"/>
  <c r="E40" i="16"/>
  <c r="E45" i="16"/>
  <c r="N15" i="18"/>
  <c r="E22" i="15"/>
  <c r="G16" i="4"/>
  <c r="E9" i="16"/>
  <c r="E47" i="16"/>
  <c r="I5" i="10"/>
  <c r="I14" i="10"/>
  <c r="H33" i="10"/>
  <c r="F22" i="16"/>
  <c r="G22" i="16" s="1"/>
  <c r="G10" i="16"/>
  <c r="H18" i="10"/>
  <c r="I9" i="10"/>
  <c r="F49" i="16"/>
  <c r="G49" i="16" s="1"/>
  <c r="E30" i="16"/>
  <c r="E37" i="16"/>
  <c r="E48" i="16"/>
  <c r="G8" i="10"/>
  <c r="H14" i="10"/>
  <c r="F42" i="10"/>
  <c r="F27" i="16"/>
  <c r="G27" i="16" s="1"/>
  <c r="H51" i="10"/>
  <c r="F6" i="16"/>
  <c r="G6" i="16" s="1"/>
  <c r="D28" i="10"/>
  <c r="G34" i="10"/>
  <c r="H55" i="10"/>
  <c r="H34" i="10"/>
  <c r="F35" i="16"/>
  <c r="G35" i="16" s="1"/>
  <c r="E21" i="16"/>
  <c r="F31" i="16"/>
  <c r="G31" i="16" s="1"/>
  <c r="G28" i="10"/>
  <c r="I48" i="10"/>
  <c r="H52" i="10"/>
  <c r="G10" i="10"/>
  <c r="G9" i="10"/>
  <c r="F17" i="16"/>
  <c r="G17" i="16" s="1"/>
  <c r="F46" i="16"/>
  <c r="G46" i="16" s="1"/>
  <c r="F14" i="15"/>
  <c r="H8" i="4"/>
  <c r="O7" i="18"/>
  <c r="H47" i="10"/>
  <c r="F13" i="16"/>
  <c r="G13" i="16" s="1"/>
  <c r="F44" i="16"/>
  <c r="G44" i="16" s="1"/>
  <c r="F16" i="16"/>
  <c r="G16" i="16" s="1"/>
  <c r="E15" i="16"/>
  <c r="G39" i="10"/>
  <c r="F51" i="10"/>
  <c r="F25" i="10"/>
  <c r="F27" i="10"/>
  <c r="E28" i="10"/>
  <c r="G52" i="4"/>
  <c r="N51" i="18"/>
  <c r="E58" i="15"/>
  <c r="F28" i="10"/>
  <c r="F48" i="10"/>
  <c r="D44" i="10"/>
  <c r="D31" i="10"/>
  <c r="F44" i="10"/>
  <c r="F39" i="16"/>
  <c r="G39" i="16" s="1"/>
  <c r="I8" i="10"/>
  <c r="H8" i="10"/>
  <c r="F23" i="10"/>
  <c r="D47" i="10"/>
  <c r="I36" i="10"/>
  <c r="E33" i="16"/>
  <c r="F33" i="16"/>
  <c r="G33" i="16" s="1"/>
  <c r="F14" i="10"/>
  <c r="D14" i="10"/>
  <c r="D11" i="10"/>
  <c r="D25" i="10"/>
  <c r="E32" i="16"/>
  <c r="F32" i="16"/>
  <c r="G32" i="16" s="1"/>
  <c r="G32" i="4"/>
  <c r="N31" i="18"/>
  <c r="E38" i="15"/>
  <c r="E25" i="10"/>
  <c r="H45" i="10"/>
  <c r="H9" i="10"/>
  <c r="H32" i="10"/>
  <c r="D29" i="10"/>
  <c r="G5" i="10"/>
  <c r="D45" i="10"/>
  <c r="I27" i="10"/>
  <c r="D10" i="10"/>
  <c r="G27" i="10"/>
  <c r="G17" i="10"/>
  <c r="F47" i="10"/>
  <c r="I50" i="10"/>
  <c r="AW68" i="15"/>
  <c r="E79" i="15"/>
  <c r="N72" i="18"/>
  <c r="G73" i="4"/>
  <c r="G35" i="4"/>
  <c r="N34" i="18"/>
  <c r="E41" i="15"/>
  <c r="G64" i="4"/>
  <c r="N63" i="18"/>
  <c r="E70" i="15"/>
  <c r="N18" i="18"/>
  <c r="G19" i="4"/>
  <c r="E25" i="15"/>
  <c r="F24" i="16"/>
  <c r="G24" i="16" s="1"/>
  <c r="E24" i="16"/>
  <c r="G65" i="4"/>
  <c r="N64" i="18"/>
  <c r="E71" i="15"/>
  <c r="E36" i="16"/>
  <c r="F36" i="16"/>
  <c r="G36" i="16" s="1"/>
  <c r="G71" i="4"/>
  <c r="N70" i="18"/>
  <c r="E77" i="15"/>
  <c r="G70" i="4"/>
  <c r="E76" i="15"/>
  <c r="N69" i="18"/>
  <c r="E29" i="15"/>
  <c r="G23" i="4"/>
  <c r="N22" i="18"/>
  <c r="F38" i="16"/>
  <c r="G38" i="16" s="1"/>
  <c r="E38" i="16"/>
  <c r="G58" i="4"/>
  <c r="N57" i="18"/>
  <c r="E64" i="15"/>
  <c r="E37" i="15"/>
  <c r="G31" i="4"/>
  <c r="N30" i="18"/>
  <c r="G74" i="4"/>
  <c r="E80" i="15"/>
  <c r="N73" i="18"/>
  <c r="G48" i="4"/>
  <c r="F54" i="15" s="1"/>
  <c r="N47" i="18"/>
  <c r="E36" i="15"/>
  <c r="G30" i="4"/>
  <c r="N29" i="18"/>
  <c r="G44" i="4"/>
  <c r="E50" i="15"/>
  <c r="N43" i="18"/>
  <c r="G60" i="4"/>
  <c r="E66" i="15"/>
  <c r="N59" i="18"/>
  <c r="E42" i="16"/>
  <c r="F42" i="16"/>
  <c r="G42" i="16" s="1"/>
  <c r="G57" i="4"/>
  <c r="N56" i="18"/>
  <c r="E63" i="15"/>
  <c r="D40" i="10"/>
  <c r="D12" i="10"/>
  <c r="H17" i="10"/>
  <c r="I10" i="10"/>
  <c r="D39" i="10"/>
  <c r="F32" i="10"/>
  <c r="I49" i="10"/>
  <c r="G37" i="10"/>
  <c r="E26" i="15"/>
  <c r="G20" i="4"/>
  <c r="N19" i="18"/>
  <c r="E30" i="15"/>
  <c r="G24" i="4"/>
  <c r="N23" i="18"/>
  <c r="E44" i="15"/>
  <c r="G38" i="4"/>
  <c r="N37" i="18"/>
  <c r="G42" i="4"/>
  <c r="N41" i="18"/>
  <c r="E48" i="15"/>
  <c r="G62" i="4"/>
  <c r="E68" i="15"/>
  <c r="N61" i="18"/>
  <c r="E52" i="15"/>
  <c r="G46" i="4"/>
  <c r="N45" i="18"/>
  <c r="G40" i="4"/>
  <c r="N39" i="18"/>
  <c r="E46" i="15"/>
  <c r="E21" i="15"/>
  <c r="N14" i="18"/>
  <c r="G15" i="4"/>
  <c r="G36" i="4"/>
  <c r="N35" i="18"/>
  <c r="E42" i="15"/>
  <c r="G67" i="4"/>
  <c r="E73" i="15"/>
  <c r="N66" i="18"/>
  <c r="F18" i="16"/>
  <c r="G18" i="16" s="1"/>
  <c r="E18" i="16"/>
  <c r="G41" i="4"/>
  <c r="E47" i="15"/>
  <c r="N40" i="18"/>
  <c r="G37" i="4"/>
  <c r="E43" i="15"/>
  <c r="N36" i="18"/>
  <c r="G56" i="4"/>
  <c r="N55" i="18"/>
  <c r="E62" i="15"/>
  <c r="F28" i="16"/>
  <c r="G28" i="16" s="1"/>
  <c r="E28" i="16"/>
  <c r="I11" i="10"/>
  <c r="F13" i="10"/>
  <c r="D33" i="10"/>
  <c r="I23" i="10"/>
  <c r="F33" i="10"/>
  <c r="E7" i="10"/>
  <c r="H37" i="10"/>
  <c r="I45" i="10"/>
  <c r="I47" i="10"/>
  <c r="I34" i="10"/>
  <c r="E37" i="10"/>
  <c r="D7" i="10"/>
  <c r="I42" i="10"/>
  <c r="G42" i="11" s="1"/>
  <c r="I47" i="12" s="1"/>
  <c r="I54" i="10"/>
  <c r="D41" i="10"/>
  <c r="I35" i="10"/>
  <c r="F37" i="10"/>
  <c r="D46" i="10"/>
  <c r="D9" i="10"/>
  <c r="D21" i="10"/>
  <c r="F15" i="10"/>
  <c r="D13" i="10"/>
  <c r="H10" i="10"/>
  <c r="E31" i="10"/>
  <c r="F56" i="10"/>
  <c r="H56" i="10"/>
  <c r="F34" i="10"/>
  <c r="F45" i="10"/>
  <c r="H44" i="10"/>
  <c r="F21" i="10"/>
  <c r="H31" i="10"/>
  <c r="D30" i="10"/>
  <c r="F35" i="10"/>
  <c r="F30" i="10"/>
  <c r="I41" i="10"/>
  <c r="I19" i="10"/>
  <c r="I53" i="10"/>
  <c r="G53" i="11" s="1"/>
  <c r="I58" i="12" s="1"/>
  <c r="I43" i="10"/>
  <c r="I37" i="10"/>
  <c r="H18" i="4"/>
  <c r="F24" i="15"/>
  <c r="O17" i="18"/>
  <c r="H11" i="10"/>
  <c r="G11" i="10"/>
  <c r="H7" i="10"/>
  <c r="D15" i="10"/>
  <c r="H21" i="10"/>
  <c r="E9" i="10"/>
  <c r="D35" i="10"/>
  <c r="D48" i="10"/>
  <c r="I38" i="10"/>
  <c r="H19" i="10"/>
  <c r="G49" i="10"/>
  <c r="D56" i="10"/>
  <c r="F41" i="10"/>
  <c r="I30" i="10"/>
  <c r="E11" i="10"/>
  <c r="H41" i="10"/>
  <c r="H5" i="10"/>
  <c r="D17" i="10"/>
  <c r="H46" i="10"/>
  <c r="I6" i="10"/>
  <c r="D27" i="10"/>
  <c r="H38" i="10"/>
  <c r="D55" i="10"/>
  <c r="D23" i="10"/>
  <c r="H54" i="10"/>
  <c r="F17" i="10"/>
  <c r="H25" i="10"/>
  <c r="D34" i="10"/>
  <c r="D37" i="10"/>
  <c r="D36" i="10"/>
  <c r="G35" i="10"/>
  <c r="G38" i="10"/>
  <c r="F46" i="10"/>
  <c r="F55" i="10"/>
  <c r="I46" i="10"/>
  <c r="D5" i="10"/>
  <c r="H27" i="10"/>
  <c r="D38" i="10"/>
  <c r="H39" i="10"/>
  <c r="H23" i="10"/>
  <c r="H15" i="10"/>
  <c r="H30" i="10"/>
  <c r="H35" i="10"/>
  <c r="G45" i="10"/>
  <c r="I56" i="10"/>
  <c r="F39" i="10"/>
  <c r="I55" i="10"/>
  <c r="F38" i="10"/>
  <c r="F49" i="10"/>
  <c r="D6" i="10"/>
  <c r="I16" i="10"/>
  <c r="H13" i="10"/>
  <c r="G13" i="10"/>
  <c r="G19" i="10"/>
  <c r="D49" i="10"/>
  <c r="D16" i="10"/>
  <c r="I7" i="10"/>
  <c r="H36" i="10"/>
  <c r="I40" i="10"/>
  <c r="G44" i="10"/>
  <c r="G51" i="10"/>
  <c r="G21" i="10"/>
  <c r="G23" i="10"/>
  <c r="F7" i="10"/>
  <c r="G6" i="10"/>
  <c r="H43" i="10"/>
  <c r="H42" i="10"/>
  <c r="H50" i="10"/>
  <c r="D54" i="10"/>
  <c r="D19" i="10"/>
  <c r="G50" i="10"/>
  <c r="G54" i="10"/>
  <c r="F29" i="10"/>
  <c r="G29" i="10"/>
  <c r="F43" i="10"/>
  <c r="D43" i="10"/>
  <c r="D42" i="10"/>
  <c r="H49" i="10"/>
  <c r="H16" i="10"/>
  <c r="D50" i="10"/>
  <c r="F16" i="10"/>
  <c r="G42" i="10"/>
  <c r="F36" i="10"/>
  <c r="F53" i="10"/>
  <c r="I32" i="10"/>
  <c r="G33" i="10"/>
  <c r="I52" i="10"/>
  <c r="H53" i="9"/>
  <c r="G25" i="10"/>
  <c r="G52" i="10"/>
  <c r="Z7" i="18"/>
  <c r="Z9" i="18" s="1"/>
  <c r="H48" i="10"/>
  <c r="G46" i="10"/>
  <c r="G41" i="10"/>
  <c r="G48" i="10"/>
  <c r="I51" i="10"/>
  <c r="G53" i="10"/>
  <c r="G31" i="10"/>
  <c r="E5" i="10"/>
  <c r="G47" i="10"/>
  <c r="F31" i="10"/>
  <c r="I44" i="10"/>
  <c r="H64" i="10"/>
  <c r="D64" i="10"/>
  <c r="H42" i="9"/>
  <c r="I46" i="17"/>
  <c r="I46" i="14"/>
  <c r="I46" i="20" s="1"/>
  <c r="O6" i="18"/>
  <c r="F13" i="15"/>
  <c r="H7" i="4"/>
  <c r="I6" i="9" s="1"/>
  <c r="I57" i="14"/>
  <c r="I57" i="20" s="1"/>
  <c r="BG14" i="15"/>
  <c r="J54" i="4"/>
  <c r="Q53" i="18"/>
  <c r="H60" i="15"/>
  <c r="J43" i="4"/>
  <c r="Q42" i="18"/>
  <c r="H49" i="15"/>
  <c r="J68" i="4"/>
  <c r="Q67" i="18"/>
  <c r="H74" i="15"/>
  <c r="J61" i="4"/>
  <c r="Q60" i="18"/>
  <c r="H67" i="15"/>
  <c r="AV5" i="15" l="1"/>
  <c r="P9" i="18"/>
  <c r="I10" i="4"/>
  <c r="Q9" i="18" s="1"/>
  <c r="O9" i="18"/>
  <c r="I17" i="4"/>
  <c r="Q16" i="18" s="1"/>
  <c r="G9" i="11"/>
  <c r="I14" i="12" s="1"/>
  <c r="I13" i="17"/>
  <c r="G16" i="15"/>
  <c r="H20" i="15"/>
  <c r="H47" i="4"/>
  <c r="G53" i="15" s="1"/>
  <c r="AG31" i="18"/>
  <c r="O46" i="18"/>
  <c r="H13" i="9"/>
  <c r="F13" i="11" s="1"/>
  <c r="H18" i="12" s="1"/>
  <c r="X9" i="18"/>
  <c r="I16" i="9"/>
  <c r="I20" i="17" s="1"/>
  <c r="G23" i="15"/>
  <c r="J14" i="4"/>
  <c r="G13" i="9" s="1"/>
  <c r="E13" i="11" s="1"/>
  <c r="G18" i="12" s="1"/>
  <c r="F23" i="15"/>
  <c r="H13" i="4"/>
  <c r="P12" i="18" s="1"/>
  <c r="F19" i="15"/>
  <c r="Y9" i="18"/>
  <c r="F15" i="15"/>
  <c r="H9" i="4"/>
  <c r="P8" i="18" s="1"/>
  <c r="I69" i="4"/>
  <c r="H75" i="15" s="1"/>
  <c r="P68" i="18"/>
  <c r="AL31" i="18"/>
  <c r="F53" i="11"/>
  <c r="H58" i="12" s="1"/>
  <c r="AG32" i="18"/>
  <c r="X8" i="18"/>
  <c r="AH32" i="18" s="1"/>
  <c r="G60" i="11"/>
  <c r="I65" i="12" s="1"/>
  <c r="AN31" i="18"/>
  <c r="Q71" i="18"/>
  <c r="H78" i="15"/>
  <c r="G69" i="15"/>
  <c r="H39" i="15"/>
  <c r="J22" i="4"/>
  <c r="I28" i="15" s="1"/>
  <c r="H32" i="9"/>
  <c r="F32" i="11" s="1"/>
  <c r="H37" i="12" s="1"/>
  <c r="Q21" i="18"/>
  <c r="H21" i="9"/>
  <c r="F21" i="11" s="1"/>
  <c r="H26" i="12" s="1"/>
  <c r="I36" i="14"/>
  <c r="I36" i="20" s="1"/>
  <c r="F57" i="15"/>
  <c r="P24" i="18"/>
  <c r="P10" i="18"/>
  <c r="O25" i="18"/>
  <c r="O33" i="18"/>
  <c r="H26" i="4"/>
  <c r="G32" i="15" s="1"/>
  <c r="F65" i="11"/>
  <c r="H70" i="12" s="1"/>
  <c r="H34" i="4"/>
  <c r="I33" i="9" s="1"/>
  <c r="I37" i="17" s="1"/>
  <c r="G10" i="11"/>
  <c r="I15" i="12" s="1"/>
  <c r="I14" i="14"/>
  <c r="I14" i="20" s="1"/>
  <c r="G17" i="15"/>
  <c r="H72" i="15"/>
  <c r="Q65" i="18"/>
  <c r="J66" i="4"/>
  <c r="G65" i="9" s="1"/>
  <c r="E65" i="11" s="1"/>
  <c r="G70" i="12" s="1"/>
  <c r="I11" i="4"/>
  <c r="H10" i="9" s="1"/>
  <c r="F10" i="11" s="1"/>
  <c r="H15" i="12" s="1"/>
  <c r="G68" i="11"/>
  <c r="I73" i="12" s="1"/>
  <c r="I62" i="9"/>
  <c r="I66" i="14" s="1"/>
  <c r="I66" i="20" s="1"/>
  <c r="I25" i="4"/>
  <c r="J25" i="4" s="1"/>
  <c r="F11" i="15"/>
  <c r="I63" i="4"/>
  <c r="H69" i="15" s="1"/>
  <c r="O24" i="18"/>
  <c r="H29" i="4"/>
  <c r="I28" i="9" s="1"/>
  <c r="I32" i="17" s="1"/>
  <c r="I24" i="9"/>
  <c r="I28" i="17" s="1"/>
  <c r="I50" i="4"/>
  <c r="J50" i="4" s="1"/>
  <c r="K50" i="4" s="1"/>
  <c r="H68" i="9"/>
  <c r="F68" i="11" s="1"/>
  <c r="H73" i="12" s="1"/>
  <c r="F31" i="15"/>
  <c r="F35" i="15"/>
  <c r="G75" i="15"/>
  <c r="AC9" i="18"/>
  <c r="AA9" i="18"/>
  <c r="P54" i="18"/>
  <c r="G61" i="15"/>
  <c r="I55" i="4"/>
  <c r="I54" i="9"/>
  <c r="I58" i="14" s="1"/>
  <c r="I58" i="20" s="1"/>
  <c r="H51" i="4"/>
  <c r="I50" i="9" s="1"/>
  <c r="G50" i="11" s="1"/>
  <c r="I55" i="12" s="1"/>
  <c r="I48" i="17"/>
  <c r="G51" i="15"/>
  <c r="G56" i="15"/>
  <c r="I49" i="9"/>
  <c r="G49" i="11" s="1"/>
  <c r="I54" i="12" s="1"/>
  <c r="H39" i="4"/>
  <c r="O38" i="18"/>
  <c r="F45" i="15"/>
  <c r="G74" i="9"/>
  <c r="E74" i="11" s="1"/>
  <c r="G79" i="12" s="1"/>
  <c r="I81" i="15"/>
  <c r="G75" i="9"/>
  <c r="E75" i="11" s="1"/>
  <c r="G80" i="12" s="1"/>
  <c r="I82" i="15"/>
  <c r="I59" i="4"/>
  <c r="I58" i="9"/>
  <c r="I62" i="14" s="1"/>
  <c r="I62" i="20" s="1"/>
  <c r="G65" i="15"/>
  <c r="O5" i="18"/>
  <c r="H6" i="4"/>
  <c r="I5" i="9" s="1"/>
  <c r="H49" i="4"/>
  <c r="G55" i="15" s="1"/>
  <c r="O48" i="18"/>
  <c r="F71" i="11"/>
  <c r="H76" i="12" s="1"/>
  <c r="F67" i="11"/>
  <c r="H72" i="12" s="1"/>
  <c r="K76" i="4"/>
  <c r="K75" i="4"/>
  <c r="D74" i="9" s="1"/>
  <c r="B74" i="11" s="1"/>
  <c r="G67" i="9"/>
  <c r="E67" i="11" s="1"/>
  <c r="G72" i="12" s="1"/>
  <c r="G71" i="9"/>
  <c r="E71" i="11" s="1"/>
  <c r="G76" i="12" s="1"/>
  <c r="G60" i="9"/>
  <c r="E60" i="11" s="1"/>
  <c r="G65" i="12" s="1"/>
  <c r="G71" i="11"/>
  <c r="I76" i="12" s="1"/>
  <c r="G44" i="11"/>
  <c r="I49" i="12" s="1"/>
  <c r="I45" i="4"/>
  <c r="J45" i="4" s="1"/>
  <c r="K45" i="4" s="1"/>
  <c r="P44" i="18"/>
  <c r="H28" i="4"/>
  <c r="I27" i="9" s="1"/>
  <c r="G27" i="11" s="1"/>
  <c r="I32" i="12" s="1"/>
  <c r="I20" i="9"/>
  <c r="I24" i="17" s="1"/>
  <c r="O27" i="18"/>
  <c r="P20" i="18"/>
  <c r="H5" i="4"/>
  <c r="I4" i="9" s="1"/>
  <c r="I8" i="20" s="1"/>
  <c r="G27" i="15"/>
  <c r="G32" i="11"/>
  <c r="I37" i="12" s="1"/>
  <c r="Q32" i="18"/>
  <c r="I11" i="9"/>
  <c r="I15" i="14" s="1"/>
  <c r="I15" i="20" s="1"/>
  <c r="I12" i="4"/>
  <c r="H11" i="9" s="1"/>
  <c r="F11" i="11" s="1"/>
  <c r="H16" i="12" s="1"/>
  <c r="G18" i="15"/>
  <c r="F20" i="11"/>
  <c r="H25" i="12" s="1"/>
  <c r="O26" i="18"/>
  <c r="F33" i="15"/>
  <c r="H27" i="4"/>
  <c r="O52" i="18"/>
  <c r="H53" i="4"/>
  <c r="I52" i="9" s="1"/>
  <c r="G52" i="11" s="1"/>
  <c r="I57" i="12" s="1"/>
  <c r="F22" i="15"/>
  <c r="O15" i="18"/>
  <c r="H16" i="4"/>
  <c r="I8" i="4"/>
  <c r="P7" i="18"/>
  <c r="G14" i="15"/>
  <c r="I7" i="9"/>
  <c r="O51" i="18"/>
  <c r="F58" i="15"/>
  <c r="H52" i="4"/>
  <c r="I51" i="9" s="1"/>
  <c r="I55" i="14" s="1"/>
  <c r="I55" i="20" s="1"/>
  <c r="F38" i="15"/>
  <c r="H32" i="4"/>
  <c r="I31" i="9" s="1"/>
  <c r="O31" i="18"/>
  <c r="O63" i="18"/>
  <c r="F70" i="15"/>
  <c r="H64" i="4"/>
  <c r="I63" i="9" s="1"/>
  <c r="H73" i="4"/>
  <c r="I72" i="9" s="1"/>
  <c r="O72" i="18"/>
  <c r="F79" i="15"/>
  <c r="H38" i="4"/>
  <c r="O37" i="18"/>
  <c r="F44" i="15"/>
  <c r="H57" i="4"/>
  <c r="I56" i="9" s="1"/>
  <c r="O56" i="18"/>
  <c r="F63" i="15"/>
  <c r="H48" i="4"/>
  <c r="O47" i="18"/>
  <c r="O57" i="18"/>
  <c r="F64" i="15"/>
  <c r="H58" i="4"/>
  <c r="O22" i="18"/>
  <c r="F29" i="15"/>
  <c r="H23" i="4"/>
  <c r="H65" i="4"/>
  <c r="O64" i="18"/>
  <c r="F71" i="15"/>
  <c r="O36" i="18"/>
  <c r="H37" i="4"/>
  <c r="F43" i="15"/>
  <c r="F73" i="15"/>
  <c r="O66" i="18"/>
  <c r="H67" i="4"/>
  <c r="F21" i="15"/>
  <c r="H15" i="4"/>
  <c r="O14" i="18"/>
  <c r="O41" i="18"/>
  <c r="F48" i="15"/>
  <c r="H42" i="4"/>
  <c r="I41" i="9" s="1"/>
  <c r="H20" i="4"/>
  <c r="O19" i="18"/>
  <c r="F26" i="15"/>
  <c r="H44" i="4"/>
  <c r="I43" i="9" s="1"/>
  <c r="G43" i="11" s="1"/>
  <c r="I48" i="12" s="1"/>
  <c r="F50" i="15"/>
  <c r="O43" i="18"/>
  <c r="O69" i="18"/>
  <c r="H70" i="4"/>
  <c r="I69" i="9" s="1"/>
  <c r="F76" i="15"/>
  <c r="H35" i="4"/>
  <c r="O34" i="18"/>
  <c r="F41" i="15"/>
  <c r="H40" i="4"/>
  <c r="I39" i="9" s="1"/>
  <c r="O39" i="18"/>
  <c r="F46" i="15"/>
  <c r="H62" i="4"/>
  <c r="I61" i="9" s="1"/>
  <c r="O61" i="18"/>
  <c r="F68" i="15"/>
  <c r="O23" i="18"/>
  <c r="F30" i="15"/>
  <c r="H24" i="4"/>
  <c r="H60" i="4"/>
  <c r="F66" i="15"/>
  <c r="O59" i="18"/>
  <c r="O30" i="18"/>
  <c r="H31" i="4"/>
  <c r="I30" i="9" s="1"/>
  <c r="F37" i="15"/>
  <c r="H56" i="4"/>
  <c r="O55" i="18"/>
  <c r="F62" i="15"/>
  <c r="O29" i="18"/>
  <c r="H30" i="4"/>
  <c r="F36" i="15"/>
  <c r="F47" i="15"/>
  <c r="H41" i="4"/>
  <c r="O40" i="18"/>
  <c r="H36" i="4"/>
  <c r="I35" i="9" s="1"/>
  <c r="G35" i="11" s="1"/>
  <c r="I40" i="12" s="1"/>
  <c r="F42" i="15"/>
  <c r="O35" i="18"/>
  <c r="O45" i="18"/>
  <c r="F52" i="15"/>
  <c r="H46" i="4"/>
  <c r="I45" i="9" s="1"/>
  <c r="F80" i="15"/>
  <c r="H74" i="4"/>
  <c r="O73" i="18"/>
  <c r="H71" i="4"/>
  <c r="I70" i="9" s="1"/>
  <c r="O70" i="18"/>
  <c r="F77" i="15"/>
  <c r="H19" i="4"/>
  <c r="O18" i="18"/>
  <c r="F25" i="15"/>
  <c r="I17" i="9"/>
  <c r="G17" i="11" s="1"/>
  <c r="I22" i="12" s="1"/>
  <c r="G24" i="15"/>
  <c r="P17" i="18"/>
  <c r="I18" i="4"/>
  <c r="I46" i="9"/>
  <c r="F42" i="11"/>
  <c r="H47" i="12" s="1"/>
  <c r="G42" i="9"/>
  <c r="E42" i="11" s="1"/>
  <c r="G47" i="12" s="1"/>
  <c r="AJ31" i="18"/>
  <c r="I7" i="4"/>
  <c r="H6" i="9" s="1"/>
  <c r="F6" i="11" s="1"/>
  <c r="H11" i="12" s="1"/>
  <c r="G13" i="15"/>
  <c r="P6" i="18"/>
  <c r="G32" i="9"/>
  <c r="G53" i="9"/>
  <c r="E53" i="11" s="1"/>
  <c r="G58" i="12" s="1"/>
  <c r="G6" i="11"/>
  <c r="I11" i="12" s="1"/>
  <c r="Q20" i="18"/>
  <c r="H27" i="15"/>
  <c r="J21" i="4"/>
  <c r="K33" i="4"/>
  <c r="R32" i="18"/>
  <c r="I39" i="15"/>
  <c r="K72" i="4"/>
  <c r="F71" i="9" s="1"/>
  <c r="D71" i="11" s="1"/>
  <c r="F76" i="12" s="1"/>
  <c r="R71" i="18"/>
  <c r="I78" i="15"/>
  <c r="K54" i="4"/>
  <c r="R53" i="18"/>
  <c r="I60" i="15"/>
  <c r="K68" i="4"/>
  <c r="R67" i="18"/>
  <c r="I74" i="15"/>
  <c r="K61" i="4"/>
  <c r="D60" i="9" s="1"/>
  <c r="R60" i="18"/>
  <c r="I67" i="15"/>
  <c r="K43" i="4"/>
  <c r="R42" i="18"/>
  <c r="I49" i="15"/>
  <c r="BH14" i="15"/>
  <c r="H16" i="15" l="1"/>
  <c r="J10" i="4"/>
  <c r="G9" i="9" s="1"/>
  <c r="E9" i="11" s="1"/>
  <c r="G14" i="12" s="1"/>
  <c r="H9" i="9"/>
  <c r="F9" i="11" s="1"/>
  <c r="H14" i="12" s="1"/>
  <c r="H23" i="15"/>
  <c r="J17" i="4"/>
  <c r="G16" i="9" s="1"/>
  <c r="H16" i="9"/>
  <c r="F16" i="11" s="1"/>
  <c r="H21" i="12" s="1"/>
  <c r="R13" i="18"/>
  <c r="I47" i="4"/>
  <c r="J47" i="4" s="1"/>
  <c r="P46" i="18"/>
  <c r="K14" i="4"/>
  <c r="F13" i="9" s="1"/>
  <c r="D13" i="11" s="1"/>
  <c r="F18" i="12" s="1"/>
  <c r="Y8" i="18"/>
  <c r="Y10" i="18" s="1"/>
  <c r="I20" i="14"/>
  <c r="I20" i="20" s="1"/>
  <c r="G16" i="11"/>
  <c r="I21" i="12" s="1"/>
  <c r="I20" i="15"/>
  <c r="G19" i="15"/>
  <c r="G15" i="15"/>
  <c r="I12" i="9"/>
  <c r="I16" i="14" s="1"/>
  <c r="I16" i="20" s="1"/>
  <c r="I8" i="9"/>
  <c r="G8" i="11" s="1"/>
  <c r="I13" i="12" s="1"/>
  <c r="I13" i="4"/>
  <c r="J13" i="4" s="1"/>
  <c r="G12" i="9" s="1"/>
  <c r="E12" i="11" s="1"/>
  <c r="G17" i="12" s="1"/>
  <c r="J69" i="4"/>
  <c r="I75" i="15" s="1"/>
  <c r="Q68" i="18"/>
  <c r="I9" i="4"/>
  <c r="J9" i="4" s="1"/>
  <c r="I15" i="15" s="1"/>
  <c r="Q49" i="18"/>
  <c r="I47" i="9"/>
  <c r="I51" i="14" s="1"/>
  <c r="I51" i="20" s="1"/>
  <c r="G54" i="15"/>
  <c r="X10" i="18"/>
  <c r="I26" i="4"/>
  <c r="H32" i="15" s="1"/>
  <c r="K22" i="4"/>
  <c r="S21" i="18" s="1"/>
  <c r="G33" i="11"/>
  <c r="I38" i="12" s="1"/>
  <c r="R21" i="18"/>
  <c r="G21" i="9"/>
  <c r="E21" i="11" s="1"/>
  <c r="G26" i="12" s="1"/>
  <c r="Q10" i="18"/>
  <c r="Q62" i="18"/>
  <c r="I72" i="15"/>
  <c r="H24" i="9"/>
  <c r="F24" i="11" s="1"/>
  <c r="H29" i="12" s="1"/>
  <c r="H17" i="15"/>
  <c r="J11" i="4"/>
  <c r="I17" i="15" s="1"/>
  <c r="I28" i="14"/>
  <c r="I28" i="20" s="1"/>
  <c r="P52" i="18"/>
  <c r="G62" i="11"/>
  <c r="I67" i="12" s="1"/>
  <c r="H31" i="15"/>
  <c r="Q24" i="18"/>
  <c r="P25" i="18"/>
  <c r="G28" i="11"/>
  <c r="I33" i="12" s="1"/>
  <c r="R65" i="18"/>
  <c r="I25" i="9"/>
  <c r="G25" i="11" s="1"/>
  <c r="I30" i="12" s="1"/>
  <c r="I29" i="4"/>
  <c r="H35" i="15" s="1"/>
  <c r="K66" i="4"/>
  <c r="F65" i="9" s="1"/>
  <c r="D65" i="11" s="1"/>
  <c r="F70" i="12" s="1"/>
  <c r="R44" i="18"/>
  <c r="G24" i="9"/>
  <c r="E24" i="11" s="1"/>
  <c r="G29" i="12" s="1"/>
  <c r="I6" i="4"/>
  <c r="H12" i="15" s="1"/>
  <c r="G57" i="15"/>
  <c r="G35" i="15"/>
  <c r="P28" i="18"/>
  <c r="I32" i="14"/>
  <c r="I32" i="20" s="1"/>
  <c r="I56" i="15"/>
  <c r="G12" i="15"/>
  <c r="I37" i="14"/>
  <c r="I37" i="20" s="1"/>
  <c r="Q12" i="18"/>
  <c r="H56" i="15"/>
  <c r="H62" i="9"/>
  <c r="F62" i="11" s="1"/>
  <c r="H67" i="12" s="1"/>
  <c r="J63" i="4"/>
  <c r="G62" i="9" s="1"/>
  <c r="E62" i="11" s="1"/>
  <c r="G67" i="12" s="1"/>
  <c r="I19" i="15"/>
  <c r="G40" i="15"/>
  <c r="R49" i="18"/>
  <c r="G49" i="9"/>
  <c r="E49" i="11" s="1"/>
  <c r="G54" i="12" s="1"/>
  <c r="P5" i="18"/>
  <c r="I34" i="4"/>
  <c r="H40" i="15" s="1"/>
  <c r="G68" i="9"/>
  <c r="E68" i="11" s="1"/>
  <c r="G73" i="12" s="1"/>
  <c r="H49" i="9"/>
  <c r="F49" i="11" s="1"/>
  <c r="H54" i="12" s="1"/>
  <c r="P33" i="18"/>
  <c r="G24" i="11"/>
  <c r="I29" i="12" s="1"/>
  <c r="P50" i="18"/>
  <c r="I51" i="4"/>
  <c r="H50" i="9" s="1"/>
  <c r="F50" i="11" s="1"/>
  <c r="H55" i="12" s="1"/>
  <c r="G20" i="11"/>
  <c r="I25" i="12" s="1"/>
  <c r="I24" i="14"/>
  <c r="I24" i="20" s="1"/>
  <c r="J55" i="4"/>
  <c r="Q54" i="18"/>
  <c r="H54" i="9"/>
  <c r="F54" i="11" s="1"/>
  <c r="H59" i="12" s="1"/>
  <c r="H61" i="15"/>
  <c r="G59" i="15"/>
  <c r="I56" i="14"/>
  <c r="I56" i="20" s="1"/>
  <c r="G54" i="11"/>
  <c r="I59" i="12" s="1"/>
  <c r="J12" i="4"/>
  <c r="R11" i="18" s="1"/>
  <c r="P27" i="18"/>
  <c r="P38" i="18"/>
  <c r="I39" i="4"/>
  <c r="I38" i="9"/>
  <c r="G45" i="15"/>
  <c r="I53" i="17"/>
  <c r="I53" i="14"/>
  <c r="I53" i="20" s="1"/>
  <c r="F75" i="9"/>
  <c r="D75" i="11" s="1"/>
  <c r="F80" i="12" s="1"/>
  <c r="J82" i="15"/>
  <c r="G58" i="11"/>
  <c r="I63" i="12" s="1"/>
  <c r="Q58" i="18"/>
  <c r="H65" i="15"/>
  <c r="J59" i="4"/>
  <c r="H58" i="9"/>
  <c r="F58" i="11" s="1"/>
  <c r="H63" i="12" s="1"/>
  <c r="G58" i="9"/>
  <c r="E58" i="11" s="1"/>
  <c r="G63" i="12" s="1"/>
  <c r="L75" i="4"/>
  <c r="K81" i="15" s="1"/>
  <c r="J81" i="15"/>
  <c r="P48" i="18"/>
  <c r="I49" i="4"/>
  <c r="I48" i="9"/>
  <c r="D75" i="9"/>
  <c r="B75" i="11" s="1"/>
  <c r="D80" i="12" s="1"/>
  <c r="I53" i="4"/>
  <c r="H52" i="9" s="1"/>
  <c r="F52" i="11" s="1"/>
  <c r="H57" i="12" s="1"/>
  <c r="F74" i="9"/>
  <c r="D74" i="11" s="1"/>
  <c r="F79" i="12" s="1"/>
  <c r="O74" i="11"/>
  <c r="D79" i="12"/>
  <c r="L76" i="4"/>
  <c r="H51" i="15"/>
  <c r="I67" i="14"/>
  <c r="I67" i="20" s="1"/>
  <c r="G63" i="11"/>
  <c r="I68" i="12" s="1"/>
  <c r="B60" i="11"/>
  <c r="I65" i="14"/>
  <c r="I65" i="20" s="1"/>
  <c r="G61" i="11"/>
  <c r="I66" i="12" s="1"/>
  <c r="I76" i="14"/>
  <c r="I76" i="20" s="1"/>
  <c r="G72" i="11"/>
  <c r="I77" i="12" s="1"/>
  <c r="I73" i="14"/>
  <c r="I73" i="20" s="1"/>
  <c r="G69" i="11"/>
  <c r="I74" i="12" s="1"/>
  <c r="I73" i="9"/>
  <c r="I28" i="4"/>
  <c r="H34" i="15" s="1"/>
  <c r="D71" i="9"/>
  <c r="I64" i="9"/>
  <c r="G34" i="15"/>
  <c r="F60" i="9"/>
  <c r="D60" i="11" s="1"/>
  <c r="F65" i="12" s="1"/>
  <c r="F67" i="9"/>
  <c r="D67" i="11" s="1"/>
  <c r="F72" i="12" s="1"/>
  <c r="D67" i="9"/>
  <c r="I57" i="9"/>
  <c r="I74" i="14"/>
  <c r="I74" i="20" s="1"/>
  <c r="G70" i="11"/>
  <c r="I75" i="12" s="1"/>
  <c r="I59" i="9"/>
  <c r="I66" i="9"/>
  <c r="I51" i="15"/>
  <c r="H44" i="9"/>
  <c r="F44" i="11" s="1"/>
  <c r="H49" i="12" s="1"/>
  <c r="Q44" i="18"/>
  <c r="G44" i="9"/>
  <c r="E44" i="11" s="1"/>
  <c r="G49" i="12" s="1"/>
  <c r="I5" i="4"/>
  <c r="H4" i="9" s="1"/>
  <c r="F4" i="11" s="1"/>
  <c r="H9" i="12" s="1"/>
  <c r="G11" i="11"/>
  <c r="I16" i="12" s="1"/>
  <c r="I8" i="17"/>
  <c r="I15" i="17"/>
  <c r="P4" i="18"/>
  <c r="G4" i="11"/>
  <c r="I9" i="12" s="1"/>
  <c r="Q11" i="18"/>
  <c r="I8" i="14"/>
  <c r="G11" i="15"/>
  <c r="H18" i="15"/>
  <c r="I16" i="15"/>
  <c r="I27" i="4"/>
  <c r="P26" i="18"/>
  <c r="I26" i="9"/>
  <c r="G26" i="11" s="1"/>
  <c r="I31" i="12" s="1"/>
  <c r="G33" i="15"/>
  <c r="I31" i="17"/>
  <c r="I31" i="14"/>
  <c r="I31" i="20" s="1"/>
  <c r="I16" i="4"/>
  <c r="H15" i="9" s="1"/>
  <c r="F15" i="11" s="1"/>
  <c r="H20" i="12" s="1"/>
  <c r="G22" i="15"/>
  <c r="P15" i="18"/>
  <c r="I15" i="9"/>
  <c r="I54" i="14"/>
  <c r="I54" i="20" s="1"/>
  <c r="I54" i="17"/>
  <c r="J8" i="4"/>
  <c r="H14" i="15"/>
  <c r="Q7" i="18"/>
  <c r="H7" i="9"/>
  <c r="F7" i="11" s="1"/>
  <c r="H12" i="12" s="1"/>
  <c r="G7" i="9"/>
  <c r="E7" i="11" s="1"/>
  <c r="G12" i="12" s="1"/>
  <c r="I11" i="14"/>
  <c r="I11" i="20" s="1"/>
  <c r="I11" i="17"/>
  <c r="G51" i="11"/>
  <c r="I56" i="12" s="1"/>
  <c r="I52" i="4"/>
  <c r="H51" i="9" s="1"/>
  <c r="F51" i="11" s="1"/>
  <c r="H56" i="12" s="1"/>
  <c r="G58" i="15"/>
  <c r="P51" i="18"/>
  <c r="G7" i="11"/>
  <c r="I12" i="12" s="1"/>
  <c r="I34" i="14"/>
  <c r="I34" i="20" s="1"/>
  <c r="I34" i="17"/>
  <c r="G30" i="11"/>
  <c r="I35" i="12" s="1"/>
  <c r="G31" i="11"/>
  <c r="I36" i="12" s="1"/>
  <c r="I35" i="17"/>
  <c r="I35" i="14"/>
  <c r="I35" i="20" s="1"/>
  <c r="G38" i="15"/>
  <c r="I32" i="4"/>
  <c r="P31" i="18"/>
  <c r="I45" i="17"/>
  <c r="I45" i="14"/>
  <c r="I45" i="20" s="1"/>
  <c r="G41" i="11"/>
  <c r="I46" i="12" s="1"/>
  <c r="G80" i="15"/>
  <c r="P73" i="18"/>
  <c r="I74" i="4"/>
  <c r="P40" i="18"/>
  <c r="I41" i="4"/>
  <c r="H40" i="9" s="1"/>
  <c r="F40" i="11" s="1"/>
  <c r="H45" i="12" s="1"/>
  <c r="G47" i="15"/>
  <c r="P30" i="18"/>
  <c r="I31" i="4"/>
  <c r="G37" i="15"/>
  <c r="P61" i="18"/>
  <c r="G68" i="15"/>
  <c r="I62" i="4"/>
  <c r="H61" i="9" s="1"/>
  <c r="F61" i="11" s="1"/>
  <c r="H66" i="12" s="1"/>
  <c r="I40" i="4"/>
  <c r="P39" i="18"/>
  <c r="G46" i="15"/>
  <c r="I48" i="4"/>
  <c r="H54" i="15" s="1"/>
  <c r="P47" i="18"/>
  <c r="I43" i="17"/>
  <c r="G39" i="11"/>
  <c r="I44" i="12" s="1"/>
  <c r="I43" i="14"/>
  <c r="I43" i="20" s="1"/>
  <c r="I64" i="4"/>
  <c r="P63" i="18"/>
  <c r="G70" i="15"/>
  <c r="I60" i="14"/>
  <c r="I60" i="20" s="1"/>
  <c r="G56" i="11"/>
  <c r="I61" i="12" s="1"/>
  <c r="P18" i="18"/>
  <c r="G25" i="15"/>
  <c r="I19" i="4"/>
  <c r="I18" i="9"/>
  <c r="G18" i="11" s="1"/>
  <c r="I23" i="12" s="1"/>
  <c r="P70" i="18"/>
  <c r="G77" i="15"/>
  <c r="I71" i="4"/>
  <c r="H70" i="9" s="1"/>
  <c r="F70" i="11" s="1"/>
  <c r="H75" i="12" s="1"/>
  <c r="I49" i="14"/>
  <c r="I49" i="20" s="1"/>
  <c r="G45" i="11"/>
  <c r="I50" i="12" s="1"/>
  <c r="I49" i="17"/>
  <c r="I40" i="9"/>
  <c r="G36" i="15"/>
  <c r="I30" i="4"/>
  <c r="I29" i="9"/>
  <c r="P29" i="18"/>
  <c r="G62" i="15"/>
  <c r="P55" i="18"/>
  <c r="I56" i="4"/>
  <c r="I24" i="4"/>
  <c r="P23" i="18"/>
  <c r="G30" i="15"/>
  <c r="P43" i="18"/>
  <c r="G50" i="15"/>
  <c r="I44" i="4"/>
  <c r="G71" i="15"/>
  <c r="I65" i="4"/>
  <c r="P64" i="18"/>
  <c r="P57" i="18"/>
  <c r="G64" i="15"/>
  <c r="I58" i="4"/>
  <c r="H57" i="9" s="1"/>
  <c r="F57" i="11" s="1"/>
  <c r="H62" i="12" s="1"/>
  <c r="I37" i="9"/>
  <c r="P37" i="18"/>
  <c r="G44" i="15"/>
  <c r="I38" i="4"/>
  <c r="G79" i="15"/>
  <c r="P72" i="18"/>
  <c r="I73" i="4"/>
  <c r="H72" i="9" s="1"/>
  <c r="F72" i="11" s="1"/>
  <c r="H77" i="12" s="1"/>
  <c r="I55" i="9"/>
  <c r="I47" i="17"/>
  <c r="I47" i="14"/>
  <c r="I47" i="20" s="1"/>
  <c r="I36" i="4"/>
  <c r="H35" i="9" s="1"/>
  <c r="F35" i="11" s="1"/>
  <c r="H40" i="12" s="1"/>
  <c r="G42" i="15"/>
  <c r="P35" i="18"/>
  <c r="P59" i="18"/>
  <c r="G66" i="15"/>
  <c r="I60" i="4"/>
  <c r="G76" i="15"/>
  <c r="I70" i="4"/>
  <c r="P69" i="18"/>
  <c r="G26" i="15"/>
  <c r="P19" i="18"/>
  <c r="I19" i="9"/>
  <c r="I20" i="4"/>
  <c r="P66" i="18"/>
  <c r="G73" i="15"/>
  <c r="I67" i="4"/>
  <c r="P45" i="18"/>
  <c r="G52" i="15"/>
  <c r="I46" i="4"/>
  <c r="I23" i="9"/>
  <c r="I34" i="9"/>
  <c r="P34" i="18"/>
  <c r="G41" i="15"/>
  <c r="I35" i="4"/>
  <c r="P41" i="18"/>
  <c r="G48" i="15"/>
  <c r="I42" i="4"/>
  <c r="P14" i="18"/>
  <c r="G21" i="15"/>
  <c r="I14" i="9"/>
  <c r="I15" i="4"/>
  <c r="G43" i="15"/>
  <c r="I37" i="4"/>
  <c r="P36" i="18"/>
  <c r="I36" i="9"/>
  <c r="G29" i="15"/>
  <c r="P22" i="18"/>
  <c r="I23" i="4"/>
  <c r="I22" i="9"/>
  <c r="P56" i="18"/>
  <c r="G63" i="15"/>
  <c r="I57" i="4"/>
  <c r="H56" i="9" s="1"/>
  <c r="F56" i="11" s="1"/>
  <c r="H61" i="12" s="1"/>
  <c r="I50" i="17"/>
  <c r="I50" i="14"/>
  <c r="I50" i="20" s="1"/>
  <c r="H46" i="9"/>
  <c r="F46" i="11" s="1"/>
  <c r="H51" i="12" s="1"/>
  <c r="Q17" i="18"/>
  <c r="H24" i="15"/>
  <c r="H17" i="9"/>
  <c r="F17" i="11" s="1"/>
  <c r="H22" i="12" s="1"/>
  <c r="J18" i="4"/>
  <c r="G46" i="11"/>
  <c r="I51" i="12" s="1"/>
  <c r="I9" i="20"/>
  <c r="I9" i="14"/>
  <c r="I9" i="17"/>
  <c r="G5" i="11"/>
  <c r="I10" i="12" s="1"/>
  <c r="F44" i="9"/>
  <c r="D44" i="11" s="1"/>
  <c r="F49" i="12" s="1"/>
  <c r="F49" i="9"/>
  <c r="D49" i="11" s="1"/>
  <c r="F54" i="12" s="1"/>
  <c r="F32" i="9"/>
  <c r="D32" i="11" s="1"/>
  <c r="F37" i="12" s="1"/>
  <c r="D44" i="9"/>
  <c r="B44" i="11" s="1"/>
  <c r="E32" i="11"/>
  <c r="G37" i="12" s="1"/>
  <c r="D49" i="9"/>
  <c r="D32" i="9"/>
  <c r="D42" i="9"/>
  <c r="F42" i="9"/>
  <c r="R20" i="18"/>
  <c r="I27" i="15"/>
  <c r="G20" i="9"/>
  <c r="E20" i="11" s="1"/>
  <c r="G25" i="12" s="1"/>
  <c r="K21" i="4"/>
  <c r="D20" i="9" s="1"/>
  <c r="B20" i="11" s="1"/>
  <c r="H13" i="15"/>
  <c r="J7" i="4"/>
  <c r="Q6" i="18"/>
  <c r="D53" i="9"/>
  <c r="F53" i="9"/>
  <c r="D53" i="11" s="1"/>
  <c r="F58" i="12" s="1"/>
  <c r="BI14" i="15"/>
  <c r="L43" i="4"/>
  <c r="S42" i="18"/>
  <c r="J49" i="15"/>
  <c r="L50" i="4"/>
  <c r="S49" i="18"/>
  <c r="J56" i="15"/>
  <c r="L72" i="4"/>
  <c r="E71" i="9" s="1"/>
  <c r="C71" i="11" s="1"/>
  <c r="E76" i="12" s="1"/>
  <c r="S71" i="18"/>
  <c r="J78" i="15"/>
  <c r="L61" i="4"/>
  <c r="E60" i="9" s="1"/>
  <c r="S60" i="18"/>
  <c r="J67" i="15"/>
  <c r="L68" i="4"/>
  <c r="E67" i="9" s="1"/>
  <c r="C67" i="11" s="1"/>
  <c r="E72" i="12" s="1"/>
  <c r="S67" i="18"/>
  <c r="J74" i="15"/>
  <c r="L54" i="4"/>
  <c r="S53" i="18"/>
  <c r="J60" i="15"/>
  <c r="L45" i="4"/>
  <c r="S44" i="18"/>
  <c r="J51" i="15"/>
  <c r="K25" i="4"/>
  <c r="F24" i="9" s="1"/>
  <c r="D24" i="11" s="1"/>
  <c r="F29" i="12" s="1"/>
  <c r="R24" i="18"/>
  <c r="I31" i="15"/>
  <c r="L33" i="4"/>
  <c r="S32" i="18"/>
  <c r="J39" i="15"/>
  <c r="R9" i="18" l="1"/>
  <c r="K10" i="4"/>
  <c r="F9" i="9" s="1"/>
  <c r="D9" i="11" s="1"/>
  <c r="F14" i="12" s="1"/>
  <c r="H53" i="15"/>
  <c r="I23" i="15"/>
  <c r="F16" i="9"/>
  <c r="D16" i="11" s="1"/>
  <c r="F21" i="12" s="1"/>
  <c r="K17" i="4"/>
  <c r="S16" i="18" s="1"/>
  <c r="R16" i="18"/>
  <c r="AI32" i="18"/>
  <c r="D13" i="9"/>
  <c r="B13" i="11" s="1"/>
  <c r="L14" i="4"/>
  <c r="E13" i="9" s="1"/>
  <c r="J17" i="17" s="1"/>
  <c r="J20" i="15"/>
  <c r="S13" i="18"/>
  <c r="Q46" i="18"/>
  <c r="E17" i="17"/>
  <c r="J26" i="4"/>
  <c r="R25" i="18" s="1"/>
  <c r="H8" i="9"/>
  <c r="F8" i="11" s="1"/>
  <c r="H13" i="12" s="1"/>
  <c r="K9" i="4"/>
  <c r="J15" i="15" s="1"/>
  <c r="H25" i="9"/>
  <c r="F25" i="11" s="1"/>
  <c r="H30" i="12" s="1"/>
  <c r="H19" i="15"/>
  <c r="R12" i="18"/>
  <c r="Q25" i="18"/>
  <c r="H12" i="9"/>
  <c r="F12" i="11" s="1"/>
  <c r="H17" i="12" s="1"/>
  <c r="K13" i="4"/>
  <c r="D12" i="9" s="1"/>
  <c r="B12" i="11" s="1"/>
  <c r="D17" i="12" s="1"/>
  <c r="S17" i="12" s="1"/>
  <c r="I51" i="17"/>
  <c r="G12" i="11"/>
  <c r="I17" i="12" s="1"/>
  <c r="I16" i="17"/>
  <c r="I12" i="17"/>
  <c r="I12" i="14"/>
  <c r="I12" i="20" s="1"/>
  <c r="D21" i="9"/>
  <c r="B21" i="11" s="1"/>
  <c r="F21" i="9"/>
  <c r="D21" i="11" s="1"/>
  <c r="F26" i="12" s="1"/>
  <c r="K69" i="4"/>
  <c r="S68" i="18" s="1"/>
  <c r="R68" i="18"/>
  <c r="L22" i="4"/>
  <c r="E21" i="9" s="1"/>
  <c r="C21" i="11" s="1"/>
  <c r="E26" i="12" s="1"/>
  <c r="G8" i="9"/>
  <c r="E8" i="11" s="1"/>
  <c r="G13" i="12" s="1"/>
  <c r="H15" i="15"/>
  <c r="Q8" i="18"/>
  <c r="R8" i="18"/>
  <c r="J28" i="15"/>
  <c r="G47" i="11"/>
  <c r="I52" i="12" s="1"/>
  <c r="H48" i="9"/>
  <c r="F48" i="11" s="1"/>
  <c r="H53" i="12" s="1"/>
  <c r="H55" i="15"/>
  <c r="Z8" i="18"/>
  <c r="Z10" i="18" s="1"/>
  <c r="K11" i="4"/>
  <c r="D10" i="9" s="1"/>
  <c r="B10" i="11" s="1"/>
  <c r="D15" i="12" s="1"/>
  <c r="M15" i="12" s="1"/>
  <c r="R10" i="18"/>
  <c r="J6" i="4"/>
  <c r="G5" i="9" s="1"/>
  <c r="E5" i="11" s="1"/>
  <c r="G10" i="12" s="1"/>
  <c r="L10" i="4"/>
  <c r="E9" i="9" s="1"/>
  <c r="Q33" i="18"/>
  <c r="I29" i="17"/>
  <c r="L66" i="4"/>
  <c r="E65" i="9" s="1"/>
  <c r="C65" i="11" s="1"/>
  <c r="E70" i="12" s="1"/>
  <c r="H5" i="9"/>
  <c r="F5" i="11" s="1"/>
  <c r="H10" i="12" s="1"/>
  <c r="Q5" i="18"/>
  <c r="H28" i="9"/>
  <c r="F28" i="11" s="1"/>
  <c r="H33" i="12" s="1"/>
  <c r="Q28" i="18"/>
  <c r="J34" i="4"/>
  <c r="G33" i="9" s="1"/>
  <c r="E33" i="11" s="1"/>
  <c r="G38" i="12" s="1"/>
  <c r="I29" i="14"/>
  <c r="I29" i="20" s="1"/>
  <c r="G10" i="9"/>
  <c r="E10" i="11" s="1"/>
  <c r="G15" i="12" s="1"/>
  <c r="D68" i="9"/>
  <c r="B68" i="11" s="1"/>
  <c r="O68" i="11" s="1"/>
  <c r="H33" i="9"/>
  <c r="F33" i="11" s="1"/>
  <c r="H38" i="12" s="1"/>
  <c r="Q50" i="18"/>
  <c r="S9" i="18"/>
  <c r="F68" i="9"/>
  <c r="D68" i="11" s="1"/>
  <c r="F73" i="12" s="1"/>
  <c r="G11" i="9"/>
  <c r="E11" i="11" s="1"/>
  <c r="G16" i="12" s="1"/>
  <c r="J72" i="15"/>
  <c r="S65" i="18"/>
  <c r="Q27" i="18"/>
  <c r="D65" i="9"/>
  <c r="B65" i="11" s="1"/>
  <c r="J29" i="4"/>
  <c r="G28" i="9" s="1"/>
  <c r="E28" i="11" s="1"/>
  <c r="G33" i="12" s="1"/>
  <c r="I69" i="15"/>
  <c r="L69" i="4"/>
  <c r="R62" i="18"/>
  <c r="Q52" i="18"/>
  <c r="K63" i="4"/>
  <c r="D62" i="9" s="1"/>
  <c r="B62" i="11" s="1"/>
  <c r="F12" i="9"/>
  <c r="E16" i="17" s="1"/>
  <c r="D9" i="9"/>
  <c r="B9" i="11" s="1"/>
  <c r="J5" i="4"/>
  <c r="K5" i="4" s="1"/>
  <c r="D4" i="9" s="1"/>
  <c r="B4" i="11" s="1"/>
  <c r="J51" i="4"/>
  <c r="I57" i="15" s="1"/>
  <c r="H57" i="15"/>
  <c r="J53" i="4"/>
  <c r="G52" i="9" s="1"/>
  <c r="E52" i="11" s="1"/>
  <c r="G57" i="12" s="1"/>
  <c r="H27" i="9"/>
  <c r="F27" i="11" s="1"/>
  <c r="H32" i="12" s="1"/>
  <c r="H59" i="15"/>
  <c r="J28" i="4"/>
  <c r="G27" i="9" s="1"/>
  <c r="E27" i="11" s="1"/>
  <c r="G32" i="12" s="1"/>
  <c r="K12" i="4"/>
  <c r="D11" i="9" s="1"/>
  <c r="B11" i="11" s="1"/>
  <c r="O11" i="11" s="1"/>
  <c r="H11" i="15"/>
  <c r="I61" i="15"/>
  <c r="R54" i="18"/>
  <c r="K55" i="4"/>
  <c r="I18" i="15"/>
  <c r="Q81" i="15"/>
  <c r="G54" i="9"/>
  <c r="E54" i="11" s="1"/>
  <c r="G59" i="12" s="1"/>
  <c r="E74" i="9"/>
  <c r="C74" i="11" s="1"/>
  <c r="E79" i="12" s="1"/>
  <c r="O81" i="15"/>
  <c r="P81" i="15"/>
  <c r="I42" i="17"/>
  <c r="I42" i="14"/>
  <c r="I42" i="20" s="1"/>
  <c r="G38" i="11"/>
  <c r="I43" i="12" s="1"/>
  <c r="H45" i="15"/>
  <c r="J39" i="4"/>
  <c r="H38" i="9"/>
  <c r="F38" i="11" s="1"/>
  <c r="H43" i="12" s="1"/>
  <c r="Q38" i="18"/>
  <c r="E75" i="9"/>
  <c r="C75" i="11" s="1"/>
  <c r="L75" i="11" s="1"/>
  <c r="K82" i="15"/>
  <c r="R58" i="18"/>
  <c r="I65" i="15"/>
  <c r="K59" i="4"/>
  <c r="J49" i="4"/>
  <c r="Q48" i="18"/>
  <c r="I52" i="17"/>
  <c r="I52" i="14"/>
  <c r="I52" i="20" s="1"/>
  <c r="G48" i="11"/>
  <c r="I53" i="12" s="1"/>
  <c r="C60" i="11"/>
  <c r="E65" i="12" s="1"/>
  <c r="H59" i="9"/>
  <c r="F59" i="11" s="1"/>
  <c r="H64" i="12" s="1"/>
  <c r="B71" i="11"/>
  <c r="D65" i="12"/>
  <c r="O60" i="11"/>
  <c r="I70" i="14"/>
  <c r="I70" i="20" s="1"/>
  <c r="G66" i="11"/>
  <c r="I71" i="12" s="1"/>
  <c r="H66" i="9"/>
  <c r="F66" i="11" s="1"/>
  <c r="H71" i="12" s="1"/>
  <c r="I77" i="14"/>
  <c r="I77" i="20" s="1"/>
  <c r="G73" i="11"/>
  <c r="I78" i="12" s="1"/>
  <c r="I63" i="14"/>
  <c r="I63" i="20" s="1"/>
  <c r="G59" i="11"/>
  <c r="I64" i="12" s="1"/>
  <c r="H73" i="9"/>
  <c r="F73" i="11" s="1"/>
  <c r="H78" i="12" s="1"/>
  <c r="I61" i="14"/>
  <c r="I61" i="20" s="1"/>
  <c r="G57" i="11"/>
  <c r="I62" i="12" s="1"/>
  <c r="I68" i="14"/>
  <c r="I68" i="20" s="1"/>
  <c r="G64" i="11"/>
  <c r="I69" i="12" s="1"/>
  <c r="H63" i="9"/>
  <c r="F63" i="11" s="1"/>
  <c r="H68" i="12" s="1"/>
  <c r="B67" i="11"/>
  <c r="H69" i="9"/>
  <c r="F69" i="11" s="1"/>
  <c r="H74" i="12" s="1"/>
  <c r="H64" i="9"/>
  <c r="F64" i="11" s="1"/>
  <c r="H69" i="12" s="1"/>
  <c r="Q4" i="18"/>
  <c r="J27" i="4"/>
  <c r="Q26" i="18"/>
  <c r="H33" i="15"/>
  <c r="H26" i="9"/>
  <c r="F26" i="11" s="1"/>
  <c r="H31" i="12" s="1"/>
  <c r="I19" i="17"/>
  <c r="G15" i="11"/>
  <c r="I20" i="12" s="1"/>
  <c r="I19" i="14"/>
  <c r="I19" i="20" s="1"/>
  <c r="H22" i="15"/>
  <c r="Q15" i="18"/>
  <c r="J16" i="4"/>
  <c r="E53" i="17"/>
  <c r="I22" i="14"/>
  <c r="I22" i="20" s="1"/>
  <c r="I14" i="15"/>
  <c r="R7" i="18"/>
  <c r="K8" i="4"/>
  <c r="F7" i="9" s="1"/>
  <c r="J52" i="4"/>
  <c r="Q51" i="18"/>
  <c r="H58" i="15"/>
  <c r="J32" i="4"/>
  <c r="G31" i="9" s="1"/>
  <c r="E31" i="11" s="1"/>
  <c r="G36" i="12" s="1"/>
  <c r="H38" i="15"/>
  <c r="Q31" i="18"/>
  <c r="H31" i="9"/>
  <c r="F31" i="11" s="1"/>
  <c r="H36" i="12" s="1"/>
  <c r="I22" i="17"/>
  <c r="E48" i="17"/>
  <c r="H73" i="15"/>
  <c r="Q66" i="18"/>
  <c r="J67" i="4"/>
  <c r="G66" i="9" s="1"/>
  <c r="E66" i="11" s="1"/>
  <c r="G71" i="12" s="1"/>
  <c r="G14" i="11"/>
  <c r="I19" i="12" s="1"/>
  <c r="J42" i="4"/>
  <c r="G41" i="9" s="1"/>
  <c r="E41" i="11" s="1"/>
  <c r="G46" i="12" s="1"/>
  <c r="Q41" i="18"/>
  <c r="H48" i="15"/>
  <c r="H45" i="9"/>
  <c r="F45" i="11" s="1"/>
  <c r="H50" i="12" s="1"/>
  <c r="Q35" i="18"/>
  <c r="J36" i="4"/>
  <c r="H42" i="15"/>
  <c r="J73" i="4"/>
  <c r="Q72" i="18"/>
  <c r="H79" i="15"/>
  <c r="H37" i="9"/>
  <c r="F37" i="11" s="1"/>
  <c r="H42" i="12" s="1"/>
  <c r="J38" i="4"/>
  <c r="Q37" i="18"/>
  <c r="H44" i="15"/>
  <c r="J58" i="4"/>
  <c r="Q57" i="18"/>
  <c r="H64" i="15"/>
  <c r="H43" i="9"/>
  <c r="F43" i="11" s="1"/>
  <c r="H48" i="12" s="1"/>
  <c r="J56" i="4"/>
  <c r="G55" i="9" s="1"/>
  <c r="E55" i="11" s="1"/>
  <c r="G60" i="12" s="1"/>
  <c r="H62" i="15"/>
  <c r="Q55" i="18"/>
  <c r="G29" i="11"/>
  <c r="I34" i="12" s="1"/>
  <c r="I33" i="14"/>
  <c r="I33" i="20" s="1"/>
  <c r="I33" i="17"/>
  <c r="H18" i="9"/>
  <c r="F18" i="11" s="1"/>
  <c r="H23" i="12" s="1"/>
  <c r="J19" i="4"/>
  <c r="H25" i="15"/>
  <c r="Q18" i="18"/>
  <c r="H70" i="15"/>
  <c r="Q63" i="18"/>
  <c r="J64" i="4"/>
  <c r="H46" i="15"/>
  <c r="J40" i="4"/>
  <c r="G39" i="9" s="1"/>
  <c r="E39" i="11" s="1"/>
  <c r="G44" i="12" s="1"/>
  <c r="Q39" i="18"/>
  <c r="H39" i="9"/>
  <c r="F39" i="11" s="1"/>
  <c r="H44" i="12" s="1"/>
  <c r="H80" i="15"/>
  <c r="Q73" i="18"/>
  <c r="J74" i="4"/>
  <c r="Q36" i="18"/>
  <c r="J37" i="4"/>
  <c r="H43" i="15"/>
  <c r="Q64" i="18"/>
  <c r="H71" i="15"/>
  <c r="J65" i="4"/>
  <c r="G64" i="9" s="1"/>
  <c r="E64" i="11" s="1"/>
  <c r="G69" i="12" s="1"/>
  <c r="H36" i="15"/>
  <c r="H29" i="9"/>
  <c r="F29" i="11" s="1"/>
  <c r="H34" i="12" s="1"/>
  <c r="J30" i="4"/>
  <c r="Q29" i="18"/>
  <c r="J48" i="4"/>
  <c r="Q47" i="18"/>
  <c r="G22" i="11"/>
  <c r="I27" i="12" s="1"/>
  <c r="I26" i="17"/>
  <c r="I26" i="14"/>
  <c r="I26" i="20" s="1"/>
  <c r="I40" i="17"/>
  <c r="I40" i="14"/>
  <c r="I40" i="20" s="1"/>
  <c r="G36" i="11"/>
  <c r="I41" i="12" s="1"/>
  <c r="I38" i="17"/>
  <c r="G34" i="11"/>
  <c r="I39" i="12" s="1"/>
  <c r="I38" i="14"/>
  <c r="I38" i="20" s="1"/>
  <c r="I23" i="14"/>
  <c r="I23" i="20" s="1"/>
  <c r="I23" i="17"/>
  <c r="G19" i="11"/>
  <c r="I24" i="12" s="1"/>
  <c r="Q59" i="18"/>
  <c r="H66" i="15"/>
  <c r="J60" i="4"/>
  <c r="H23" i="9"/>
  <c r="F23" i="11" s="1"/>
  <c r="H28" i="12" s="1"/>
  <c r="H30" i="15"/>
  <c r="J24" i="4"/>
  <c r="Q23" i="18"/>
  <c r="H47" i="9"/>
  <c r="F47" i="11" s="1"/>
  <c r="H52" i="12" s="1"/>
  <c r="H68" i="15"/>
  <c r="J62" i="4"/>
  <c r="Q61" i="18"/>
  <c r="H30" i="9"/>
  <c r="F30" i="11" s="1"/>
  <c r="H35" i="12" s="1"/>
  <c r="H37" i="15"/>
  <c r="J31" i="4"/>
  <c r="Q30" i="18"/>
  <c r="Q40" i="18"/>
  <c r="H47" i="15"/>
  <c r="J41" i="4"/>
  <c r="H52" i="15"/>
  <c r="J46" i="4"/>
  <c r="G45" i="9" s="1"/>
  <c r="E45" i="11" s="1"/>
  <c r="G50" i="12" s="1"/>
  <c r="Q45" i="18"/>
  <c r="H19" i="9"/>
  <c r="F19" i="11" s="1"/>
  <c r="H24" i="12" s="1"/>
  <c r="H26" i="15"/>
  <c r="J20" i="4"/>
  <c r="Q19" i="18"/>
  <c r="Q43" i="18"/>
  <c r="H50" i="15"/>
  <c r="J44" i="4"/>
  <c r="G43" i="9" s="1"/>
  <c r="H63" i="15"/>
  <c r="J57" i="4"/>
  <c r="G56" i="9" s="1"/>
  <c r="E56" i="11" s="1"/>
  <c r="G61" i="12" s="1"/>
  <c r="Q56" i="18"/>
  <c r="H22" i="9"/>
  <c r="F22" i="11" s="1"/>
  <c r="H27" i="12" s="1"/>
  <c r="Q22" i="18"/>
  <c r="H29" i="15"/>
  <c r="J23" i="4"/>
  <c r="H36" i="9"/>
  <c r="F36" i="11" s="1"/>
  <c r="H41" i="12" s="1"/>
  <c r="H14" i="9"/>
  <c r="F14" i="11" s="1"/>
  <c r="H19" i="12" s="1"/>
  <c r="J15" i="4"/>
  <c r="Q14" i="18"/>
  <c r="H21" i="15"/>
  <c r="H41" i="9"/>
  <c r="F41" i="11" s="1"/>
  <c r="H46" i="12" s="1"/>
  <c r="H34" i="9"/>
  <c r="F34" i="11" s="1"/>
  <c r="H39" i="12" s="1"/>
  <c r="J35" i="4"/>
  <c r="Q34" i="18"/>
  <c r="H41" i="15"/>
  <c r="I27" i="17"/>
  <c r="I27" i="14"/>
  <c r="I27" i="20" s="1"/>
  <c r="G23" i="11"/>
  <c r="I28" i="12" s="1"/>
  <c r="J70" i="4"/>
  <c r="G69" i="9" s="1"/>
  <c r="E69" i="11" s="1"/>
  <c r="G74" i="12" s="1"/>
  <c r="H76" i="15"/>
  <c r="Q69" i="18"/>
  <c r="I59" i="14"/>
  <c r="I59" i="20" s="1"/>
  <c r="G55" i="11"/>
  <c r="I60" i="12" s="1"/>
  <c r="I41" i="14"/>
  <c r="I41" i="20" s="1"/>
  <c r="G37" i="11"/>
  <c r="I42" i="12" s="1"/>
  <c r="I41" i="17"/>
  <c r="H55" i="9"/>
  <c r="F55" i="11" s="1"/>
  <c r="H60" i="12" s="1"/>
  <c r="I44" i="17"/>
  <c r="I44" i="14"/>
  <c r="I44" i="20" s="1"/>
  <c r="G40" i="11"/>
  <c r="I45" i="12" s="1"/>
  <c r="H77" i="15"/>
  <c r="J71" i="4"/>
  <c r="Q70" i="18"/>
  <c r="K18" i="4"/>
  <c r="I24" i="15"/>
  <c r="G17" i="9"/>
  <c r="E17" i="11" s="1"/>
  <c r="G22" i="12" s="1"/>
  <c r="R17" i="18"/>
  <c r="I53" i="15"/>
  <c r="K47" i="4"/>
  <c r="R46" i="18"/>
  <c r="G46" i="9"/>
  <c r="E46" i="11" s="1"/>
  <c r="G51" i="12" s="1"/>
  <c r="E36" i="17"/>
  <c r="E44" i="9"/>
  <c r="J48" i="17" s="1"/>
  <c r="E42" i="9"/>
  <c r="J46" i="17" s="1"/>
  <c r="E32" i="9"/>
  <c r="C32" i="11" s="1"/>
  <c r="E37" i="12" s="1"/>
  <c r="E53" i="9"/>
  <c r="C53" i="11" s="1"/>
  <c r="E58" i="12" s="1"/>
  <c r="E49" i="9"/>
  <c r="J53" i="17" s="1"/>
  <c r="I21" i="17"/>
  <c r="I21" i="14"/>
  <c r="I21" i="20" s="1"/>
  <c r="E16" i="11"/>
  <c r="G21" i="12" s="1"/>
  <c r="L17" i="4"/>
  <c r="D16" i="9"/>
  <c r="B16" i="11" s="1"/>
  <c r="D25" i="12"/>
  <c r="S25" i="12" s="1"/>
  <c r="O20" i="11"/>
  <c r="G6" i="9"/>
  <c r="K7" i="4"/>
  <c r="D6" i="9" s="1"/>
  <c r="B6" i="11" s="1"/>
  <c r="R6" i="18"/>
  <c r="I13" i="15"/>
  <c r="B32" i="11"/>
  <c r="AO42" i="15"/>
  <c r="AP42" i="15" s="1"/>
  <c r="AU31" i="15" s="1"/>
  <c r="AV31" i="15" s="1"/>
  <c r="AW29" i="15"/>
  <c r="AO40" i="15"/>
  <c r="AP40" i="15" s="1"/>
  <c r="AU29" i="15" s="1"/>
  <c r="AV29" i="15" s="1"/>
  <c r="S20" i="18"/>
  <c r="J27" i="15"/>
  <c r="F20" i="9"/>
  <c r="L21" i="4"/>
  <c r="D42" i="11"/>
  <c r="F47" i="12" s="1"/>
  <c r="E46" i="17"/>
  <c r="B42" i="11"/>
  <c r="B53" i="11"/>
  <c r="B49" i="11"/>
  <c r="D49" i="12"/>
  <c r="O44" i="11"/>
  <c r="AO58" i="15"/>
  <c r="AP58" i="15" s="1"/>
  <c r="AU47" i="15" s="1"/>
  <c r="AV47" i="15" s="1"/>
  <c r="L25" i="4"/>
  <c r="E24" i="9" s="1"/>
  <c r="S24" i="18"/>
  <c r="J31" i="15"/>
  <c r="T60" i="18"/>
  <c r="K67" i="15"/>
  <c r="Q67" i="15" s="1"/>
  <c r="AO67" i="15"/>
  <c r="AP67" i="15" s="1"/>
  <c r="AU56" i="15" s="1"/>
  <c r="AV56" i="15" s="1"/>
  <c r="AO68" i="15"/>
  <c r="AP68" i="15" s="1"/>
  <c r="AU57" i="15" s="1"/>
  <c r="AV57" i="15" s="1"/>
  <c r="AO46" i="15"/>
  <c r="AP46" i="15" s="1"/>
  <c r="AU35" i="15" s="1"/>
  <c r="AV35" i="15" s="1"/>
  <c r="T53" i="18"/>
  <c r="K60" i="15"/>
  <c r="AO60" i="15"/>
  <c r="AP60" i="15" s="1"/>
  <c r="AU49" i="15" s="1"/>
  <c r="AV49" i="15" s="1"/>
  <c r="AO75" i="15"/>
  <c r="AP75" i="15" s="1"/>
  <c r="AU64" i="15" s="1"/>
  <c r="AV64" i="15" s="1"/>
  <c r="AO72" i="15"/>
  <c r="AP72" i="15" s="1"/>
  <c r="AU61" i="15" s="1"/>
  <c r="AV61" i="15" s="1"/>
  <c r="T32" i="18"/>
  <c r="AW28" i="15"/>
  <c r="K39" i="15"/>
  <c r="AW49" i="15"/>
  <c r="T67" i="18"/>
  <c r="K74" i="15"/>
  <c r="AW37" i="15"/>
  <c r="E28" i="17"/>
  <c r="T49" i="18"/>
  <c r="K56" i="15"/>
  <c r="T42" i="18"/>
  <c r="K49" i="15"/>
  <c r="AO43" i="15"/>
  <c r="AP43" i="15" s="1"/>
  <c r="AU32" i="15" s="1"/>
  <c r="AV32" i="15" s="1"/>
  <c r="AO64" i="15"/>
  <c r="AP64" i="15" s="1"/>
  <c r="AU53" i="15" s="1"/>
  <c r="AV53" i="15" s="1"/>
  <c r="D24" i="9"/>
  <c r="T44" i="18"/>
  <c r="K51" i="15"/>
  <c r="AO51" i="15"/>
  <c r="AP51" i="15" s="1"/>
  <c r="AU40" i="15" s="1"/>
  <c r="AV40" i="15" s="1"/>
  <c r="AO38" i="15"/>
  <c r="AP38" i="15" s="1"/>
  <c r="AU27" i="15" s="1"/>
  <c r="AV27" i="15" s="1"/>
  <c r="T71" i="18"/>
  <c r="K78" i="15"/>
  <c r="P78" i="15" s="1"/>
  <c r="J23" i="15" l="1"/>
  <c r="J16" i="15"/>
  <c r="E13" i="17"/>
  <c r="E20" i="17"/>
  <c r="I32" i="15"/>
  <c r="K20" i="15"/>
  <c r="P20" i="15" s="1"/>
  <c r="H12" i="16" s="1"/>
  <c r="T13" i="18"/>
  <c r="C62" i="1"/>
  <c r="C13" i="11"/>
  <c r="E18" i="12" s="1"/>
  <c r="K26" i="4"/>
  <c r="F25" i="9" s="1"/>
  <c r="D25" i="11" s="1"/>
  <c r="F30" i="12" s="1"/>
  <c r="G25" i="9"/>
  <c r="E25" i="11" s="1"/>
  <c r="G30" i="12" s="1"/>
  <c r="S10" i="18"/>
  <c r="J69" i="15"/>
  <c r="L13" i="4"/>
  <c r="T12" i="18" s="1"/>
  <c r="S12" i="18"/>
  <c r="M17" i="12"/>
  <c r="S8" i="18"/>
  <c r="K28" i="15"/>
  <c r="O28" i="15" s="1"/>
  <c r="L9" i="4"/>
  <c r="T8" i="18" s="1"/>
  <c r="F8" i="9"/>
  <c r="E12" i="17" s="1"/>
  <c r="D8" i="9"/>
  <c r="B8" i="11" s="1"/>
  <c r="D13" i="12" s="1"/>
  <c r="S13" i="12" s="1"/>
  <c r="T21" i="18"/>
  <c r="F10" i="9"/>
  <c r="D10" i="11" s="1"/>
  <c r="F15" i="12" s="1"/>
  <c r="J19" i="15"/>
  <c r="J75" i="15"/>
  <c r="J25" i="17"/>
  <c r="E25" i="17"/>
  <c r="O12" i="11"/>
  <c r="S62" i="18"/>
  <c r="K16" i="15"/>
  <c r="O16" i="15" s="1"/>
  <c r="T65" i="18"/>
  <c r="G48" i="9"/>
  <c r="E48" i="11" s="1"/>
  <c r="G53" i="12" s="1"/>
  <c r="I55" i="15"/>
  <c r="K72" i="15"/>
  <c r="G47" i="9"/>
  <c r="E47" i="11" s="1"/>
  <c r="G52" i="12" s="1"/>
  <c r="I54" i="15"/>
  <c r="L11" i="4"/>
  <c r="K17" i="15" s="1"/>
  <c r="J17" i="15"/>
  <c r="K34" i="4"/>
  <c r="F33" i="9" s="1"/>
  <c r="D33" i="11" s="1"/>
  <c r="F38" i="12" s="1"/>
  <c r="T9" i="18"/>
  <c r="AJ32" i="18"/>
  <c r="AA8" i="18"/>
  <c r="AA10" i="18" s="1"/>
  <c r="S15" i="12"/>
  <c r="I12" i="15"/>
  <c r="O10" i="11"/>
  <c r="K6" i="4"/>
  <c r="F5" i="9" s="1"/>
  <c r="R5" i="18"/>
  <c r="D73" i="12"/>
  <c r="L63" i="4"/>
  <c r="E62" i="9" s="1"/>
  <c r="C62" i="11" s="1"/>
  <c r="I40" i="15"/>
  <c r="F62" i="9"/>
  <c r="D62" i="11" s="1"/>
  <c r="F67" i="12" s="1"/>
  <c r="L12" i="4"/>
  <c r="E11" i="9" s="1"/>
  <c r="R52" i="18"/>
  <c r="R33" i="18"/>
  <c r="J18" i="15"/>
  <c r="S11" i="18"/>
  <c r="D16" i="12"/>
  <c r="M16" i="12" s="1"/>
  <c r="D12" i="11"/>
  <c r="F17" i="12" s="1"/>
  <c r="I59" i="15"/>
  <c r="F11" i="9"/>
  <c r="D11" i="11" s="1"/>
  <c r="F16" i="12" s="1"/>
  <c r="K53" i="4"/>
  <c r="S52" i="18" s="1"/>
  <c r="K29" i="4"/>
  <c r="R28" i="18"/>
  <c r="K28" i="4"/>
  <c r="L28" i="4" s="1"/>
  <c r="I35" i="15"/>
  <c r="G50" i="9"/>
  <c r="E50" i="11" s="1"/>
  <c r="G55" i="12" s="1"/>
  <c r="E68" i="9"/>
  <c r="C68" i="11" s="1"/>
  <c r="L68" i="11" s="1"/>
  <c r="C72" i="14" s="1"/>
  <c r="C72" i="20" s="1"/>
  <c r="T68" i="18"/>
  <c r="K75" i="15"/>
  <c r="G4" i="9"/>
  <c r="E4" i="11" s="1"/>
  <c r="G9" i="12" s="1"/>
  <c r="R4" i="18"/>
  <c r="I34" i="15"/>
  <c r="I11" i="15"/>
  <c r="R27" i="18"/>
  <c r="E80" i="12"/>
  <c r="R50" i="18"/>
  <c r="L74" i="11"/>
  <c r="K51" i="4"/>
  <c r="D50" i="9" s="1"/>
  <c r="B50" i="11" s="1"/>
  <c r="D55" i="12" s="1"/>
  <c r="P74" i="11"/>
  <c r="D54" i="9"/>
  <c r="B54" i="11" s="1"/>
  <c r="D59" i="12" s="1"/>
  <c r="L55" i="4"/>
  <c r="S54" i="18"/>
  <c r="F54" i="9"/>
  <c r="D54" i="11" s="1"/>
  <c r="F59" i="12" s="1"/>
  <c r="J61" i="15"/>
  <c r="Q74" i="11"/>
  <c r="L60" i="11"/>
  <c r="D64" i="14" s="1"/>
  <c r="K39" i="4"/>
  <c r="I45" i="15"/>
  <c r="R38" i="18"/>
  <c r="G38" i="9"/>
  <c r="E38" i="11" s="1"/>
  <c r="G43" i="12" s="1"/>
  <c r="O82" i="15"/>
  <c r="Q82" i="15"/>
  <c r="P82" i="15"/>
  <c r="D58" i="9"/>
  <c r="B58" i="11" s="1"/>
  <c r="L59" i="4"/>
  <c r="S58" i="18"/>
  <c r="J65" i="15"/>
  <c r="F58" i="9"/>
  <c r="D58" i="11" s="1"/>
  <c r="F63" i="12" s="1"/>
  <c r="N60" i="11"/>
  <c r="P60" i="11" s="1"/>
  <c r="K49" i="4"/>
  <c r="R48" i="18"/>
  <c r="F64" i="14"/>
  <c r="F64" i="20" s="1"/>
  <c r="Q60" i="11"/>
  <c r="L67" i="11"/>
  <c r="O67" i="11"/>
  <c r="Q67" i="11" s="1"/>
  <c r="D72" i="12"/>
  <c r="N67" i="11"/>
  <c r="F71" i="14"/>
  <c r="G57" i="9"/>
  <c r="E57" i="11" s="1"/>
  <c r="G62" i="12" s="1"/>
  <c r="G73" i="9"/>
  <c r="E73" i="11" s="1"/>
  <c r="G78" i="12" s="1"/>
  <c r="G70" i="9"/>
  <c r="E70" i="11" s="1"/>
  <c r="G75" i="12" s="1"/>
  <c r="L71" i="11"/>
  <c r="D76" i="12"/>
  <c r="O71" i="11"/>
  <c r="Q71" i="11" s="1"/>
  <c r="F75" i="14"/>
  <c r="N71" i="11"/>
  <c r="D70" i="12"/>
  <c r="O65" i="11"/>
  <c r="Q65" i="11" s="1"/>
  <c r="L65" i="11"/>
  <c r="N65" i="11"/>
  <c r="F69" i="14"/>
  <c r="O62" i="11"/>
  <c r="D67" i="12"/>
  <c r="G61" i="9"/>
  <c r="E61" i="11" s="1"/>
  <c r="G66" i="12" s="1"/>
  <c r="G72" i="9"/>
  <c r="E72" i="11" s="1"/>
  <c r="G77" i="12" s="1"/>
  <c r="G59" i="9"/>
  <c r="E59" i="11" s="1"/>
  <c r="G64" i="12" s="1"/>
  <c r="G63" i="9"/>
  <c r="E63" i="11" s="1"/>
  <c r="G68" i="12" s="1"/>
  <c r="K27" i="4"/>
  <c r="R26" i="18"/>
  <c r="I33" i="15"/>
  <c r="G26" i="9"/>
  <c r="E26" i="11" s="1"/>
  <c r="G31" i="12" s="1"/>
  <c r="D7" i="9"/>
  <c r="B7" i="11" s="1"/>
  <c r="D12" i="12" s="1"/>
  <c r="G15" i="9"/>
  <c r="K16" i="4"/>
  <c r="F15" i="9" s="1"/>
  <c r="D15" i="11" s="1"/>
  <c r="F20" i="12" s="1"/>
  <c r="I22" i="15"/>
  <c r="R15" i="18"/>
  <c r="C44" i="11"/>
  <c r="L44" i="11" s="1"/>
  <c r="D48" i="14" s="1"/>
  <c r="D48" i="20" s="1"/>
  <c r="D7" i="11"/>
  <c r="F12" i="12" s="1"/>
  <c r="E11" i="17"/>
  <c r="I30" i="17"/>
  <c r="I30" i="14"/>
  <c r="I30" i="20" s="1"/>
  <c r="C42" i="11"/>
  <c r="E47" i="12" s="1"/>
  <c r="F6" i="9"/>
  <c r="D6" i="11" s="1"/>
  <c r="F11" i="12" s="1"/>
  <c r="R51" i="18"/>
  <c r="I58" i="15"/>
  <c r="K52" i="4"/>
  <c r="F51" i="9" s="1"/>
  <c r="D51" i="11" s="1"/>
  <c r="F56" i="12" s="1"/>
  <c r="L8" i="4"/>
  <c r="J14" i="15"/>
  <c r="S7" i="18"/>
  <c r="J36" i="17"/>
  <c r="G51" i="9"/>
  <c r="E51" i="11" s="1"/>
  <c r="G56" i="12" s="1"/>
  <c r="I38" i="15"/>
  <c r="K32" i="4"/>
  <c r="R31" i="18"/>
  <c r="E43" i="11"/>
  <c r="G48" i="12" s="1"/>
  <c r="R40" i="18"/>
  <c r="K41" i="4"/>
  <c r="F40" i="9" s="1"/>
  <c r="D40" i="11" s="1"/>
  <c r="F45" i="12" s="1"/>
  <c r="I47" i="15"/>
  <c r="F52" i="9"/>
  <c r="D52" i="11" s="1"/>
  <c r="F57" i="12" s="1"/>
  <c r="D52" i="9"/>
  <c r="B52" i="11" s="1"/>
  <c r="R69" i="18"/>
  <c r="I76" i="15"/>
  <c r="K70" i="4"/>
  <c r="I41" i="15"/>
  <c r="K35" i="4"/>
  <c r="G34" i="9"/>
  <c r="E34" i="11" s="1"/>
  <c r="G39" i="12" s="1"/>
  <c r="R34" i="18"/>
  <c r="K23" i="4"/>
  <c r="I29" i="15"/>
  <c r="R22" i="18"/>
  <c r="G22" i="9"/>
  <c r="E22" i="11" s="1"/>
  <c r="G27" i="12" s="1"/>
  <c r="G40" i="9"/>
  <c r="K30" i="4"/>
  <c r="R29" i="18"/>
  <c r="I36" i="15"/>
  <c r="R57" i="18"/>
  <c r="K58" i="4"/>
  <c r="F57" i="9" s="1"/>
  <c r="D57" i="11" s="1"/>
  <c r="F62" i="12" s="1"/>
  <c r="I64" i="15"/>
  <c r="R41" i="18"/>
  <c r="I48" i="15"/>
  <c r="K42" i="4"/>
  <c r="D41" i="9" s="1"/>
  <c r="B41" i="11" s="1"/>
  <c r="G14" i="9"/>
  <c r="E14" i="11" s="1"/>
  <c r="G19" i="12" s="1"/>
  <c r="R14" i="18"/>
  <c r="I21" i="15"/>
  <c r="K15" i="4"/>
  <c r="D14" i="9" s="1"/>
  <c r="B14" i="11" s="1"/>
  <c r="I26" i="15"/>
  <c r="K20" i="4"/>
  <c r="D19" i="9" s="1"/>
  <c r="B19" i="11" s="1"/>
  <c r="R19" i="18"/>
  <c r="G19" i="9"/>
  <c r="E19" i="11" s="1"/>
  <c r="G24" i="12" s="1"/>
  <c r="R30" i="18"/>
  <c r="I37" i="15"/>
  <c r="G30" i="9"/>
  <c r="E30" i="11" s="1"/>
  <c r="G35" i="12" s="1"/>
  <c r="K31" i="4"/>
  <c r="D30" i="9" s="1"/>
  <c r="B30" i="11" s="1"/>
  <c r="R36" i="18"/>
  <c r="I43" i="15"/>
  <c r="K37" i="4"/>
  <c r="F36" i="9" s="1"/>
  <c r="D36" i="11" s="1"/>
  <c r="F41" i="12" s="1"/>
  <c r="K64" i="4"/>
  <c r="R63" i="18"/>
  <c r="I70" i="15"/>
  <c r="R56" i="18"/>
  <c r="I63" i="15"/>
  <c r="K57" i="4"/>
  <c r="D56" i="9" s="1"/>
  <c r="B56" i="11" s="1"/>
  <c r="I52" i="15"/>
  <c r="R45" i="18"/>
  <c r="K46" i="4"/>
  <c r="K62" i="4"/>
  <c r="F61" i="9" s="1"/>
  <c r="D61" i="11" s="1"/>
  <c r="F66" i="12" s="1"/>
  <c r="R61" i="18"/>
  <c r="I68" i="15"/>
  <c r="G23" i="9"/>
  <c r="E23" i="11" s="1"/>
  <c r="G28" i="12" s="1"/>
  <c r="R23" i="18"/>
  <c r="I30" i="15"/>
  <c r="K24" i="4"/>
  <c r="R47" i="18"/>
  <c r="K48" i="4"/>
  <c r="K40" i="4"/>
  <c r="F39" i="9" s="1"/>
  <c r="I46" i="15"/>
  <c r="R39" i="18"/>
  <c r="K36" i="4"/>
  <c r="F35" i="9" s="1"/>
  <c r="D35" i="11" s="1"/>
  <c r="F40" i="12" s="1"/>
  <c r="I42" i="15"/>
  <c r="R35" i="18"/>
  <c r="G35" i="9"/>
  <c r="I73" i="15"/>
  <c r="R66" i="18"/>
  <c r="K67" i="4"/>
  <c r="R70" i="18"/>
  <c r="K71" i="4"/>
  <c r="I77" i="15"/>
  <c r="R43" i="18"/>
  <c r="I50" i="15"/>
  <c r="K44" i="4"/>
  <c r="F43" i="9" s="1"/>
  <c r="K60" i="4"/>
  <c r="D59" i="9" s="1"/>
  <c r="R59" i="18"/>
  <c r="I66" i="15"/>
  <c r="G29" i="9"/>
  <c r="E29" i="11" s="1"/>
  <c r="G34" i="12" s="1"/>
  <c r="K65" i="4"/>
  <c r="R64" i="18"/>
  <c r="I71" i="15"/>
  <c r="G36" i="9"/>
  <c r="I80" i="15"/>
  <c r="K74" i="4"/>
  <c r="R73" i="18"/>
  <c r="I25" i="15"/>
  <c r="K19" i="4"/>
  <c r="R18" i="18"/>
  <c r="G18" i="9"/>
  <c r="I62" i="15"/>
  <c r="K56" i="4"/>
  <c r="D55" i="9" s="1"/>
  <c r="B55" i="11" s="1"/>
  <c r="R55" i="18"/>
  <c r="G37" i="9"/>
  <c r="E37" i="11" s="1"/>
  <c r="G42" i="12" s="1"/>
  <c r="K38" i="4"/>
  <c r="I44" i="15"/>
  <c r="R37" i="18"/>
  <c r="I79" i="15"/>
  <c r="R72" i="18"/>
  <c r="K73" i="4"/>
  <c r="F72" i="9" s="1"/>
  <c r="D72" i="11" s="1"/>
  <c r="F77" i="12" s="1"/>
  <c r="F46" i="9"/>
  <c r="S46" i="18"/>
  <c r="D46" i="9"/>
  <c r="B46" i="11" s="1"/>
  <c r="J53" i="15"/>
  <c r="L47" i="4"/>
  <c r="D17" i="9"/>
  <c r="B17" i="11" s="1"/>
  <c r="O17" i="11" s="1"/>
  <c r="S17" i="18"/>
  <c r="F17" i="9"/>
  <c r="J24" i="15"/>
  <c r="L18" i="4"/>
  <c r="M25" i="12"/>
  <c r="C49" i="11"/>
  <c r="E54" i="12" s="1"/>
  <c r="O6" i="11"/>
  <c r="D11" i="12"/>
  <c r="M11" i="12" s="1"/>
  <c r="D21" i="12"/>
  <c r="O16" i="11"/>
  <c r="AO61" i="15"/>
  <c r="AP61" i="15" s="1"/>
  <c r="AU50" i="15" s="1"/>
  <c r="AV50" i="15" s="1"/>
  <c r="BJ14" i="15"/>
  <c r="K23" i="15"/>
  <c r="T16" i="18"/>
  <c r="E16" i="9"/>
  <c r="AW32" i="15"/>
  <c r="AW47" i="15"/>
  <c r="AW31" i="15"/>
  <c r="N53" i="11"/>
  <c r="L53" i="11"/>
  <c r="D58" i="12"/>
  <c r="F57" i="14"/>
  <c r="F57" i="20" s="1"/>
  <c r="O53" i="11"/>
  <c r="Q53" i="11" s="1"/>
  <c r="D20" i="11"/>
  <c r="F25" i="12" s="1"/>
  <c r="E24" i="17"/>
  <c r="D9" i="12"/>
  <c r="O4" i="11"/>
  <c r="E20" i="9"/>
  <c r="K27" i="15"/>
  <c r="T20" i="18"/>
  <c r="O49" i="11"/>
  <c r="D54" i="12"/>
  <c r="D47" i="12"/>
  <c r="O42" i="11"/>
  <c r="D37" i="12"/>
  <c r="L32" i="11"/>
  <c r="O32" i="11"/>
  <c r="Q32" i="11" s="1"/>
  <c r="N32" i="11"/>
  <c r="F36" i="14"/>
  <c r="F36" i="20" s="1"/>
  <c r="F36" i="17"/>
  <c r="G36" i="17" s="1"/>
  <c r="J13" i="15"/>
  <c r="L7" i="4"/>
  <c r="S6" i="18"/>
  <c r="L5" i="4"/>
  <c r="S4" i="18"/>
  <c r="J11" i="15"/>
  <c r="E6" i="11"/>
  <c r="G11" i="12" s="1"/>
  <c r="AO36" i="15"/>
  <c r="AP36" i="15" s="1"/>
  <c r="AU25" i="15" s="1"/>
  <c r="AV25" i="15" s="1"/>
  <c r="F4" i="9"/>
  <c r="D4" i="11" s="1"/>
  <c r="F9" i="12" s="1"/>
  <c r="J13" i="17"/>
  <c r="C9" i="11"/>
  <c r="E14" i="12" s="1"/>
  <c r="Q51" i="15"/>
  <c r="P51" i="15"/>
  <c r="H43" i="16" s="1"/>
  <c r="AO55" i="15"/>
  <c r="AP55" i="15" s="1"/>
  <c r="AU44" i="15" s="1"/>
  <c r="AV44" i="15" s="1"/>
  <c r="AO56" i="15"/>
  <c r="AP56" i="15" s="1"/>
  <c r="AU45" i="15" s="1"/>
  <c r="AV45" i="15" s="1"/>
  <c r="Q74" i="15"/>
  <c r="P74" i="15"/>
  <c r="AO62" i="15"/>
  <c r="AP62" i="15" s="1"/>
  <c r="AU51" i="15" s="1"/>
  <c r="AV51" i="15" s="1"/>
  <c r="AW51" i="15"/>
  <c r="O72" i="15"/>
  <c r="P72" i="15"/>
  <c r="H64" i="16" s="1"/>
  <c r="Q72" i="15"/>
  <c r="AW48" i="15"/>
  <c r="AO59" i="15"/>
  <c r="AP59" i="15" s="1"/>
  <c r="AU48" i="15" s="1"/>
  <c r="AV48" i="15" s="1"/>
  <c r="AO71" i="15"/>
  <c r="AP71" i="15" s="1"/>
  <c r="AU60" i="15" s="1"/>
  <c r="AV60" i="15" s="1"/>
  <c r="AW35" i="15"/>
  <c r="AO77" i="15"/>
  <c r="AP77" i="15" s="1"/>
  <c r="AU66" i="15" s="1"/>
  <c r="AV66" i="15" s="1"/>
  <c r="AO39" i="15"/>
  <c r="AP39" i="15" s="1"/>
  <c r="AU28" i="15" s="1"/>
  <c r="AV28" i="15" s="1"/>
  <c r="B24" i="11"/>
  <c r="AO63" i="15"/>
  <c r="AP63" i="15" s="1"/>
  <c r="AU52" i="15" s="1"/>
  <c r="AV52" i="15" s="1"/>
  <c r="AW52" i="15"/>
  <c r="O49" i="15"/>
  <c r="P49" i="15"/>
  <c r="H41" i="16" s="1"/>
  <c r="Q56" i="15"/>
  <c r="P56" i="15"/>
  <c r="H48" i="16" s="1"/>
  <c r="O56" i="15"/>
  <c r="AO74" i="15"/>
  <c r="AP74" i="15" s="1"/>
  <c r="AU63" i="15" s="1"/>
  <c r="AV63" i="15" s="1"/>
  <c r="AO45" i="15"/>
  <c r="AP45" i="15" s="1"/>
  <c r="AU34" i="15" s="1"/>
  <c r="AV34" i="15" s="1"/>
  <c r="AO80" i="15"/>
  <c r="AP80" i="15" s="1"/>
  <c r="AU69" i="15" s="1"/>
  <c r="AV69" i="15" s="1"/>
  <c r="P60" i="15"/>
  <c r="H52" i="16" s="1"/>
  <c r="Q60" i="15"/>
  <c r="Q78" i="15"/>
  <c r="AO52" i="15"/>
  <c r="AP52" i="15" s="1"/>
  <c r="AU41" i="15" s="1"/>
  <c r="AV41" i="15" s="1"/>
  <c r="AO66" i="15"/>
  <c r="AP66" i="15" s="1"/>
  <c r="AU55" i="15" s="1"/>
  <c r="AV55" i="15" s="1"/>
  <c r="T24" i="18"/>
  <c r="K31" i="15"/>
  <c r="AO70" i="15"/>
  <c r="AP70" i="15" s="1"/>
  <c r="AU59" i="15" s="1"/>
  <c r="AV59" i="15" s="1"/>
  <c r="AW27" i="15"/>
  <c r="O74" i="15"/>
  <c r="O78" i="15"/>
  <c r="O51" i="15"/>
  <c r="L13" i="11"/>
  <c r="D18" i="12"/>
  <c r="O13" i="11"/>
  <c r="AO78" i="15"/>
  <c r="AP78" i="15" s="1"/>
  <c r="AU67" i="15" s="1"/>
  <c r="AV67" i="15" s="1"/>
  <c r="D14" i="12"/>
  <c r="O9" i="11"/>
  <c r="AW36" i="15"/>
  <c r="AO47" i="15"/>
  <c r="AP47" i="15" s="1"/>
  <c r="AU36" i="15" s="1"/>
  <c r="AV36" i="15" s="1"/>
  <c r="AO49" i="15"/>
  <c r="AP49" i="15" s="1"/>
  <c r="AU38" i="15" s="1"/>
  <c r="AV38" i="15" s="1"/>
  <c r="AO54" i="15"/>
  <c r="AP54" i="15" s="1"/>
  <c r="AU43" i="15" s="1"/>
  <c r="AV43" i="15" s="1"/>
  <c r="O39" i="15"/>
  <c r="Q39" i="15"/>
  <c r="P39" i="15"/>
  <c r="H31" i="16" s="1"/>
  <c r="AW33" i="15"/>
  <c r="P67" i="15"/>
  <c r="H59" i="16" s="1"/>
  <c r="O67" i="15"/>
  <c r="C24" i="11"/>
  <c r="E29" i="12" s="1"/>
  <c r="J28" i="17"/>
  <c r="AW50" i="15"/>
  <c r="AO48" i="15"/>
  <c r="AP48" i="15" s="1"/>
  <c r="AU37" i="15" s="1"/>
  <c r="AV37" i="15" s="1"/>
  <c r="D26" i="12"/>
  <c r="L21" i="11"/>
  <c r="N21" i="11"/>
  <c r="O21" i="11"/>
  <c r="Q21" i="11" s="1"/>
  <c r="F25" i="17"/>
  <c r="F25" i="14"/>
  <c r="F25" i="20" s="1"/>
  <c r="AO65" i="15"/>
  <c r="AP65" i="15" s="1"/>
  <c r="AU54" i="15" s="1"/>
  <c r="AV54" i="15" s="1"/>
  <c r="AW46" i="15"/>
  <c r="AO57" i="15"/>
  <c r="AP57" i="15" s="1"/>
  <c r="AU46" i="15" s="1"/>
  <c r="AV46" i="15" s="1"/>
  <c r="AO53" i="15"/>
  <c r="AP53" i="15" s="1"/>
  <c r="AU42" i="15" s="1"/>
  <c r="AV42" i="15" s="1"/>
  <c r="AO50" i="15"/>
  <c r="AP50" i="15" s="1"/>
  <c r="AU39" i="15" s="1"/>
  <c r="AV39" i="15" s="1"/>
  <c r="Q49" i="15"/>
  <c r="AO73" i="15"/>
  <c r="AP73" i="15" s="1"/>
  <c r="AU62" i="15" s="1"/>
  <c r="AV62" i="15" s="1"/>
  <c r="AO76" i="15"/>
  <c r="AP76" i="15" s="1"/>
  <c r="AU65" i="15" s="1"/>
  <c r="AV65" i="15" s="1"/>
  <c r="O60" i="15"/>
  <c r="E6" i="9" l="1"/>
  <c r="C6" i="11" s="1"/>
  <c r="I10" i="14"/>
  <c r="I10" i="20" s="1"/>
  <c r="I10" i="17"/>
  <c r="O20" i="15"/>
  <c r="L26" i="4"/>
  <c r="E25" i="9" s="1"/>
  <c r="S25" i="18"/>
  <c r="Q20" i="15"/>
  <c r="J32" i="15"/>
  <c r="D25" i="9"/>
  <c r="B25" i="11" s="1"/>
  <c r="O25" i="11" s="1"/>
  <c r="E12" i="9"/>
  <c r="C12" i="11" s="1"/>
  <c r="E17" i="12" s="1"/>
  <c r="K19" i="15"/>
  <c r="Q19" i="15" s="1"/>
  <c r="Q13" i="11"/>
  <c r="F17" i="17"/>
  <c r="G17" i="17" s="1"/>
  <c r="N13" i="11"/>
  <c r="P13" i="11" s="1"/>
  <c r="J17" i="14" s="1"/>
  <c r="J17" i="20" s="1"/>
  <c r="J40" i="15"/>
  <c r="E29" i="17"/>
  <c r="D33" i="9"/>
  <c r="B33" i="11" s="1"/>
  <c r="O33" i="11" s="1"/>
  <c r="K69" i="15"/>
  <c r="K15" i="15"/>
  <c r="Q15" i="15" s="1"/>
  <c r="E8" i="9"/>
  <c r="C8" i="11" s="1"/>
  <c r="AB8" i="18"/>
  <c r="AL32" i="18" s="1"/>
  <c r="D8" i="11"/>
  <c r="F13" i="12" s="1"/>
  <c r="G25" i="17"/>
  <c r="E14" i="17"/>
  <c r="O8" i="11"/>
  <c r="P28" i="15"/>
  <c r="H20" i="16" s="1"/>
  <c r="Q28" i="15"/>
  <c r="M13" i="12"/>
  <c r="E10" i="9"/>
  <c r="J14" i="17" s="1"/>
  <c r="Q16" i="15"/>
  <c r="P16" i="15"/>
  <c r="H8" i="16" s="1"/>
  <c r="S33" i="18"/>
  <c r="L34" i="4"/>
  <c r="E33" i="9" s="1"/>
  <c r="C33" i="11" s="1"/>
  <c r="S27" i="18"/>
  <c r="D47" i="9"/>
  <c r="B47" i="11" s="1"/>
  <c r="O47" i="11" s="1"/>
  <c r="J54" i="15"/>
  <c r="F48" i="9"/>
  <c r="D48" i="11" s="1"/>
  <c r="F53" i="12" s="1"/>
  <c r="J55" i="15"/>
  <c r="Q17" i="15"/>
  <c r="O17" i="15"/>
  <c r="P17" i="15"/>
  <c r="H9" i="16" s="1"/>
  <c r="T10" i="18"/>
  <c r="E37" i="17"/>
  <c r="AK32" i="18"/>
  <c r="J12" i="15"/>
  <c r="S5" i="18"/>
  <c r="D5" i="9"/>
  <c r="B5" i="11" s="1"/>
  <c r="D10" i="12" s="1"/>
  <c r="L6" i="4"/>
  <c r="E5" i="9" s="1"/>
  <c r="T11" i="18"/>
  <c r="T62" i="18"/>
  <c r="L53" i="4"/>
  <c r="K59" i="15" s="1"/>
  <c r="K66" i="14"/>
  <c r="J59" i="15"/>
  <c r="K18" i="15"/>
  <c r="O18" i="15" s="1"/>
  <c r="J15" i="17"/>
  <c r="E15" i="17"/>
  <c r="C11" i="11"/>
  <c r="F15" i="17" s="1"/>
  <c r="F66" i="14"/>
  <c r="F66" i="20" s="1"/>
  <c r="D72" i="14"/>
  <c r="S16" i="12"/>
  <c r="F27" i="9"/>
  <c r="D27" i="11" s="1"/>
  <c r="F32" i="12" s="1"/>
  <c r="J34" i="15"/>
  <c r="D27" i="9"/>
  <c r="B27" i="11" s="1"/>
  <c r="O27" i="11" s="1"/>
  <c r="S50" i="18"/>
  <c r="J57" i="15"/>
  <c r="L51" i="4"/>
  <c r="E50" i="9" s="1"/>
  <c r="C50" i="11" s="1"/>
  <c r="E55" i="12" s="1"/>
  <c r="F50" i="9"/>
  <c r="D28" i="9"/>
  <c r="B28" i="11" s="1"/>
  <c r="S28" i="18"/>
  <c r="F28" i="9"/>
  <c r="J35" i="15"/>
  <c r="L29" i="4"/>
  <c r="O75" i="15"/>
  <c r="P75" i="15"/>
  <c r="Q75" i="15"/>
  <c r="E73" i="12"/>
  <c r="N68" i="11"/>
  <c r="F72" i="14"/>
  <c r="F72" i="20" s="1"/>
  <c r="Q68" i="11"/>
  <c r="O54" i="11"/>
  <c r="R74" i="11"/>
  <c r="H74" i="11"/>
  <c r="C64" i="14"/>
  <c r="C64" i="20" s="1"/>
  <c r="N62" i="11"/>
  <c r="P62" i="11" s="1"/>
  <c r="D48" i="9"/>
  <c r="B48" i="11" s="1"/>
  <c r="D53" i="12" s="1"/>
  <c r="K61" i="15"/>
  <c r="E54" i="9"/>
  <c r="C54" i="11" s="1"/>
  <c r="T54" i="18"/>
  <c r="E49" i="12"/>
  <c r="L39" i="4"/>
  <c r="F38" i="9"/>
  <c r="S38" i="18"/>
  <c r="D38" i="9"/>
  <c r="B38" i="11" s="1"/>
  <c r="O38" i="11" s="1"/>
  <c r="J45" i="15"/>
  <c r="L62" i="11"/>
  <c r="C66" i="14" s="1"/>
  <c r="C66" i="20" s="1"/>
  <c r="H60" i="11"/>
  <c r="E58" i="9"/>
  <c r="C58" i="11" s="1"/>
  <c r="E63" i="12" s="1"/>
  <c r="K65" i="15"/>
  <c r="O65" i="15" s="1"/>
  <c r="T58" i="18"/>
  <c r="O58" i="11"/>
  <c r="D63" i="12"/>
  <c r="S48" i="18"/>
  <c r="L49" i="4"/>
  <c r="B59" i="11"/>
  <c r="P65" i="11"/>
  <c r="H65" i="11" s="1"/>
  <c r="D64" i="9"/>
  <c r="F70" i="9"/>
  <c r="D70" i="11" s="1"/>
  <c r="F75" i="12" s="1"/>
  <c r="F59" i="9"/>
  <c r="D59" i="11" s="1"/>
  <c r="F64" i="12" s="1"/>
  <c r="D61" i="9"/>
  <c r="D69" i="14"/>
  <c r="C69" i="14"/>
  <c r="C69" i="20" s="1"/>
  <c r="P71" i="11"/>
  <c r="H71" i="11" s="1"/>
  <c r="D75" i="14"/>
  <c r="C75" i="14"/>
  <c r="C75" i="20" s="1"/>
  <c r="D69" i="9"/>
  <c r="F64" i="9"/>
  <c r="D64" i="11" s="1"/>
  <c r="F69" i="12" s="1"/>
  <c r="J64" i="14"/>
  <c r="R60" i="11"/>
  <c r="F71" i="20"/>
  <c r="D71" i="14"/>
  <c r="C71" i="14"/>
  <c r="C71" i="20" s="1"/>
  <c r="Q62" i="11"/>
  <c r="E67" i="12"/>
  <c r="D66" i="9"/>
  <c r="F69" i="9"/>
  <c r="D69" i="11" s="1"/>
  <c r="F74" i="12" s="1"/>
  <c r="F75" i="20"/>
  <c r="D57" i="9"/>
  <c r="B57" i="11" s="1"/>
  <c r="D73" i="9"/>
  <c r="B73" i="11" s="1"/>
  <c r="D63" i="9"/>
  <c r="H67" i="11"/>
  <c r="P67" i="11"/>
  <c r="D72" i="9"/>
  <c r="B72" i="11" s="1"/>
  <c r="F73" i="9"/>
  <c r="D73" i="11" s="1"/>
  <c r="F78" i="12" s="1"/>
  <c r="F63" i="9"/>
  <c r="D63" i="11" s="1"/>
  <c r="F68" i="12" s="1"/>
  <c r="D64" i="20"/>
  <c r="F69" i="20"/>
  <c r="F66" i="9"/>
  <c r="D66" i="11" s="1"/>
  <c r="F71" i="12" s="1"/>
  <c r="D70" i="9"/>
  <c r="D22" i="12"/>
  <c r="M22" i="12" s="1"/>
  <c r="D19" i="12"/>
  <c r="M19" i="12" s="1"/>
  <c r="O14" i="11"/>
  <c r="D26" i="9"/>
  <c r="B26" i="11" s="1"/>
  <c r="L27" i="4"/>
  <c r="E26" i="9" s="1"/>
  <c r="C26" i="11" s="1"/>
  <c r="S26" i="18"/>
  <c r="F26" i="9"/>
  <c r="J33" i="15"/>
  <c r="E27" i="9"/>
  <c r="T27" i="18"/>
  <c r="K34" i="15"/>
  <c r="N44" i="11"/>
  <c r="P44" i="11" s="1"/>
  <c r="J48" i="14" s="1"/>
  <c r="J48" i="20" s="1"/>
  <c r="F48" i="17"/>
  <c r="G48" i="17" s="1"/>
  <c r="C48" i="14"/>
  <c r="C48" i="20" s="1"/>
  <c r="F48" i="14"/>
  <c r="F48" i="20" s="1"/>
  <c r="Q44" i="11"/>
  <c r="O50" i="11"/>
  <c r="Q42" i="11"/>
  <c r="F46" i="14"/>
  <c r="F46" i="20" s="1"/>
  <c r="N42" i="11"/>
  <c r="P42" i="11" s="1"/>
  <c r="L42" i="11"/>
  <c r="D46" i="14" s="1"/>
  <c r="D46" i="20" s="1"/>
  <c r="F46" i="17"/>
  <c r="G46" i="17" s="1"/>
  <c r="E10" i="17"/>
  <c r="O7" i="11"/>
  <c r="D15" i="9"/>
  <c r="B15" i="11" s="1"/>
  <c r="S15" i="18"/>
  <c r="J22" i="15"/>
  <c r="L16" i="4"/>
  <c r="E15" i="11"/>
  <c r="G20" i="12" s="1"/>
  <c r="E19" i="17"/>
  <c r="D51" i="9"/>
  <c r="B51" i="11" s="1"/>
  <c r="F55" i="9"/>
  <c r="D55" i="11" s="1"/>
  <c r="F60" i="12" s="1"/>
  <c r="F41" i="9"/>
  <c r="D41" i="11" s="1"/>
  <c r="F46" i="12" s="1"/>
  <c r="E7" i="9"/>
  <c r="T7" i="18"/>
  <c r="K14" i="15"/>
  <c r="Q14" i="15" s="1"/>
  <c r="M12" i="12"/>
  <c r="S12" i="12"/>
  <c r="J58" i="15"/>
  <c r="S51" i="18"/>
  <c r="L52" i="4"/>
  <c r="D43" i="11"/>
  <c r="F48" i="12" s="1"/>
  <c r="E47" i="17"/>
  <c r="O19" i="11"/>
  <c r="D24" i="12"/>
  <c r="M24" i="12" s="1"/>
  <c r="D43" i="9"/>
  <c r="B43" i="11" s="1"/>
  <c r="O43" i="11" s="1"/>
  <c r="F56" i="9"/>
  <c r="D56" i="11" s="1"/>
  <c r="F61" i="12" s="1"/>
  <c r="L32" i="4"/>
  <c r="E31" i="9" s="1"/>
  <c r="J38" i="15"/>
  <c r="S31" i="18"/>
  <c r="D31" i="9"/>
  <c r="B31" i="11" s="1"/>
  <c r="F31" i="9"/>
  <c r="O41" i="11"/>
  <c r="D46" i="12"/>
  <c r="D61" i="12"/>
  <c r="O56" i="11"/>
  <c r="O55" i="11"/>
  <c r="D60" i="12"/>
  <c r="F18" i="9"/>
  <c r="D18" i="11" s="1"/>
  <c r="F23" i="12" s="1"/>
  <c r="S18" i="18"/>
  <c r="L19" i="4"/>
  <c r="J25" i="15"/>
  <c r="D18" i="9"/>
  <c r="B18" i="11" s="1"/>
  <c r="J71" i="15"/>
  <c r="L65" i="4"/>
  <c r="E64" i="9" s="1"/>
  <c r="C64" i="11" s="1"/>
  <c r="E69" i="12" s="1"/>
  <c r="S64" i="18"/>
  <c r="L71" i="4"/>
  <c r="E70" i="9" s="1"/>
  <c r="C70" i="11" s="1"/>
  <c r="J77" i="15"/>
  <c r="S70" i="18"/>
  <c r="S66" i="18"/>
  <c r="J73" i="15"/>
  <c r="L67" i="4"/>
  <c r="E66" i="9" s="1"/>
  <c r="C66" i="11" s="1"/>
  <c r="E35" i="11"/>
  <c r="G40" i="12" s="1"/>
  <c r="E39" i="17"/>
  <c r="J42" i="15"/>
  <c r="L36" i="4"/>
  <c r="S35" i="18"/>
  <c r="J52" i="15"/>
  <c r="L46" i="4"/>
  <c r="S45" i="18"/>
  <c r="L37" i="4"/>
  <c r="S36" i="18"/>
  <c r="J43" i="15"/>
  <c r="L20" i="4"/>
  <c r="J26" i="15"/>
  <c r="S19" i="18"/>
  <c r="L30" i="4"/>
  <c r="F29" i="9"/>
  <c r="D29" i="11" s="1"/>
  <c r="F34" i="12" s="1"/>
  <c r="J36" i="15"/>
  <c r="D29" i="9"/>
  <c r="B29" i="11" s="1"/>
  <c r="D34" i="12" s="1"/>
  <c r="S29" i="18"/>
  <c r="F34" i="9"/>
  <c r="S34" i="18"/>
  <c r="D34" i="9"/>
  <c r="B34" i="11" s="1"/>
  <c r="D39" i="12" s="1"/>
  <c r="L35" i="4"/>
  <c r="J41" i="15"/>
  <c r="D36" i="9"/>
  <c r="B36" i="11" s="1"/>
  <c r="J66" i="15"/>
  <c r="S59" i="18"/>
  <c r="L60" i="4"/>
  <c r="E59" i="9" s="1"/>
  <c r="D39" i="11"/>
  <c r="F44" i="12" s="1"/>
  <c r="E43" i="17"/>
  <c r="J46" i="15"/>
  <c r="L40" i="4"/>
  <c r="E39" i="9" s="1"/>
  <c r="S39" i="18"/>
  <c r="F23" i="9"/>
  <c r="D23" i="11" s="1"/>
  <c r="F28" i="12" s="1"/>
  <c r="L24" i="4"/>
  <c r="E23" i="9" s="1"/>
  <c r="J30" i="15"/>
  <c r="S23" i="18"/>
  <c r="D23" i="9"/>
  <c r="B23" i="11" s="1"/>
  <c r="F37" i="9"/>
  <c r="J44" i="15"/>
  <c r="D37" i="9"/>
  <c r="B37" i="11" s="1"/>
  <c r="D42" i="12" s="1"/>
  <c r="S37" i="18"/>
  <c r="L38" i="4"/>
  <c r="E37" i="9" s="1"/>
  <c r="D39" i="9"/>
  <c r="B39" i="11" s="1"/>
  <c r="L57" i="4"/>
  <c r="E56" i="9" s="1"/>
  <c r="C56" i="11" s="1"/>
  <c r="E61" i="12" s="1"/>
  <c r="J63" i="15"/>
  <c r="S56" i="18"/>
  <c r="F30" i="9"/>
  <c r="L31" i="4"/>
  <c r="S30" i="18"/>
  <c r="J37" i="15"/>
  <c r="L15" i="4"/>
  <c r="J21" i="15"/>
  <c r="S14" i="18"/>
  <c r="L42" i="4"/>
  <c r="E41" i="9" s="1"/>
  <c r="J48" i="15"/>
  <c r="S41" i="18"/>
  <c r="S57" i="18"/>
  <c r="J64" i="15"/>
  <c r="L58" i="4"/>
  <c r="E57" i="9" s="1"/>
  <c r="C57" i="11" s="1"/>
  <c r="L70" i="4"/>
  <c r="E69" i="9" s="1"/>
  <c r="C69" i="11" s="1"/>
  <c r="E74" i="12" s="1"/>
  <c r="S69" i="18"/>
  <c r="J76" i="15"/>
  <c r="E52" i="9"/>
  <c r="C52" i="11" s="1"/>
  <c r="L41" i="4"/>
  <c r="E40" i="9" s="1"/>
  <c r="J47" i="15"/>
  <c r="S40" i="18"/>
  <c r="S72" i="18"/>
  <c r="L73" i="4"/>
  <c r="E72" i="9" s="1"/>
  <c r="C72" i="11" s="1"/>
  <c r="E77" i="12" s="1"/>
  <c r="J79" i="15"/>
  <c r="E18" i="11"/>
  <c r="G23" i="12" s="1"/>
  <c r="E36" i="11"/>
  <c r="G41" i="12" s="1"/>
  <c r="E40" i="17"/>
  <c r="E40" i="11"/>
  <c r="G45" i="12" s="1"/>
  <c r="E44" i="17"/>
  <c r="D22" i="9"/>
  <c r="B22" i="11" s="1"/>
  <c r="F22" i="9"/>
  <c r="L23" i="4"/>
  <c r="J29" i="15"/>
  <c r="S22" i="18"/>
  <c r="L56" i="4"/>
  <c r="E55" i="9" s="1"/>
  <c r="C55" i="11" s="1"/>
  <c r="S55" i="18"/>
  <c r="J62" i="15"/>
  <c r="J80" i="15"/>
  <c r="L74" i="4"/>
  <c r="E73" i="9" s="1"/>
  <c r="C73" i="11" s="1"/>
  <c r="S73" i="18"/>
  <c r="J50" i="15"/>
  <c r="S43" i="18"/>
  <c r="L44" i="4"/>
  <c r="E43" i="9" s="1"/>
  <c r="F19" i="9"/>
  <c r="F14" i="9"/>
  <c r="D45" i="9"/>
  <c r="B45" i="11" s="1"/>
  <c r="D35" i="9"/>
  <c r="B35" i="11" s="1"/>
  <c r="L48" i="4"/>
  <c r="K54" i="15" s="1"/>
  <c r="S47" i="18"/>
  <c r="F47" i="9"/>
  <c r="J68" i="15"/>
  <c r="L62" i="4"/>
  <c r="E61" i="9" s="1"/>
  <c r="C61" i="11" s="1"/>
  <c r="S61" i="18"/>
  <c r="L64" i="4"/>
  <c r="E63" i="9" s="1"/>
  <c r="C63" i="11" s="1"/>
  <c r="E68" i="12" s="1"/>
  <c r="S63" i="18"/>
  <c r="J70" i="15"/>
  <c r="D57" i="12"/>
  <c r="O52" i="11"/>
  <c r="D40" i="9"/>
  <c r="B40" i="11" s="1"/>
  <c r="F45" i="9"/>
  <c r="O46" i="11"/>
  <c r="D51" i="12"/>
  <c r="N9" i="11"/>
  <c r="P9" i="11" s="1"/>
  <c r="J13" i="14" s="1"/>
  <c r="J13" i="20" s="1"/>
  <c r="E17" i="9"/>
  <c r="T17" i="18"/>
  <c r="K24" i="15"/>
  <c r="K53" i="15"/>
  <c r="E46" i="9"/>
  <c r="T46" i="18"/>
  <c r="D46" i="11"/>
  <c r="F51" i="12" s="1"/>
  <c r="E50" i="17"/>
  <c r="D17" i="11"/>
  <c r="F22" i="12" s="1"/>
  <c r="E21" i="17"/>
  <c r="F53" i="14"/>
  <c r="F53" i="20" s="1"/>
  <c r="Q49" i="11"/>
  <c r="D5" i="11"/>
  <c r="F10" i="12" s="1"/>
  <c r="E9" i="17"/>
  <c r="F53" i="17"/>
  <c r="G53" i="17" s="1"/>
  <c r="L49" i="11"/>
  <c r="D53" i="14" s="1"/>
  <c r="D53" i="20" s="1"/>
  <c r="N49" i="11"/>
  <c r="P49" i="11" s="1"/>
  <c r="S11" i="12"/>
  <c r="O23" i="15"/>
  <c r="P23" i="15"/>
  <c r="H15" i="16" s="1"/>
  <c r="Q23" i="15"/>
  <c r="AO79" i="15"/>
  <c r="AP79" i="15" s="1"/>
  <c r="AU68" i="15" s="1"/>
  <c r="AV68" i="15" s="1"/>
  <c r="AO69" i="15"/>
  <c r="AP69" i="15" s="1"/>
  <c r="AU58" i="15" s="1"/>
  <c r="AV58" i="15" s="1"/>
  <c r="C16" i="11"/>
  <c r="Q16" i="11" s="1"/>
  <c r="J20" i="17"/>
  <c r="S21" i="12"/>
  <c r="M21" i="12"/>
  <c r="Q69" i="15"/>
  <c r="P69" i="15"/>
  <c r="H61" i="16" s="1"/>
  <c r="O69" i="15"/>
  <c r="AW34" i="15"/>
  <c r="F13" i="17"/>
  <c r="G13" i="17" s="1"/>
  <c r="Q27" i="15"/>
  <c r="P27" i="15"/>
  <c r="H19" i="16" s="1"/>
  <c r="O27" i="15"/>
  <c r="AW25" i="15"/>
  <c r="T4" i="18"/>
  <c r="K11" i="15"/>
  <c r="Q11" i="15" s="1"/>
  <c r="E4" i="9"/>
  <c r="J8" i="20" s="1"/>
  <c r="T6" i="18"/>
  <c r="K13" i="15"/>
  <c r="AO44" i="15"/>
  <c r="AP44" i="15" s="1"/>
  <c r="AU33" i="15" s="1"/>
  <c r="AV33" i="15" s="1"/>
  <c r="Q9" i="11"/>
  <c r="P32" i="11"/>
  <c r="J36" i="14" s="1"/>
  <c r="J36" i="20" s="1"/>
  <c r="E8" i="17"/>
  <c r="C57" i="14"/>
  <c r="C57" i="20" s="1"/>
  <c r="D57" i="14"/>
  <c r="D57" i="20" s="1"/>
  <c r="D36" i="14"/>
  <c r="D36" i="20" s="1"/>
  <c r="C36" i="14"/>
  <c r="C36" i="20" s="1"/>
  <c r="C20" i="11"/>
  <c r="Q20" i="11" s="1"/>
  <c r="J24" i="17"/>
  <c r="L9" i="11"/>
  <c r="D35" i="12"/>
  <c r="O30" i="11"/>
  <c r="M9" i="12"/>
  <c r="S9" i="12"/>
  <c r="P53" i="11"/>
  <c r="J57" i="14" s="1"/>
  <c r="J57" i="20" s="1"/>
  <c r="P21" i="11"/>
  <c r="J25" i="14" s="1"/>
  <c r="J25" i="20" s="1"/>
  <c r="S14" i="12"/>
  <c r="M14" i="12"/>
  <c r="M18" i="12"/>
  <c r="S18" i="12"/>
  <c r="AW30" i="15"/>
  <c r="AO41" i="15"/>
  <c r="AP41" i="15" s="1"/>
  <c r="AU30" i="15" s="1"/>
  <c r="AV30" i="15" s="1"/>
  <c r="AW26" i="15"/>
  <c r="AO37" i="15"/>
  <c r="AP37" i="15" s="1"/>
  <c r="AU26" i="15" s="1"/>
  <c r="AV26" i="15" s="1"/>
  <c r="D25" i="14"/>
  <c r="D25" i="20" s="1"/>
  <c r="C25" i="14"/>
  <c r="C25" i="20" s="1"/>
  <c r="C17" i="14"/>
  <c r="D17" i="14"/>
  <c r="D17" i="20" s="1"/>
  <c r="Q31" i="15"/>
  <c r="O31" i="15"/>
  <c r="P31" i="15"/>
  <c r="H23" i="16" s="1"/>
  <c r="S26" i="12"/>
  <c r="M26" i="12"/>
  <c r="L24" i="11"/>
  <c r="D29" i="12"/>
  <c r="N24" i="11"/>
  <c r="O24" i="11"/>
  <c r="Q24" i="11" s="1"/>
  <c r="F28" i="17"/>
  <c r="G28" i="17" s="1"/>
  <c r="F28" i="14"/>
  <c r="F28" i="20" s="1"/>
  <c r="K57" i="15" l="1"/>
  <c r="J10" i="14"/>
  <c r="J10" i="20" s="1"/>
  <c r="J10" i="17"/>
  <c r="K32" i="15"/>
  <c r="Q32" i="15" s="1"/>
  <c r="T25" i="18"/>
  <c r="P19" i="15"/>
  <c r="H11" i="16" s="1"/>
  <c r="O19" i="15"/>
  <c r="Q12" i="11"/>
  <c r="F16" i="14"/>
  <c r="F16" i="20" s="1"/>
  <c r="N12" i="11"/>
  <c r="P12" i="11" s="1"/>
  <c r="J16" i="14" s="1"/>
  <c r="J16" i="20" s="1"/>
  <c r="F16" i="17"/>
  <c r="G16" i="17" s="1"/>
  <c r="J16" i="17"/>
  <c r="L12" i="11"/>
  <c r="D16" i="14" s="1"/>
  <c r="D16" i="20" s="1"/>
  <c r="D38" i="12"/>
  <c r="D30" i="12"/>
  <c r="M30" i="12" s="1"/>
  <c r="F37" i="14"/>
  <c r="F37" i="20" s="1"/>
  <c r="K40" i="15"/>
  <c r="Q40" i="15" s="1"/>
  <c r="P15" i="15"/>
  <c r="H7" i="16" s="1"/>
  <c r="AB10" i="18"/>
  <c r="O15" i="15"/>
  <c r="C64" i="1"/>
  <c r="J12" i="17"/>
  <c r="L8" i="11"/>
  <c r="C12" i="14" s="1"/>
  <c r="C12" i="20" s="1"/>
  <c r="T33" i="18"/>
  <c r="J37" i="17"/>
  <c r="C10" i="11"/>
  <c r="L10" i="11" s="1"/>
  <c r="C14" i="14" s="1"/>
  <c r="C14" i="20" s="1"/>
  <c r="T5" i="18"/>
  <c r="D52" i="12"/>
  <c r="E48" i="9"/>
  <c r="J52" i="17" s="1"/>
  <c r="K55" i="15"/>
  <c r="O55" i="15" s="1"/>
  <c r="E52" i="17"/>
  <c r="O5" i="11"/>
  <c r="AC8" i="18"/>
  <c r="AC10" i="18" s="1"/>
  <c r="K12" i="15"/>
  <c r="Q18" i="15"/>
  <c r="P18" i="15"/>
  <c r="H10" i="16" s="1"/>
  <c r="N11" i="11"/>
  <c r="P11" i="11" s="1"/>
  <c r="H13" i="11"/>
  <c r="M17" i="17" s="1"/>
  <c r="T52" i="18"/>
  <c r="F12" i="14"/>
  <c r="F12" i="20" s="1"/>
  <c r="Q8" i="11"/>
  <c r="F12" i="17"/>
  <c r="G12" i="17" s="1"/>
  <c r="L11" i="11"/>
  <c r="C15" i="14" s="1"/>
  <c r="C15" i="20" s="1"/>
  <c r="E16" i="12"/>
  <c r="N16" i="12" s="1"/>
  <c r="Q11" i="11"/>
  <c r="F15" i="14"/>
  <c r="F15" i="20" s="1"/>
  <c r="G15" i="17"/>
  <c r="E13" i="12"/>
  <c r="N13" i="12" s="1"/>
  <c r="O13" i="12" s="1"/>
  <c r="P13" i="12" s="1"/>
  <c r="Q13" i="12" s="1"/>
  <c r="R13" i="12" s="1"/>
  <c r="N8" i="11"/>
  <c r="P8" i="11" s="1"/>
  <c r="J12" i="14" s="1"/>
  <c r="J12" i="20" s="1"/>
  <c r="D43" i="12"/>
  <c r="E31" i="17"/>
  <c r="D32" i="12"/>
  <c r="S32" i="12" s="1"/>
  <c r="D72" i="20"/>
  <c r="E72" i="14"/>
  <c r="E72" i="20" s="1"/>
  <c r="C17" i="20"/>
  <c r="F17" i="14"/>
  <c r="F17" i="20" s="1"/>
  <c r="T50" i="18"/>
  <c r="E45" i="17"/>
  <c r="J54" i="17"/>
  <c r="P57" i="15"/>
  <c r="H49" i="16" s="1"/>
  <c r="E54" i="17"/>
  <c r="D66" i="14"/>
  <c r="D66" i="20" s="1"/>
  <c r="O48" i="11"/>
  <c r="D28" i="11"/>
  <c r="F33" i="12" s="1"/>
  <c r="E32" i="17"/>
  <c r="D50" i="11"/>
  <c r="F54" i="14" s="1"/>
  <c r="F54" i="20" s="1"/>
  <c r="E64" i="14"/>
  <c r="E64" i="20" s="1"/>
  <c r="E28" i="9"/>
  <c r="T28" i="18"/>
  <c r="K35" i="15"/>
  <c r="D33" i="12"/>
  <c r="O28" i="11"/>
  <c r="H62" i="11"/>
  <c r="G72" i="14"/>
  <c r="AY64" i="15" s="1"/>
  <c r="P68" i="11"/>
  <c r="H68" i="11"/>
  <c r="E22" i="17"/>
  <c r="E59" i="12"/>
  <c r="F58" i="14"/>
  <c r="F58" i="20" s="1"/>
  <c r="L54" i="11"/>
  <c r="N54" i="11"/>
  <c r="P54" i="11" s="1"/>
  <c r="J58" i="14" s="1"/>
  <c r="J58" i="20" s="1"/>
  <c r="Q54" i="11"/>
  <c r="O61" i="15"/>
  <c r="Q61" i="15"/>
  <c r="P61" i="15"/>
  <c r="H53" i="16" s="1"/>
  <c r="Q58" i="11"/>
  <c r="J30" i="17"/>
  <c r="F62" i="14"/>
  <c r="F62" i="20" s="1"/>
  <c r="Q65" i="15"/>
  <c r="D38" i="11"/>
  <c r="F43" i="12" s="1"/>
  <c r="E42" i="17"/>
  <c r="K45" i="15"/>
  <c r="E38" i="9"/>
  <c r="T38" i="18"/>
  <c r="N58" i="11"/>
  <c r="P58" i="11" s="1"/>
  <c r="P65" i="15"/>
  <c r="H57" i="16" s="1"/>
  <c r="L58" i="11"/>
  <c r="S22" i="12"/>
  <c r="T48" i="18"/>
  <c r="E78" i="12"/>
  <c r="C59" i="11"/>
  <c r="F63" i="14" s="1"/>
  <c r="E71" i="12"/>
  <c r="E62" i="12"/>
  <c r="E75" i="12"/>
  <c r="E66" i="12"/>
  <c r="O72" i="11"/>
  <c r="Q72" i="11" s="1"/>
  <c r="L72" i="11"/>
  <c r="D77" i="12"/>
  <c r="F76" i="14"/>
  <c r="N72" i="11"/>
  <c r="B63" i="11"/>
  <c r="B66" i="11"/>
  <c r="D71" i="20"/>
  <c r="E71" i="14"/>
  <c r="J64" i="20"/>
  <c r="D75" i="20"/>
  <c r="E75" i="14"/>
  <c r="D69" i="20"/>
  <c r="E69" i="14"/>
  <c r="B61" i="11"/>
  <c r="D78" i="12"/>
  <c r="O73" i="11"/>
  <c r="Q73" i="11" s="1"/>
  <c r="L73" i="11"/>
  <c r="N73" i="11"/>
  <c r="F77" i="14"/>
  <c r="R71" i="11"/>
  <c r="J75" i="14"/>
  <c r="R65" i="11"/>
  <c r="J69" i="14"/>
  <c r="B70" i="11"/>
  <c r="R62" i="11"/>
  <c r="J66" i="14"/>
  <c r="J71" i="14"/>
  <c r="R67" i="11"/>
  <c r="L57" i="11"/>
  <c r="O57" i="11"/>
  <c r="Q57" i="11" s="1"/>
  <c r="D62" i="12"/>
  <c r="N57" i="11"/>
  <c r="F61" i="14"/>
  <c r="B69" i="11"/>
  <c r="O59" i="11"/>
  <c r="D64" i="12"/>
  <c r="B64" i="11"/>
  <c r="S19" i="12"/>
  <c r="E48" i="14"/>
  <c r="G48" i="14" s="1"/>
  <c r="AY40" i="15" s="1"/>
  <c r="C46" i="14"/>
  <c r="C46" i="20" s="1"/>
  <c r="C25" i="11"/>
  <c r="J29" i="17"/>
  <c r="E14" i="9"/>
  <c r="J18" i="17" s="1"/>
  <c r="I18" i="17"/>
  <c r="I18" i="14"/>
  <c r="I18" i="20" s="1"/>
  <c r="L33" i="11"/>
  <c r="D37" i="14" s="1"/>
  <c r="D37" i="20" s="1"/>
  <c r="T26" i="18"/>
  <c r="K33" i="15"/>
  <c r="H21" i="11"/>
  <c r="M25" i="17" s="1"/>
  <c r="O34" i="15"/>
  <c r="P34" i="15"/>
  <c r="H26" i="16" s="1"/>
  <c r="Q34" i="15"/>
  <c r="O26" i="11"/>
  <c r="D31" i="12"/>
  <c r="D26" i="11"/>
  <c r="F31" i="12" s="1"/>
  <c r="E30" i="17"/>
  <c r="J31" i="17"/>
  <c r="C27" i="11"/>
  <c r="L27" i="11" s="1"/>
  <c r="Q52" i="11"/>
  <c r="H44" i="11"/>
  <c r="M48" i="17" s="1"/>
  <c r="D48" i="12"/>
  <c r="E33" i="17"/>
  <c r="E27" i="17"/>
  <c r="E15" i="9"/>
  <c r="T15" i="18"/>
  <c r="K22" i="15"/>
  <c r="O22" i="15" s="1"/>
  <c r="O15" i="11"/>
  <c r="D20" i="12"/>
  <c r="O29" i="11"/>
  <c r="Q57" i="15"/>
  <c r="O57" i="15"/>
  <c r="O37" i="11"/>
  <c r="S24" i="12"/>
  <c r="D56" i="12"/>
  <c r="O51" i="11"/>
  <c r="C63" i="1"/>
  <c r="C7" i="11"/>
  <c r="J11" i="17"/>
  <c r="O14" i="15"/>
  <c r="P14" i="15"/>
  <c r="H6" i="16" s="1"/>
  <c r="K58" i="15"/>
  <c r="O58" i="15" s="1"/>
  <c r="T51" i="18"/>
  <c r="E51" i="9"/>
  <c r="C51" i="11" s="1"/>
  <c r="J27" i="17"/>
  <c r="C23" i="11"/>
  <c r="N23" i="11" s="1"/>
  <c r="J35" i="17"/>
  <c r="C31" i="11"/>
  <c r="E36" i="12" s="1"/>
  <c r="O34" i="11"/>
  <c r="D31" i="11"/>
  <c r="F36" i="12" s="1"/>
  <c r="E35" i="17"/>
  <c r="K38" i="15"/>
  <c r="O38" i="15" s="1"/>
  <c r="T31" i="18"/>
  <c r="O31" i="11"/>
  <c r="D36" i="12"/>
  <c r="C43" i="11"/>
  <c r="Q43" i="11" s="1"/>
  <c r="J47" i="17"/>
  <c r="J45" i="17"/>
  <c r="C41" i="11"/>
  <c r="O40" i="11"/>
  <c r="D45" i="12"/>
  <c r="T47" i="18"/>
  <c r="O54" i="15"/>
  <c r="D14" i="11"/>
  <c r="F19" i="12" s="1"/>
  <c r="E18" i="17"/>
  <c r="T55" i="18"/>
  <c r="K62" i="15"/>
  <c r="O62" i="15" s="1"/>
  <c r="K47" i="15"/>
  <c r="O47" i="15" s="1"/>
  <c r="T40" i="18"/>
  <c r="T56" i="18"/>
  <c r="K63" i="15"/>
  <c r="Q63" i="15" s="1"/>
  <c r="J43" i="17"/>
  <c r="C39" i="11"/>
  <c r="F43" i="14" s="1"/>
  <c r="F43" i="20" s="1"/>
  <c r="T59" i="18"/>
  <c r="K66" i="15"/>
  <c r="P66" i="15" s="1"/>
  <c r="H58" i="16" s="1"/>
  <c r="D34" i="11"/>
  <c r="F39" i="12" s="1"/>
  <c r="E38" i="17"/>
  <c r="T19" i="18"/>
  <c r="E19" i="9"/>
  <c r="K26" i="15"/>
  <c r="K52" i="15"/>
  <c r="P52" i="15" s="1"/>
  <c r="H44" i="16" s="1"/>
  <c r="T45" i="18"/>
  <c r="I39" i="14"/>
  <c r="I39" i="20" s="1"/>
  <c r="K42" i="15"/>
  <c r="O42" i="15" s="1"/>
  <c r="I39" i="17"/>
  <c r="T35" i="18"/>
  <c r="K73" i="15"/>
  <c r="O73" i="15" s="1"/>
  <c r="T66" i="18"/>
  <c r="Q56" i="11"/>
  <c r="K70" i="15"/>
  <c r="P70" i="15" s="1"/>
  <c r="H62" i="16" s="1"/>
  <c r="T63" i="18"/>
  <c r="K68" i="15"/>
  <c r="P68" i="15" s="1"/>
  <c r="H60" i="16" s="1"/>
  <c r="T61" i="18"/>
  <c r="D19" i="11"/>
  <c r="F24" i="12" s="1"/>
  <c r="E23" i="17"/>
  <c r="E22" i="9"/>
  <c r="K29" i="15"/>
  <c r="T22" i="18"/>
  <c r="F56" i="14"/>
  <c r="F56" i="20" s="1"/>
  <c r="N52" i="11"/>
  <c r="E57" i="12"/>
  <c r="L52" i="11"/>
  <c r="D44" i="12"/>
  <c r="O39" i="11"/>
  <c r="T34" i="18"/>
  <c r="K41" i="15"/>
  <c r="E34" i="9"/>
  <c r="T29" i="18"/>
  <c r="E29" i="9"/>
  <c r="K36" i="15"/>
  <c r="K43" i="15"/>
  <c r="P43" i="15" s="1"/>
  <c r="H35" i="16" s="1"/>
  <c r="T36" i="18"/>
  <c r="E36" i="9"/>
  <c r="T64" i="18"/>
  <c r="K71" i="15"/>
  <c r="O71" i="15" s="1"/>
  <c r="T18" i="18"/>
  <c r="K25" i="15"/>
  <c r="E18" i="9"/>
  <c r="N56" i="11"/>
  <c r="P56" i="11" s="1"/>
  <c r="J60" i="14" s="1"/>
  <c r="J60" i="20" s="1"/>
  <c r="D47" i="11"/>
  <c r="F52" i="12" s="1"/>
  <c r="E51" i="17"/>
  <c r="Q55" i="11"/>
  <c r="L55" i="11"/>
  <c r="E60" i="12"/>
  <c r="F59" i="14"/>
  <c r="F59" i="20" s="1"/>
  <c r="N55" i="11"/>
  <c r="P55" i="11" s="1"/>
  <c r="C40" i="11"/>
  <c r="E45" i="12" s="1"/>
  <c r="J44" i="17"/>
  <c r="K37" i="15"/>
  <c r="E30" i="9"/>
  <c r="T30" i="18"/>
  <c r="E47" i="9"/>
  <c r="D40" i="12"/>
  <c r="O35" i="11"/>
  <c r="E26" i="17"/>
  <c r="D22" i="11"/>
  <c r="F27" i="12" s="1"/>
  <c r="K76" i="15"/>
  <c r="O76" i="15" s="1"/>
  <c r="T69" i="18"/>
  <c r="T14" i="18"/>
  <c r="K21" i="15"/>
  <c r="P21" i="15" s="1"/>
  <c r="H13" i="16" s="1"/>
  <c r="D30" i="11"/>
  <c r="F35" i="12" s="1"/>
  <c r="E34" i="17"/>
  <c r="T37" i="18"/>
  <c r="K44" i="15"/>
  <c r="D37" i="11"/>
  <c r="F42" i="12" s="1"/>
  <c r="E41" i="17"/>
  <c r="T23" i="18"/>
  <c r="K30" i="15"/>
  <c r="O30" i="15" s="1"/>
  <c r="T39" i="18"/>
  <c r="K46" i="15"/>
  <c r="O46" i="15" s="1"/>
  <c r="E45" i="9"/>
  <c r="E35" i="9"/>
  <c r="L56" i="11"/>
  <c r="D45" i="11"/>
  <c r="F50" i="12" s="1"/>
  <c r="E49" i="17"/>
  <c r="O45" i="11"/>
  <c r="D50" i="12"/>
  <c r="K50" i="15"/>
  <c r="Q50" i="15" s="1"/>
  <c r="T43" i="18"/>
  <c r="T73" i="18"/>
  <c r="K80" i="15"/>
  <c r="Q80" i="15" s="1"/>
  <c r="J41" i="17"/>
  <c r="C37" i="11"/>
  <c r="O22" i="11"/>
  <c r="D27" i="12"/>
  <c r="T72" i="18"/>
  <c r="K79" i="15"/>
  <c r="P59" i="15"/>
  <c r="H51" i="16" s="1"/>
  <c r="Q59" i="15"/>
  <c r="O59" i="15"/>
  <c r="AW53" i="15"/>
  <c r="K64" i="15"/>
  <c r="Q64" i="15" s="1"/>
  <c r="T57" i="18"/>
  <c r="K48" i="15"/>
  <c r="O48" i="15" s="1"/>
  <c r="T41" i="18"/>
  <c r="D28" i="12"/>
  <c r="O23" i="11"/>
  <c r="D41" i="12"/>
  <c r="O36" i="11"/>
  <c r="T70" i="18"/>
  <c r="K77" i="15"/>
  <c r="P77" i="15" s="1"/>
  <c r="D23" i="12"/>
  <c r="O18" i="11"/>
  <c r="F60" i="14"/>
  <c r="F60" i="20" s="1"/>
  <c r="N33" i="11"/>
  <c r="P33" i="11" s="1"/>
  <c r="J37" i="14" s="1"/>
  <c r="J37" i="20" s="1"/>
  <c r="P40" i="15"/>
  <c r="H32" i="16" s="1"/>
  <c r="C53" i="14"/>
  <c r="C53" i="20" s="1"/>
  <c r="Q24" i="15"/>
  <c r="P24" i="15"/>
  <c r="H16" i="16" s="1"/>
  <c r="O24" i="15"/>
  <c r="E38" i="12"/>
  <c r="F37" i="17"/>
  <c r="G37" i="17" s="1"/>
  <c r="P53" i="15"/>
  <c r="H45" i="16" s="1"/>
  <c r="O53" i="15"/>
  <c r="Q53" i="15"/>
  <c r="C46" i="11"/>
  <c r="Q46" i="11" s="1"/>
  <c r="J50" i="17"/>
  <c r="J21" i="17"/>
  <c r="C17" i="11"/>
  <c r="Q33" i="11"/>
  <c r="M10" i="12"/>
  <c r="S10" i="12"/>
  <c r="H9" i="11"/>
  <c r="M13" i="17" s="1"/>
  <c r="C5" i="11"/>
  <c r="J9" i="14"/>
  <c r="J9" i="20"/>
  <c r="J9" i="17"/>
  <c r="H49" i="11"/>
  <c r="K53" i="17" s="1"/>
  <c r="L53" i="17" s="1"/>
  <c r="J53" i="14"/>
  <c r="J53" i="20" s="1"/>
  <c r="H42" i="11"/>
  <c r="M46" i="17" s="1"/>
  <c r="J46" i="14"/>
  <c r="J46" i="20" s="1"/>
  <c r="C13" i="14"/>
  <c r="T17" i="12"/>
  <c r="U17" i="12" s="1"/>
  <c r="V17" i="12" s="1"/>
  <c r="W17" i="12" s="1"/>
  <c r="X17" i="12" s="1"/>
  <c r="N17" i="12"/>
  <c r="O17" i="12" s="1"/>
  <c r="P17" i="12" s="1"/>
  <c r="Q17" i="12" s="1"/>
  <c r="R17" i="12" s="1"/>
  <c r="L16" i="11"/>
  <c r="E21" i="12"/>
  <c r="N21" i="12" s="1"/>
  <c r="F20" i="17"/>
  <c r="G20" i="17" s="1"/>
  <c r="N16" i="11"/>
  <c r="E17" i="14"/>
  <c r="E57" i="14"/>
  <c r="D13" i="14"/>
  <c r="E36" i="14"/>
  <c r="J8" i="14"/>
  <c r="J8" i="17"/>
  <c r="C4" i="11"/>
  <c r="R53" i="11"/>
  <c r="R44" i="11"/>
  <c r="H53" i="11"/>
  <c r="R32" i="11"/>
  <c r="O11" i="15"/>
  <c r="P11" i="15"/>
  <c r="H3" i="16" s="1"/>
  <c r="E25" i="12"/>
  <c r="N20" i="11"/>
  <c r="F24" i="17"/>
  <c r="G24" i="17" s="1"/>
  <c r="L20" i="11"/>
  <c r="R49" i="11"/>
  <c r="R42" i="11"/>
  <c r="E11" i="12"/>
  <c r="N6" i="11"/>
  <c r="F10" i="17"/>
  <c r="G10" i="17" s="1"/>
  <c r="L6" i="11"/>
  <c r="Q6" i="11"/>
  <c r="H32" i="11"/>
  <c r="E31" i="12"/>
  <c r="N18" i="12"/>
  <c r="O18" i="12" s="1"/>
  <c r="P18" i="12" s="1"/>
  <c r="Q18" i="12" s="1"/>
  <c r="R18" i="12" s="1"/>
  <c r="R9" i="11"/>
  <c r="P24" i="11"/>
  <c r="J28" i="14" s="1"/>
  <c r="J28" i="20" s="1"/>
  <c r="E25" i="14"/>
  <c r="N14" i="12"/>
  <c r="O14" i="12" s="1"/>
  <c r="P14" i="12" s="1"/>
  <c r="Q14" i="12" s="1"/>
  <c r="R14" i="12" s="1"/>
  <c r="D28" i="14"/>
  <c r="D28" i="20" s="1"/>
  <c r="C28" i="14"/>
  <c r="C28" i="20" s="1"/>
  <c r="T26" i="12"/>
  <c r="U26" i="12" s="1"/>
  <c r="V26" i="12" s="1"/>
  <c r="W26" i="12" s="1"/>
  <c r="X26" i="12" s="1"/>
  <c r="M29" i="12"/>
  <c r="S29" i="12"/>
  <c r="N26" i="12"/>
  <c r="O26" i="12" s="1"/>
  <c r="P26" i="12" s="1"/>
  <c r="Q26" i="12" s="1"/>
  <c r="R26" i="12" s="1"/>
  <c r="T18" i="12"/>
  <c r="U18" i="12" s="1"/>
  <c r="V18" i="12" s="1"/>
  <c r="W18" i="12" s="1"/>
  <c r="X18" i="12" s="1"/>
  <c r="T14" i="12"/>
  <c r="U14" i="12" s="1"/>
  <c r="V14" i="12" s="1"/>
  <c r="W14" i="12" s="1"/>
  <c r="X14" i="12" s="1"/>
  <c r="R21" i="11"/>
  <c r="R13" i="11"/>
  <c r="O32" i="15" l="1"/>
  <c r="P32" i="15"/>
  <c r="H24" i="16" s="1"/>
  <c r="C16" i="14"/>
  <c r="C16" i="20" s="1"/>
  <c r="S30" i="12"/>
  <c r="H12" i="11"/>
  <c r="M16" i="17" s="1"/>
  <c r="R12" i="11"/>
  <c r="O40" i="15"/>
  <c r="D62" i="1"/>
  <c r="D12" i="14"/>
  <c r="D12" i="20" s="1"/>
  <c r="F14" i="14"/>
  <c r="F14" i="20" s="1"/>
  <c r="N10" i="11"/>
  <c r="P10" i="11" s="1"/>
  <c r="J14" i="14" s="1"/>
  <c r="J14" i="20" s="1"/>
  <c r="D14" i="14"/>
  <c r="D14" i="20" s="1"/>
  <c r="Q10" i="11"/>
  <c r="F14" i="17"/>
  <c r="G14" i="17" s="1"/>
  <c r="E15" i="12"/>
  <c r="T15" i="12" s="1"/>
  <c r="U15" i="12" s="1"/>
  <c r="V15" i="12" s="1"/>
  <c r="W15" i="12" s="1"/>
  <c r="X15" i="12" s="1"/>
  <c r="C48" i="11"/>
  <c r="Q48" i="11" s="1"/>
  <c r="Q5" i="11"/>
  <c r="O52" i="15"/>
  <c r="AD8" i="18"/>
  <c r="AN32" i="18" s="1"/>
  <c r="AM32" i="18"/>
  <c r="L4" i="11"/>
  <c r="R55" i="11"/>
  <c r="Q38" i="15"/>
  <c r="P35" i="15"/>
  <c r="H27" i="16" s="1"/>
  <c r="O35" i="15"/>
  <c r="Q35" i="15"/>
  <c r="O45" i="15"/>
  <c r="Q45" i="15"/>
  <c r="P45" i="15"/>
  <c r="H37" i="16" s="1"/>
  <c r="K17" i="17"/>
  <c r="L17" i="17" s="1"/>
  <c r="D15" i="14"/>
  <c r="D15" i="20" s="1"/>
  <c r="T16" i="12"/>
  <c r="U16" i="12" s="1"/>
  <c r="V16" i="12" s="1"/>
  <c r="W16" i="12" s="1"/>
  <c r="X16" i="12" s="1"/>
  <c r="Y13" i="12"/>
  <c r="T13" i="12"/>
  <c r="U13" i="12" s="1"/>
  <c r="V13" i="12" s="1"/>
  <c r="W13" i="12" s="1"/>
  <c r="X13" i="12" s="1"/>
  <c r="N50" i="11"/>
  <c r="P50" i="11" s="1"/>
  <c r="J54" i="14" s="1"/>
  <c r="J54" i="20" s="1"/>
  <c r="F55" i="12"/>
  <c r="F54" i="17"/>
  <c r="G54" i="17" s="1"/>
  <c r="G72" i="20"/>
  <c r="L50" i="11"/>
  <c r="C54" i="14" s="1"/>
  <c r="C54" i="20" s="1"/>
  <c r="E66" i="14"/>
  <c r="E66" i="20" s="1"/>
  <c r="Q50" i="11"/>
  <c r="K72" i="14"/>
  <c r="K72" i="20" s="1"/>
  <c r="N59" i="11"/>
  <c r="P59" i="11" s="1"/>
  <c r="M32" i="12"/>
  <c r="L59" i="11"/>
  <c r="D63" i="14" s="1"/>
  <c r="F30" i="17"/>
  <c r="G30" i="17" s="1"/>
  <c r="H8" i="11"/>
  <c r="M12" i="17" s="1"/>
  <c r="E48" i="20"/>
  <c r="G64" i="14"/>
  <c r="G64" i="20" s="1"/>
  <c r="L26" i="11"/>
  <c r="C30" i="14" s="1"/>
  <c r="C30" i="20" s="1"/>
  <c r="H54" i="11"/>
  <c r="C28" i="11"/>
  <c r="J32" i="17"/>
  <c r="S33" i="12"/>
  <c r="M33" i="12"/>
  <c r="R68" i="11"/>
  <c r="J72" i="14"/>
  <c r="J72" i="20" s="1"/>
  <c r="R54" i="11"/>
  <c r="C58" i="14"/>
  <c r="C58" i="20" s="1"/>
  <c r="D58" i="14"/>
  <c r="E28" i="12"/>
  <c r="L23" i="11"/>
  <c r="C27" i="14" s="1"/>
  <c r="C27" i="20" s="1"/>
  <c r="C38" i="11"/>
  <c r="J42" i="17"/>
  <c r="C62" i="14"/>
  <c r="C62" i="20" s="1"/>
  <c r="D62" i="14"/>
  <c r="F30" i="14"/>
  <c r="F30" i="20" s="1"/>
  <c r="H58" i="11"/>
  <c r="R58" i="11"/>
  <c r="J62" i="14"/>
  <c r="J62" i="20" s="1"/>
  <c r="Q55" i="15"/>
  <c r="P55" i="15"/>
  <c r="H47" i="16" s="1"/>
  <c r="C14" i="11"/>
  <c r="E19" i="12" s="1"/>
  <c r="N19" i="12" s="1"/>
  <c r="O19" i="12" s="1"/>
  <c r="P19" i="12" s="1"/>
  <c r="Q19" i="12" s="1"/>
  <c r="R19" i="12" s="1"/>
  <c r="Q71" i="15"/>
  <c r="G66" i="14"/>
  <c r="P57" i="11"/>
  <c r="H57" i="11" s="1"/>
  <c r="E75" i="20"/>
  <c r="G75" i="14"/>
  <c r="E71" i="20"/>
  <c r="G71" i="14"/>
  <c r="F63" i="20"/>
  <c r="J71" i="20"/>
  <c r="D75" i="12"/>
  <c r="O70" i="11"/>
  <c r="Q70" i="11" s="1"/>
  <c r="L70" i="11"/>
  <c r="N70" i="11"/>
  <c r="F74" i="14"/>
  <c r="F77" i="20"/>
  <c r="D66" i="12"/>
  <c r="L61" i="11"/>
  <c r="O61" i="11"/>
  <c r="Q61" i="11" s="1"/>
  <c r="F65" i="14"/>
  <c r="N61" i="11"/>
  <c r="O63" i="11"/>
  <c r="Q63" i="11" s="1"/>
  <c r="D68" i="12"/>
  <c r="L63" i="11"/>
  <c r="F67" i="14"/>
  <c r="N63" i="11"/>
  <c r="D76" i="14"/>
  <c r="C76" i="14"/>
  <c r="C76" i="20" s="1"/>
  <c r="Q59" i="11"/>
  <c r="E64" i="12"/>
  <c r="L69" i="11"/>
  <c r="D74" i="12"/>
  <c r="O69" i="11"/>
  <c r="Q69" i="11" s="1"/>
  <c r="N69" i="11"/>
  <c r="F73" i="14"/>
  <c r="J66" i="20"/>
  <c r="L66" i="14"/>
  <c r="L66" i="20" s="1"/>
  <c r="J69" i="20"/>
  <c r="P73" i="11"/>
  <c r="H73" i="11" s="1"/>
  <c r="E69" i="20"/>
  <c r="G69" i="14"/>
  <c r="P72" i="11"/>
  <c r="H72" i="11" s="1"/>
  <c r="C13" i="20"/>
  <c r="F13" i="14"/>
  <c r="F13" i="20" s="1"/>
  <c r="D69" i="12"/>
  <c r="O64" i="11"/>
  <c r="Q64" i="11" s="1"/>
  <c r="L64" i="11"/>
  <c r="F68" i="14"/>
  <c r="N64" i="11"/>
  <c r="F61" i="20"/>
  <c r="D61" i="14"/>
  <c r="C61" i="14"/>
  <c r="C61" i="20" s="1"/>
  <c r="J75" i="20"/>
  <c r="C77" i="14"/>
  <c r="C77" i="20" s="1"/>
  <c r="D77" i="14"/>
  <c r="D71" i="12"/>
  <c r="O66" i="11"/>
  <c r="Q66" i="11" s="1"/>
  <c r="L66" i="11"/>
  <c r="N66" i="11"/>
  <c r="F70" i="14"/>
  <c r="F76" i="20"/>
  <c r="Q26" i="11"/>
  <c r="Q58" i="15"/>
  <c r="N26" i="11"/>
  <c r="P26" i="11" s="1"/>
  <c r="J30" i="14" s="1"/>
  <c r="J30" i="20" s="1"/>
  <c r="K25" i="17"/>
  <c r="L25" i="17" s="1"/>
  <c r="E46" i="14"/>
  <c r="E46" i="20" s="1"/>
  <c r="C37" i="14"/>
  <c r="C37" i="20" s="1"/>
  <c r="D31" i="14"/>
  <c r="C31" i="14"/>
  <c r="C31" i="20" s="1"/>
  <c r="Q25" i="11"/>
  <c r="L25" i="11"/>
  <c r="E30" i="12"/>
  <c r="F29" i="14"/>
  <c r="F29" i="20" s="1"/>
  <c r="N25" i="11"/>
  <c r="F29" i="17"/>
  <c r="G29" i="17" s="1"/>
  <c r="F27" i="14"/>
  <c r="F27" i="20" s="1"/>
  <c r="Q23" i="11"/>
  <c r="F27" i="17"/>
  <c r="G27" i="17" s="1"/>
  <c r="Q31" i="11"/>
  <c r="Q73" i="15"/>
  <c r="F31" i="17"/>
  <c r="G31" i="17" s="1"/>
  <c r="F31" i="14"/>
  <c r="F31" i="20" s="1"/>
  <c r="E32" i="12"/>
  <c r="N27" i="11"/>
  <c r="Q27" i="11"/>
  <c r="S31" i="12"/>
  <c r="T31" i="12" s="1"/>
  <c r="M31" i="12"/>
  <c r="N31" i="12" s="1"/>
  <c r="P33" i="15"/>
  <c r="H25" i="16" s="1"/>
  <c r="Q33" i="15"/>
  <c r="O33" i="15"/>
  <c r="Q52" i="15"/>
  <c r="O43" i="15"/>
  <c r="K48" i="17"/>
  <c r="L48" i="17" s="1"/>
  <c r="K13" i="17"/>
  <c r="L13" i="17" s="1"/>
  <c r="N39" i="11"/>
  <c r="P39" i="11" s="1"/>
  <c r="J43" i="14" s="1"/>
  <c r="J43" i="20" s="1"/>
  <c r="M53" i="17"/>
  <c r="R33" i="11"/>
  <c r="F43" i="17"/>
  <c r="G43" i="17" s="1"/>
  <c r="P22" i="15"/>
  <c r="H14" i="16" s="1"/>
  <c r="Q22" i="15"/>
  <c r="M20" i="12"/>
  <c r="S20" i="12"/>
  <c r="J19" i="17"/>
  <c r="C15" i="11"/>
  <c r="Q15" i="11" s="1"/>
  <c r="O80" i="15"/>
  <c r="P38" i="15"/>
  <c r="H30" i="16" s="1"/>
  <c r="P71" i="15"/>
  <c r="H63" i="16" s="1"/>
  <c r="F35" i="17"/>
  <c r="G35" i="17" s="1"/>
  <c r="L31" i="11"/>
  <c r="C35" i="14" s="1"/>
  <c r="C35" i="20" s="1"/>
  <c r="H33" i="11"/>
  <c r="M37" i="17" s="1"/>
  <c r="E56" i="12"/>
  <c r="L51" i="11"/>
  <c r="N51" i="11"/>
  <c r="Q51" i="11"/>
  <c r="F55" i="14"/>
  <c r="F55" i="20" s="1"/>
  <c r="F11" i="14"/>
  <c r="F11" i="20" s="1"/>
  <c r="Q7" i="11"/>
  <c r="N7" i="11"/>
  <c r="P7" i="11" s="1"/>
  <c r="E12" i="12"/>
  <c r="F11" i="17"/>
  <c r="G11" i="17" s="1"/>
  <c r="L7" i="11"/>
  <c r="K48" i="14"/>
  <c r="K48" i="20" s="1"/>
  <c r="H56" i="11"/>
  <c r="F44" i="17"/>
  <c r="G44" i="17" s="1"/>
  <c r="N31" i="11"/>
  <c r="P31" i="11" s="1"/>
  <c r="J35" i="14" s="1"/>
  <c r="J35" i="20" s="1"/>
  <c r="P58" i="15"/>
  <c r="H50" i="16" s="1"/>
  <c r="P42" i="15"/>
  <c r="H34" i="16" s="1"/>
  <c r="F35" i="14"/>
  <c r="F35" i="20" s="1"/>
  <c r="Q42" i="15"/>
  <c r="Q39" i="11"/>
  <c r="R56" i="11"/>
  <c r="Q43" i="15"/>
  <c r="Q47" i="15"/>
  <c r="O64" i="15"/>
  <c r="O66" i="15"/>
  <c r="P73" i="15"/>
  <c r="Q66" i="15"/>
  <c r="Q62" i="15"/>
  <c r="Q68" i="15"/>
  <c r="P54" i="15"/>
  <c r="H46" i="16" s="1"/>
  <c r="O63" i="15"/>
  <c r="P48" i="15"/>
  <c r="H40" i="16" s="1"/>
  <c r="Q54" i="15"/>
  <c r="P76" i="15"/>
  <c r="J26" i="17"/>
  <c r="C22" i="11"/>
  <c r="L22" i="11" s="1"/>
  <c r="J59" i="14"/>
  <c r="J59" i="20" s="1"/>
  <c r="M28" i="12"/>
  <c r="S28" i="12"/>
  <c r="P63" i="15"/>
  <c r="H55" i="16" s="1"/>
  <c r="E42" i="12"/>
  <c r="N37" i="11"/>
  <c r="P37" i="11" s="1"/>
  <c r="J41" i="14" s="1"/>
  <c r="J41" i="20" s="1"/>
  <c r="L37" i="11"/>
  <c r="F41" i="14"/>
  <c r="F41" i="20" s="1"/>
  <c r="F41" i="17"/>
  <c r="G41" i="17" s="1"/>
  <c r="C60" i="14"/>
  <c r="C60" i="20" s="1"/>
  <c r="D60" i="14"/>
  <c r="Q77" i="15"/>
  <c r="P44" i="15"/>
  <c r="H36" i="16" s="1"/>
  <c r="O44" i="15"/>
  <c r="Q44" i="15"/>
  <c r="Q48" i="15"/>
  <c r="O37" i="15"/>
  <c r="P37" i="15"/>
  <c r="H29" i="16" s="1"/>
  <c r="Q37" i="15"/>
  <c r="O25" i="15"/>
  <c r="P25" i="15"/>
  <c r="H17" i="16" s="1"/>
  <c r="Q25" i="15"/>
  <c r="O50" i="15"/>
  <c r="L39" i="11"/>
  <c r="E44" i="12"/>
  <c r="Q76" i="15"/>
  <c r="N40" i="11"/>
  <c r="P47" i="15"/>
  <c r="H39" i="16" s="1"/>
  <c r="P52" i="11"/>
  <c r="H52" i="11" s="1"/>
  <c r="H55" i="11"/>
  <c r="P46" i="15"/>
  <c r="H38" i="16" s="1"/>
  <c r="Q37" i="11"/>
  <c r="C35" i="11"/>
  <c r="J39" i="17"/>
  <c r="P30" i="15"/>
  <c r="H22" i="16" s="1"/>
  <c r="Q30" i="15"/>
  <c r="P62" i="15"/>
  <c r="H54" i="16" s="1"/>
  <c r="J38" i="17"/>
  <c r="C34" i="11"/>
  <c r="C56" i="14"/>
  <c r="C56" i="20" s="1"/>
  <c r="D56" i="14"/>
  <c r="P50" i="15"/>
  <c r="H42" i="16" s="1"/>
  <c r="Q70" i="15"/>
  <c r="O70" i="15"/>
  <c r="O26" i="15"/>
  <c r="Q26" i="15"/>
  <c r="P26" i="15"/>
  <c r="H18" i="16" s="1"/>
  <c r="P64" i="15"/>
  <c r="H56" i="16" s="1"/>
  <c r="P80" i="15"/>
  <c r="F44" i="14"/>
  <c r="F44" i="20" s="1"/>
  <c r="Q40" i="11"/>
  <c r="E46" i="12"/>
  <c r="N41" i="11"/>
  <c r="F45" i="14"/>
  <c r="F45" i="20" s="1"/>
  <c r="Q41" i="11"/>
  <c r="L41" i="11"/>
  <c r="F45" i="17"/>
  <c r="G45" i="17" s="1"/>
  <c r="O77" i="15"/>
  <c r="J34" i="17"/>
  <c r="C30" i="11"/>
  <c r="C18" i="11"/>
  <c r="L18" i="11" s="1"/>
  <c r="C22" i="14" s="1"/>
  <c r="C22" i="20" s="1"/>
  <c r="J22" i="17"/>
  <c r="J33" i="17"/>
  <c r="C29" i="11"/>
  <c r="O68" i="15"/>
  <c r="S23" i="12"/>
  <c r="M23" i="12"/>
  <c r="Q46" i="15"/>
  <c r="O79" i="15"/>
  <c r="Q79" i="15"/>
  <c r="P79" i="15"/>
  <c r="M27" i="12"/>
  <c r="S27" i="12"/>
  <c r="J49" i="17"/>
  <c r="C45" i="11"/>
  <c r="Q21" i="15"/>
  <c r="O21" i="15"/>
  <c r="C47" i="11"/>
  <c r="Q47" i="11" s="1"/>
  <c r="J51" i="17"/>
  <c r="C59" i="14"/>
  <c r="C59" i="20" s="1"/>
  <c r="D59" i="14"/>
  <c r="C36" i="11"/>
  <c r="Q36" i="11" s="1"/>
  <c r="J40" i="17"/>
  <c r="Q36" i="15"/>
  <c r="O36" i="15"/>
  <c r="P36" i="15"/>
  <c r="H28" i="16" s="1"/>
  <c r="O41" i="15"/>
  <c r="Q41" i="15"/>
  <c r="P41" i="15"/>
  <c r="H33" i="16" s="1"/>
  <c r="O29" i="15"/>
  <c r="Q29" i="15"/>
  <c r="P29" i="15"/>
  <c r="H21" i="16" s="1"/>
  <c r="J23" i="17"/>
  <c r="C19" i="11"/>
  <c r="L40" i="11"/>
  <c r="E48" i="12"/>
  <c r="F47" i="17"/>
  <c r="G47" i="17" s="1"/>
  <c r="N43" i="11"/>
  <c r="L43" i="11"/>
  <c r="F47" i="14"/>
  <c r="F47" i="20" s="1"/>
  <c r="K46" i="17"/>
  <c r="L46" i="17" s="1"/>
  <c r="E53" i="14"/>
  <c r="G53" i="14" s="1"/>
  <c r="K53" i="14" s="1"/>
  <c r="K53" i="20" s="1"/>
  <c r="E22" i="12"/>
  <c r="Q17" i="11"/>
  <c r="N17" i="11"/>
  <c r="P17" i="11" s="1"/>
  <c r="J21" i="14" s="1"/>
  <c r="J21" i="20" s="1"/>
  <c r="F21" i="17"/>
  <c r="G21" i="17" s="1"/>
  <c r="L17" i="11"/>
  <c r="F21" i="14"/>
  <c r="F21" i="20" s="1"/>
  <c r="E51" i="12"/>
  <c r="L46" i="11"/>
  <c r="F50" i="14"/>
  <c r="F50" i="17"/>
  <c r="G50" i="17" s="1"/>
  <c r="N46" i="11"/>
  <c r="E10" i="12"/>
  <c r="T10" i="12" s="1"/>
  <c r="F9" i="17"/>
  <c r="G9" i="17" s="1"/>
  <c r="N5" i="11"/>
  <c r="L5" i="11"/>
  <c r="G36" i="14"/>
  <c r="AY28" i="15" s="1"/>
  <c r="E36" i="20"/>
  <c r="E13" i="14"/>
  <c r="D13" i="20"/>
  <c r="G57" i="14"/>
  <c r="K57" i="14" s="1"/>
  <c r="K57" i="20" s="1"/>
  <c r="E57" i="20"/>
  <c r="G17" i="14"/>
  <c r="E17" i="20"/>
  <c r="Y17" i="12"/>
  <c r="G25" i="14"/>
  <c r="AY17" i="15" s="1"/>
  <c r="E25" i="20"/>
  <c r="H11" i="11"/>
  <c r="K15" i="17" s="1"/>
  <c r="L15" i="17" s="1"/>
  <c r="J15" i="14"/>
  <c r="J15" i="20" s="1"/>
  <c r="G48" i="20"/>
  <c r="Z17" i="12"/>
  <c r="P23" i="11"/>
  <c r="J27" i="14" s="1"/>
  <c r="J27" i="20" s="1"/>
  <c r="C20" i="14"/>
  <c r="D20" i="14"/>
  <c r="D20" i="20" s="1"/>
  <c r="P16" i="11"/>
  <c r="J20" i="14" s="1"/>
  <c r="J20" i="20" s="1"/>
  <c r="T21" i="12"/>
  <c r="R8" i="11"/>
  <c r="O21" i="12"/>
  <c r="P21" i="12" s="1"/>
  <c r="Q21" i="12" s="1"/>
  <c r="R21" i="12" s="1"/>
  <c r="Y18" i="12"/>
  <c r="Z18" i="12"/>
  <c r="T25" i="12"/>
  <c r="N25" i="12"/>
  <c r="Q4" i="11"/>
  <c r="N4" i="11"/>
  <c r="F8" i="17"/>
  <c r="G8" i="17" s="1"/>
  <c r="E9" i="12"/>
  <c r="P6" i="11"/>
  <c r="R6" i="11" s="1"/>
  <c r="D24" i="14"/>
  <c r="D24" i="20" s="1"/>
  <c r="C24" i="14"/>
  <c r="M36" i="17"/>
  <c r="K36" i="17"/>
  <c r="L36" i="17" s="1"/>
  <c r="D10" i="14"/>
  <c r="D10" i="20" s="1"/>
  <c r="C10" i="14"/>
  <c r="C10" i="20" s="1"/>
  <c r="P20" i="11"/>
  <c r="R11" i="11"/>
  <c r="T11" i="12"/>
  <c r="N11" i="12"/>
  <c r="O16" i="12"/>
  <c r="P16" i="12" s="1"/>
  <c r="Q16" i="12" s="1"/>
  <c r="R16" i="12" s="1"/>
  <c r="T29" i="12"/>
  <c r="U29" i="12" s="1"/>
  <c r="V29" i="12" s="1"/>
  <c r="W29" i="12" s="1"/>
  <c r="X29" i="12" s="1"/>
  <c r="R24" i="11"/>
  <c r="Y26" i="12"/>
  <c r="Z26" i="12"/>
  <c r="E28" i="14"/>
  <c r="Z14" i="12"/>
  <c r="N29" i="12"/>
  <c r="O29" i="12" s="1"/>
  <c r="P29" i="12" s="1"/>
  <c r="Q29" i="12" s="1"/>
  <c r="R29" i="12" s="1"/>
  <c r="Y14" i="12"/>
  <c r="H24" i="11"/>
  <c r="N15" i="12" l="1"/>
  <c r="O15" i="12" s="1"/>
  <c r="P15" i="12" s="1"/>
  <c r="Q15" i="12" s="1"/>
  <c r="R15" i="12" s="1"/>
  <c r="E16" i="14"/>
  <c r="G16" i="14" s="1"/>
  <c r="K16" i="14" s="1"/>
  <c r="K16" i="20" s="1"/>
  <c r="K16" i="17"/>
  <c r="L16" i="17" s="1"/>
  <c r="E12" i="14"/>
  <c r="E12" i="20" s="1"/>
  <c r="E14" i="14"/>
  <c r="E14" i="20" s="1"/>
  <c r="H10" i="11"/>
  <c r="K14" i="17" s="1"/>
  <c r="L14" i="17" s="1"/>
  <c r="R10" i="11"/>
  <c r="F10" i="14"/>
  <c r="F10" i="20" s="1"/>
  <c r="L48" i="11"/>
  <c r="C52" i="14" s="1"/>
  <c r="C52" i="20" s="1"/>
  <c r="E53" i="12"/>
  <c r="AD10" i="18"/>
  <c r="F52" i="17"/>
  <c r="G52" i="17" s="1"/>
  <c r="F52" i="14"/>
  <c r="F52" i="20" s="1"/>
  <c r="N48" i="11"/>
  <c r="P48" i="11" s="1"/>
  <c r="C8" i="20"/>
  <c r="F8" i="20" s="1"/>
  <c r="C8" i="14"/>
  <c r="F8" i="14" s="1"/>
  <c r="D8" i="14"/>
  <c r="D8" i="20"/>
  <c r="E15" i="14"/>
  <c r="G15" i="14" s="1"/>
  <c r="K15" i="14" s="1"/>
  <c r="K15" i="20" s="1"/>
  <c r="H16" i="11"/>
  <c r="K20" i="17" s="1"/>
  <c r="L20" i="17" s="1"/>
  <c r="Z13" i="12"/>
  <c r="H50" i="11"/>
  <c r="M54" i="17" s="1"/>
  <c r="R50" i="11"/>
  <c r="C63" i="14"/>
  <c r="C63" i="20" s="1"/>
  <c r="D54" i="14"/>
  <c r="D54" i="20" s="1"/>
  <c r="N32" i="12"/>
  <c r="O32" i="12" s="1"/>
  <c r="P32" i="12" s="1"/>
  <c r="Q32" i="12" s="1"/>
  <c r="R32" i="12" s="1"/>
  <c r="T19" i="12"/>
  <c r="U19" i="12" s="1"/>
  <c r="V19" i="12" s="1"/>
  <c r="W19" i="12" s="1"/>
  <c r="X19" i="12" s="1"/>
  <c r="AY56" i="15"/>
  <c r="D30" i="14"/>
  <c r="D30" i="20" s="1"/>
  <c r="K64" i="14"/>
  <c r="K64" i="20" s="1"/>
  <c r="T28" i="12"/>
  <c r="U28" i="12" s="1"/>
  <c r="V28" i="12" s="1"/>
  <c r="W28" i="12" s="1"/>
  <c r="X28" i="12" s="1"/>
  <c r="K12" i="17"/>
  <c r="L12" i="17" s="1"/>
  <c r="L14" i="11"/>
  <c r="D18" i="14" s="1"/>
  <c r="D18" i="20" s="1"/>
  <c r="N28" i="12"/>
  <c r="O28" i="12" s="1"/>
  <c r="P28" i="12" s="1"/>
  <c r="Q28" i="12" s="1"/>
  <c r="R28" i="12" s="1"/>
  <c r="L72" i="14"/>
  <c r="L72" i="20" s="1"/>
  <c r="E33" i="12"/>
  <c r="N33" i="12" s="1"/>
  <c r="F32" i="17"/>
  <c r="G32" i="17" s="1"/>
  <c r="F32" i="14"/>
  <c r="F32" i="20" s="1"/>
  <c r="N28" i="11"/>
  <c r="L28" i="11"/>
  <c r="Q28" i="11"/>
  <c r="H7" i="11"/>
  <c r="M11" i="17" s="1"/>
  <c r="Q14" i="11"/>
  <c r="D27" i="14"/>
  <c r="D27" i="20" s="1"/>
  <c r="D58" i="20"/>
  <c r="E58" i="14"/>
  <c r="G46" i="14"/>
  <c r="K46" i="14" s="1"/>
  <c r="K46" i="20" s="1"/>
  <c r="N14" i="11"/>
  <c r="P14" i="11" s="1"/>
  <c r="J18" i="14" s="1"/>
  <c r="J18" i="20" s="1"/>
  <c r="F18" i="14"/>
  <c r="F18" i="20" s="1"/>
  <c r="E43" i="12"/>
  <c r="L38" i="11"/>
  <c r="F42" i="17"/>
  <c r="G42" i="17" s="1"/>
  <c r="F42" i="14"/>
  <c r="F42" i="20" s="1"/>
  <c r="N38" i="11"/>
  <c r="Q38" i="11"/>
  <c r="F18" i="17"/>
  <c r="G18" i="17" s="1"/>
  <c r="H59" i="11"/>
  <c r="D62" i="20"/>
  <c r="E62" i="14"/>
  <c r="F70" i="20"/>
  <c r="F68" i="20"/>
  <c r="AY61" i="15"/>
  <c r="K69" i="14"/>
  <c r="K69" i="20" s="1"/>
  <c r="G69" i="20"/>
  <c r="P69" i="11"/>
  <c r="H69" i="11" s="1"/>
  <c r="K75" i="14"/>
  <c r="G75" i="20"/>
  <c r="AY67" i="15"/>
  <c r="J63" i="14"/>
  <c r="R59" i="11"/>
  <c r="P66" i="11"/>
  <c r="H66" i="11" s="1"/>
  <c r="D77" i="20"/>
  <c r="E77" i="14"/>
  <c r="D68" i="14"/>
  <c r="C68" i="14"/>
  <c r="C68" i="20" s="1"/>
  <c r="P63" i="11"/>
  <c r="H63" i="11"/>
  <c r="D65" i="14"/>
  <c r="C65" i="14"/>
  <c r="C65" i="20" s="1"/>
  <c r="F74" i="20"/>
  <c r="J61" i="14"/>
  <c r="R57" i="11"/>
  <c r="C70" i="14"/>
  <c r="C70" i="20" s="1"/>
  <c r="D70" i="14"/>
  <c r="R73" i="11"/>
  <c r="J77" i="14"/>
  <c r="F67" i="20"/>
  <c r="P61" i="11"/>
  <c r="H61" i="11" s="1"/>
  <c r="P70" i="11"/>
  <c r="H70" i="11" s="1"/>
  <c r="G71" i="20"/>
  <c r="AY63" i="15"/>
  <c r="K71" i="14"/>
  <c r="K71" i="20" s="1"/>
  <c r="D63" i="20"/>
  <c r="AY58" i="15"/>
  <c r="G66" i="20"/>
  <c r="D61" i="20"/>
  <c r="E61" i="14"/>
  <c r="P64" i="11"/>
  <c r="H64" i="11" s="1"/>
  <c r="R72" i="11"/>
  <c r="J76" i="14"/>
  <c r="F73" i="20"/>
  <c r="C73" i="14"/>
  <c r="C73" i="20" s="1"/>
  <c r="D73" i="14"/>
  <c r="D76" i="20"/>
  <c r="E76" i="14"/>
  <c r="C67" i="14"/>
  <c r="C67" i="20" s="1"/>
  <c r="D67" i="14"/>
  <c r="F65" i="20"/>
  <c r="C74" i="14"/>
  <c r="C74" i="20" s="1"/>
  <c r="D74" i="14"/>
  <c r="E37" i="14"/>
  <c r="G37" i="14" s="1"/>
  <c r="AY29" i="15" s="1"/>
  <c r="D31" i="20"/>
  <c r="E31" i="14"/>
  <c r="Q19" i="11"/>
  <c r="L19" i="11"/>
  <c r="T32" i="12"/>
  <c r="H23" i="11"/>
  <c r="K27" i="17" s="1"/>
  <c r="L27" i="17" s="1"/>
  <c r="N30" i="12"/>
  <c r="T30" i="12"/>
  <c r="C29" i="14"/>
  <c r="C29" i="20" s="1"/>
  <c r="D29" i="14"/>
  <c r="P25" i="11"/>
  <c r="H25" i="11" s="1"/>
  <c r="M15" i="17"/>
  <c r="C24" i="20"/>
  <c r="F24" i="14"/>
  <c r="F24" i="20" s="1"/>
  <c r="P27" i="11"/>
  <c r="H27" i="11" s="1"/>
  <c r="M31" i="17" s="1"/>
  <c r="C20" i="20"/>
  <c r="F20" i="14"/>
  <c r="F20" i="20" s="1"/>
  <c r="L48" i="14"/>
  <c r="L48" i="20" s="1"/>
  <c r="H39" i="11"/>
  <c r="M43" i="17" s="1"/>
  <c r="R39" i="11"/>
  <c r="D35" i="14"/>
  <c r="D35" i="20" s="1"/>
  <c r="E20" i="12"/>
  <c r="N20" i="12" s="1"/>
  <c r="F19" i="17"/>
  <c r="G19" i="17" s="1"/>
  <c r="F19" i="14"/>
  <c r="L15" i="11"/>
  <c r="N15" i="11"/>
  <c r="N10" i="12"/>
  <c r="O10" i="12" s="1"/>
  <c r="P10" i="12" s="1"/>
  <c r="Q10" i="12" s="1"/>
  <c r="R10" i="12" s="1"/>
  <c r="D22" i="14"/>
  <c r="E22" i="14" s="1"/>
  <c r="E22" i="20" s="1"/>
  <c r="R7" i="11"/>
  <c r="T12" i="12"/>
  <c r="U12" i="12" s="1"/>
  <c r="V12" i="12" s="1"/>
  <c r="W12" i="12" s="1"/>
  <c r="X12" i="12" s="1"/>
  <c r="N12" i="12"/>
  <c r="O12" i="12" s="1"/>
  <c r="P12" i="12" s="1"/>
  <c r="Q12" i="12" s="1"/>
  <c r="R12" i="12" s="1"/>
  <c r="J11" i="14"/>
  <c r="J11" i="20" s="1"/>
  <c r="K37" i="17"/>
  <c r="L37" i="17" s="1"/>
  <c r="R31" i="11"/>
  <c r="D11" i="14"/>
  <c r="C11" i="14"/>
  <c r="C11" i="20" s="1"/>
  <c r="P51" i="11"/>
  <c r="H51" i="11" s="1"/>
  <c r="H31" i="11"/>
  <c r="D55" i="14"/>
  <c r="C55" i="14"/>
  <c r="C55" i="20" s="1"/>
  <c r="E53" i="20"/>
  <c r="C26" i="14"/>
  <c r="C26" i="20" s="1"/>
  <c r="D26" i="14"/>
  <c r="Q22" i="11"/>
  <c r="H17" i="11"/>
  <c r="M21" i="17" s="1"/>
  <c r="F26" i="14"/>
  <c r="F26" i="20" s="1"/>
  <c r="D59" i="20"/>
  <c r="E59" i="14"/>
  <c r="D45" i="14"/>
  <c r="C45" i="14"/>
  <c r="C45" i="20" s="1"/>
  <c r="E40" i="12"/>
  <c r="L35" i="11"/>
  <c r="F39" i="17"/>
  <c r="G39" i="17" s="1"/>
  <c r="N35" i="11"/>
  <c r="F39" i="14"/>
  <c r="R17" i="11"/>
  <c r="C47" i="14"/>
  <c r="C47" i="20" s="1"/>
  <c r="D47" i="14"/>
  <c r="C44" i="14"/>
  <c r="C44" i="20" s="1"/>
  <c r="D44" i="14"/>
  <c r="J56" i="14"/>
  <c r="J56" i="20" s="1"/>
  <c r="R52" i="11"/>
  <c r="Q35" i="11"/>
  <c r="E27" i="12"/>
  <c r="T27" i="12" s="1"/>
  <c r="U27" i="12" s="1"/>
  <c r="V27" i="12" s="1"/>
  <c r="W27" i="12" s="1"/>
  <c r="X27" i="12" s="1"/>
  <c r="N22" i="11"/>
  <c r="F26" i="17"/>
  <c r="G26" i="17" s="1"/>
  <c r="R37" i="11"/>
  <c r="Y19" i="12"/>
  <c r="P43" i="11"/>
  <c r="H43" i="11" s="1"/>
  <c r="E50" i="12"/>
  <c r="F49" i="14"/>
  <c r="N45" i="11"/>
  <c r="L45" i="11"/>
  <c r="F49" i="17"/>
  <c r="G49" i="17" s="1"/>
  <c r="Q18" i="11"/>
  <c r="E23" i="12"/>
  <c r="N23" i="12" s="1"/>
  <c r="O23" i="12" s="1"/>
  <c r="P23" i="12" s="1"/>
  <c r="Q23" i="12" s="1"/>
  <c r="R23" i="12" s="1"/>
  <c r="N18" i="11"/>
  <c r="F22" i="17"/>
  <c r="G22" i="17" s="1"/>
  <c r="F22" i="14"/>
  <c r="E39" i="12"/>
  <c r="L34" i="11"/>
  <c r="F38" i="14"/>
  <c r="F38" i="20" s="1"/>
  <c r="N34" i="11"/>
  <c r="Q34" i="11"/>
  <c r="F38" i="17"/>
  <c r="G38" i="17" s="1"/>
  <c r="P40" i="11"/>
  <c r="H37" i="11"/>
  <c r="E24" i="12"/>
  <c r="N19" i="11"/>
  <c r="P19" i="11" s="1"/>
  <c r="J23" i="14" s="1"/>
  <c r="J23" i="20" s="1"/>
  <c r="F23" i="17"/>
  <c r="G23" i="17" s="1"/>
  <c r="F23" i="14"/>
  <c r="F23" i="20" s="1"/>
  <c r="N36" i="11"/>
  <c r="E41" i="12"/>
  <c r="F40" i="14"/>
  <c r="F40" i="17"/>
  <c r="G40" i="17" s="1"/>
  <c r="L36" i="11"/>
  <c r="L47" i="11"/>
  <c r="E52" i="12"/>
  <c r="N47" i="11"/>
  <c r="F51" i="17"/>
  <c r="G51" i="17" s="1"/>
  <c r="F51" i="14"/>
  <c r="E34" i="12"/>
  <c r="N29" i="11"/>
  <c r="F33" i="17"/>
  <c r="G33" i="17" s="1"/>
  <c r="Q29" i="11"/>
  <c r="L29" i="11"/>
  <c r="F33" i="14"/>
  <c r="F33" i="20" s="1"/>
  <c r="E35" i="12"/>
  <c r="F34" i="14"/>
  <c r="F34" i="20" s="1"/>
  <c r="L30" i="11"/>
  <c r="N30" i="11"/>
  <c r="F34" i="17"/>
  <c r="G34" i="17" s="1"/>
  <c r="Q30" i="11"/>
  <c r="P41" i="11"/>
  <c r="H41" i="11" s="1"/>
  <c r="D56" i="20"/>
  <c r="E56" i="14"/>
  <c r="D43" i="14"/>
  <c r="C43" i="14"/>
  <c r="C43" i="20" s="1"/>
  <c r="D60" i="20"/>
  <c r="E60" i="14"/>
  <c r="D41" i="14"/>
  <c r="C41" i="14"/>
  <c r="C41" i="20" s="1"/>
  <c r="Q45" i="11"/>
  <c r="C50" i="14"/>
  <c r="C50" i="20" s="1"/>
  <c r="D50" i="14"/>
  <c r="K25" i="14"/>
  <c r="K25" i="20" s="1"/>
  <c r="P46" i="11"/>
  <c r="H46" i="11" s="1"/>
  <c r="F50" i="20"/>
  <c r="C21" i="14"/>
  <c r="C21" i="20" s="1"/>
  <c r="D21" i="14"/>
  <c r="T22" i="12"/>
  <c r="N22" i="12"/>
  <c r="D9" i="14"/>
  <c r="C9" i="14"/>
  <c r="F9" i="14" s="1"/>
  <c r="C9" i="20"/>
  <c r="F9" i="20" s="1"/>
  <c r="D9" i="20"/>
  <c r="K36" i="14"/>
  <c r="K36" i="20" s="1"/>
  <c r="P5" i="11"/>
  <c r="R5" i="11" s="1"/>
  <c r="U10" i="12"/>
  <c r="V10" i="12" s="1"/>
  <c r="W10" i="12" s="1"/>
  <c r="X10" i="12" s="1"/>
  <c r="H20" i="11"/>
  <c r="M24" i="17" s="1"/>
  <c r="J24" i="14"/>
  <c r="J24" i="20" s="1"/>
  <c r="G28" i="14"/>
  <c r="K28" i="14" s="1"/>
  <c r="K28" i="20" s="1"/>
  <c r="E28" i="20"/>
  <c r="AY9" i="15"/>
  <c r="G17" i="20"/>
  <c r="K17" i="14"/>
  <c r="K17" i="20" s="1"/>
  <c r="G13" i="14"/>
  <c r="E13" i="20"/>
  <c r="G36" i="20"/>
  <c r="AY45" i="15"/>
  <c r="G53" i="20"/>
  <c r="L53" i="14"/>
  <c r="L53" i="20" s="1"/>
  <c r="G25" i="20"/>
  <c r="AY49" i="15"/>
  <c r="G57" i="20"/>
  <c r="L57" i="14"/>
  <c r="L57" i="20" s="1"/>
  <c r="R23" i="11"/>
  <c r="Y21" i="12"/>
  <c r="E20" i="14"/>
  <c r="U21" i="12"/>
  <c r="V21" i="12" s="1"/>
  <c r="W21" i="12" s="1"/>
  <c r="X21" i="12" s="1"/>
  <c r="R16" i="11"/>
  <c r="E10" i="14"/>
  <c r="E10" i="20" s="1"/>
  <c r="N9" i="12"/>
  <c r="O9" i="12" s="1"/>
  <c r="P9" i="12" s="1"/>
  <c r="Q9" i="12" s="1"/>
  <c r="R9" i="12" s="1"/>
  <c r="T9" i="12"/>
  <c r="Z15" i="12"/>
  <c r="Y16" i="12"/>
  <c r="R26" i="11"/>
  <c r="U11" i="12"/>
  <c r="V11" i="12" s="1"/>
  <c r="W11" i="12" s="1"/>
  <c r="X11" i="12" s="1"/>
  <c r="E24" i="14"/>
  <c r="H6" i="11"/>
  <c r="P4" i="11"/>
  <c r="R4" i="11" s="1"/>
  <c r="U25" i="12"/>
  <c r="V25" i="12" s="1"/>
  <c r="W25" i="12" s="1"/>
  <c r="X25" i="12" s="1"/>
  <c r="R20" i="11"/>
  <c r="U31" i="12"/>
  <c r="V31" i="12" s="1"/>
  <c r="W31" i="12" s="1"/>
  <c r="X31" i="12" s="1"/>
  <c r="O11" i="12"/>
  <c r="P11" i="12" s="1"/>
  <c r="Q11" i="12" s="1"/>
  <c r="R11" i="12" s="1"/>
  <c r="Z16" i="12"/>
  <c r="O31" i="12"/>
  <c r="P31" i="12" s="1"/>
  <c r="Q31" i="12" s="1"/>
  <c r="R31" i="12" s="1"/>
  <c r="O25" i="12"/>
  <c r="P25" i="12" s="1"/>
  <c r="Q25" i="12" s="1"/>
  <c r="R25" i="12" s="1"/>
  <c r="H26" i="11"/>
  <c r="Y29" i="12"/>
  <c r="Z29" i="12"/>
  <c r="M28" i="17"/>
  <c r="K28" i="17"/>
  <c r="L28" i="17" s="1"/>
  <c r="H4" i="11" l="1"/>
  <c r="Y15" i="12"/>
  <c r="E16" i="20"/>
  <c r="G12" i="14"/>
  <c r="AY4" i="15" s="1"/>
  <c r="M14" i="17"/>
  <c r="G14" i="14"/>
  <c r="AY6" i="15" s="1"/>
  <c r="D52" i="14"/>
  <c r="D52" i="20" s="1"/>
  <c r="H5" i="11"/>
  <c r="M9" i="17" s="1"/>
  <c r="E8" i="14"/>
  <c r="G8" i="14" s="1"/>
  <c r="K8" i="14" s="1"/>
  <c r="L8" i="14" s="1"/>
  <c r="E8" i="20"/>
  <c r="G8" i="20" s="1"/>
  <c r="E15" i="20"/>
  <c r="M20" i="17"/>
  <c r="K54" i="17"/>
  <c r="L54" i="17" s="1"/>
  <c r="E63" i="14"/>
  <c r="E63" i="20" s="1"/>
  <c r="Z19" i="12"/>
  <c r="E54" i="14"/>
  <c r="E54" i="20" s="1"/>
  <c r="E30" i="14"/>
  <c r="G30" i="14" s="1"/>
  <c r="AY22" i="15" s="1"/>
  <c r="C18" i="14"/>
  <c r="C18" i="20" s="1"/>
  <c r="K11" i="17"/>
  <c r="L11" i="17" s="1"/>
  <c r="L64" i="14"/>
  <c r="L64" i="20" s="1"/>
  <c r="Y28" i="12"/>
  <c r="G46" i="20"/>
  <c r="E27" i="14"/>
  <c r="E27" i="20" s="1"/>
  <c r="L46" i="14"/>
  <c r="L46" i="20" s="1"/>
  <c r="AY38" i="15"/>
  <c r="T33" i="12"/>
  <c r="O33" i="12"/>
  <c r="P33" i="12" s="1"/>
  <c r="Q33" i="12" s="1"/>
  <c r="R33" i="12" s="1"/>
  <c r="R14" i="11"/>
  <c r="D32" i="14"/>
  <c r="C32" i="14"/>
  <c r="C32" i="20" s="1"/>
  <c r="P28" i="11"/>
  <c r="H28" i="11" s="1"/>
  <c r="M32" i="17" s="1"/>
  <c r="H14" i="11"/>
  <c r="K18" i="17" s="1"/>
  <c r="L18" i="17" s="1"/>
  <c r="G58" i="14"/>
  <c r="E58" i="20"/>
  <c r="C42" i="14"/>
  <c r="C42" i="20" s="1"/>
  <c r="D42" i="14"/>
  <c r="P38" i="11"/>
  <c r="H38" i="11" s="1"/>
  <c r="E62" i="20"/>
  <c r="G62" i="14"/>
  <c r="R48" i="11"/>
  <c r="J52" i="14"/>
  <c r="J52" i="20" s="1"/>
  <c r="M27" i="17"/>
  <c r="H48" i="11"/>
  <c r="K37" i="14"/>
  <c r="K37" i="20" s="1"/>
  <c r="E37" i="20"/>
  <c r="G37" i="20"/>
  <c r="D74" i="20"/>
  <c r="E74" i="14"/>
  <c r="D67" i="20"/>
  <c r="E67" i="14"/>
  <c r="D73" i="20"/>
  <c r="E73" i="14"/>
  <c r="J76" i="20"/>
  <c r="E61" i="20"/>
  <c r="G61" i="14"/>
  <c r="L71" i="14"/>
  <c r="L71" i="20" s="1"/>
  <c r="J74" i="14"/>
  <c r="R70" i="11"/>
  <c r="J61" i="20"/>
  <c r="D65" i="20"/>
  <c r="E65" i="14"/>
  <c r="D68" i="20"/>
  <c r="E68" i="14"/>
  <c r="R66" i="11"/>
  <c r="J70" i="14"/>
  <c r="J77" i="20"/>
  <c r="D70" i="20"/>
  <c r="E70" i="14"/>
  <c r="E77" i="20"/>
  <c r="G77" i="14"/>
  <c r="K75" i="20"/>
  <c r="L75" i="14"/>
  <c r="L75" i="20" s="1"/>
  <c r="L69" i="14"/>
  <c r="L69" i="20" s="1"/>
  <c r="E76" i="20"/>
  <c r="G76" i="14"/>
  <c r="R64" i="11"/>
  <c r="J68" i="14"/>
  <c r="G63" i="14"/>
  <c r="J65" i="14"/>
  <c r="R61" i="11"/>
  <c r="R63" i="11"/>
  <c r="J67" i="14"/>
  <c r="J63" i="20"/>
  <c r="R69" i="11"/>
  <c r="J73" i="14"/>
  <c r="K43" i="17"/>
  <c r="L43" i="17" s="1"/>
  <c r="G31" i="14"/>
  <c r="K31" i="14" s="1"/>
  <c r="K31" i="20" s="1"/>
  <c r="E31" i="20"/>
  <c r="U32" i="12"/>
  <c r="V32" i="12" s="1"/>
  <c r="W32" i="12" s="1"/>
  <c r="X32" i="12" s="1"/>
  <c r="N24" i="12"/>
  <c r="O24" i="12" s="1"/>
  <c r="P24" i="12" s="1"/>
  <c r="Q24" i="12" s="1"/>
  <c r="R24" i="12" s="1"/>
  <c r="T24" i="12"/>
  <c r="U24" i="12" s="1"/>
  <c r="V24" i="12" s="1"/>
  <c r="W24" i="12" s="1"/>
  <c r="X24" i="12" s="1"/>
  <c r="D23" i="14"/>
  <c r="C23" i="14"/>
  <c r="C23" i="20" s="1"/>
  <c r="Y32" i="12"/>
  <c r="D29" i="20"/>
  <c r="E29" i="14"/>
  <c r="M29" i="17"/>
  <c r="K29" i="17"/>
  <c r="L29" i="17" s="1"/>
  <c r="U30" i="12"/>
  <c r="V30" i="12" s="1"/>
  <c r="W30" i="12" s="1"/>
  <c r="X30" i="12" s="1"/>
  <c r="J29" i="14"/>
  <c r="J29" i="20" s="1"/>
  <c r="R25" i="11"/>
  <c r="O30" i="12"/>
  <c r="P30" i="12" s="1"/>
  <c r="Q30" i="12" s="1"/>
  <c r="R30" i="12" s="1"/>
  <c r="K31" i="17"/>
  <c r="L31" i="17" s="1"/>
  <c r="R19" i="11"/>
  <c r="J31" i="14"/>
  <c r="R27" i="11"/>
  <c r="E35" i="14"/>
  <c r="G35" i="14" s="1"/>
  <c r="K21" i="17"/>
  <c r="L21" i="17" s="1"/>
  <c r="Z12" i="12"/>
  <c r="T20" i="12"/>
  <c r="U20" i="12" s="1"/>
  <c r="V20" i="12" s="1"/>
  <c r="W20" i="12" s="1"/>
  <c r="X20" i="12" s="1"/>
  <c r="D22" i="20"/>
  <c r="H19" i="11"/>
  <c r="K23" i="17" s="1"/>
  <c r="L23" i="17" s="1"/>
  <c r="O20" i="12"/>
  <c r="P20" i="12" s="1"/>
  <c r="Q20" i="12" s="1"/>
  <c r="R20" i="12" s="1"/>
  <c r="L36" i="14"/>
  <c r="L36" i="20" s="1"/>
  <c r="P15" i="11"/>
  <c r="H15" i="11" s="1"/>
  <c r="D19" i="14"/>
  <c r="C19" i="14"/>
  <c r="C19" i="20" s="1"/>
  <c r="F19" i="20"/>
  <c r="G54" i="14"/>
  <c r="T23" i="12"/>
  <c r="Z28" i="12"/>
  <c r="K24" i="17"/>
  <c r="L24" i="17" s="1"/>
  <c r="Y12" i="12"/>
  <c r="K35" i="17"/>
  <c r="L35" i="17" s="1"/>
  <c r="M35" i="17"/>
  <c r="N27" i="12"/>
  <c r="O27" i="12" s="1"/>
  <c r="P27" i="12" s="1"/>
  <c r="Q27" i="12" s="1"/>
  <c r="R27" i="12" s="1"/>
  <c r="D11" i="20"/>
  <c r="E11" i="14"/>
  <c r="D55" i="20"/>
  <c r="E55" i="14"/>
  <c r="J55" i="14"/>
  <c r="J55" i="20" s="1"/>
  <c r="R51" i="11"/>
  <c r="D26" i="20"/>
  <c r="E26" i="14"/>
  <c r="L25" i="14"/>
  <c r="L25" i="20" s="1"/>
  <c r="Z27" i="12"/>
  <c r="M47" i="17"/>
  <c r="K47" i="17"/>
  <c r="L47" i="17" s="1"/>
  <c r="M45" i="17"/>
  <c r="K45" i="17"/>
  <c r="L45" i="17" s="1"/>
  <c r="D41" i="20"/>
  <c r="E41" i="14"/>
  <c r="D43" i="20"/>
  <c r="E43" i="14"/>
  <c r="P30" i="11"/>
  <c r="H30" i="11" s="1"/>
  <c r="P29" i="11"/>
  <c r="H29" i="11" s="1"/>
  <c r="M33" i="17" s="1"/>
  <c r="P47" i="11"/>
  <c r="H47" i="11" s="1"/>
  <c r="J44" i="14"/>
  <c r="J44" i="20" s="1"/>
  <c r="R40" i="11"/>
  <c r="D49" i="14"/>
  <c r="C49" i="14"/>
  <c r="C49" i="20" s="1"/>
  <c r="P35" i="11"/>
  <c r="C34" i="14"/>
  <c r="C34" i="20" s="1"/>
  <c r="D34" i="14"/>
  <c r="D33" i="14"/>
  <c r="C33" i="14"/>
  <c r="C33" i="20" s="1"/>
  <c r="F40" i="20"/>
  <c r="K41" i="17"/>
  <c r="L41" i="17" s="1"/>
  <c r="M41" i="17"/>
  <c r="P34" i="11"/>
  <c r="H34" i="11" s="1"/>
  <c r="F22" i="20"/>
  <c r="G22" i="14"/>
  <c r="P45" i="11"/>
  <c r="H45" i="11" s="1"/>
  <c r="J47" i="14"/>
  <c r="J47" i="20" s="1"/>
  <c r="R43" i="11"/>
  <c r="D44" i="20"/>
  <c r="E44" i="14"/>
  <c r="D45" i="20"/>
  <c r="E45" i="14"/>
  <c r="G60" i="14"/>
  <c r="E60" i="20"/>
  <c r="G56" i="14"/>
  <c r="E56" i="20"/>
  <c r="F51" i="20"/>
  <c r="C51" i="14"/>
  <c r="C51" i="20" s="1"/>
  <c r="D51" i="14"/>
  <c r="Y23" i="12"/>
  <c r="F49" i="20"/>
  <c r="P22" i="11"/>
  <c r="H22" i="11" s="1"/>
  <c r="M26" i="17" s="1"/>
  <c r="C39" i="14"/>
  <c r="C39" i="20" s="1"/>
  <c r="D39" i="14"/>
  <c r="G59" i="14"/>
  <c r="E59" i="20"/>
  <c r="J45" i="14"/>
  <c r="J45" i="20" s="1"/>
  <c r="R41" i="11"/>
  <c r="D40" i="14"/>
  <c r="C40" i="14"/>
  <c r="C40" i="20" s="1"/>
  <c r="P36" i="11"/>
  <c r="H40" i="11"/>
  <c r="D38" i="14"/>
  <c r="C38" i="14"/>
  <c r="C38" i="20" s="1"/>
  <c r="P18" i="11"/>
  <c r="H18" i="11" s="1"/>
  <c r="M22" i="17" s="1"/>
  <c r="D47" i="20"/>
  <c r="E47" i="14"/>
  <c r="F39" i="20"/>
  <c r="K50" i="17"/>
  <c r="L50" i="17" s="1"/>
  <c r="M50" i="17"/>
  <c r="AY20" i="15"/>
  <c r="D21" i="20"/>
  <c r="E21" i="14"/>
  <c r="U22" i="12"/>
  <c r="V22" i="12" s="1"/>
  <c r="W22" i="12" s="1"/>
  <c r="X22" i="12" s="1"/>
  <c r="D50" i="20"/>
  <c r="E50" i="14"/>
  <c r="AY7" i="15"/>
  <c r="Y10" i="12"/>
  <c r="O22" i="12"/>
  <c r="P22" i="12" s="1"/>
  <c r="Q22" i="12" s="1"/>
  <c r="R22" i="12" s="1"/>
  <c r="J50" i="14"/>
  <c r="J50" i="20" s="1"/>
  <c r="R46" i="11"/>
  <c r="E9" i="20"/>
  <c r="G9" i="20" s="1"/>
  <c r="Z10" i="12"/>
  <c r="E9" i="14"/>
  <c r="G9" i="14" s="1"/>
  <c r="M8" i="17"/>
  <c r="K8" i="17"/>
  <c r="L8" i="17" s="1"/>
  <c r="G10" i="14"/>
  <c r="AY8" i="15"/>
  <c r="G13" i="20"/>
  <c r="K13" i="14"/>
  <c r="K13" i="20" s="1"/>
  <c r="AY5" i="15"/>
  <c r="G24" i="14"/>
  <c r="K24" i="14" s="1"/>
  <c r="K24" i="20" s="1"/>
  <c r="E24" i="20"/>
  <c r="G20" i="14"/>
  <c r="AY12" i="15" s="1"/>
  <c r="E20" i="20"/>
  <c r="G15" i="20"/>
  <c r="L15" i="14"/>
  <c r="L15" i="20" s="1"/>
  <c r="G28" i="20"/>
  <c r="L28" i="14"/>
  <c r="L28" i="20" s="1"/>
  <c r="G16" i="20"/>
  <c r="L16" i="14"/>
  <c r="L16" i="20" s="1"/>
  <c r="L17" i="14"/>
  <c r="L17" i="20" s="1"/>
  <c r="Z21" i="12"/>
  <c r="U9" i="12"/>
  <c r="V9" i="12" s="1"/>
  <c r="W9" i="12" s="1"/>
  <c r="X9" i="12" s="1"/>
  <c r="Y11" i="12"/>
  <c r="Y25" i="12"/>
  <c r="Z25" i="12"/>
  <c r="Y9" i="12"/>
  <c r="Z31" i="12"/>
  <c r="Z11" i="12"/>
  <c r="M30" i="17"/>
  <c r="K30" i="17"/>
  <c r="L30" i="17" s="1"/>
  <c r="Y31" i="12"/>
  <c r="M10" i="17"/>
  <c r="K10" i="17"/>
  <c r="L10" i="17" s="1"/>
  <c r="K8" i="20" l="1"/>
  <c r="L8" i="20" s="1"/>
  <c r="K12" i="14"/>
  <c r="K12" i="20" s="1"/>
  <c r="G12" i="20"/>
  <c r="G14" i="20"/>
  <c r="K14" i="14"/>
  <c r="K14" i="20" s="1"/>
  <c r="E52" i="14"/>
  <c r="E52" i="20" s="1"/>
  <c r="K9" i="17"/>
  <c r="L9" i="17" s="1"/>
  <c r="K9" i="20"/>
  <c r="L9" i="20" s="1"/>
  <c r="K10" i="14"/>
  <c r="K10" i="20" s="1"/>
  <c r="G10" i="20"/>
  <c r="K9" i="14"/>
  <c r="L9" i="14" s="1"/>
  <c r="E30" i="20"/>
  <c r="E18" i="14"/>
  <c r="E18" i="20" s="1"/>
  <c r="G27" i="14"/>
  <c r="K27" i="14" s="1"/>
  <c r="M18" i="17"/>
  <c r="U33" i="12"/>
  <c r="V33" i="12" s="1"/>
  <c r="W33" i="12" s="1"/>
  <c r="X33" i="12" s="1"/>
  <c r="Y33" i="12"/>
  <c r="D32" i="20"/>
  <c r="E32" i="14"/>
  <c r="J32" i="14"/>
  <c r="J32" i="20" s="1"/>
  <c r="R28" i="11"/>
  <c r="K32" i="17"/>
  <c r="L32" i="17" s="1"/>
  <c r="G58" i="20"/>
  <c r="AY50" i="15"/>
  <c r="K58" i="14"/>
  <c r="K42" i="17"/>
  <c r="L42" i="17" s="1"/>
  <c r="M42" i="17"/>
  <c r="J42" i="14"/>
  <c r="J42" i="20" s="1"/>
  <c r="R38" i="11"/>
  <c r="D42" i="20"/>
  <c r="E42" i="14"/>
  <c r="G62" i="20"/>
  <c r="AY54" i="15"/>
  <c r="K62" i="14"/>
  <c r="L37" i="14"/>
  <c r="L37" i="20" s="1"/>
  <c r="M52" i="17"/>
  <c r="K52" i="17"/>
  <c r="L52" i="17" s="1"/>
  <c r="J68" i="20"/>
  <c r="K77" i="14"/>
  <c r="G77" i="20"/>
  <c r="AY69" i="15"/>
  <c r="E68" i="20"/>
  <c r="G68" i="14"/>
  <c r="E67" i="20"/>
  <c r="G67" i="14"/>
  <c r="J65" i="20"/>
  <c r="J73" i="20"/>
  <c r="J67" i="20"/>
  <c r="K63" i="14"/>
  <c r="AY55" i="15"/>
  <c r="G63" i="20"/>
  <c r="G76" i="20"/>
  <c r="AY68" i="15"/>
  <c r="K76" i="14"/>
  <c r="E70" i="20"/>
  <c r="G70" i="14"/>
  <c r="J70" i="20"/>
  <c r="E65" i="20"/>
  <c r="G65" i="14"/>
  <c r="K61" i="14"/>
  <c r="G61" i="20"/>
  <c r="AY53" i="15"/>
  <c r="E73" i="20"/>
  <c r="G73" i="14"/>
  <c r="E74" i="20"/>
  <c r="G74" i="14"/>
  <c r="J74" i="20"/>
  <c r="Z24" i="12"/>
  <c r="D23" i="20"/>
  <c r="E23" i="14"/>
  <c r="Z32" i="12"/>
  <c r="AY23" i="15"/>
  <c r="G31" i="20"/>
  <c r="Y30" i="12"/>
  <c r="Z30" i="12"/>
  <c r="E29" i="20"/>
  <c r="G29" i="14"/>
  <c r="M23" i="17"/>
  <c r="E35" i="20"/>
  <c r="J31" i="20"/>
  <c r="L31" i="14"/>
  <c r="L31" i="20" s="1"/>
  <c r="K30" i="14"/>
  <c r="K30" i="20" s="1"/>
  <c r="Z20" i="12"/>
  <c r="M19" i="17"/>
  <c r="K19" i="17"/>
  <c r="L19" i="17" s="1"/>
  <c r="Y24" i="12"/>
  <c r="D19" i="20"/>
  <c r="E19" i="14"/>
  <c r="Y20" i="12"/>
  <c r="J19" i="14"/>
  <c r="J19" i="20" s="1"/>
  <c r="R15" i="11"/>
  <c r="K54" i="14"/>
  <c r="K54" i="20" s="1"/>
  <c r="AY46" i="15"/>
  <c r="G54" i="20"/>
  <c r="K33" i="17"/>
  <c r="L33" i="17" s="1"/>
  <c r="Y27" i="12"/>
  <c r="U23" i="12"/>
  <c r="V23" i="12" s="1"/>
  <c r="W23" i="12" s="1"/>
  <c r="X23" i="12" s="1"/>
  <c r="E11" i="20"/>
  <c r="G11" i="14"/>
  <c r="G55" i="14"/>
  <c r="E55" i="20"/>
  <c r="M51" i="17"/>
  <c r="K51" i="17"/>
  <c r="L51" i="17" s="1"/>
  <c r="M49" i="17"/>
  <c r="K49" i="17"/>
  <c r="L49" i="17" s="1"/>
  <c r="K22" i="17"/>
  <c r="L22" i="17" s="1"/>
  <c r="G26" i="14"/>
  <c r="E26" i="20"/>
  <c r="K35" i="14"/>
  <c r="K35" i="20" s="1"/>
  <c r="AY27" i="15"/>
  <c r="G35" i="20"/>
  <c r="R36" i="11"/>
  <c r="J40" i="14"/>
  <c r="J40" i="20" s="1"/>
  <c r="G59" i="20"/>
  <c r="AY51" i="15"/>
  <c r="K59" i="14"/>
  <c r="R22" i="11"/>
  <c r="J26" i="14"/>
  <c r="D38" i="20"/>
  <c r="E38" i="14"/>
  <c r="H36" i="11"/>
  <c r="AY14" i="15"/>
  <c r="K22" i="14"/>
  <c r="K22" i="20" s="1"/>
  <c r="G22" i="20"/>
  <c r="D34" i="20"/>
  <c r="E34" i="14"/>
  <c r="J39" i="14"/>
  <c r="J39" i="20" s="1"/>
  <c r="R35" i="11"/>
  <c r="J33" i="14"/>
  <c r="J33" i="20" s="1"/>
  <c r="R29" i="11"/>
  <c r="G43" i="14"/>
  <c r="E43" i="20"/>
  <c r="K60" i="14"/>
  <c r="AY52" i="15"/>
  <c r="G60" i="20"/>
  <c r="G44" i="14"/>
  <c r="E44" i="20"/>
  <c r="J22" i="14"/>
  <c r="J22" i="20" s="1"/>
  <c r="R18" i="11"/>
  <c r="E47" i="20"/>
  <c r="G47" i="14"/>
  <c r="D39" i="20"/>
  <c r="E39" i="14"/>
  <c r="D51" i="20"/>
  <c r="E51" i="14"/>
  <c r="E45" i="20"/>
  <c r="G45" i="14"/>
  <c r="M38" i="17"/>
  <c r="K38" i="17"/>
  <c r="L38" i="17" s="1"/>
  <c r="D49" i="20"/>
  <c r="E49" i="14"/>
  <c r="M34" i="17"/>
  <c r="K34" i="17"/>
  <c r="L34" i="17" s="1"/>
  <c r="G41" i="14"/>
  <c r="E41" i="20"/>
  <c r="M44" i="17"/>
  <c r="K44" i="17"/>
  <c r="L44" i="17" s="1"/>
  <c r="D40" i="20"/>
  <c r="E40" i="14"/>
  <c r="AY48" i="15"/>
  <c r="K56" i="14"/>
  <c r="G56" i="20"/>
  <c r="K26" i="17"/>
  <c r="L26" i="17" s="1"/>
  <c r="J49" i="14"/>
  <c r="J49" i="20" s="1"/>
  <c r="R45" i="11"/>
  <c r="J38" i="14"/>
  <c r="J38" i="20" s="1"/>
  <c r="R34" i="11"/>
  <c r="D33" i="20"/>
  <c r="E33" i="14"/>
  <c r="H35" i="11"/>
  <c r="R47" i="11"/>
  <c r="J51" i="14"/>
  <c r="J51" i="20" s="1"/>
  <c r="R30" i="11"/>
  <c r="J34" i="14"/>
  <c r="J34" i="20" s="1"/>
  <c r="Y22" i="12"/>
  <c r="Z22" i="12"/>
  <c r="E50" i="20"/>
  <c r="G50" i="14"/>
  <c r="G21" i="14"/>
  <c r="E21" i="20"/>
  <c r="L13" i="14"/>
  <c r="L13" i="20" s="1"/>
  <c r="AY16" i="15"/>
  <c r="K20" i="14"/>
  <c r="K20" i="20" s="1"/>
  <c r="L10" i="14"/>
  <c r="L10" i="20" s="1"/>
  <c r="G30" i="20"/>
  <c r="G20" i="20"/>
  <c r="G24" i="20"/>
  <c r="L24" i="14"/>
  <c r="L24" i="20" s="1"/>
  <c r="Z9" i="12"/>
  <c r="L12" i="14" l="1"/>
  <c r="L12" i="20" s="1"/>
  <c r="G52" i="14"/>
  <c r="AY44" i="15" s="1"/>
  <c r="L14" i="14"/>
  <c r="L14" i="20" s="1"/>
  <c r="G18" i="14"/>
  <c r="AY10" i="15" s="1"/>
  <c r="AY19" i="15"/>
  <c r="G27" i="20"/>
  <c r="L30" i="14"/>
  <c r="L30" i="20" s="1"/>
  <c r="Z33" i="12"/>
  <c r="E32" i="20"/>
  <c r="G32" i="14"/>
  <c r="K58" i="20"/>
  <c r="L58" i="14"/>
  <c r="L58" i="20" s="1"/>
  <c r="G42" i="14"/>
  <c r="E42" i="20"/>
  <c r="K62" i="20"/>
  <c r="L62" i="14"/>
  <c r="L62" i="20" s="1"/>
  <c r="G73" i="20"/>
  <c r="AY65" i="15"/>
  <c r="K73" i="14"/>
  <c r="K73" i="20" s="1"/>
  <c r="K61" i="20"/>
  <c r="L61" i="14"/>
  <c r="L61" i="20" s="1"/>
  <c r="K63" i="20"/>
  <c r="L63" i="14"/>
  <c r="L63" i="20" s="1"/>
  <c r="G65" i="20"/>
  <c r="AY57" i="15"/>
  <c r="K65" i="14"/>
  <c r="G70" i="20"/>
  <c r="K70" i="14"/>
  <c r="K70" i="20" s="1"/>
  <c r="AY62" i="15"/>
  <c r="K68" i="14"/>
  <c r="K68" i="20" s="1"/>
  <c r="G68" i="20"/>
  <c r="AY60" i="15"/>
  <c r="K77" i="20"/>
  <c r="L77" i="14"/>
  <c r="L77" i="20" s="1"/>
  <c r="K74" i="14"/>
  <c r="K74" i="20" s="1"/>
  <c r="G74" i="20"/>
  <c r="AY66" i="15"/>
  <c r="K76" i="20"/>
  <c r="L76" i="14"/>
  <c r="L76" i="20" s="1"/>
  <c r="K67" i="14"/>
  <c r="K67" i="20" s="1"/>
  <c r="AY59" i="15"/>
  <c r="G67" i="20"/>
  <c r="E23" i="20"/>
  <c r="G23" i="14"/>
  <c r="K29" i="14"/>
  <c r="K29" i="20" s="1"/>
  <c r="AY21" i="15"/>
  <c r="G29" i="20"/>
  <c r="L54" i="14"/>
  <c r="L54" i="20" s="1"/>
  <c r="E19" i="20"/>
  <c r="G19" i="14"/>
  <c r="Z23" i="12"/>
  <c r="AY47" i="15"/>
  <c r="K55" i="14"/>
  <c r="K55" i="20" s="1"/>
  <c r="G55" i="20"/>
  <c r="K11" i="14"/>
  <c r="K11" i="20" s="1"/>
  <c r="AY3" i="15"/>
  <c r="G11" i="20"/>
  <c r="L35" i="14"/>
  <c r="L35" i="20" s="1"/>
  <c r="AY18" i="15"/>
  <c r="G26" i="20"/>
  <c r="K26" i="14"/>
  <c r="K26" i="20" s="1"/>
  <c r="K56" i="20"/>
  <c r="L56" i="14"/>
  <c r="L56" i="20" s="1"/>
  <c r="K60" i="20"/>
  <c r="L60" i="14"/>
  <c r="L60" i="20" s="1"/>
  <c r="M39" i="17"/>
  <c r="K39" i="17"/>
  <c r="L39" i="17" s="1"/>
  <c r="K41" i="14"/>
  <c r="K41" i="20" s="1"/>
  <c r="AY33" i="15"/>
  <c r="G41" i="20"/>
  <c r="AY37" i="15"/>
  <c r="G45" i="20"/>
  <c r="K45" i="14"/>
  <c r="K45" i="20" s="1"/>
  <c r="E39" i="20"/>
  <c r="G39" i="14"/>
  <c r="K27" i="20"/>
  <c r="L27" i="14"/>
  <c r="L27" i="20" s="1"/>
  <c r="E34" i="20"/>
  <c r="G34" i="14"/>
  <c r="J26" i="20"/>
  <c r="E51" i="20"/>
  <c r="G51" i="14"/>
  <c r="K47" i="14"/>
  <c r="K47" i="20" s="1"/>
  <c r="AY39" i="15"/>
  <c r="G47" i="20"/>
  <c r="K44" i="14"/>
  <c r="K44" i="20" s="1"/>
  <c r="AY36" i="15"/>
  <c r="G44" i="20"/>
  <c r="L22" i="14"/>
  <c r="L22" i="20" s="1"/>
  <c r="M40" i="17"/>
  <c r="K40" i="17"/>
  <c r="L40" i="17" s="1"/>
  <c r="G33" i="14"/>
  <c r="E33" i="20"/>
  <c r="E40" i="20"/>
  <c r="G40" i="14"/>
  <c r="E49" i="20"/>
  <c r="G49" i="14"/>
  <c r="K43" i="14"/>
  <c r="K43" i="20" s="1"/>
  <c r="AY35" i="15"/>
  <c r="G43" i="20"/>
  <c r="G38" i="14"/>
  <c r="E38" i="20"/>
  <c r="K59" i="20"/>
  <c r="L59" i="14"/>
  <c r="L59" i="20" s="1"/>
  <c r="AY13" i="15"/>
  <c r="K21" i="14"/>
  <c r="K21" i="20" s="1"/>
  <c r="G21" i="20"/>
  <c r="AY42" i="15"/>
  <c r="G50" i="20"/>
  <c r="K50" i="14"/>
  <c r="K50" i="20" s="1"/>
  <c r="L20" i="14"/>
  <c r="L20" i="20" s="1"/>
  <c r="G52" i="20" l="1"/>
  <c r="K52" i="14"/>
  <c r="K52" i="20" s="1"/>
  <c r="K18" i="14"/>
  <c r="K18" i="20" s="1"/>
  <c r="G18" i="20"/>
  <c r="AY24" i="15"/>
  <c r="K32" i="14"/>
  <c r="K32" i="20" s="1"/>
  <c r="G32" i="20"/>
  <c r="K42" i="14"/>
  <c r="K42" i="20" s="1"/>
  <c r="G42" i="20"/>
  <c r="AY34" i="15"/>
  <c r="L67" i="14"/>
  <c r="L67" i="20" s="1"/>
  <c r="L70" i="14"/>
  <c r="L70" i="20" s="1"/>
  <c r="L74" i="14"/>
  <c r="L74" i="20" s="1"/>
  <c r="L73" i="14"/>
  <c r="L73" i="20" s="1"/>
  <c r="L68" i="14"/>
  <c r="L68" i="20" s="1"/>
  <c r="K65" i="20"/>
  <c r="L65" i="14"/>
  <c r="L65" i="20" s="1"/>
  <c r="G23" i="20"/>
  <c r="AY15" i="15"/>
  <c r="K23" i="14"/>
  <c r="L29" i="14"/>
  <c r="L29" i="20" s="1"/>
  <c r="L26" i="14"/>
  <c r="L26" i="20" s="1"/>
  <c r="G19" i="20"/>
  <c r="AY11" i="15"/>
  <c r="K19" i="14"/>
  <c r="K19" i="20" s="1"/>
  <c r="L11" i="14"/>
  <c r="L11" i="20" s="1"/>
  <c r="L55" i="14"/>
  <c r="L55" i="20" s="1"/>
  <c r="G40" i="20"/>
  <c r="K40" i="14"/>
  <c r="K40" i="20" s="1"/>
  <c r="AY32" i="15"/>
  <c r="AY25" i="15"/>
  <c r="G33" i="20"/>
  <c r="K33" i="14"/>
  <c r="K33" i="20" s="1"/>
  <c r="L44" i="14"/>
  <c r="L44" i="20" s="1"/>
  <c r="L47" i="14"/>
  <c r="L47" i="20" s="1"/>
  <c r="AY43" i="15"/>
  <c r="K51" i="14"/>
  <c r="K51" i="20" s="1"/>
  <c r="G51" i="20"/>
  <c r="AY26" i="15"/>
  <c r="G34" i="20"/>
  <c r="K34" i="14"/>
  <c r="K34" i="20" s="1"/>
  <c r="K39" i="14"/>
  <c r="K39" i="20" s="1"/>
  <c r="AY31" i="15"/>
  <c r="G39" i="20"/>
  <c r="L41" i="14"/>
  <c r="L41" i="20" s="1"/>
  <c r="L45" i="14"/>
  <c r="L45" i="20" s="1"/>
  <c r="AY30" i="15"/>
  <c r="K38" i="14"/>
  <c r="K38" i="20" s="1"/>
  <c r="G38" i="20"/>
  <c r="L43" i="14"/>
  <c r="L43" i="20" s="1"/>
  <c r="K49" i="14"/>
  <c r="K49" i="20" s="1"/>
  <c r="AY41" i="15"/>
  <c r="G49" i="20"/>
  <c r="L21" i="14"/>
  <c r="L21" i="20" s="1"/>
  <c r="L50" i="14"/>
  <c r="L50" i="20" s="1"/>
  <c r="L52" i="14" l="1"/>
  <c r="L52" i="20" s="1"/>
  <c r="L18" i="14"/>
  <c r="L18" i="20" s="1"/>
  <c r="L32" i="14"/>
  <c r="L32" i="20" s="1"/>
  <c r="L42" i="14"/>
  <c r="L42" i="20" s="1"/>
  <c r="K23" i="20"/>
  <c r="L23" i="14"/>
  <c r="L23" i="20" s="1"/>
  <c r="L19" i="14"/>
  <c r="L19" i="20" s="1"/>
  <c r="L51" i="14"/>
  <c r="L51" i="20" s="1"/>
  <c r="L49" i="14"/>
  <c r="L49" i="20" s="1"/>
  <c r="L38" i="14"/>
  <c r="L38" i="20" s="1"/>
  <c r="L33" i="14"/>
  <c r="L33" i="20" s="1"/>
  <c r="L40" i="14"/>
  <c r="L40" i="20" s="1"/>
  <c r="L39" i="14"/>
  <c r="L39" i="20" s="1"/>
  <c r="L34" i="14"/>
  <c r="L34" i="2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Jamie Cutting</author>
  </authors>
  <commentList>
    <comment ref="C11" authorId="0" shapeId="0" xr:uid="{00000000-0006-0000-1300-000001000000}">
      <text>
        <r>
          <rPr>
            <b/>
            <sz val="9"/>
            <color indexed="81"/>
            <rFont val="Tahoma"/>
            <family val="2"/>
          </rPr>
          <t>Andy Morris:</t>
        </r>
        <r>
          <rPr>
            <sz val="9"/>
            <color indexed="81"/>
            <rFont val="Tahoma"/>
            <family val="2"/>
          </rPr>
          <t xml:space="preserve">
Radius in mm</t>
        </r>
      </text>
    </comment>
    <comment ref="D11" authorId="0" shapeId="0" xr:uid="{00000000-0006-0000-1300-000002000000}">
      <text>
        <r>
          <rPr>
            <b/>
            <sz val="9"/>
            <color indexed="81"/>
            <rFont val="Tahoma"/>
            <family val="2"/>
          </rPr>
          <t>Andy Morris:</t>
        </r>
        <r>
          <rPr>
            <sz val="9"/>
            <color indexed="81"/>
            <rFont val="Tahoma"/>
            <family val="2"/>
          </rPr>
          <t xml:space="preserve">
Hieght in mm</t>
        </r>
      </text>
    </comment>
  </commentList>
</comments>
</file>

<file path=xl/sharedStrings.xml><?xml version="1.0" encoding="utf-8"?>
<sst xmlns="http://schemas.openxmlformats.org/spreadsheetml/2006/main" count="1257" uniqueCount="311">
  <si>
    <t>Project No.</t>
  </si>
  <si>
    <t>Project Name</t>
  </si>
  <si>
    <t>Client</t>
  </si>
  <si>
    <t>Material Description</t>
  </si>
  <si>
    <t>Specimen Dimensions</t>
  </si>
  <si>
    <t>Density</t>
  </si>
  <si>
    <t>Specimen ID</t>
  </si>
  <si>
    <t>Mass (g)</t>
  </si>
  <si>
    <t>a</t>
  </si>
  <si>
    <t>b</t>
  </si>
  <si>
    <t>c</t>
  </si>
  <si>
    <t>Sampling Point</t>
  </si>
  <si>
    <t>Stage</t>
  </si>
  <si>
    <t xml:space="preserve">Date </t>
  </si>
  <si>
    <t>Time</t>
  </si>
  <si>
    <t>Description</t>
  </si>
  <si>
    <t xml:space="preserve">Mass Loss </t>
  </si>
  <si>
    <t>Colour</t>
  </si>
  <si>
    <t>Surface Assessment</t>
  </si>
  <si>
    <t>Odour Assessment</t>
  </si>
  <si>
    <t>Mass Loss</t>
  </si>
  <si>
    <t>Leachant Properties</t>
  </si>
  <si>
    <t>Analysis of Matrix Dissolution</t>
  </si>
  <si>
    <t>S5-6</t>
  </si>
  <si>
    <t>S7-8</t>
  </si>
  <si>
    <t>pH7-8</t>
  </si>
  <si>
    <t>Criterion</t>
  </si>
  <si>
    <t>Outcome</t>
  </si>
  <si>
    <t>Criterion 1</t>
  </si>
  <si>
    <t>Criterion 2</t>
  </si>
  <si>
    <t>Criterion 3</t>
  </si>
  <si>
    <t>Ca</t>
  </si>
  <si>
    <t>Cl</t>
  </si>
  <si>
    <t>SO4</t>
  </si>
  <si>
    <t>Analytical Data</t>
  </si>
  <si>
    <t xml:space="preserve">LIMS </t>
  </si>
  <si>
    <t>Sample ID</t>
  </si>
  <si>
    <t>Analyte</t>
  </si>
  <si>
    <t>Units</t>
  </si>
  <si>
    <t>LOD</t>
  </si>
  <si>
    <t>pH</t>
  </si>
  <si>
    <t>Electrical Conductivity</t>
  </si>
  <si>
    <t>µS cm-¹</t>
  </si>
  <si>
    <t>Chloride</t>
  </si>
  <si>
    <t>Sodium</t>
  </si>
  <si>
    <t>Normalised to Surface Area</t>
  </si>
  <si>
    <t>Smaple ID</t>
  </si>
  <si>
    <t>Time (days)</t>
  </si>
  <si>
    <t>Measured Cummulative Leaching</t>
  </si>
  <si>
    <t>Derived Cummulative Leaching</t>
  </si>
  <si>
    <t>Increment Analysis CFa-b</t>
  </si>
  <si>
    <t>Increment       2-7</t>
  </si>
  <si>
    <t>Increment 5-8</t>
  </si>
  <si>
    <t>Increment 4-7</t>
  </si>
  <si>
    <t>Increment 3-6</t>
  </si>
  <si>
    <t>Increment 2-5</t>
  </si>
  <si>
    <t>Increment   1-4</t>
  </si>
  <si>
    <t>CFa-b</t>
  </si>
  <si>
    <t>Log Time (days)</t>
  </si>
  <si>
    <t>Increment Analysis rc</t>
  </si>
  <si>
    <t>Increment 2-7</t>
  </si>
  <si>
    <t>Increment   5-8</t>
  </si>
  <si>
    <t>Increment 1-4</t>
  </si>
  <si>
    <t>rc</t>
  </si>
  <si>
    <t>Key</t>
  </si>
  <si>
    <t>rc &lt; 0.35</t>
  </si>
  <si>
    <t>0.35 &lt; rc &lt; 0.65</t>
  </si>
  <si>
    <t>rc &gt; 0.65</t>
  </si>
  <si>
    <t>SDrc</t>
  </si>
  <si>
    <t>Interpretation of Leaching Mechanism</t>
  </si>
  <si>
    <t>Leaching Mechanism</t>
  </si>
  <si>
    <t>Leaching Mechanism Determining Increment</t>
  </si>
  <si>
    <t>Uxy</t>
  </si>
  <si>
    <t>U1</t>
  </si>
  <si>
    <t>U2</t>
  </si>
  <si>
    <t>U3</t>
  </si>
  <si>
    <t>U4</t>
  </si>
  <si>
    <t>U5</t>
  </si>
  <si>
    <t>U6</t>
  </si>
  <si>
    <t>U7</t>
  </si>
  <si>
    <t>U8</t>
  </si>
  <si>
    <t>Exy</t>
  </si>
  <si>
    <t>Increment Start</t>
  </si>
  <si>
    <t>Increment Finish</t>
  </si>
  <si>
    <t>tx (days)</t>
  </si>
  <si>
    <t>ty (days)</t>
  </si>
  <si>
    <t>A</t>
  </si>
  <si>
    <t>B</t>
  </si>
  <si>
    <t>Diffusion Based Leaching Limit</t>
  </si>
  <si>
    <t>Non-Diffusion based Upper Leaching Limit</t>
  </si>
  <si>
    <t>Derived Cumulative Leaching over 64 days (E64)</t>
  </si>
  <si>
    <t>Measured Cumulative Leaching over 64 Days (E*64)</t>
  </si>
  <si>
    <t>Upper Diffusion Leaching Limit (mg/m2)</t>
  </si>
  <si>
    <t>Surface Wash-off Ewash1-2</t>
  </si>
  <si>
    <t>Total Upper Leaching Limit (mg/m2)</t>
  </si>
  <si>
    <t>CF1-8 &lt;1.5</t>
  </si>
  <si>
    <t>Surface Wash-off followed by low concentration</t>
  </si>
  <si>
    <t>Depletion</t>
  </si>
  <si>
    <t>Dissolution</t>
  </si>
  <si>
    <t>Large Spread in Dataset</t>
  </si>
  <si>
    <r>
      <t>mg/m</t>
    </r>
    <r>
      <rPr>
        <vertAlign val="superscript"/>
        <sz val="11"/>
        <rFont val="Arial"/>
        <family val="2"/>
      </rPr>
      <t>2</t>
    </r>
  </si>
  <si>
    <t>Increment Analysis Log εn for Derived</t>
  </si>
  <si>
    <t>Increment Analysis Log ε for measured</t>
  </si>
  <si>
    <t>Increment Analysis SDrc</t>
  </si>
  <si>
    <t>Diffusive Flux - calculated average De</t>
  </si>
  <si>
    <t>n/a</t>
  </si>
  <si>
    <t>U</t>
  </si>
  <si>
    <t>N</t>
  </si>
  <si>
    <t>SOP</t>
  </si>
  <si>
    <t>Accred.</t>
  </si>
  <si>
    <t>Conc (mg/kg)</t>
  </si>
  <si>
    <r>
      <t>U</t>
    </r>
    <r>
      <rPr>
        <vertAlign val="subscript"/>
        <sz val="10"/>
        <rFont val="Arial"/>
        <family val="2"/>
      </rPr>
      <t>available</t>
    </r>
    <r>
      <rPr>
        <sz val="10"/>
        <rFont val="Arial"/>
        <family val="2"/>
      </rPr>
      <t xml:space="preserve"> (mg/Kg)</t>
    </r>
  </si>
  <si>
    <t>pDe</t>
  </si>
  <si>
    <t>Interval 1</t>
  </si>
  <si>
    <t>Interval 2</t>
  </si>
  <si>
    <t>Interval 3</t>
  </si>
  <si>
    <t>Interval 4</t>
  </si>
  <si>
    <t>Interval 5</t>
  </si>
  <si>
    <t>Interval 6</t>
  </si>
  <si>
    <t>Interval 7</t>
  </si>
  <si>
    <t>Interval 8</t>
  </si>
  <si>
    <t>Max pDe</t>
  </si>
  <si>
    <t>Min pDe</t>
  </si>
  <si>
    <t xml:space="preserve">Free Ca </t>
  </si>
  <si>
    <t>T</t>
  </si>
  <si>
    <r>
      <t xml:space="preserve"> Volume (m</t>
    </r>
    <r>
      <rPr>
        <b/>
        <vertAlign val="superscript"/>
        <sz val="12"/>
        <rFont val="Arial"/>
        <family val="2"/>
      </rPr>
      <t>3</t>
    </r>
    <r>
      <rPr>
        <b/>
        <sz val="12"/>
        <rFont val="Arial"/>
        <family val="2"/>
      </rPr>
      <t>)</t>
    </r>
  </si>
  <si>
    <r>
      <t>Tank Volume (dm</t>
    </r>
    <r>
      <rPr>
        <b/>
        <vertAlign val="superscript"/>
        <sz val="12"/>
        <rFont val="Arial"/>
        <family val="2"/>
      </rPr>
      <t>3</t>
    </r>
    <r>
      <rPr>
        <b/>
        <sz val="12"/>
        <rFont val="Arial"/>
        <family val="2"/>
      </rPr>
      <t>)</t>
    </r>
  </si>
  <si>
    <r>
      <t>Surface Area (m</t>
    </r>
    <r>
      <rPr>
        <b/>
        <vertAlign val="superscript"/>
        <sz val="12"/>
        <rFont val="Arial"/>
        <family val="2"/>
      </rPr>
      <t>2</t>
    </r>
    <r>
      <rPr>
        <b/>
        <sz val="12"/>
        <rFont val="Arial"/>
        <family val="2"/>
      </rPr>
      <t>)</t>
    </r>
  </si>
  <si>
    <t>SDrc &lt; 0.50</t>
  </si>
  <si>
    <t>De (7375)</t>
  </si>
  <si>
    <t>De (H23)</t>
  </si>
  <si>
    <t>pDe Ca Free</t>
  </si>
  <si>
    <r>
      <t>mg/m</t>
    </r>
    <r>
      <rPr>
        <vertAlign val="superscript"/>
        <sz val="11"/>
        <rFont val="Arial"/>
        <family val="2"/>
      </rPr>
      <t>2</t>
    </r>
    <r>
      <rPr>
        <sz val="10"/>
        <rFont val="Arial"/>
        <family val="2"/>
      </rPr>
      <t/>
    </r>
  </si>
  <si>
    <t>Derived Cummulative Leaching (mg/m2)</t>
  </si>
  <si>
    <t>Measured Cummulative Leaching (mg/m2)</t>
  </si>
  <si>
    <t>Derived</t>
  </si>
  <si>
    <t>Measured</t>
  </si>
  <si>
    <t>Log(t)</t>
  </si>
  <si>
    <t>SQRT(t)</t>
  </si>
  <si>
    <t>LogDerived</t>
  </si>
  <si>
    <t>LogMeasured</t>
  </si>
  <si>
    <t>Average pDE</t>
  </si>
  <si>
    <t>Contaminant</t>
  </si>
  <si>
    <t>Fraction 1</t>
  </si>
  <si>
    <t>Fraction 2</t>
  </si>
  <si>
    <t>Fraction 3</t>
  </si>
  <si>
    <t>Fraction 4</t>
  </si>
  <si>
    <t>Fraction 5</t>
  </si>
  <si>
    <t>Fraction 6</t>
  </si>
  <si>
    <t>Fraction 7</t>
  </si>
  <si>
    <t>Fraction 8</t>
  </si>
  <si>
    <t>Average Kd</t>
  </si>
  <si>
    <t>Select Contaminant</t>
  </si>
  <si>
    <t>Select Time</t>
  </si>
  <si>
    <t>Min Kd</t>
  </si>
  <si>
    <t>Max Kd</t>
  </si>
  <si>
    <t>Median Kd</t>
  </si>
  <si>
    <r>
      <t>mg/m</t>
    </r>
    <r>
      <rPr>
        <vertAlign val="superscript"/>
        <sz val="11"/>
        <rFont val="Arial"/>
        <family val="2"/>
      </rPr>
      <t>3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</si>
  <si>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4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</si>
  <si>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5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</si>
  <si>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6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</si>
  <si>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7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</si>
  <si>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8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</si>
  <si>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9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</si>
  <si>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10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</si>
  <si>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11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</si>
  <si>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12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</si>
  <si>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13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</si>
  <si>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14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</si>
  <si>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15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</si>
  <si>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16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</si>
  <si>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17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</si>
  <si>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18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</si>
  <si>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19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</si>
  <si>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20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</si>
  <si>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21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</si>
  <si>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22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</si>
  <si>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23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</si>
  <si>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24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</si>
  <si>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25</t>
    </r>
    <r>
      <rPr>
        <sz val="10"/>
        <rFont val="Arial"/>
        <family val="2"/>
      </rPr>
      <t/>
    </r>
  </si>
  <si>
    <t>1/t^2</t>
  </si>
  <si>
    <t>Time Cumm</t>
  </si>
  <si>
    <t>Time Interval</t>
  </si>
  <si>
    <t>Cumm sec</t>
  </si>
  <si>
    <t>Log CT</t>
  </si>
  <si>
    <t>SQRT CT</t>
  </si>
  <si>
    <t xml:space="preserve">Source Term </t>
  </si>
  <si>
    <t>F</t>
  </si>
  <si>
    <t>P</t>
  </si>
  <si>
    <t>INTERCEPT</t>
  </si>
  <si>
    <t>Gradient</t>
  </si>
  <si>
    <t>CFL1</t>
  </si>
  <si>
    <t>CFL2</t>
  </si>
  <si>
    <t>CFL3</t>
  </si>
  <si>
    <t>CFL4</t>
  </si>
  <si>
    <t>CFL5</t>
  </si>
  <si>
    <t>CFL6</t>
  </si>
  <si>
    <t>CFL7</t>
  </si>
  <si>
    <t>CFL8</t>
  </si>
  <si>
    <t>Source in m3</t>
  </si>
  <si>
    <t>Dimensions (mm)</t>
  </si>
  <si>
    <t>IFL1</t>
  </si>
  <si>
    <t>IFL2</t>
  </si>
  <si>
    <t>IFL3</t>
  </si>
  <si>
    <t>IFL4</t>
  </si>
  <si>
    <t>IFL5</t>
  </si>
  <si>
    <t>IFL6</t>
  </si>
  <si>
    <t>IFL7</t>
  </si>
  <si>
    <t>IFL8</t>
  </si>
  <si>
    <t>x-axis</t>
  </si>
  <si>
    <t>y-axis</t>
  </si>
  <si>
    <r>
      <t>å</t>
    </r>
    <r>
      <rPr>
        <sz val="24"/>
        <rFont val="Arial"/>
        <family val="2"/>
      </rPr>
      <t>a</t>
    </r>
    <r>
      <rPr>
        <vertAlign val="subscript"/>
        <sz val="24"/>
        <rFont val="Arial"/>
        <family val="2"/>
      </rPr>
      <t>n</t>
    </r>
    <r>
      <rPr>
        <sz val="24"/>
        <rFont val="Arial"/>
        <family val="2"/>
      </rPr>
      <t xml:space="preserve"> / Ao</t>
    </r>
  </si>
  <si>
    <t>De (USEPA)</t>
  </si>
  <si>
    <t>Derived Tortuosity:</t>
  </si>
  <si>
    <t xml:space="preserve">De NEN </t>
  </si>
  <si>
    <r>
      <t>R</t>
    </r>
    <r>
      <rPr>
        <b/>
        <vertAlign val="superscript"/>
        <sz val="10"/>
        <color indexed="9"/>
        <rFont val="Arial"/>
        <family val="2"/>
      </rPr>
      <t>2</t>
    </r>
  </si>
  <si>
    <t>Measured Cumulative Leaching over 16 Days (E*16)</t>
  </si>
  <si>
    <t>Mass Transfer Plot for</t>
  </si>
  <si>
    <t>Derived Cumulative Leaching over 16 days (E36)</t>
  </si>
  <si>
    <r>
      <t>pDe (m</t>
    </r>
    <r>
      <rPr>
        <b/>
        <vertAlign val="superscript"/>
        <sz val="10"/>
        <color indexed="9"/>
        <rFont val="Arial"/>
        <family val="2"/>
      </rPr>
      <t>2</t>
    </r>
    <r>
      <rPr>
        <b/>
        <sz val="10"/>
        <color indexed="9"/>
        <rFont val="Arial"/>
        <family val="2"/>
      </rPr>
      <t>/s)</t>
    </r>
  </si>
  <si>
    <r>
      <t>pDe (cm</t>
    </r>
    <r>
      <rPr>
        <b/>
        <vertAlign val="superscript"/>
        <sz val="10"/>
        <color indexed="9"/>
        <rFont val="Arial"/>
        <family val="2"/>
      </rPr>
      <t>2</t>
    </r>
    <r>
      <rPr>
        <b/>
        <sz val="10"/>
        <color indexed="9"/>
        <rFont val="Arial"/>
        <family val="2"/>
      </rPr>
      <t>/s)</t>
    </r>
  </si>
  <si>
    <t>Redox potential</t>
  </si>
  <si>
    <t>mV</t>
  </si>
  <si>
    <r>
      <t>mg/m</t>
    </r>
    <r>
      <rPr>
        <vertAlign val="superscript"/>
        <sz val="11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</si>
  <si>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r>
      <t>mg/m</t>
    </r>
    <r>
      <rPr>
        <vertAlign val="superscript"/>
        <sz val="11"/>
        <rFont val="Arial"/>
        <family val="2"/>
      </rPr>
      <t>4</t>
    </r>
    <r>
      <rPr>
        <sz val="11"/>
        <color theme="1"/>
        <rFont val="Calibri"/>
        <family val="2"/>
        <scheme val="minor"/>
      </rPr>
      <t/>
    </r>
  </si>
  <si>
    <r>
      <t>t</t>
    </r>
    <r>
      <rPr>
        <vertAlign val="superscript"/>
        <sz val="28"/>
        <rFont val="Arial"/>
        <family val="2"/>
      </rPr>
      <t>1/2</t>
    </r>
  </si>
  <si>
    <t>EN NEN 7375</t>
  </si>
  <si>
    <t>USEPA 1315</t>
  </si>
  <si>
    <t>BS EN 15863</t>
  </si>
  <si>
    <t>CEG 16D</t>
  </si>
  <si>
    <t>Test Method</t>
  </si>
  <si>
    <t>START</t>
  </si>
  <si>
    <t>U - ISO 17025 accredited</t>
  </si>
  <si>
    <t>N - non-accredited</t>
  </si>
  <si>
    <t>M - MCERTS accredited</t>
  </si>
  <si>
    <t>Job Number:</t>
  </si>
  <si>
    <t>Client:</t>
  </si>
  <si>
    <t>CE Geochem</t>
  </si>
  <si>
    <t>Client Ref:</t>
  </si>
  <si>
    <t>Matrix:</t>
  </si>
  <si>
    <t>WATER</t>
  </si>
  <si>
    <t>Sample Identity</t>
  </si>
  <si>
    <t>F1</t>
  </si>
  <si>
    <t>F2</t>
  </si>
  <si>
    <t>F3</t>
  </si>
  <si>
    <t>F7</t>
  </si>
  <si>
    <t>F8</t>
  </si>
  <si>
    <t>Depth</t>
  </si>
  <si>
    <t>Other id</t>
  </si>
  <si>
    <t>Sample Type</t>
  </si>
  <si>
    <t>Sampled Date</t>
  </si>
  <si>
    <t>Sample Received Date</t>
  </si>
  <si>
    <t>Final Instructons Date</t>
  </si>
  <si>
    <t>Analysis Started Date</t>
  </si>
  <si>
    <t>Analysis Completed Date</t>
  </si>
  <si>
    <t>Login Batch</t>
  </si>
  <si>
    <t>Lab Sample Number</t>
  </si>
  <si>
    <t>Method</t>
  </si>
  <si>
    <t>Accreditation</t>
  </si>
  <si>
    <t>Method Detection Limit</t>
  </si>
  <si>
    <t/>
  </si>
  <si>
    <t>SOIL</t>
  </si>
  <si>
    <t>M</t>
  </si>
  <si>
    <t>MAX</t>
  </si>
  <si>
    <t>MIN</t>
  </si>
  <si>
    <t>STD</t>
  </si>
  <si>
    <t>NUB</t>
  </si>
  <si>
    <t>COUNT</t>
  </si>
  <si>
    <t>AVE</t>
  </si>
  <si>
    <t>Mix Design Ratio</t>
  </si>
  <si>
    <t>MIX DESIGN RATIO</t>
  </si>
  <si>
    <t>Source Term (mg/kg)</t>
  </si>
  <si>
    <t>Derived Cumulative Leaching over 16 days (E16)</t>
  </si>
  <si>
    <t>F4</t>
  </si>
  <si>
    <t>F5</t>
  </si>
  <si>
    <t>F6</t>
  </si>
  <si>
    <t>MD1</t>
  </si>
  <si>
    <t>SSZ2-MD1D</t>
  </si>
  <si>
    <t>SSZ1 - MD1</t>
  </si>
  <si>
    <r>
      <t>U</t>
    </r>
    <r>
      <rPr>
        <vertAlign val="subscript"/>
        <sz val="10"/>
        <color theme="0"/>
        <rFont val="Arial"/>
        <family val="2"/>
      </rPr>
      <t>available</t>
    </r>
    <r>
      <rPr>
        <sz val="10"/>
        <color theme="0"/>
        <rFont val="Arial"/>
        <family val="2"/>
      </rPr>
      <t xml:space="preserve"> (mg/Kg)</t>
    </r>
  </si>
  <si>
    <r>
      <t>U</t>
    </r>
    <r>
      <rPr>
        <b/>
        <vertAlign val="subscript"/>
        <sz val="10"/>
        <color theme="0"/>
        <rFont val="Arial"/>
        <family val="2"/>
      </rPr>
      <t>available</t>
    </r>
    <r>
      <rPr>
        <b/>
        <sz val="10"/>
        <color theme="0"/>
        <rFont val="Arial"/>
        <family val="2"/>
      </rPr>
      <t xml:space="preserve"> (mg/Kg)</t>
    </r>
  </si>
  <si>
    <t>mg/l</t>
  </si>
  <si>
    <t>VER A</t>
  </si>
  <si>
    <t>23-Jul-14</t>
  </si>
  <si>
    <t>24-Jul-14</t>
  </si>
  <si>
    <t>25-Jul-14</t>
  </si>
  <si>
    <t>27-Jul-14</t>
  </si>
  <si>
    <t>29-Jan-14</t>
  </si>
  <si>
    <t>01-Aug-14</t>
  </si>
  <si>
    <t>14-07220</t>
  </si>
  <si>
    <t>VER A F8</t>
  </si>
  <si>
    <t>08-Aug-14</t>
  </si>
  <si>
    <t>14-07673</t>
  </si>
  <si>
    <t>g/L</t>
  </si>
  <si>
    <t>Chloride (Extractable)</t>
  </si>
  <si>
    <t>g/l</t>
  </si>
  <si>
    <t>1220</t>
  </si>
  <si>
    <t>1</t>
  </si>
  <si>
    <t>38899</t>
  </si>
  <si>
    <t>38900</t>
  </si>
  <si>
    <t>38901</t>
  </si>
  <si>
    <t>40238</t>
  </si>
  <si>
    <t>41450</t>
  </si>
  <si>
    <t>41451</t>
  </si>
  <si>
    <t>44087</t>
  </si>
  <si>
    <t>41779</t>
  </si>
  <si>
    <t>Mineral Liner Tortuosity</t>
  </si>
  <si>
    <t>Na-Tort</t>
  </si>
  <si>
    <t>Cornets End Landfill</t>
  </si>
  <si>
    <t>NRS Aggregates Midlands</t>
  </si>
  <si>
    <t>A192879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</si>
</sst>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0.000E+00"/>
    <numFmt numFmtId="167" formatCode="0.0000E+00"/>
    <numFmt numFmtId="168" formatCode="0.0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10"/>
      <name val="Arial"/>
      <family val="2"/>
    </font>
    <font>
      <vertAlign val="superscript"/>
      <sz val="11"/>
      <name val="Arial"/>
      <family val="2"/>
    </font>
    <font>
      <sz val="8"/>
      <name val="Arial"/>
      <family val="2"/>
    </font>
    <font>
      <sz val="10"/>
      <color indexed="63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sz val="10"/>
      <name val="Arial"/>
      <family val="2"/>
    </font>
    <font>
      <vertAlign val="subscript"/>
      <sz val="10"/>
      <name val="Arial"/>
      <family val="2"/>
    </font>
    <font>
      <b/>
      <vertAlign val="superscript"/>
      <sz val="12"/>
      <name val="Arial"/>
      <family val="2"/>
    </font>
    <font>
      <sz val="11"/>
      <color indexed="9"/>
      <name val="Arial"/>
      <family val="2"/>
    </font>
    <font>
      <sz val="11"/>
      <color indexed="55"/>
      <name val="Arial"/>
      <family val="2"/>
    </font>
    <font>
      <sz val="10"/>
      <color indexed="55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24"/>
      <name val="Arial"/>
      <family val="2"/>
    </font>
    <font>
      <b/>
      <sz val="26"/>
      <name val="Arial"/>
      <family val="2"/>
    </font>
    <font>
      <sz val="24"/>
      <name val="Symbol"/>
      <family val="1"/>
      <charset val="2"/>
    </font>
    <font>
      <vertAlign val="subscript"/>
      <sz val="24"/>
      <name val="Arial"/>
      <family val="2"/>
    </font>
    <font>
      <sz val="28"/>
      <name val="Arial"/>
      <family val="2"/>
    </font>
    <font>
      <vertAlign val="superscript"/>
      <sz val="28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b/>
      <vertAlign val="superscript"/>
      <sz val="10"/>
      <color indexed="9"/>
      <name val="Arial"/>
      <family val="2"/>
    </font>
    <font>
      <sz val="10"/>
      <color theme="0"/>
      <name val="Arial"/>
      <family val="2"/>
    </font>
    <font>
      <sz val="8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10"/>
      <color theme="0" tint="-0.34998626667073579"/>
      <name val="Arial"/>
      <family val="2"/>
    </font>
    <font>
      <sz val="14"/>
      <color theme="0" tint="-0.34998626667073579"/>
      <name val="Arial"/>
      <family val="2"/>
    </font>
    <font>
      <sz val="12"/>
      <color theme="0" tint="-0.34998626667073579"/>
      <name val="Arial"/>
      <family val="2"/>
    </font>
    <font>
      <b/>
      <sz val="20"/>
      <color theme="0" tint="-0.34998626667073579"/>
      <name val="Arial"/>
      <family val="2"/>
    </font>
    <font>
      <sz val="18"/>
      <color theme="0" tint="-0.34998626667073579"/>
      <name val="Arial"/>
      <family val="2"/>
    </font>
    <font>
      <b/>
      <sz val="18"/>
      <color theme="0" tint="-0.3499862666707357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0"/>
      <name val="Arial"/>
      <family val="2"/>
    </font>
    <font>
      <vertAlign val="subscript"/>
      <sz val="10"/>
      <color theme="0"/>
      <name val="Arial"/>
      <family val="2"/>
    </font>
    <font>
      <b/>
      <vertAlign val="subscript"/>
      <sz val="10"/>
      <color theme="0"/>
      <name val="Arial"/>
      <family val="2"/>
    </font>
    <font>
      <sz val="11"/>
      <color theme="0"/>
      <name val="Calibri"/>
      <family val="2"/>
    </font>
    <font>
      <sz val="11"/>
      <color theme="0" tint="-0.3499862666707357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9">
    <xf numFmtId="0" fontId="0" fillId="0" borderId="0" xfId="0"/>
    <xf numFmtId="0" fontId="3" fillId="2" borderId="0" xfId="0" applyFont="1" applyFill="1"/>
    <xf numFmtId="0" fontId="0" fillId="2" borderId="0" xfId="0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0" xfId="0" applyNumberFormat="1" applyFont="1" applyFill="1"/>
    <xf numFmtId="0" fontId="8" fillId="2" borderId="6" xfId="0" applyNumberFormat="1" applyFont="1" applyFill="1" applyBorder="1"/>
    <xf numFmtId="0" fontId="8" fillId="2" borderId="7" xfId="0" applyNumberFormat="1" applyFont="1" applyFill="1" applyBorder="1"/>
    <xf numFmtId="0" fontId="4" fillId="2" borderId="8" xfId="0" quotePrefix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/>
    <xf numFmtId="0" fontId="10" fillId="2" borderId="0" xfId="0" applyFont="1" applyFill="1"/>
    <xf numFmtId="0" fontId="11" fillId="2" borderId="0" xfId="0" applyFont="1" applyFill="1"/>
    <xf numFmtId="0" fontId="12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/>
    <xf numFmtId="0" fontId="12" fillId="2" borderId="0" xfId="0" quotePrefix="1" applyFont="1" applyFill="1" applyAlignment="1">
      <alignment horizontal="left"/>
    </xf>
    <xf numFmtId="0" fontId="12" fillId="2" borderId="11" xfId="0" applyFont="1" applyFill="1" applyBorder="1"/>
    <xf numFmtId="0" fontId="12" fillId="2" borderId="12" xfId="0" applyFont="1" applyFill="1" applyBorder="1"/>
    <xf numFmtId="0" fontId="12" fillId="2" borderId="0" xfId="0" applyFont="1" applyFill="1" applyAlignment="1">
      <alignment horizontal="center"/>
    </xf>
    <xf numFmtId="0" fontId="11" fillId="2" borderId="11" xfId="0" applyFont="1" applyFill="1" applyBorder="1"/>
    <xf numFmtId="0" fontId="11" fillId="2" borderId="13" xfId="0" applyFont="1" applyFill="1" applyBorder="1"/>
    <xf numFmtId="0" fontId="11" fillId="2" borderId="14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1" fillId="2" borderId="15" xfId="0" applyFont="1" applyFill="1" applyBorder="1"/>
    <xf numFmtId="0" fontId="11" fillId="0" borderId="0" xfId="0" applyFont="1"/>
    <xf numFmtId="0" fontId="11" fillId="2" borderId="0" xfId="0" applyFont="1" applyFill="1" applyBorder="1"/>
    <xf numFmtId="0" fontId="11" fillId="2" borderId="13" xfId="0" applyFont="1" applyFill="1" applyBorder="1" applyAlignment="1">
      <alignment horizontal="center"/>
    </xf>
    <xf numFmtId="0" fontId="11" fillId="2" borderId="16" xfId="0" applyFont="1" applyFill="1" applyBorder="1"/>
    <xf numFmtId="0" fontId="11" fillId="2" borderId="12" xfId="0" applyFont="1" applyFill="1" applyBorder="1"/>
    <xf numFmtId="0" fontId="11" fillId="2" borderId="0" xfId="0" applyFont="1" applyFill="1" applyBorder="1" applyAlignment="1">
      <alignment horizontal="center"/>
    </xf>
    <xf numFmtId="0" fontId="11" fillId="2" borderId="17" xfId="0" applyFont="1" applyFill="1" applyBorder="1"/>
    <xf numFmtId="0" fontId="11" fillId="2" borderId="14" xfId="0" applyFont="1" applyFill="1" applyBorder="1"/>
    <xf numFmtId="0" fontId="11" fillId="2" borderId="9" xfId="0" applyFont="1" applyFill="1" applyBorder="1"/>
    <xf numFmtId="0" fontId="11" fillId="2" borderId="10" xfId="0" applyFont="1" applyFill="1" applyBorder="1"/>
    <xf numFmtId="0" fontId="11" fillId="2" borderId="10" xfId="0" quotePrefix="1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19" xfId="0" applyFont="1" applyFill="1" applyBorder="1"/>
    <xf numFmtId="0" fontId="12" fillId="2" borderId="0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1" fillId="2" borderId="17" xfId="0" applyFont="1" applyFill="1" applyBorder="1" applyAlignment="1">
      <alignment horizontal="left"/>
    </xf>
    <xf numFmtId="0" fontId="11" fillId="2" borderId="9" xfId="0" applyFont="1" applyFill="1" applyBorder="1" applyAlignment="1">
      <alignment horizontal="left"/>
    </xf>
    <xf numFmtId="0" fontId="11" fillId="2" borderId="0" xfId="0" quotePrefix="1" applyFont="1" applyFill="1" applyAlignment="1">
      <alignment horizontal="left"/>
    </xf>
    <xf numFmtId="0" fontId="11" fillId="2" borderId="20" xfId="0" applyFont="1" applyFill="1" applyBorder="1"/>
    <xf numFmtId="0" fontId="11" fillId="2" borderId="21" xfId="0" applyFont="1" applyFill="1" applyBorder="1" applyAlignment="1">
      <alignment horizontal="center"/>
    </xf>
    <xf numFmtId="0" fontId="11" fillId="2" borderId="21" xfId="0" applyFont="1" applyFill="1" applyBorder="1"/>
    <xf numFmtId="0" fontId="12" fillId="2" borderId="21" xfId="0" applyFont="1" applyFill="1" applyBorder="1" applyAlignment="1">
      <alignment horizontal="center"/>
    </xf>
    <xf numFmtId="0" fontId="12" fillId="2" borderId="22" xfId="0" applyFont="1" applyFill="1" applyBorder="1" applyAlignment="1">
      <alignment horizontal="center"/>
    </xf>
    <xf numFmtId="0" fontId="11" fillId="2" borderId="20" xfId="0" quotePrefix="1" applyFont="1" applyFill="1" applyBorder="1" applyAlignment="1">
      <alignment horizontal="left"/>
    </xf>
    <xf numFmtId="0" fontId="11" fillId="2" borderId="6" xfId="0" applyFont="1" applyFill="1" applyBorder="1" applyAlignment="1">
      <alignment horizontal="center"/>
    </xf>
    <xf numFmtId="2" fontId="11" fillId="2" borderId="14" xfId="0" applyNumberFormat="1" applyFont="1" applyFill="1" applyBorder="1" applyAlignment="1">
      <alignment horizontal="center"/>
    </xf>
    <xf numFmtId="2" fontId="11" fillId="2" borderId="23" xfId="0" applyNumberFormat="1" applyFont="1" applyFill="1" applyBorder="1" applyAlignment="1">
      <alignment horizontal="center"/>
    </xf>
    <xf numFmtId="0" fontId="12" fillId="2" borderId="0" xfId="0" applyFont="1" applyFill="1" applyAlignment="1">
      <alignment horizontal="right"/>
    </xf>
    <xf numFmtId="2" fontId="11" fillId="2" borderId="10" xfId="0" applyNumberFormat="1" applyFont="1" applyFill="1" applyBorder="1" applyAlignment="1">
      <alignment horizontal="center"/>
    </xf>
    <xf numFmtId="2" fontId="11" fillId="2" borderId="24" xfId="0" applyNumberFormat="1" applyFont="1" applyFill="1" applyBorder="1" applyAlignment="1">
      <alignment horizontal="center"/>
    </xf>
    <xf numFmtId="0" fontId="11" fillId="3" borderId="25" xfId="0" applyFont="1" applyFill="1" applyBorder="1"/>
    <xf numFmtId="2" fontId="11" fillId="2" borderId="0" xfId="0" applyNumberFormat="1" applyFont="1" applyFill="1" applyAlignment="1">
      <alignment horizontal="center"/>
    </xf>
    <xf numFmtId="0" fontId="11" fillId="4" borderId="26" xfId="0" applyFont="1" applyFill="1" applyBorder="1"/>
    <xf numFmtId="0" fontId="11" fillId="5" borderId="27" xfId="0" applyFont="1" applyFill="1" applyBorder="1"/>
    <xf numFmtId="0" fontId="16" fillId="2" borderId="0" xfId="0" applyFont="1" applyFill="1" applyBorder="1" applyAlignment="1">
      <alignment vertical="top" wrapText="1"/>
    </xf>
    <xf numFmtId="0" fontId="0" fillId="0" borderId="0" xfId="0" applyBorder="1"/>
    <xf numFmtId="0" fontId="11" fillId="2" borderId="0" xfId="0" applyFont="1" applyFill="1" applyAlignment="1">
      <alignment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3" xfId="0" quotePrefix="1" applyFont="1" applyFill="1" applyBorder="1" applyAlignment="1">
      <alignment horizontal="center" vertical="center" wrapText="1"/>
    </xf>
    <xf numFmtId="0" fontId="12" fillId="2" borderId="15" xfId="0" quotePrefix="1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7" fillId="2" borderId="0" xfId="0" applyFont="1" applyFill="1"/>
    <xf numFmtId="0" fontId="13" fillId="2" borderId="0" xfId="0" applyFont="1" applyFill="1"/>
    <xf numFmtId="0" fontId="17" fillId="2" borderId="0" xfId="0" applyFont="1" applyFill="1" applyAlignment="1">
      <alignment horizontal="center" vertical="center" wrapText="1"/>
    </xf>
    <xf numFmtId="0" fontId="12" fillId="2" borderId="0" xfId="0" applyFont="1" applyFill="1" applyBorder="1"/>
    <xf numFmtId="0" fontId="12" fillId="2" borderId="11" xfId="0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0" fontId="11" fillId="2" borderId="2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/>
    </xf>
    <xf numFmtId="0" fontId="12" fillId="2" borderId="19" xfId="0" applyFont="1" applyFill="1" applyBorder="1"/>
    <xf numFmtId="0" fontId="11" fillId="2" borderId="28" xfId="0" applyFont="1" applyFill="1" applyBorder="1"/>
    <xf numFmtId="0" fontId="12" fillId="2" borderId="19" xfId="0" applyFont="1" applyFill="1" applyBorder="1" applyAlignment="1">
      <alignment horizontal="center"/>
    </xf>
    <xf numFmtId="0" fontId="12" fillId="2" borderId="28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center"/>
    </xf>
    <xf numFmtId="0" fontId="11" fillId="2" borderId="28" xfId="0" applyFont="1" applyFill="1" applyBorder="1" applyAlignment="1">
      <alignment horizontal="center"/>
    </xf>
    <xf numFmtId="16" fontId="11" fillId="2" borderId="0" xfId="0" applyNumberFormat="1" applyFont="1" applyFill="1"/>
    <xf numFmtId="0" fontId="11" fillId="2" borderId="1" xfId="0" applyFont="1" applyFill="1" applyBorder="1"/>
    <xf numFmtId="166" fontId="11" fillId="2" borderId="14" xfId="0" applyNumberFormat="1" applyFont="1" applyFill="1" applyBorder="1" applyAlignment="1">
      <alignment horizontal="center"/>
    </xf>
    <xf numFmtId="166" fontId="11" fillId="2" borderId="23" xfId="0" applyNumberFormat="1" applyFont="1" applyFill="1" applyBorder="1" applyAlignment="1">
      <alignment horizontal="center"/>
    </xf>
    <xf numFmtId="166" fontId="11" fillId="2" borderId="10" xfId="0" applyNumberFormat="1" applyFont="1" applyFill="1" applyBorder="1" applyAlignment="1">
      <alignment horizontal="center"/>
    </xf>
    <xf numFmtId="166" fontId="11" fillId="2" borderId="24" xfId="0" applyNumberFormat="1" applyFont="1" applyFill="1" applyBorder="1" applyAlignment="1">
      <alignment horizontal="center"/>
    </xf>
    <xf numFmtId="0" fontId="11" fillId="2" borderId="11" xfId="0" quotePrefix="1" applyFont="1" applyFill="1" applyBorder="1" applyAlignment="1">
      <alignment horizontal="center"/>
    </xf>
    <xf numFmtId="165" fontId="11" fillId="6" borderId="17" xfId="0" applyNumberFormat="1" applyFont="1" applyFill="1" applyBorder="1" applyAlignment="1">
      <alignment horizontal="center"/>
    </xf>
    <xf numFmtId="2" fontId="11" fillId="6" borderId="14" xfId="0" applyNumberFormat="1" applyFont="1" applyFill="1" applyBorder="1" applyAlignment="1">
      <alignment horizontal="center"/>
    </xf>
    <xf numFmtId="0" fontId="11" fillId="6" borderId="14" xfId="0" applyFont="1" applyFill="1" applyBorder="1" applyAlignment="1">
      <alignment horizontal="center" wrapText="1"/>
    </xf>
    <xf numFmtId="165" fontId="11" fillId="6" borderId="14" xfId="0" applyNumberFormat="1" applyFont="1" applyFill="1" applyBorder="1" applyAlignment="1">
      <alignment horizontal="center"/>
    </xf>
    <xf numFmtId="0" fontId="11" fillId="6" borderId="15" xfId="0" applyFont="1" applyFill="1" applyBorder="1"/>
    <xf numFmtId="0" fontId="11" fillId="7" borderId="17" xfId="0" applyFont="1" applyFill="1" applyBorder="1" applyAlignment="1">
      <alignment horizontal="center"/>
    </xf>
    <xf numFmtId="0" fontId="11" fillId="7" borderId="14" xfId="0" applyFont="1" applyFill="1" applyBorder="1" applyAlignment="1">
      <alignment horizontal="center"/>
    </xf>
    <xf numFmtId="2" fontId="11" fillId="7" borderId="14" xfId="0" applyNumberFormat="1" applyFont="1" applyFill="1" applyBorder="1" applyAlignment="1">
      <alignment horizontal="center"/>
    </xf>
    <xf numFmtId="0" fontId="11" fillId="7" borderId="23" xfId="0" applyFont="1" applyFill="1" applyBorder="1" applyAlignment="1">
      <alignment horizontal="center"/>
    </xf>
    <xf numFmtId="0" fontId="11" fillId="2" borderId="19" xfId="0" quotePrefix="1" applyFont="1" applyFill="1" applyBorder="1" applyAlignment="1">
      <alignment horizontal="center"/>
    </xf>
    <xf numFmtId="0" fontId="11" fillId="2" borderId="12" xfId="0" quotePrefix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 wrapText="1"/>
    </xf>
    <xf numFmtId="0" fontId="18" fillId="2" borderId="0" xfId="0" applyFont="1" applyFill="1"/>
    <xf numFmtId="11" fontId="11" fillId="2" borderId="17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2" fillId="2" borderId="13" xfId="0" applyFont="1" applyFill="1" applyBorder="1"/>
    <xf numFmtId="0" fontId="12" fillId="2" borderId="16" xfId="0" applyFont="1" applyFill="1" applyBorder="1"/>
    <xf numFmtId="0" fontId="12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/>
    </xf>
    <xf numFmtId="11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7" fillId="8" borderId="29" xfId="0" applyFont="1" applyFill="1" applyBorder="1" applyAlignment="1">
      <alignment horizontal="center"/>
    </xf>
    <xf numFmtId="0" fontId="7" fillId="8" borderId="30" xfId="0" applyFont="1" applyFill="1" applyBorder="1" applyAlignment="1">
      <alignment horizontal="center"/>
    </xf>
    <xf numFmtId="0" fontId="7" fillId="8" borderId="26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/>
    </xf>
    <xf numFmtId="0" fontId="6" fillId="2" borderId="33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8" borderId="29" xfId="0" quotePrefix="1" applyFont="1" applyFill="1" applyBorder="1" applyAlignment="1">
      <alignment horizontal="center"/>
    </xf>
    <xf numFmtId="0" fontId="4" fillId="8" borderId="20" xfId="0" applyFont="1" applyFill="1" applyBorder="1" applyAlignment="1">
      <alignment horizontal="center"/>
    </xf>
    <xf numFmtId="0" fontId="5" fillId="8" borderId="35" xfId="0" applyFont="1" applyFill="1" applyBorder="1"/>
    <xf numFmtId="0" fontId="5" fillId="8" borderId="21" xfId="0" applyFont="1" applyFill="1" applyBorder="1"/>
    <xf numFmtId="0" fontId="4" fillId="8" borderId="21" xfId="0" applyFont="1" applyFill="1" applyBorder="1"/>
    <xf numFmtId="0" fontId="4" fillId="8" borderId="22" xfId="0" applyFont="1" applyFill="1" applyBorder="1"/>
    <xf numFmtId="0" fontId="12" fillId="2" borderId="18" xfId="0" applyFont="1" applyFill="1" applyBorder="1" applyAlignment="1">
      <alignment horizontal="center"/>
    </xf>
    <xf numFmtId="0" fontId="11" fillId="2" borderId="24" xfId="0" quotePrefix="1" applyFont="1" applyFill="1" applyBorder="1" applyAlignment="1">
      <alignment horizontal="center"/>
    </xf>
    <xf numFmtId="0" fontId="11" fillId="2" borderId="6" xfId="0" quotePrefix="1" applyFont="1" applyFill="1" applyBorder="1" applyAlignment="1">
      <alignment horizontal="center"/>
    </xf>
    <xf numFmtId="0" fontId="11" fillId="2" borderId="27" xfId="0" applyFont="1" applyFill="1" applyBorder="1"/>
    <xf numFmtId="0" fontId="11" fillId="2" borderId="36" xfId="0" applyFont="1" applyFill="1" applyBorder="1"/>
    <xf numFmtId="0" fontId="11" fillId="2" borderId="37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11" fillId="2" borderId="36" xfId="0" applyFont="1" applyFill="1" applyBorder="1" applyAlignment="1">
      <alignment horizontal="center"/>
    </xf>
    <xf numFmtId="0" fontId="0" fillId="2" borderId="36" xfId="0" applyFill="1" applyBorder="1"/>
    <xf numFmtId="0" fontId="0" fillId="2" borderId="25" xfId="0" applyFill="1" applyBorder="1"/>
    <xf numFmtId="0" fontId="0" fillId="2" borderId="0" xfId="0" applyFill="1" applyBorder="1"/>
    <xf numFmtId="0" fontId="0" fillId="2" borderId="0" xfId="0" applyFill="1" applyAlignment="1">
      <alignment horizontal="center"/>
    </xf>
    <xf numFmtId="0" fontId="11" fillId="2" borderId="10" xfId="0" applyFont="1" applyFill="1" applyBorder="1" applyAlignment="1">
      <alignment horizontal="left"/>
    </xf>
    <xf numFmtId="0" fontId="11" fillId="2" borderId="14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/>
    </xf>
    <xf numFmtId="0" fontId="12" fillId="2" borderId="11" xfId="0" quotePrefix="1" applyFont="1" applyFill="1" applyBorder="1" applyAlignment="1">
      <alignment horizontal="center" wrapText="1"/>
    </xf>
    <xf numFmtId="0" fontId="12" fillId="2" borderId="13" xfId="0" quotePrefix="1" applyFont="1" applyFill="1" applyBorder="1" applyAlignment="1">
      <alignment horizontal="center" wrapText="1"/>
    </xf>
    <xf numFmtId="0" fontId="12" fillId="2" borderId="15" xfId="0" quotePrefix="1" applyFont="1" applyFill="1" applyBorder="1" applyAlignment="1">
      <alignment horizontal="center" wrapText="1"/>
    </xf>
    <xf numFmtId="166" fontId="11" fillId="2" borderId="38" xfId="0" applyNumberFormat="1" applyFont="1" applyFill="1" applyBorder="1" applyAlignment="1">
      <alignment horizontal="center"/>
    </xf>
    <xf numFmtId="166" fontId="11" fillId="2" borderId="39" xfId="0" applyNumberFormat="1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12" fillId="2" borderId="10" xfId="0" applyFont="1" applyFill="1" applyBorder="1"/>
    <xf numFmtId="0" fontId="12" fillId="2" borderId="14" xfId="0" applyFont="1" applyFill="1" applyBorder="1"/>
    <xf numFmtId="0" fontId="11" fillId="2" borderId="41" xfId="0" applyFont="1" applyFill="1" applyBorder="1"/>
    <xf numFmtId="0" fontId="11" fillId="2" borderId="42" xfId="0" applyFont="1" applyFill="1" applyBorder="1"/>
    <xf numFmtId="0" fontId="12" fillId="2" borderId="11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0" fillId="2" borderId="19" xfId="0" applyFill="1" applyBorder="1"/>
    <xf numFmtId="0" fontId="0" fillId="2" borderId="28" xfId="0" applyFill="1" applyBorder="1"/>
    <xf numFmtId="0" fontId="2" fillId="2" borderId="19" xfId="0" applyFont="1" applyFill="1" applyBorder="1"/>
    <xf numFmtId="0" fontId="2" fillId="2" borderId="28" xfId="0" applyFont="1" applyFill="1" applyBorder="1"/>
    <xf numFmtId="0" fontId="2" fillId="2" borderId="0" xfId="0" applyFont="1" applyFill="1"/>
    <xf numFmtId="0" fontId="19" fillId="2" borderId="0" xfId="0" applyFont="1" applyFill="1"/>
    <xf numFmtId="0" fontId="19" fillId="2" borderId="19" xfId="0" applyFont="1" applyFill="1" applyBorder="1"/>
    <xf numFmtId="0" fontId="19" fillId="2" borderId="28" xfId="0" applyFont="1" applyFill="1" applyBorder="1"/>
    <xf numFmtId="0" fontId="11" fillId="2" borderId="43" xfId="0" applyFont="1" applyFill="1" applyBorder="1" applyAlignment="1">
      <alignment vertical="center" wrapText="1"/>
    </xf>
    <xf numFmtId="0" fontId="11" fillId="2" borderId="44" xfId="0" applyFont="1" applyFill="1" applyBorder="1" applyAlignment="1">
      <alignment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6" borderId="14" xfId="0" applyFont="1" applyFill="1" applyBorder="1"/>
    <xf numFmtId="0" fontId="11" fillId="2" borderId="43" xfId="0" applyFont="1" applyFill="1" applyBorder="1"/>
    <xf numFmtId="0" fontId="11" fillId="2" borderId="44" xfId="0" applyFont="1" applyFill="1" applyBorder="1"/>
    <xf numFmtId="0" fontId="11" fillId="2" borderId="27" xfId="0" quotePrefix="1" applyFont="1" applyFill="1" applyBorder="1" applyAlignment="1">
      <alignment horizontal="center"/>
    </xf>
    <xf numFmtId="0" fontId="11" fillId="2" borderId="36" xfId="0" quotePrefix="1" applyFont="1" applyFill="1" applyBorder="1" applyAlignment="1">
      <alignment horizontal="center"/>
    </xf>
    <xf numFmtId="0" fontId="12" fillId="2" borderId="46" xfId="0" applyFont="1" applyFill="1" applyBorder="1" applyAlignment="1">
      <alignment horizontal="center"/>
    </xf>
    <xf numFmtId="0" fontId="12" fillId="2" borderId="47" xfId="0" applyFont="1" applyFill="1" applyBorder="1" applyAlignment="1">
      <alignment horizontal="center"/>
    </xf>
    <xf numFmtId="2" fontId="11" fillId="2" borderId="17" xfId="0" applyNumberFormat="1" applyFont="1" applyFill="1" applyBorder="1" applyAlignment="1">
      <alignment horizontal="center"/>
    </xf>
    <xf numFmtId="2" fontId="11" fillId="2" borderId="9" xfId="0" applyNumberFormat="1" applyFont="1" applyFill="1" applyBorder="1" applyAlignment="1">
      <alignment horizontal="center"/>
    </xf>
    <xf numFmtId="164" fontId="11" fillId="6" borderId="10" xfId="0" applyNumberFormat="1" applyFont="1" applyFill="1" applyBorder="1" applyAlignment="1">
      <alignment horizontal="center"/>
    </xf>
    <xf numFmtId="164" fontId="11" fillId="6" borderId="10" xfId="0" applyNumberFormat="1" applyFont="1" applyFill="1" applyBorder="1" applyAlignment="1">
      <alignment horizontal="center" wrapText="1"/>
    </xf>
    <xf numFmtId="164" fontId="11" fillId="7" borderId="10" xfId="0" applyNumberFormat="1" applyFont="1" applyFill="1" applyBorder="1" applyAlignment="1">
      <alignment horizontal="center"/>
    </xf>
    <xf numFmtId="164" fontId="11" fillId="7" borderId="24" xfId="0" applyNumberFormat="1" applyFont="1" applyFill="1" applyBorder="1" applyAlignment="1">
      <alignment horizontal="center"/>
    </xf>
    <xf numFmtId="0" fontId="11" fillId="2" borderId="48" xfId="0" applyFont="1" applyFill="1" applyBorder="1"/>
    <xf numFmtId="164" fontId="11" fillId="6" borderId="49" xfId="0" applyNumberFormat="1" applyFont="1" applyFill="1" applyBorder="1" applyAlignment="1">
      <alignment horizontal="center"/>
    </xf>
    <xf numFmtId="164" fontId="11" fillId="6" borderId="50" xfId="0" applyNumberFormat="1" applyFont="1" applyFill="1" applyBorder="1" applyAlignment="1">
      <alignment horizontal="center"/>
    </xf>
    <xf numFmtId="164" fontId="11" fillId="6" borderId="50" xfId="0" applyNumberFormat="1" applyFont="1" applyFill="1" applyBorder="1" applyAlignment="1">
      <alignment horizontal="center" wrapText="1"/>
    </xf>
    <xf numFmtId="164" fontId="11" fillId="6" borderId="50" xfId="0" applyNumberFormat="1" applyFont="1" applyFill="1" applyBorder="1"/>
    <xf numFmtId="164" fontId="11" fillId="7" borderId="50" xfId="0" applyNumberFormat="1" applyFont="1" applyFill="1" applyBorder="1" applyAlignment="1">
      <alignment horizontal="center"/>
    </xf>
    <xf numFmtId="164" fontId="11" fillId="7" borderId="51" xfId="0" applyNumberFormat="1" applyFont="1" applyFill="1" applyBorder="1" applyAlignment="1">
      <alignment horizontal="center"/>
    </xf>
    <xf numFmtId="164" fontId="11" fillId="6" borderId="14" xfId="0" applyNumberFormat="1" applyFont="1" applyFill="1" applyBorder="1" applyAlignment="1">
      <alignment horizontal="center"/>
    </xf>
    <xf numFmtId="164" fontId="11" fillId="6" borderId="14" xfId="0" applyNumberFormat="1" applyFont="1" applyFill="1" applyBorder="1" applyAlignment="1">
      <alignment horizontal="center" wrapText="1"/>
    </xf>
    <xf numFmtId="164" fontId="11" fillId="7" borderId="14" xfId="0" applyNumberFormat="1" applyFont="1" applyFill="1" applyBorder="1" applyAlignment="1">
      <alignment horizontal="center"/>
    </xf>
    <xf numFmtId="0" fontId="22" fillId="2" borderId="0" xfId="0" applyFont="1" applyFill="1"/>
    <xf numFmtId="0" fontId="23" fillId="2" borderId="0" xfId="0" applyFont="1" applyFill="1"/>
    <xf numFmtId="0" fontId="24" fillId="0" borderId="0" xfId="0" applyFont="1"/>
    <xf numFmtId="0" fontId="22" fillId="2" borderId="0" xfId="0" applyFont="1" applyFill="1" applyAlignment="1">
      <alignment wrapText="1"/>
    </xf>
    <xf numFmtId="0" fontId="26" fillId="2" borderId="0" xfId="0" applyFont="1" applyFill="1"/>
    <xf numFmtId="0" fontId="0" fillId="0" borderId="0" xfId="0" applyProtection="1">
      <protection locked="0"/>
    </xf>
    <xf numFmtId="166" fontId="11" fillId="2" borderId="0" xfId="0" applyNumberFormat="1" applyFont="1" applyFill="1" applyBorder="1" applyAlignment="1">
      <alignment horizontal="center"/>
    </xf>
    <xf numFmtId="0" fontId="11" fillId="0" borderId="19" xfId="0" applyFont="1" applyBorder="1"/>
    <xf numFmtId="166" fontId="11" fillId="2" borderId="17" xfId="0" applyNumberFormat="1" applyFont="1" applyFill="1" applyBorder="1" applyAlignment="1">
      <alignment horizontal="center"/>
    </xf>
    <xf numFmtId="166" fontId="11" fillId="2" borderId="9" xfId="0" applyNumberFormat="1" applyFont="1" applyFill="1" applyBorder="1" applyAlignment="1">
      <alignment horizontal="center"/>
    </xf>
    <xf numFmtId="0" fontId="11" fillId="2" borderId="23" xfId="0" applyFont="1" applyFill="1" applyBorder="1"/>
    <xf numFmtId="0" fontId="11" fillId="2" borderId="24" xfId="0" applyFont="1" applyFill="1" applyBorder="1"/>
    <xf numFmtId="0" fontId="11" fillId="2" borderId="0" xfId="0" quotePrefix="1" applyFont="1" applyFill="1" applyBorder="1" applyAlignment="1">
      <alignment horizontal="center"/>
    </xf>
    <xf numFmtId="0" fontId="11" fillId="2" borderId="8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left"/>
    </xf>
    <xf numFmtId="166" fontId="11" fillId="2" borderId="31" xfId="0" applyNumberFormat="1" applyFont="1" applyFill="1" applyBorder="1" applyAlignment="1">
      <alignment horizontal="center"/>
    </xf>
    <xf numFmtId="166" fontId="11" fillId="2" borderId="2" xfId="0" applyNumberFormat="1" applyFont="1" applyFill="1" applyBorder="1" applyAlignment="1">
      <alignment horizontal="center"/>
    </xf>
    <xf numFmtId="166" fontId="11" fillId="2" borderId="3" xfId="0" applyNumberFormat="1" applyFont="1" applyFill="1" applyBorder="1" applyAlignment="1">
      <alignment horizontal="center"/>
    </xf>
    <xf numFmtId="0" fontId="11" fillId="2" borderId="52" xfId="0" applyFont="1" applyFill="1" applyBorder="1" applyAlignment="1">
      <alignment horizontal="left"/>
    </xf>
    <xf numFmtId="0" fontId="11" fillId="2" borderId="53" xfId="0" applyFont="1" applyFill="1" applyBorder="1" applyAlignment="1">
      <alignment horizontal="left"/>
    </xf>
    <xf numFmtId="0" fontId="11" fillId="2" borderId="54" xfId="0" applyFont="1" applyFill="1" applyBorder="1" applyAlignment="1">
      <alignment horizontal="center"/>
    </xf>
    <xf numFmtId="166" fontId="11" fillId="2" borderId="55" xfId="0" applyNumberFormat="1" applyFont="1" applyFill="1" applyBorder="1" applyAlignment="1">
      <alignment horizontal="center"/>
    </xf>
    <xf numFmtId="166" fontId="11" fillId="2" borderId="53" xfId="0" applyNumberFormat="1" applyFont="1" applyFill="1" applyBorder="1" applyAlignment="1">
      <alignment horizontal="center"/>
    </xf>
    <xf numFmtId="166" fontId="11" fillId="2" borderId="56" xfId="0" applyNumberFormat="1" applyFont="1" applyFill="1" applyBorder="1" applyAlignment="1">
      <alignment horizontal="center"/>
    </xf>
    <xf numFmtId="0" fontId="0" fillId="9" borderId="0" xfId="0" applyFill="1"/>
    <xf numFmtId="0" fontId="0" fillId="10" borderId="0" xfId="0" applyFill="1"/>
    <xf numFmtId="16" fontId="0" fillId="0" borderId="0" xfId="0" applyNumberFormat="1" applyBorder="1"/>
    <xf numFmtId="0" fontId="10" fillId="0" borderId="0" xfId="0" applyFont="1" applyBorder="1"/>
    <xf numFmtId="0" fontId="11" fillId="2" borderId="14" xfId="0" quotePrefix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1" fillId="2" borderId="59" xfId="0" applyFont="1" applyFill="1" applyBorder="1"/>
    <xf numFmtId="11" fontId="0" fillId="0" borderId="10" xfId="0" applyNumberFormat="1" applyBorder="1"/>
    <xf numFmtId="0" fontId="0" fillId="2" borderId="0" xfId="0" applyFill="1" applyProtection="1">
      <protection locked="0"/>
    </xf>
    <xf numFmtId="0" fontId="0" fillId="2" borderId="17" xfId="0" applyFill="1" applyBorder="1"/>
    <xf numFmtId="0" fontId="0" fillId="2" borderId="9" xfId="0" applyFill="1" applyBorder="1"/>
    <xf numFmtId="0" fontId="25" fillId="8" borderId="20" xfId="0" applyFont="1" applyFill="1" applyBorder="1"/>
    <xf numFmtId="0" fontId="25" fillId="8" borderId="21" xfId="0" applyFont="1" applyFill="1" applyBorder="1" applyAlignment="1">
      <alignment horizontal="center"/>
    </xf>
    <xf numFmtId="0" fontId="25" fillId="8" borderId="22" xfId="0" applyFont="1" applyFill="1" applyBorder="1" applyAlignment="1">
      <alignment horizontal="center"/>
    </xf>
    <xf numFmtId="0" fontId="23" fillId="2" borderId="0" xfId="0" applyFont="1" applyFill="1" applyAlignment="1"/>
    <xf numFmtId="0" fontId="23" fillId="2" borderId="0" xfId="0" applyFont="1" applyFill="1" applyAlignment="1">
      <alignment horizontal="center" vertical="center"/>
    </xf>
    <xf numFmtId="0" fontId="24" fillId="2" borderId="0" xfId="0" applyFont="1" applyFill="1"/>
    <xf numFmtId="0" fontId="11" fillId="2" borderId="60" xfId="0" applyFont="1" applyFill="1" applyBorder="1"/>
    <xf numFmtId="164" fontId="11" fillId="6" borderId="4" xfId="0" applyNumberFormat="1" applyFont="1" applyFill="1" applyBorder="1" applyAlignment="1">
      <alignment horizontal="center"/>
    </xf>
    <xf numFmtId="164" fontId="11" fillId="6" borderId="4" xfId="0" applyNumberFormat="1" applyFont="1" applyFill="1" applyBorder="1" applyAlignment="1">
      <alignment horizontal="center" wrapText="1"/>
    </xf>
    <xf numFmtId="164" fontId="11" fillId="7" borderId="4" xfId="0" applyNumberFormat="1" applyFont="1" applyFill="1" applyBorder="1" applyAlignment="1">
      <alignment horizontal="center"/>
    </xf>
    <xf numFmtId="164" fontId="11" fillId="7" borderId="5" xfId="0" applyNumberFormat="1" applyFont="1" applyFill="1" applyBorder="1" applyAlignment="1">
      <alignment horizontal="center"/>
    </xf>
    <xf numFmtId="0" fontId="2" fillId="0" borderId="0" xfId="0" applyFont="1"/>
    <xf numFmtId="0" fontId="18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0" fontId="33" fillId="2" borderId="0" xfId="0" applyFont="1" applyFill="1"/>
    <xf numFmtId="0" fontId="25" fillId="11" borderId="0" xfId="0" applyFont="1" applyFill="1" applyBorder="1" applyAlignment="1">
      <alignment horizontal="center"/>
    </xf>
    <xf numFmtId="167" fontId="0" fillId="2" borderId="0" xfId="0" applyNumberFormat="1" applyFill="1" applyBorder="1" applyAlignment="1">
      <alignment horizontal="center"/>
    </xf>
    <xf numFmtId="0" fontId="0" fillId="0" borderId="10" xfId="0" applyBorder="1" applyAlignment="1">
      <alignment horizontal="left"/>
    </xf>
    <xf numFmtId="0" fontId="11" fillId="2" borderId="10" xfId="0" applyFont="1" applyFill="1" applyBorder="1" applyAlignment="1">
      <alignment horizontal="center" vertical="center" wrapText="1"/>
    </xf>
    <xf numFmtId="2" fontId="0" fillId="2" borderId="0" xfId="0" applyNumberFormat="1" applyFill="1" applyAlignment="1">
      <alignment horizontal="center"/>
    </xf>
    <xf numFmtId="1" fontId="0" fillId="0" borderId="10" xfId="0" applyNumberFormat="1" applyBorder="1" applyAlignment="1">
      <alignment horizont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/>
    </xf>
    <xf numFmtId="0" fontId="11" fillId="2" borderId="65" xfId="0" applyFont="1" applyFill="1" applyBorder="1"/>
    <xf numFmtId="164" fontId="11" fillId="6" borderId="2" xfId="0" applyNumberFormat="1" applyFont="1" applyFill="1" applyBorder="1" applyAlignment="1">
      <alignment horizontal="center"/>
    </xf>
    <xf numFmtId="164" fontId="11" fillId="6" borderId="2" xfId="0" applyNumberFormat="1" applyFont="1" applyFill="1" applyBorder="1" applyAlignment="1">
      <alignment horizontal="center" wrapText="1"/>
    </xf>
    <xf numFmtId="164" fontId="11" fillId="7" borderId="2" xfId="0" applyNumberFormat="1" applyFont="1" applyFill="1" applyBorder="1" applyAlignment="1">
      <alignment horizontal="center"/>
    </xf>
    <xf numFmtId="164" fontId="11" fillId="7" borderId="3" xfId="0" applyNumberFormat="1" applyFont="1" applyFill="1" applyBorder="1" applyAlignment="1">
      <alignment horizontal="center"/>
    </xf>
    <xf numFmtId="164" fontId="11" fillId="6" borderId="14" xfId="0" applyNumberFormat="1" applyFont="1" applyFill="1" applyBorder="1"/>
    <xf numFmtId="164" fontId="11" fillId="6" borderId="38" xfId="0" applyNumberFormat="1" applyFont="1" applyFill="1" applyBorder="1" applyAlignment="1">
      <alignment horizontal="center"/>
    </xf>
    <xf numFmtId="164" fontId="11" fillId="6" borderId="39" xfId="0" applyNumberFormat="1" applyFont="1" applyFill="1" applyBorder="1" applyAlignment="1">
      <alignment horizontal="center"/>
    </xf>
    <xf numFmtId="164" fontId="11" fillId="6" borderId="40" xfId="0" applyNumberFormat="1" applyFont="1" applyFill="1" applyBorder="1" applyAlignment="1">
      <alignment horizontal="center"/>
    </xf>
    <xf numFmtId="0" fontId="11" fillId="2" borderId="25" xfId="0" quotePrefix="1" applyFont="1" applyFill="1" applyBorder="1" applyAlignment="1">
      <alignment horizontal="center"/>
    </xf>
    <xf numFmtId="168" fontId="11" fillId="6" borderId="38" xfId="0" applyNumberFormat="1" applyFont="1" applyFill="1" applyBorder="1" applyAlignment="1">
      <alignment horizontal="center"/>
    </xf>
    <xf numFmtId="168" fontId="11" fillId="6" borderId="14" xfId="0" applyNumberFormat="1" applyFont="1" applyFill="1" applyBorder="1" applyAlignment="1">
      <alignment horizontal="center"/>
    </xf>
    <xf numFmtId="168" fontId="11" fillId="6" borderId="14" xfId="0" applyNumberFormat="1" applyFont="1" applyFill="1" applyBorder="1" applyAlignment="1">
      <alignment horizontal="center" wrapText="1"/>
    </xf>
    <xf numFmtId="168" fontId="11" fillId="6" borderId="14" xfId="0" applyNumberFormat="1" applyFont="1" applyFill="1" applyBorder="1"/>
    <xf numFmtId="168" fontId="11" fillId="6" borderId="39" xfId="0" applyNumberFormat="1" applyFont="1" applyFill="1" applyBorder="1" applyAlignment="1">
      <alignment horizontal="center"/>
    </xf>
    <xf numFmtId="168" fontId="11" fillId="6" borderId="10" xfId="0" applyNumberFormat="1" applyFont="1" applyFill="1" applyBorder="1" applyAlignment="1">
      <alignment horizontal="center"/>
    </xf>
    <xf numFmtId="168" fontId="11" fillId="6" borderId="10" xfId="0" applyNumberFormat="1" applyFont="1" applyFill="1" applyBorder="1" applyAlignment="1">
      <alignment horizontal="center" wrapText="1"/>
    </xf>
    <xf numFmtId="168" fontId="11" fillId="13" borderId="14" xfId="0" applyNumberFormat="1" applyFont="1" applyFill="1" applyBorder="1" applyAlignment="1">
      <alignment horizontal="center"/>
    </xf>
    <xf numFmtId="168" fontId="11" fillId="13" borderId="24" xfId="0" applyNumberFormat="1" applyFont="1" applyFill="1" applyBorder="1" applyAlignment="1">
      <alignment horizontal="center"/>
    </xf>
    <xf numFmtId="168" fontId="11" fillId="13" borderId="10" xfId="0" applyNumberFormat="1" applyFont="1" applyFill="1" applyBorder="1" applyAlignment="1">
      <alignment horizontal="center"/>
    </xf>
    <xf numFmtId="168" fontId="11" fillId="13" borderId="3" xfId="0" applyNumberFormat="1" applyFont="1" applyFill="1" applyBorder="1" applyAlignment="1">
      <alignment horizontal="center"/>
    </xf>
    <xf numFmtId="168" fontId="11" fillId="6" borderId="9" xfId="0" applyNumberFormat="1" applyFont="1" applyFill="1" applyBorder="1" applyAlignment="1">
      <alignment horizontal="center"/>
    </xf>
    <xf numFmtId="0" fontId="11" fillId="2" borderId="49" xfId="0" applyFont="1" applyFill="1" applyBorder="1"/>
    <xf numFmtId="0" fontId="11" fillId="2" borderId="50" xfId="0" applyFont="1" applyFill="1" applyBorder="1" applyAlignment="1">
      <alignment horizontal="center"/>
    </xf>
    <xf numFmtId="166" fontId="11" fillId="2" borderId="50" xfId="0" applyNumberFormat="1" applyFont="1" applyFill="1" applyBorder="1" applyAlignment="1">
      <alignment horizontal="center"/>
    </xf>
    <xf numFmtId="166" fontId="11" fillId="2" borderId="51" xfId="0" applyNumberFormat="1" applyFont="1" applyFill="1" applyBorder="1" applyAlignment="1">
      <alignment horizontal="center"/>
    </xf>
    <xf numFmtId="0" fontId="11" fillId="0" borderId="0" xfId="0" applyFont="1" applyBorder="1"/>
    <xf numFmtId="0" fontId="11" fillId="2" borderId="62" xfId="0" quotePrefix="1" applyFont="1" applyFill="1" applyBorder="1" applyAlignment="1">
      <alignment horizontal="center"/>
    </xf>
    <xf numFmtId="166" fontId="11" fillId="2" borderId="66" xfId="0" applyNumberFormat="1" applyFont="1" applyFill="1" applyBorder="1" applyAlignment="1">
      <alignment horizontal="center"/>
    </xf>
    <xf numFmtId="0" fontId="11" fillId="2" borderId="49" xfId="0" applyFont="1" applyFill="1" applyBorder="1" applyAlignment="1">
      <alignment horizontal="left"/>
    </xf>
    <xf numFmtId="0" fontId="11" fillId="2" borderId="5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center"/>
    </xf>
    <xf numFmtId="0" fontId="39" fillId="2" borderId="0" xfId="0" applyFont="1" applyFill="1"/>
    <xf numFmtId="14" fontId="39" fillId="2" borderId="0" xfId="0" applyNumberFormat="1" applyFont="1" applyFill="1"/>
    <xf numFmtId="20" fontId="40" fillId="2" borderId="0" xfId="0" applyNumberFormat="1" applyFont="1" applyFill="1"/>
    <xf numFmtId="0" fontId="40" fillId="2" borderId="0" xfId="0" applyFont="1" applyFill="1"/>
    <xf numFmtId="0" fontId="41" fillId="2" borderId="0" xfId="0" applyFont="1" applyFill="1"/>
    <xf numFmtId="0" fontId="0" fillId="0" borderId="0" xfId="0" applyAlignment="1">
      <alignment horizontal="right"/>
    </xf>
    <xf numFmtId="0" fontId="38" fillId="0" borderId="0" xfId="0" applyFont="1" applyAlignment="1">
      <alignment horizontal="right"/>
    </xf>
    <xf numFmtId="14" fontId="0" fillId="0" borderId="0" xfId="0" applyNumberFormat="1" applyAlignment="1">
      <alignment horizontal="center"/>
    </xf>
    <xf numFmtId="0" fontId="38" fillId="0" borderId="0" xfId="0" applyFont="1" applyAlignment="1">
      <alignment horizontal="center"/>
    </xf>
    <xf numFmtId="0" fontId="2" fillId="0" borderId="10" xfId="0" quotePrefix="1" applyFont="1" applyBorder="1" applyAlignment="1">
      <alignment horizontal="center"/>
    </xf>
    <xf numFmtId="10" fontId="5" fillId="2" borderId="0" xfId="0" applyNumberFormat="1" applyFont="1" applyFill="1" applyAlignment="1">
      <alignment horizontal="left"/>
    </xf>
    <xf numFmtId="11" fontId="0" fillId="0" borderId="9" xfId="0" applyNumberFormat="1" applyFill="1" applyBorder="1"/>
    <xf numFmtId="2" fontId="0" fillId="0" borderId="24" xfId="0" applyNumberFormat="1" applyBorder="1" applyAlignment="1">
      <alignment horizontal="center"/>
    </xf>
    <xf numFmtId="11" fontId="0" fillId="0" borderId="18" xfId="0" applyNumberFormat="1" applyFill="1" applyBorder="1"/>
    <xf numFmtId="11" fontId="0" fillId="0" borderId="4" xfId="0" applyNumberFormat="1" applyBorder="1"/>
    <xf numFmtId="2" fontId="0" fillId="0" borderId="5" xfId="0" applyNumberFormat="1" applyBorder="1" applyAlignment="1">
      <alignment horizontal="center"/>
    </xf>
    <xf numFmtId="165" fontId="11" fillId="13" borderId="10" xfId="0" applyNumberFormat="1" applyFont="1" applyFill="1" applyBorder="1" applyAlignment="1">
      <alignment horizontal="center"/>
    </xf>
    <xf numFmtId="0" fontId="44" fillId="2" borderId="0" xfId="0" applyFont="1" applyFill="1"/>
    <xf numFmtId="0" fontId="43" fillId="2" borderId="0" xfId="0" applyFont="1" applyFill="1"/>
    <xf numFmtId="0" fontId="40" fillId="2" borderId="0" xfId="0" applyFont="1" applyFill="1" applyProtection="1">
      <protection locked="0"/>
    </xf>
    <xf numFmtId="168" fontId="11" fillId="2" borderId="0" xfId="0" applyNumberFormat="1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14" borderId="0" xfId="0" applyFill="1" applyAlignment="1">
      <alignment horizontal="left"/>
    </xf>
    <xf numFmtId="0" fontId="0" fillId="14" borderId="0" xfId="0" applyFill="1" applyAlignment="1">
      <alignment horizontal="center"/>
    </xf>
    <xf numFmtId="0" fontId="0" fillId="14" borderId="0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14" borderId="19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8" xfId="0" applyBorder="1" applyAlignment="1">
      <alignment horizontal="center"/>
    </xf>
    <xf numFmtId="14" fontId="0" fillId="14" borderId="19" xfId="0" applyNumberFormat="1" applyFill="1" applyBorder="1" applyAlignment="1">
      <alignment horizontal="center"/>
    </xf>
    <xf numFmtId="14" fontId="0" fillId="14" borderId="0" xfId="0" applyNumberForma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28" xfId="0" applyNumberFormat="1" applyBorder="1" applyAlignment="1">
      <alignment horizontal="center"/>
    </xf>
    <xf numFmtId="0" fontId="11" fillId="2" borderId="48" xfId="0" quotePrefix="1" applyFont="1" applyFill="1" applyBorder="1" applyAlignment="1">
      <alignment horizontal="center"/>
    </xf>
    <xf numFmtId="2" fontId="11" fillId="13" borderId="10" xfId="0" applyNumberFormat="1" applyFont="1" applyFill="1" applyBorder="1" applyAlignment="1">
      <alignment horizontal="center"/>
    </xf>
    <xf numFmtId="165" fontId="11" fillId="2" borderId="0" xfId="0" applyNumberFormat="1" applyFont="1" applyFill="1"/>
    <xf numFmtId="0" fontId="0" fillId="14" borderId="0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14" borderId="19" xfId="0" applyFont="1" applyFill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0" fillId="0" borderId="0" xfId="0" applyNumberFormat="1"/>
    <xf numFmtId="0" fontId="0" fillId="14" borderId="0" xfId="0" applyNumberFormat="1" applyFill="1" applyAlignment="1">
      <alignment horizontal="center"/>
    </xf>
    <xf numFmtId="164" fontId="11" fillId="13" borderId="10" xfId="0" applyNumberFormat="1" applyFont="1" applyFill="1" applyBorder="1" applyAlignment="1">
      <alignment horizontal="center"/>
    </xf>
    <xf numFmtId="2" fontId="11" fillId="13" borderId="24" xfId="0" applyNumberFormat="1" applyFont="1" applyFill="1" applyBorder="1" applyAlignment="1">
      <alignment horizontal="center"/>
    </xf>
    <xf numFmtId="2" fontId="11" fillId="6" borderId="39" xfId="0" applyNumberFormat="1" applyFont="1" applyFill="1" applyBorder="1" applyAlignment="1">
      <alignment horizontal="center"/>
    </xf>
    <xf numFmtId="2" fontId="11" fillId="6" borderId="10" xfId="0" applyNumberFormat="1" applyFont="1" applyFill="1" applyBorder="1" applyAlignment="1">
      <alignment horizontal="center"/>
    </xf>
    <xf numFmtId="2" fontId="11" fillId="6" borderId="10" xfId="0" applyNumberFormat="1" applyFont="1" applyFill="1" applyBorder="1" applyAlignment="1">
      <alignment horizontal="center" wrapText="1"/>
    </xf>
    <xf numFmtId="165" fontId="11" fillId="6" borderId="39" xfId="0" applyNumberFormat="1" applyFont="1" applyFill="1" applyBorder="1" applyAlignment="1">
      <alignment horizontal="center"/>
    </xf>
    <xf numFmtId="165" fontId="11" fillId="6" borderId="10" xfId="0" applyNumberFormat="1" applyFont="1" applyFill="1" applyBorder="1" applyAlignment="1">
      <alignment horizontal="center"/>
    </xf>
    <xf numFmtId="165" fontId="11" fillId="6" borderId="10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51" fillId="2" borderId="0" xfId="0" applyFont="1" applyFill="1" applyAlignment="1">
      <alignment wrapText="1"/>
    </xf>
    <xf numFmtId="0" fontId="51" fillId="2" borderId="0" xfId="0" applyFont="1" applyFill="1"/>
    <xf numFmtId="0" fontId="7" fillId="8" borderId="11" xfId="0" quotePrefix="1" applyFont="1" applyFill="1" applyBorder="1" applyAlignment="1">
      <alignment horizontal="left"/>
    </xf>
    <xf numFmtId="0" fontId="7" fillId="8" borderId="27" xfId="0" applyFont="1" applyFill="1" applyBorder="1" applyAlignment="1">
      <alignment horizontal="center"/>
    </xf>
    <xf numFmtId="0" fontId="8" fillId="2" borderId="37" xfId="0" quotePrefix="1" applyNumberFormat="1" applyFont="1" applyFill="1" applyBorder="1" applyAlignment="1">
      <alignment horizontal="left"/>
    </xf>
    <xf numFmtId="0" fontId="2" fillId="14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14" borderId="0" xfId="0" applyFont="1" applyFill="1" applyBorder="1"/>
    <xf numFmtId="0" fontId="2" fillId="2" borderId="0" xfId="0" applyFont="1" applyFill="1" applyBorder="1"/>
    <xf numFmtId="11" fontId="2" fillId="14" borderId="0" xfId="0" applyNumberFormat="1" applyFont="1" applyFill="1" applyBorder="1"/>
    <xf numFmtId="11" fontId="2" fillId="2" borderId="0" xfId="0" applyNumberFormat="1" applyFont="1" applyFill="1" applyBorder="1"/>
    <xf numFmtId="11" fontId="6" fillId="2" borderId="4" xfId="0" applyNumberFormat="1" applyFont="1" applyFill="1" applyBorder="1" applyAlignment="1">
      <alignment horizontal="center"/>
    </xf>
    <xf numFmtId="0" fontId="36" fillId="0" borderId="0" xfId="0" applyFont="1" applyFill="1" applyBorder="1"/>
    <xf numFmtId="0" fontId="47" fillId="0" borderId="0" xfId="0" applyFont="1" applyFill="1" applyBorder="1"/>
    <xf numFmtId="10" fontId="36" fillId="0" borderId="0" xfId="0" applyNumberFormat="1" applyFont="1" applyFill="1" applyBorder="1"/>
    <xf numFmtId="0" fontId="50" fillId="0" borderId="0" xfId="0" applyFont="1" applyFill="1" applyBorder="1" applyAlignment="1">
      <alignment horizontal="center"/>
    </xf>
    <xf numFmtId="0" fontId="36" fillId="0" borderId="0" xfId="0" applyFont="1" applyFill="1" applyBorder="1" applyAlignment="1">
      <alignment horizontal="center"/>
    </xf>
    <xf numFmtId="165" fontId="36" fillId="0" borderId="0" xfId="0" applyNumberFormat="1" applyFont="1" applyFill="1" applyBorder="1" applyAlignment="1">
      <alignment horizontal="center"/>
    </xf>
    <xf numFmtId="0" fontId="36" fillId="0" borderId="0" xfId="0" applyFont="1" applyFill="1" applyBorder="1" applyAlignment="1">
      <alignment horizontal="left"/>
    </xf>
    <xf numFmtId="2" fontId="36" fillId="0" borderId="0" xfId="0" applyNumberFormat="1" applyFont="1" applyFill="1" applyBorder="1" applyAlignment="1">
      <alignment horizontal="center"/>
    </xf>
    <xf numFmtId="11" fontId="36" fillId="0" borderId="0" xfId="0" applyNumberFormat="1" applyFont="1" applyFill="1" applyBorder="1"/>
    <xf numFmtId="0" fontId="26" fillId="2" borderId="0" xfId="0" applyFont="1" applyFill="1" applyAlignment="1">
      <alignment horizontal="center"/>
    </xf>
    <xf numFmtId="0" fontId="42" fillId="2" borderId="0" xfId="0" applyFont="1" applyFill="1" applyAlignment="1"/>
    <xf numFmtId="0" fontId="39" fillId="0" borderId="0" xfId="0" applyFont="1" applyAlignment="1"/>
    <xf numFmtId="2" fontId="43" fillId="2" borderId="0" xfId="0" applyNumberFormat="1" applyFont="1" applyFill="1" applyAlignment="1"/>
    <xf numFmtId="11" fontId="43" fillId="2" borderId="0" xfId="0" applyNumberFormat="1" applyFont="1" applyFill="1" applyAlignment="1"/>
    <xf numFmtId="0" fontId="43" fillId="2" borderId="0" xfId="0" applyFont="1" applyFill="1" applyAlignment="1"/>
    <xf numFmtId="0" fontId="29" fillId="2" borderId="0" xfId="0" applyFont="1" applyFill="1" applyAlignment="1">
      <alignment horizontal="right" vertical="center" textRotation="90"/>
    </xf>
    <xf numFmtId="0" fontId="27" fillId="2" borderId="0" xfId="0" applyFont="1" applyFill="1" applyAlignment="1">
      <alignment horizontal="right" vertical="center" textRotation="90"/>
    </xf>
    <xf numFmtId="0" fontId="3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4" fillId="12" borderId="52" xfId="0" applyFont="1" applyFill="1" applyBorder="1" applyAlignment="1">
      <alignment horizontal="center"/>
    </xf>
    <xf numFmtId="0" fontId="34" fillId="12" borderId="8" xfId="0" applyFont="1" applyFill="1" applyBorder="1" applyAlignment="1">
      <alignment horizontal="center"/>
    </xf>
    <xf numFmtId="0" fontId="34" fillId="12" borderId="53" xfId="0" applyFont="1" applyFill="1" applyBorder="1" applyAlignment="1">
      <alignment horizontal="center"/>
    </xf>
    <xf numFmtId="0" fontId="34" fillId="12" borderId="2" xfId="0" applyFont="1" applyFill="1" applyBorder="1" applyAlignment="1">
      <alignment horizontal="center"/>
    </xf>
    <xf numFmtId="2" fontId="34" fillId="12" borderId="56" xfId="0" applyNumberFormat="1" applyFont="1" applyFill="1" applyBorder="1" applyAlignment="1">
      <alignment horizontal="center"/>
    </xf>
    <xf numFmtId="2" fontId="34" fillId="12" borderId="3" xfId="0" applyNumberFormat="1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20" xfId="0" quotePrefix="1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2" fillId="2" borderId="13" xfId="0" quotePrefix="1" applyFont="1" applyFill="1" applyBorder="1" applyAlignment="1">
      <alignment horizontal="center" vertical="center" wrapText="1"/>
    </xf>
    <xf numFmtId="0" fontId="12" fillId="2" borderId="15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quotePrefix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wrapText="1"/>
    </xf>
    <xf numFmtId="0" fontId="11" fillId="2" borderId="16" xfId="0" applyFont="1" applyFill="1" applyBorder="1" applyAlignment="1">
      <alignment wrapText="1"/>
    </xf>
    <xf numFmtId="0" fontId="12" fillId="0" borderId="19" xfId="0" quotePrefix="1" applyFont="1" applyFill="1" applyBorder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13" xfId="0" quotePrefix="1" applyFont="1" applyFill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2" borderId="16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7" xfId="0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27" fillId="2" borderId="0" xfId="0" applyFont="1" applyFill="1" applyAlignment="1">
      <alignment horizontal="center"/>
    </xf>
    <xf numFmtId="0" fontId="0" fillId="0" borderId="0" xfId="0" applyAlignment="1"/>
    <xf numFmtId="0" fontId="28" fillId="2" borderId="0" xfId="0" applyFont="1" applyFill="1" applyAlignment="1">
      <alignment horizontal="center"/>
    </xf>
    <xf numFmtId="0" fontId="11" fillId="2" borderId="67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5" fontId="6" fillId="2" borderId="10" xfId="0" applyNumberFormat="1" applyFont="1" applyFill="1" applyBorder="1" applyAlignment="1">
      <alignment horizontal="center" vertical="center" wrapText="1"/>
    </xf>
    <xf numFmtId="18" fontId="6" fillId="2" borderId="10" xfId="0" applyNumberFormat="1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7" fillId="8" borderId="52" xfId="0" applyNumberFormat="1" applyFont="1" applyFill="1" applyBorder="1" applyAlignment="1">
      <alignment horizontal="center"/>
    </xf>
    <xf numFmtId="0" fontId="6" fillId="8" borderId="53" xfId="0" applyFont="1" applyFill="1" applyBorder="1" applyAlignment="1">
      <alignment horizontal="center"/>
    </xf>
    <xf numFmtId="0" fontId="6" fillId="8" borderId="56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15" fontId="6" fillId="2" borderId="14" xfId="0" applyNumberFormat="1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wrapText="1"/>
    </xf>
    <xf numFmtId="0" fontId="4" fillId="2" borderId="46" xfId="0" applyFont="1" applyFill="1" applyBorder="1" applyAlignment="1">
      <alignment horizontal="center" wrapText="1"/>
    </xf>
    <xf numFmtId="0" fontId="4" fillId="2" borderId="61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47" xfId="0" applyFont="1" applyFill="1" applyBorder="1" applyAlignment="1">
      <alignment horizontal="center" wrapText="1"/>
    </xf>
    <xf numFmtId="0" fontId="4" fillId="2" borderId="45" xfId="0" applyFont="1" applyFill="1" applyBorder="1" applyAlignment="1">
      <alignment horizontal="center" wrapText="1"/>
    </xf>
    <xf numFmtId="0" fontId="4" fillId="2" borderId="49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 wrapText="1"/>
    </xf>
    <xf numFmtId="0" fontId="4" fillId="2" borderId="63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6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/>
    </xf>
    <xf numFmtId="0" fontId="7" fillId="8" borderId="29" xfId="0" applyFont="1" applyFill="1" applyBorder="1" applyAlignment="1">
      <alignment horizontal="center"/>
    </xf>
    <xf numFmtId="0" fontId="7" fillId="8" borderId="30" xfId="0" applyFont="1" applyFill="1" applyBorder="1" applyAlignment="1">
      <alignment horizontal="center"/>
    </xf>
    <xf numFmtId="18" fontId="6" fillId="2" borderId="1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78">
    <dxf>
      <font>
        <color rgb="FFFF0000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lor theme="0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ill>
        <patternFill>
          <bgColor indexed="44"/>
        </patternFill>
      </fill>
    </dxf>
    <dxf>
      <fill>
        <patternFill>
          <bgColor indexed="48"/>
        </patternFill>
      </fill>
    </dxf>
    <dxf>
      <fill>
        <patternFill>
          <bgColor indexed="12"/>
        </patternFill>
      </fill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32" Type="http://schemas.openxmlformats.org/officeDocument/2006/relationships/customXml" Target="../customXml/item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Relationship Id="rId30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843993759750393E-2"/>
          <c:y val="4.7081065871192825E-2"/>
          <c:w val="0.8705148205928237"/>
          <c:h val="0.87570782520418655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3366FF"/>
              </a:solidFill>
              <a:ln>
                <a:solidFill>
                  <a:srgbClr val="3366FF"/>
                </a:solidFill>
                <a:prstDash val="solid"/>
              </a:ln>
            </c:spPr>
          </c:marker>
          <c:trendline>
            <c:spPr>
              <a:ln>
                <a:solidFill>
                  <a:srgbClr val="FF0000"/>
                </a:solidFill>
                <a:prstDash val="dashDot"/>
              </a:ln>
            </c:spPr>
            <c:trendlineType val="linear"/>
            <c:intercept val="0"/>
            <c:dispRSqr val="0"/>
            <c:dispEq val="0"/>
          </c:trendline>
          <c:xVal>
            <c:numRef>
              <c:f>De!$X$11:$AE$11</c:f>
              <c:numCache>
                <c:formatCode>General</c:formatCode>
                <c:ptCount val="8"/>
                <c:pt idx="0">
                  <c:v>97.211110476117909</c:v>
                </c:pt>
                <c:pt idx="1">
                  <c:v>194.42222095223582</c:v>
                </c:pt>
                <c:pt idx="2">
                  <c:v>388.84444190447164</c:v>
                </c:pt>
                <c:pt idx="3">
                  <c:v>583.2666628567074</c:v>
                </c:pt>
                <c:pt idx="4">
                  <c:v>777.68888380894327</c:v>
                </c:pt>
                <c:pt idx="5">
                  <c:v>972.11110476117904</c:v>
                </c:pt>
                <c:pt idx="6">
                  <c:v>1166.5333257134148</c:v>
                </c:pt>
                <c:pt idx="7">
                  <c:v>1555.3777676178865</c:v>
                </c:pt>
              </c:numCache>
            </c:numRef>
          </c:xVal>
          <c:yVal>
            <c:numRef>
              <c:f>De!$BC$14:$BJ$14</c:f>
              <c:numCache>
                <c:formatCode>General</c:formatCode>
                <c:ptCount val="8"/>
                <c:pt idx="0">
                  <c:v>2.0363451086956523E-2</c:v>
                </c:pt>
                <c:pt idx="1">
                  <c:v>6.1090353260869569E-2</c:v>
                </c:pt>
                <c:pt idx="2">
                  <c:v>0.11199898097826087</c:v>
                </c:pt>
                <c:pt idx="3">
                  <c:v>0.34617866847826084</c:v>
                </c:pt>
                <c:pt idx="4">
                  <c:v>0.69235733695652169</c:v>
                </c:pt>
                <c:pt idx="5">
                  <c:v>0.92653702445652164</c:v>
                </c:pt>
                <c:pt idx="6">
                  <c:v>1.1810801630434782</c:v>
                </c:pt>
                <c:pt idx="7">
                  <c:v>1.5374405570652172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2D-4923-BE5B-9AF0E517D3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815424"/>
        <c:axId val="146822088"/>
      </c:scatterChart>
      <c:valAx>
        <c:axId val="146815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822088"/>
        <c:crosses val="autoZero"/>
        <c:crossBetween val="midCat"/>
      </c:valAx>
      <c:valAx>
        <c:axId val="1468220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815424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23204419889503"/>
          <c:y val="0.12891997029478092"/>
          <c:w val="0.8640883977900552"/>
          <c:h val="0.83797980691607599"/>
        </c:manualLayout>
      </c:layout>
      <c:scatterChart>
        <c:scatterStyle val="lineMarker"/>
        <c:varyColors val="0"/>
        <c:ser>
          <c:idx val="0"/>
          <c:order val="0"/>
          <c:tx>
            <c:v>Derived</c:v>
          </c:tx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3366FF"/>
              </a:solidFill>
              <a:ln>
                <a:solidFill>
                  <a:srgbClr val="3366FF"/>
                </a:solidFill>
                <a:prstDash val="solid"/>
              </a:ln>
            </c:spPr>
          </c:marker>
          <c:xVal>
            <c:numRef>
              <c:f>'Graphical Interpretation'!$AG$30:$AN$30</c:f>
              <c:numCache>
                <c:formatCode>General</c:formatCode>
                <c:ptCount val="8"/>
                <c:pt idx="0">
                  <c:v>3.8396037294708369</c:v>
                </c:pt>
                <c:pt idx="1">
                  <c:v>4.9365137424788932</c:v>
                </c:pt>
                <c:pt idx="2">
                  <c:v>5.2886962605902559</c:v>
                </c:pt>
                <c:pt idx="3">
                  <c:v>5.8396037294708369</c:v>
                </c:pt>
                <c:pt idx="4">
                  <c:v>6.0826417781571314</c:v>
                </c:pt>
                <c:pt idx="5">
                  <c:v>6.1126050015345745</c:v>
                </c:pt>
                <c:pt idx="6">
                  <c:v>6.3836717738211126</c:v>
                </c:pt>
                <c:pt idx="7">
                  <c:v>6.4928162432461809</c:v>
                </c:pt>
              </c:numCache>
            </c:numRef>
          </c:xVal>
          <c:yVal>
            <c:numRef>
              <c:f>'Graphical Interpretation'!$AG$31:$AN$31</c:f>
              <c:numCache>
                <c:formatCode>General</c:formatCode>
                <c:ptCount val="8"/>
                <c:pt idx="0">
                  <c:v>1425.0694557934303</c:v>
                </c:pt>
                <c:pt idx="1">
                  <c:v>299.26458571662039</c:v>
                </c:pt>
                <c:pt idx="2">
                  <c:v>4275.2083673802908</c:v>
                </c:pt>
                <c:pt idx="3">
                  <c:v>68403.333878084668</c:v>
                </c:pt>
                <c:pt idx="4">
                  <c:v>145357.08449092982</c:v>
                </c:pt>
                <c:pt idx="5">
                  <c:v>135381.59830037598</c:v>
                </c:pt>
                <c:pt idx="6">
                  <c:v>171008.33469521161</c:v>
                </c:pt>
                <c:pt idx="7">
                  <c:v>145357.08449092982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49-4932-8FFA-D4081D11FB65}"/>
            </c:ext>
          </c:extLst>
        </c:ser>
        <c:ser>
          <c:idx val="1"/>
          <c:order val="1"/>
          <c:tx>
            <c:v>Measured</c:v>
          </c:tx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'Graphical Interpretation'!$AG$30:$AN$30</c:f>
              <c:numCache>
                <c:formatCode>General</c:formatCode>
                <c:ptCount val="8"/>
                <c:pt idx="0">
                  <c:v>3.8396037294708369</c:v>
                </c:pt>
                <c:pt idx="1">
                  <c:v>4.9365137424788932</c:v>
                </c:pt>
                <c:pt idx="2">
                  <c:v>5.2886962605902559</c:v>
                </c:pt>
                <c:pt idx="3">
                  <c:v>5.8396037294708369</c:v>
                </c:pt>
                <c:pt idx="4">
                  <c:v>6.0826417781571314</c:v>
                </c:pt>
                <c:pt idx="5">
                  <c:v>6.1126050015345745</c:v>
                </c:pt>
                <c:pt idx="6">
                  <c:v>6.3836717738211126</c:v>
                </c:pt>
                <c:pt idx="7">
                  <c:v>6.4928162432461809</c:v>
                </c:pt>
              </c:numCache>
            </c:numRef>
          </c:xVal>
          <c:yVal>
            <c:numRef>
              <c:f>'Graphical Interpretation'!$AG$32:$AN$32</c:f>
              <c:numCache>
                <c:formatCode>General</c:formatCode>
                <c:ptCount val="8"/>
                <c:pt idx="0">
                  <c:v>1425.0694557934303</c:v>
                </c:pt>
                <c:pt idx="1">
                  <c:v>4275.2083673802908</c:v>
                </c:pt>
                <c:pt idx="2">
                  <c:v>7837.882006863867</c:v>
                </c:pt>
                <c:pt idx="3">
                  <c:v>24226.180748488314</c:v>
                </c:pt>
                <c:pt idx="4">
                  <c:v>48452.361496976628</c:v>
                </c:pt>
                <c:pt idx="5">
                  <c:v>64840.660238601078</c:v>
                </c:pt>
                <c:pt idx="6">
                  <c:v>82654.028436018954</c:v>
                </c:pt>
                <c:pt idx="7">
                  <c:v>107592.74391240398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49-4932-8FFA-D4081D11FB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1962928"/>
        <c:axId val="281960576"/>
      </c:scatterChart>
      <c:valAx>
        <c:axId val="281962928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1960576"/>
        <c:crosses val="max"/>
        <c:crossBetween val="midCat"/>
      </c:valAx>
      <c:valAx>
        <c:axId val="281960576"/>
        <c:scaling>
          <c:logBase val="10"/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 sz="1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Mass Flux (mg/m</a:t>
                </a:r>
                <a:r>
                  <a:rPr lang="en-GB" sz="1900" b="1" i="0" u="none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2</a:t>
                </a:r>
                <a:r>
                  <a:rPr lang="en-GB" sz="1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5.5248618784530384E-3"/>
              <c:y val="0.3536588374302773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3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1962928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657458563535912"/>
          <c:y val="0.75261388063980206"/>
          <c:w val="0.10607734806629834"/>
          <c:h val="8.5365926276273846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trlProps/ctrlProp1.xml><?xml version="1.0" encoding="utf-8"?>
<formControlPr xmlns="http://schemas.microsoft.com/office/spreadsheetml/2009/9/main" objectType="List" dx="16" fmlaLink="$BB$12" fmlaRange="$AT$3:$AT$52" noThreeD="1" sel="3" val="0"/>
</file>

<file path=xl/ctrlProps/ctrlProp2.xml><?xml version="1.0" encoding="utf-8"?>
<formControlPr xmlns="http://schemas.microsoft.com/office/spreadsheetml/2009/9/main" objectType="List" dx="16" fmlaLink="$W$2" fmlaRange="$A$7:$A$75" noThreeD="1" sel="2" val="0"/>
</file>

<file path=xl/ctrlProps/ctrlProp3.xml><?xml version="1.0" encoding="utf-8"?>
<formControlPr xmlns="http://schemas.microsoft.com/office/spreadsheetml/2009/9/main" objectType="Radio" firstButton="1" fmlaLink="$AF$27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List" dx="22" fmlaLink="$K$5" fmlaRange="$M$1:$M$4" noThreeD="1" sel="4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144689</xdr:colOff>
      <xdr:row>0</xdr:row>
      <xdr:rowOff>57150</xdr:rowOff>
    </xdr:from>
    <xdr:to>
      <xdr:col>23</xdr:col>
      <xdr:colOff>213156</xdr:colOff>
      <xdr:row>12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8489" y="57150"/>
          <a:ext cx="4335667" cy="184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523875</xdr:colOff>
      <xdr:row>9</xdr:row>
      <xdr:rowOff>171450</xdr:rowOff>
    </xdr:from>
    <xdr:to>
      <xdr:col>62</xdr:col>
      <xdr:colOff>533400</xdr:colOff>
      <xdr:row>36</xdr:row>
      <xdr:rowOff>76200</xdr:rowOff>
    </xdr:to>
    <xdr:graphicFrame macro="">
      <xdr:nvGraphicFramePr>
        <xdr:cNvPr id="9217" name="Chart 1">
          <a:extLst>
            <a:ext uri="{FF2B5EF4-FFF2-40B4-BE49-F238E27FC236}">
              <a16:creationId xmlns:a16="http://schemas.microsoft.com/office/drawing/2014/main" id="{00000000-0008-0000-0200-000001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104775</xdr:colOff>
          <xdr:row>11</xdr:row>
          <xdr:rowOff>104775</xdr:rowOff>
        </xdr:from>
        <xdr:to>
          <xdr:col>65</xdr:col>
          <xdr:colOff>514350</xdr:colOff>
          <xdr:row>33</xdr:row>
          <xdr:rowOff>38100</xdr:rowOff>
        </xdr:to>
        <xdr:sp macro="" textlink="">
          <xdr:nvSpPr>
            <xdr:cNvPr id="9218" name="List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2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52</xdr:col>
      <xdr:colOff>209550</xdr:colOff>
      <xdr:row>1</xdr:row>
      <xdr:rowOff>104775</xdr:rowOff>
    </xdr:from>
    <xdr:to>
      <xdr:col>65</xdr:col>
      <xdr:colOff>285750</xdr:colOff>
      <xdr:row>6</xdr:row>
      <xdr:rowOff>95250</xdr:rowOff>
    </xdr:to>
    <xdr:sp macro="" textlink="">
      <xdr:nvSpPr>
        <xdr:cNvPr id="9219" name="Text Box 3">
          <a:extLst>
            <a:ext uri="{FF2B5EF4-FFF2-40B4-BE49-F238E27FC236}">
              <a16:creationId xmlns:a16="http://schemas.microsoft.com/office/drawing/2014/main" id="{00000000-0008-0000-0200-000003240000}"/>
            </a:ext>
          </a:extLst>
        </xdr:cNvPr>
        <xdr:cNvSpPr txBox="1">
          <a:spLocks noChangeArrowheads="1"/>
        </xdr:cNvSpPr>
      </xdr:nvSpPr>
      <xdr:spPr bwMode="auto">
        <a:xfrm>
          <a:off x="4133850" y="266700"/>
          <a:ext cx="8001000" cy="819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54864" tIns="50292" rIns="54864" bIns="0" anchor="t" upright="1"/>
        <a:lstStyle/>
        <a:p>
          <a:pPr algn="ctr" rtl="0">
            <a:defRPr sz="1000"/>
          </a:pPr>
          <a:r>
            <a:rPr lang="en-GB" sz="2600" b="1" i="0" u="none" strike="noStrike" baseline="0">
              <a:solidFill>
                <a:srgbClr val="000000"/>
              </a:solidFill>
              <a:latin typeface="Arial"/>
              <a:cs typeface="Arial"/>
            </a:rPr>
            <a:t>Linearization Plot for the Derivation of Effective Diffusion Coefficients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GB"/>
        </a:p>
      </xdr:txBody>
    </xdr:sp>
    <xdr:clientData/>
  </xdr:twoCellAnchor>
  <xdr:twoCellAnchor editAs="oneCell">
    <xdr:from>
      <xdr:col>66</xdr:col>
      <xdr:colOff>85725</xdr:colOff>
      <xdr:row>0</xdr:row>
      <xdr:rowOff>66675</xdr:rowOff>
    </xdr:from>
    <xdr:to>
      <xdr:col>73</xdr:col>
      <xdr:colOff>198888</xdr:colOff>
      <xdr:row>11</xdr:row>
      <xdr:rowOff>57150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59025" y="66675"/>
          <a:ext cx="4380363" cy="1866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561975</xdr:colOff>
          <xdr:row>14</xdr:row>
          <xdr:rowOff>57150</xdr:rowOff>
        </xdr:from>
        <xdr:to>
          <xdr:col>49</xdr:col>
          <xdr:colOff>228600</xdr:colOff>
          <xdr:row>28</xdr:row>
          <xdr:rowOff>152400</xdr:rowOff>
        </xdr:to>
        <xdr:sp macro="" textlink="">
          <xdr:nvSpPr>
            <xdr:cNvPr id="7169" name="List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E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31</xdr:col>
      <xdr:colOff>571500</xdr:colOff>
      <xdr:row>9</xdr:row>
      <xdr:rowOff>76200</xdr:rowOff>
    </xdr:from>
    <xdr:to>
      <xdr:col>46</xdr:col>
      <xdr:colOff>47625</xdr:colOff>
      <xdr:row>38</xdr:row>
      <xdr:rowOff>19050</xdr:rowOff>
    </xdr:to>
    <xdr:graphicFrame macro="">
      <xdr:nvGraphicFramePr>
        <xdr:cNvPr id="7170" name="Chart 2">
          <a:extLst>
            <a:ext uri="{FF2B5EF4-FFF2-40B4-BE49-F238E27FC236}">
              <a16:creationId xmlns:a16="http://schemas.microsoft.com/office/drawing/2014/main" id="{00000000-0008-0000-0E00-000002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600075</xdr:colOff>
          <xdr:row>11</xdr:row>
          <xdr:rowOff>19050</xdr:rowOff>
        </xdr:from>
        <xdr:to>
          <xdr:col>49</xdr:col>
          <xdr:colOff>95250</xdr:colOff>
          <xdr:row>12</xdr:row>
          <xdr:rowOff>47625</xdr:rowOff>
        </xdr:to>
        <xdr:sp macro="" textlink="">
          <xdr:nvSpPr>
            <xdr:cNvPr id="7172" name="Option 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E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600075</xdr:colOff>
          <xdr:row>10</xdr:row>
          <xdr:rowOff>9525</xdr:rowOff>
        </xdr:from>
        <xdr:to>
          <xdr:col>49</xdr:col>
          <xdr:colOff>95250</xdr:colOff>
          <xdr:row>11</xdr:row>
          <xdr:rowOff>38100</xdr:rowOff>
        </xdr:to>
        <xdr:sp macro="" textlink="">
          <xdr:nvSpPr>
            <xdr:cNvPr id="7174" name="Option 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E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Log Time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600075</xdr:colOff>
          <xdr:row>9</xdr:row>
          <xdr:rowOff>0</xdr:rowOff>
        </xdr:from>
        <xdr:to>
          <xdr:col>49</xdr:col>
          <xdr:colOff>95250</xdr:colOff>
          <xdr:row>10</xdr:row>
          <xdr:rowOff>28575</xdr:rowOff>
        </xdr:to>
        <xdr:sp macro="" textlink="">
          <xdr:nvSpPr>
            <xdr:cNvPr id="7175" name="Option Butto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E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Square Root Time</a:t>
              </a:r>
            </a:p>
          </xdr:txBody>
        </xdr:sp>
        <xdr:clientData/>
      </xdr:twoCellAnchor>
    </mc:Choice>
    <mc:Fallback/>
  </mc:AlternateContent>
  <xdr:twoCellAnchor editAs="oneCell">
    <xdr:from>
      <xdr:col>46</xdr:col>
      <xdr:colOff>200025</xdr:colOff>
      <xdr:row>0</xdr:row>
      <xdr:rowOff>0</xdr:rowOff>
    </xdr:from>
    <xdr:to>
      <xdr:col>52</xdr:col>
      <xdr:colOff>304800</xdr:colOff>
      <xdr:row>8</xdr:row>
      <xdr:rowOff>3315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3625" y="0"/>
          <a:ext cx="3762375" cy="1603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1238250</xdr:colOff>
          <xdr:row>3</xdr:row>
          <xdr:rowOff>9525</xdr:rowOff>
        </xdr:from>
        <xdr:to>
          <xdr:col>5</xdr:col>
          <xdr:colOff>57150</xdr:colOff>
          <xdr:row>5</xdr:row>
          <xdr:rowOff>85725</xdr:rowOff>
        </xdr:to>
        <xdr:sp macro="" textlink="">
          <xdr:nvSpPr>
            <xdr:cNvPr id="11268" name="List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13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1473200</xdr:colOff>
      <xdr:row>0</xdr:row>
      <xdr:rowOff>114300</xdr:rowOff>
    </xdr:from>
    <xdr:to>
      <xdr:col>8</xdr:col>
      <xdr:colOff>1066800</xdr:colOff>
      <xdr:row>7</xdr:row>
      <xdr:rowOff>164272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2500" y="114300"/>
          <a:ext cx="3835400" cy="1650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Relationship Id="rId6" Type="http://schemas.openxmlformats.org/officeDocument/2006/relationships/comments" Target="../comments1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4.v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P71"/>
  <sheetViews>
    <sheetView tabSelected="1" topLeftCell="K1" workbookViewId="0">
      <selection activeCell="T14" sqref="T14"/>
    </sheetView>
  </sheetViews>
  <sheetFormatPr defaultRowHeight="12.75" x14ac:dyDescent="0.2"/>
  <cols>
    <col min="1" max="10" width="9.140625" style="2" hidden="1" customWidth="1"/>
    <col min="11" max="11" width="9.140625" style="2" customWidth="1"/>
    <col min="12" max="12" width="26.5703125" style="2" bestFit="1" customWidth="1"/>
    <col min="13" max="13" width="19.85546875" style="2" bestFit="1" customWidth="1"/>
    <col min="14" max="14" width="18.85546875" style="2" bestFit="1" customWidth="1"/>
    <col min="15" max="15" width="19.85546875" style="2" bestFit="1" customWidth="1"/>
    <col min="16" max="16" width="18.85546875" style="2" bestFit="1" customWidth="1"/>
    <col min="17" max="16384" width="9.140625" style="2"/>
  </cols>
  <sheetData>
    <row r="1" spans="1:16" ht="13.5" thickBot="1" x14ac:dyDescent="0.25">
      <c r="C1" s="2">
        <v>0.08</v>
      </c>
      <c r="D1" s="2">
        <v>1</v>
      </c>
      <c r="E1" s="2">
        <v>2.25</v>
      </c>
      <c r="F1" s="2">
        <v>8</v>
      </c>
      <c r="G1" s="2">
        <v>14</v>
      </c>
      <c r="H1" s="2">
        <v>15</v>
      </c>
      <c r="I1" s="2">
        <v>28</v>
      </c>
      <c r="J1" s="2">
        <v>36</v>
      </c>
    </row>
    <row r="2" spans="1:16" ht="13.5" thickBot="1" x14ac:dyDescent="0.25">
      <c r="C2" s="2" t="s">
        <v>143</v>
      </c>
      <c r="D2" s="2" t="s">
        <v>144</v>
      </c>
      <c r="E2" s="2" t="s">
        <v>145</v>
      </c>
      <c r="F2" s="2" t="s">
        <v>146</v>
      </c>
      <c r="G2" s="2" t="s">
        <v>147</v>
      </c>
      <c r="H2" s="2" t="s">
        <v>148</v>
      </c>
      <c r="I2" s="2" t="s">
        <v>149</v>
      </c>
      <c r="J2" s="2" t="s">
        <v>150</v>
      </c>
      <c r="L2" s="236" t="s">
        <v>142</v>
      </c>
      <c r="M2" s="237" t="s">
        <v>155</v>
      </c>
      <c r="N2" s="237" t="s">
        <v>154</v>
      </c>
      <c r="O2" s="237" t="s">
        <v>156</v>
      </c>
      <c r="P2" s="238" t="s">
        <v>151</v>
      </c>
    </row>
    <row r="3" spans="1:16" hidden="1" x14ac:dyDescent="0.2">
      <c r="A3" s="2" t="str">
        <f>De!T14</f>
        <v>Redox potential</v>
      </c>
      <c r="C3" s="2" t="e">
        <f>De!$U14/'Analytical Data'!F12</f>
        <v>#DIV/0!</v>
      </c>
      <c r="D3" s="2" t="e">
        <f>De!$U14/'Analytical Data'!G12</f>
        <v>#DIV/0!</v>
      </c>
      <c r="E3" s="2" t="e">
        <f>De!$U14/'Analytical Data'!H12</f>
        <v>#DIV/0!</v>
      </c>
      <c r="F3" s="2" t="e">
        <f>De!$U14/'Analytical Data'!I12</f>
        <v>#DIV/0!</v>
      </c>
      <c r="G3" s="2" t="e">
        <f>De!$U14/'Analytical Data'!J12</f>
        <v>#DIV/0!</v>
      </c>
      <c r="H3" s="2" t="e">
        <f>De!$U14/'Analytical Data'!K12</f>
        <v>#DIV/0!</v>
      </c>
      <c r="I3" s="2" t="e">
        <f>De!$U14/'Analytical Data'!L12</f>
        <v>#DIV/0!</v>
      </c>
      <c r="J3" s="2" t="e">
        <f>De!$U14/'Analytical Data'!M12</f>
        <v>#DIV/0!</v>
      </c>
      <c r="L3" s="234" t="str">
        <f>A3</f>
        <v>Redox potential</v>
      </c>
      <c r="M3" s="256" t="e">
        <f>MAX(C3:J3)</f>
        <v>#DIV/0!</v>
      </c>
      <c r="N3" s="256" t="e">
        <f>MIN(C3:J3)</f>
        <v>#DIV/0!</v>
      </c>
      <c r="O3" s="256" t="e">
        <f>MEDIAN(C3:J3)</f>
        <v>#DIV/0!</v>
      </c>
      <c r="P3" s="256" t="e">
        <f>ROUND( AVERAGE(C3:J3),3-(1+INT(LOG10(ABS( AVERAGE(C3:J3))))))</f>
        <v>#DIV/0!</v>
      </c>
    </row>
    <row r="4" spans="1:16" x14ac:dyDescent="0.2">
      <c r="A4" s="2" t="str">
        <f>De!T15</f>
        <v>Chloride</v>
      </c>
      <c r="C4" s="2">
        <f>De!$U15/'Analytical Data'!F8</f>
        <v>6198.3471074380168</v>
      </c>
      <c r="D4" s="2">
        <f>De!$U15/'Analytical Data'!G8</f>
        <v>2951.5938606847699</v>
      </c>
      <c r="E4" s="2">
        <f>De!$U15/'Analytical Data'!H8</f>
        <v>206.61157024793388</v>
      </c>
      <c r="F4" s="2">
        <f>De!$U15/'Analytical Data'!I8</f>
        <v>19.369834710743802</v>
      </c>
      <c r="G4" s="2">
        <f>De!$U15/'Analytical Data'!J8</f>
        <v>12.153621779290228</v>
      </c>
      <c r="H4" s="2">
        <f>De!$U15/'Analytical Data'!K8</f>
        <v>16.311439756415833</v>
      </c>
      <c r="I4" s="2">
        <f>De!$U15/'Analytical Data'!L8</f>
        <v>15.495867768595042</v>
      </c>
      <c r="J4" s="2">
        <f>De!$U15/'Analytical Data'!M8</f>
        <v>12.153621779290228</v>
      </c>
      <c r="L4" s="235" t="str">
        <f t="shared" ref="L4:L37" si="0">A4</f>
        <v>Chloride</v>
      </c>
      <c r="M4" s="256">
        <f t="shared" ref="M4:M37" si="1">MAX(C4:J4)</f>
        <v>6198.3471074380168</v>
      </c>
      <c r="N4" s="256">
        <f t="shared" ref="N4:N37" si="2">MIN(C4:J4)</f>
        <v>12.153621779290228</v>
      </c>
      <c r="O4" s="256">
        <f t="shared" ref="O4:O37" si="3">MEDIAN(C4:J4)</f>
        <v>17.84063723357982</v>
      </c>
      <c r="P4" s="256">
        <f t="shared" ref="P4:P37" si="4">ROUND( AVERAGE(C4:J4),3-(1+INT(LOG10(ABS( AVERAGE(C4:J4))))))</f>
        <v>1180</v>
      </c>
    </row>
    <row r="5" spans="1:16" x14ac:dyDescent="0.2">
      <c r="A5" s="2" t="str">
        <f>De!T16</f>
        <v>Sodium</v>
      </c>
      <c r="C5" s="2">
        <f>De!$U16/'Analytical Data'!F9</f>
        <v>190.08264462809919</v>
      </c>
      <c r="D5" s="2">
        <f>De!$U16/'Analytical Data'!G9</f>
        <v>95.041322314049594</v>
      </c>
      <c r="E5" s="2">
        <f>De!$U16/'Analytical Data'!H9</f>
        <v>76.033057851239676</v>
      </c>
      <c r="F5" s="2">
        <f>De!$U16/'Analytical Data'!I9</f>
        <v>16.528925619834713</v>
      </c>
      <c r="G5" s="2">
        <f>De!$U16/'Analytical Data'!J9</f>
        <v>11.18133203694701</v>
      </c>
      <c r="H5" s="2">
        <f>De!$U16/'Analytical Data'!K9</f>
        <v>16.528925619834713</v>
      </c>
      <c r="I5" s="2">
        <f>De!$U16/'Analytical Data'!L9</f>
        <v>15.206611570247935</v>
      </c>
      <c r="J5" s="2">
        <f>De!$U16/'Analytical Data'!M9</f>
        <v>10.861865407319954</v>
      </c>
      <c r="L5" s="235" t="str">
        <f t="shared" si="0"/>
        <v>Sodium</v>
      </c>
      <c r="M5" s="256">
        <f t="shared" si="1"/>
        <v>190.08264462809919</v>
      </c>
      <c r="N5" s="256">
        <f t="shared" si="2"/>
        <v>10.861865407319954</v>
      </c>
      <c r="O5" s="256">
        <f t="shared" si="3"/>
        <v>16.528925619834713</v>
      </c>
      <c r="P5" s="256">
        <f t="shared" si="4"/>
        <v>53.9</v>
      </c>
    </row>
    <row r="6" spans="1:16" x14ac:dyDescent="0.2">
      <c r="A6" s="2">
        <f>De!T17</f>
        <v>0</v>
      </c>
      <c r="C6" s="2" t="e">
        <f>De!$U17/'Analytical Data'!F10</f>
        <v>#DIV/0!</v>
      </c>
      <c r="D6" s="2" t="e">
        <f>De!$U17/'Analytical Data'!G10</f>
        <v>#DIV/0!</v>
      </c>
      <c r="E6" s="2" t="e">
        <f>De!$U17/'Analytical Data'!H10</f>
        <v>#DIV/0!</v>
      </c>
      <c r="F6" s="2" t="e">
        <f>De!$U17/'Analytical Data'!I10</f>
        <v>#DIV/0!</v>
      </c>
      <c r="G6" s="2" t="e">
        <f>De!$U17/'Analytical Data'!J10</f>
        <v>#DIV/0!</v>
      </c>
      <c r="H6" s="2" t="e">
        <f>De!$U17/'Analytical Data'!K10</f>
        <v>#DIV/0!</v>
      </c>
      <c r="I6" s="2" t="e">
        <f>De!$U17/'Analytical Data'!L10</f>
        <v>#DIV/0!</v>
      </c>
      <c r="J6" s="2" t="e">
        <f>De!$U17/'Analytical Data'!M10</f>
        <v>#DIV/0!</v>
      </c>
      <c r="L6" s="235">
        <f t="shared" si="0"/>
        <v>0</v>
      </c>
      <c r="M6" s="256" t="e">
        <f t="shared" si="1"/>
        <v>#DIV/0!</v>
      </c>
      <c r="N6" s="256" t="e">
        <f t="shared" si="2"/>
        <v>#DIV/0!</v>
      </c>
      <c r="O6" s="256" t="e">
        <f t="shared" si="3"/>
        <v>#DIV/0!</v>
      </c>
      <c r="P6" s="256" t="e">
        <f t="shared" si="4"/>
        <v>#DIV/0!</v>
      </c>
    </row>
    <row r="7" spans="1:16" x14ac:dyDescent="0.2">
      <c r="A7" s="2">
        <f>De!T18</f>
        <v>0</v>
      </c>
      <c r="C7" s="2" t="e">
        <f>De!$U18/'Analytical Data'!F11</f>
        <v>#DIV/0!</v>
      </c>
      <c r="D7" s="2" t="e">
        <f>De!$U18/'Analytical Data'!G11</f>
        <v>#DIV/0!</v>
      </c>
      <c r="E7" s="2" t="e">
        <f>De!$U18/'Analytical Data'!H11</f>
        <v>#DIV/0!</v>
      </c>
      <c r="F7" s="2" t="e">
        <f>De!$U18/'Analytical Data'!I11</f>
        <v>#DIV/0!</v>
      </c>
      <c r="G7" s="2" t="e">
        <f>De!$U18/'Analytical Data'!J11</f>
        <v>#DIV/0!</v>
      </c>
      <c r="H7" s="2" t="e">
        <f>De!$U18/'Analytical Data'!K11</f>
        <v>#DIV/0!</v>
      </c>
      <c r="I7" s="2" t="e">
        <f>De!$U18/'Analytical Data'!L11</f>
        <v>#DIV/0!</v>
      </c>
      <c r="J7" s="2" t="e">
        <f>De!$U18/'Analytical Data'!M11</f>
        <v>#DIV/0!</v>
      </c>
      <c r="L7" s="235">
        <f t="shared" si="0"/>
        <v>0</v>
      </c>
      <c r="M7" s="256" t="e">
        <f t="shared" si="1"/>
        <v>#DIV/0!</v>
      </c>
      <c r="N7" s="256" t="e">
        <f t="shared" si="2"/>
        <v>#DIV/0!</v>
      </c>
      <c r="O7" s="256" t="e">
        <f t="shared" si="3"/>
        <v>#DIV/0!</v>
      </c>
      <c r="P7" s="256" t="e">
        <f t="shared" si="4"/>
        <v>#DIV/0!</v>
      </c>
    </row>
    <row r="8" spans="1:16" x14ac:dyDescent="0.2">
      <c r="A8" s="2">
        <f>De!T19</f>
        <v>0</v>
      </c>
      <c r="C8" s="2" t="e">
        <f>De!$U19/'Analytical Data'!F12</f>
        <v>#DIV/0!</v>
      </c>
      <c r="D8" s="2" t="e">
        <f>De!$U19/'Analytical Data'!G12</f>
        <v>#DIV/0!</v>
      </c>
      <c r="E8" s="2" t="e">
        <f>De!$U19/'Analytical Data'!H12</f>
        <v>#DIV/0!</v>
      </c>
      <c r="F8" s="2" t="e">
        <f>De!$U19/'Analytical Data'!I12</f>
        <v>#DIV/0!</v>
      </c>
      <c r="G8" s="2" t="e">
        <f>De!$U19/'Analytical Data'!J12</f>
        <v>#DIV/0!</v>
      </c>
      <c r="H8" s="2" t="e">
        <f>De!$U19/'Analytical Data'!K12</f>
        <v>#DIV/0!</v>
      </c>
      <c r="I8" s="2" t="e">
        <f>De!$U19/'Analytical Data'!L12</f>
        <v>#DIV/0!</v>
      </c>
      <c r="J8" s="2" t="e">
        <f>De!$U19/'Analytical Data'!M12</f>
        <v>#DIV/0!</v>
      </c>
      <c r="L8" s="235">
        <f t="shared" si="0"/>
        <v>0</v>
      </c>
      <c r="M8" s="256" t="e">
        <f t="shared" si="1"/>
        <v>#DIV/0!</v>
      </c>
      <c r="N8" s="256" t="e">
        <f t="shared" si="2"/>
        <v>#DIV/0!</v>
      </c>
      <c r="O8" s="256" t="e">
        <f t="shared" si="3"/>
        <v>#DIV/0!</v>
      </c>
      <c r="P8" s="256" t="e">
        <f t="shared" si="4"/>
        <v>#DIV/0!</v>
      </c>
    </row>
    <row r="9" spans="1:16" x14ac:dyDescent="0.2">
      <c r="A9" s="2">
        <f>De!T20</f>
        <v>0</v>
      </c>
      <c r="C9" s="2" t="e">
        <f>De!$U20/'Analytical Data'!F13</f>
        <v>#DIV/0!</v>
      </c>
      <c r="D9" s="2" t="e">
        <f>De!$U20/'Analytical Data'!G13</f>
        <v>#DIV/0!</v>
      </c>
      <c r="E9" s="2" t="e">
        <f>De!$U20/'Analytical Data'!H13</f>
        <v>#DIV/0!</v>
      </c>
      <c r="F9" s="2" t="e">
        <f>De!$U20/'Analytical Data'!I13</f>
        <v>#DIV/0!</v>
      </c>
      <c r="G9" s="2" t="e">
        <f>De!$U20/'Analytical Data'!J13</f>
        <v>#DIV/0!</v>
      </c>
      <c r="H9" s="2" t="e">
        <f>De!$U20/'Analytical Data'!K13</f>
        <v>#DIV/0!</v>
      </c>
      <c r="I9" s="2" t="e">
        <f>De!$U20/'Analytical Data'!L13</f>
        <v>#DIV/0!</v>
      </c>
      <c r="J9" s="2" t="e">
        <f>De!$U20/'Analytical Data'!M13</f>
        <v>#DIV/0!</v>
      </c>
      <c r="L9" s="235">
        <f t="shared" si="0"/>
        <v>0</v>
      </c>
      <c r="M9" s="256" t="e">
        <f t="shared" si="1"/>
        <v>#DIV/0!</v>
      </c>
      <c r="N9" s="256" t="e">
        <f t="shared" si="2"/>
        <v>#DIV/0!</v>
      </c>
      <c r="O9" s="256" t="e">
        <f t="shared" si="3"/>
        <v>#DIV/0!</v>
      </c>
      <c r="P9" s="256" t="e">
        <f t="shared" si="4"/>
        <v>#DIV/0!</v>
      </c>
    </row>
    <row r="10" spans="1:16" x14ac:dyDescent="0.2">
      <c r="A10" s="2">
        <f>De!T21</f>
        <v>0</v>
      </c>
      <c r="C10" s="2" t="e">
        <f>De!$U21/'Analytical Data'!F14</f>
        <v>#DIV/0!</v>
      </c>
      <c r="D10" s="2" t="e">
        <f>De!$U21/'Analytical Data'!G14</f>
        <v>#DIV/0!</v>
      </c>
      <c r="E10" s="2" t="e">
        <f>De!$U21/'Analytical Data'!H14</f>
        <v>#DIV/0!</v>
      </c>
      <c r="F10" s="2" t="e">
        <f>De!$U21/'Analytical Data'!I14</f>
        <v>#DIV/0!</v>
      </c>
      <c r="G10" s="2" t="e">
        <f>De!$U21/'Analytical Data'!J14</f>
        <v>#DIV/0!</v>
      </c>
      <c r="H10" s="2" t="e">
        <f>De!$U21/'Analytical Data'!K14</f>
        <v>#DIV/0!</v>
      </c>
      <c r="I10" s="2" t="e">
        <f>De!$U21/'Analytical Data'!L14</f>
        <v>#DIV/0!</v>
      </c>
      <c r="J10" s="2" t="e">
        <f>De!$U21/'Analytical Data'!M14</f>
        <v>#DIV/0!</v>
      </c>
      <c r="L10" s="235">
        <f t="shared" si="0"/>
        <v>0</v>
      </c>
      <c r="M10" s="256" t="e">
        <f t="shared" si="1"/>
        <v>#DIV/0!</v>
      </c>
      <c r="N10" s="256" t="e">
        <f t="shared" si="2"/>
        <v>#DIV/0!</v>
      </c>
      <c r="O10" s="256" t="e">
        <f t="shared" si="3"/>
        <v>#DIV/0!</v>
      </c>
      <c r="P10" s="256" t="e">
        <f t="shared" si="4"/>
        <v>#DIV/0!</v>
      </c>
    </row>
    <row r="11" spans="1:16" x14ac:dyDescent="0.2">
      <c r="A11" s="2">
        <f>De!T22</f>
        <v>0</v>
      </c>
      <c r="C11" s="2" t="e">
        <f>De!$U22/'Analytical Data'!F15</f>
        <v>#DIV/0!</v>
      </c>
      <c r="D11" s="2" t="e">
        <f>De!$U22/'Analytical Data'!G15</f>
        <v>#DIV/0!</v>
      </c>
      <c r="E11" s="2" t="e">
        <f>De!$U22/'Analytical Data'!H15</f>
        <v>#DIV/0!</v>
      </c>
      <c r="F11" s="2" t="e">
        <f>De!$U22/'Analytical Data'!I15</f>
        <v>#DIV/0!</v>
      </c>
      <c r="G11" s="2" t="e">
        <f>De!$U22/'Analytical Data'!J15</f>
        <v>#DIV/0!</v>
      </c>
      <c r="H11" s="2" t="e">
        <f>De!$U22/'Analytical Data'!K15</f>
        <v>#DIV/0!</v>
      </c>
      <c r="I11" s="2" t="e">
        <f>De!$U22/'Analytical Data'!L15</f>
        <v>#DIV/0!</v>
      </c>
      <c r="J11" s="2" t="e">
        <f>De!$U22/'Analytical Data'!M15</f>
        <v>#DIV/0!</v>
      </c>
      <c r="L11" s="235">
        <f t="shared" si="0"/>
        <v>0</v>
      </c>
      <c r="M11" s="256" t="e">
        <f t="shared" si="1"/>
        <v>#DIV/0!</v>
      </c>
      <c r="N11" s="256" t="e">
        <f t="shared" si="2"/>
        <v>#DIV/0!</v>
      </c>
      <c r="O11" s="256" t="e">
        <f t="shared" si="3"/>
        <v>#DIV/0!</v>
      </c>
      <c r="P11" s="256" t="e">
        <f t="shared" si="4"/>
        <v>#DIV/0!</v>
      </c>
    </row>
    <row r="12" spans="1:16" x14ac:dyDescent="0.2">
      <c r="A12" s="2">
        <f>De!T23</f>
        <v>0</v>
      </c>
      <c r="C12" s="2" t="e">
        <f>De!$U23/'Analytical Data'!F16</f>
        <v>#DIV/0!</v>
      </c>
      <c r="D12" s="2" t="e">
        <f>De!$U23/'Analytical Data'!G16</f>
        <v>#DIV/0!</v>
      </c>
      <c r="E12" s="2" t="e">
        <f>De!$U23/'Analytical Data'!H16</f>
        <v>#DIV/0!</v>
      </c>
      <c r="F12" s="2" t="e">
        <f>De!$U23/'Analytical Data'!I16</f>
        <v>#DIV/0!</v>
      </c>
      <c r="G12" s="2" t="e">
        <f>De!$U23/'Analytical Data'!J16</f>
        <v>#DIV/0!</v>
      </c>
      <c r="H12" s="2" t="e">
        <f>De!$U23/'Analytical Data'!K16</f>
        <v>#DIV/0!</v>
      </c>
      <c r="I12" s="2" t="e">
        <f>De!$U23/'Analytical Data'!L16</f>
        <v>#DIV/0!</v>
      </c>
      <c r="J12" s="2" t="e">
        <f>De!$U23/'Analytical Data'!M16</f>
        <v>#DIV/0!</v>
      </c>
      <c r="L12" s="235">
        <f t="shared" si="0"/>
        <v>0</v>
      </c>
      <c r="M12" s="256" t="e">
        <f t="shared" si="1"/>
        <v>#DIV/0!</v>
      </c>
      <c r="N12" s="256" t="e">
        <f t="shared" si="2"/>
        <v>#DIV/0!</v>
      </c>
      <c r="O12" s="256" t="e">
        <f t="shared" si="3"/>
        <v>#DIV/0!</v>
      </c>
      <c r="P12" s="256" t="e">
        <f t="shared" si="4"/>
        <v>#DIV/0!</v>
      </c>
    </row>
    <row r="13" spans="1:16" x14ac:dyDescent="0.2">
      <c r="A13" s="2">
        <f>De!T24</f>
        <v>0</v>
      </c>
      <c r="C13" s="2" t="e">
        <f>De!$U24/'Analytical Data'!F17</f>
        <v>#DIV/0!</v>
      </c>
      <c r="D13" s="2" t="e">
        <f>De!$U24/'Analytical Data'!G17</f>
        <v>#DIV/0!</v>
      </c>
      <c r="E13" s="2" t="e">
        <f>De!$U24/'Analytical Data'!H17</f>
        <v>#DIV/0!</v>
      </c>
      <c r="F13" s="2" t="e">
        <f>De!$U24/'Analytical Data'!I17</f>
        <v>#DIV/0!</v>
      </c>
      <c r="G13" s="2" t="e">
        <f>De!$U24/'Analytical Data'!J17</f>
        <v>#DIV/0!</v>
      </c>
      <c r="H13" s="2" t="e">
        <f>De!$U24/'Analytical Data'!K17</f>
        <v>#DIV/0!</v>
      </c>
      <c r="I13" s="2" t="e">
        <f>De!$U24/'Analytical Data'!L17</f>
        <v>#DIV/0!</v>
      </c>
      <c r="J13" s="2" t="e">
        <f>De!$U24/'Analytical Data'!M17</f>
        <v>#DIV/0!</v>
      </c>
      <c r="L13" s="235">
        <f t="shared" si="0"/>
        <v>0</v>
      </c>
      <c r="M13" s="256" t="e">
        <f t="shared" si="1"/>
        <v>#DIV/0!</v>
      </c>
      <c r="N13" s="256" t="e">
        <f t="shared" si="2"/>
        <v>#DIV/0!</v>
      </c>
      <c r="O13" s="256" t="e">
        <f t="shared" si="3"/>
        <v>#DIV/0!</v>
      </c>
      <c r="P13" s="256" t="e">
        <f t="shared" si="4"/>
        <v>#DIV/0!</v>
      </c>
    </row>
    <row r="14" spans="1:16" x14ac:dyDescent="0.2">
      <c r="A14" s="2">
        <f>De!T25</f>
        <v>0</v>
      </c>
      <c r="C14" s="2" t="e">
        <f>De!$U25/'Analytical Data'!F18</f>
        <v>#DIV/0!</v>
      </c>
      <c r="D14" s="2" t="e">
        <f>De!$U25/'Analytical Data'!G18</f>
        <v>#DIV/0!</v>
      </c>
      <c r="E14" s="2" t="e">
        <f>De!$U25/'Analytical Data'!H18</f>
        <v>#DIV/0!</v>
      </c>
      <c r="F14" s="2" t="e">
        <f>De!$U25/'Analytical Data'!I18</f>
        <v>#DIV/0!</v>
      </c>
      <c r="G14" s="2" t="e">
        <f>De!$U25/'Analytical Data'!J18</f>
        <v>#DIV/0!</v>
      </c>
      <c r="H14" s="2" t="e">
        <f>De!$U25/'Analytical Data'!K18</f>
        <v>#DIV/0!</v>
      </c>
      <c r="I14" s="2" t="e">
        <f>De!$U25/'Analytical Data'!L18</f>
        <v>#DIV/0!</v>
      </c>
      <c r="J14" s="2" t="e">
        <f>De!$U25/'Analytical Data'!M18</f>
        <v>#DIV/0!</v>
      </c>
      <c r="L14" s="235">
        <f t="shared" si="0"/>
        <v>0</v>
      </c>
      <c r="M14" s="256" t="e">
        <f t="shared" si="1"/>
        <v>#DIV/0!</v>
      </c>
      <c r="N14" s="256" t="e">
        <f t="shared" si="2"/>
        <v>#DIV/0!</v>
      </c>
      <c r="O14" s="256" t="e">
        <f t="shared" si="3"/>
        <v>#DIV/0!</v>
      </c>
      <c r="P14" s="256" t="e">
        <f t="shared" si="4"/>
        <v>#DIV/0!</v>
      </c>
    </row>
    <row r="15" spans="1:16" x14ac:dyDescent="0.2">
      <c r="A15" s="2">
        <f>De!T26</f>
        <v>0</v>
      </c>
      <c r="C15" s="2" t="e">
        <f>De!$U26/'Analytical Data'!F19</f>
        <v>#DIV/0!</v>
      </c>
      <c r="D15" s="2" t="e">
        <f>De!$U26/'Analytical Data'!G19</f>
        <v>#DIV/0!</v>
      </c>
      <c r="E15" s="2" t="e">
        <f>De!$U26/'Analytical Data'!H19</f>
        <v>#DIV/0!</v>
      </c>
      <c r="F15" s="2" t="e">
        <f>De!$U26/'Analytical Data'!I19</f>
        <v>#DIV/0!</v>
      </c>
      <c r="G15" s="2" t="e">
        <f>De!$U26/'Analytical Data'!J19</f>
        <v>#DIV/0!</v>
      </c>
      <c r="H15" s="2" t="e">
        <f>De!$U26/'Analytical Data'!K19</f>
        <v>#DIV/0!</v>
      </c>
      <c r="I15" s="2" t="e">
        <f>De!$U26/'Analytical Data'!L19</f>
        <v>#DIV/0!</v>
      </c>
      <c r="J15" s="2" t="e">
        <f>De!$U26/'Analytical Data'!M19</f>
        <v>#DIV/0!</v>
      </c>
      <c r="L15" s="235">
        <f t="shared" si="0"/>
        <v>0</v>
      </c>
      <c r="M15" s="256" t="e">
        <f t="shared" si="1"/>
        <v>#DIV/0!</v>
      </c>
      <c r="N15" s="256" t="e">
        <f t="shared" si="2"/>
        <v>#DIV/0!</v>
      </c>
      <c r="O15" s="256" t="e">
        <f t="shared" si="3"/>
        <v>#DIV/0!</v>
      </c>
      <c r="P15" s="256" t="e">
        <f t="shared" si="4"/>
        <v>#DIV/0!</v>
      </c>
    </row>
    <row r="16" spans="1:16" x14ac:dyDescent="0.2">
      <c r="A16" s="2">
        <f>De!T27</f>
        <v>0</v>
      </c>
      <c r="C16" s="2" t="e">
        <f>De!$U27/'Analytical Data'!F20</f>
        <v>#DIV/0!</v>
      </c>
      <c r="D16" s="2" t="e">
        <f>De!$U27/'Analytical Data'!G20</f>
        <v>#DIV/0!</v>
      </c>
      <c r="E16" s="2" t="e">
        <f>De!$U27/'Analytical Data'!H20</f>
        <v>#DIV/0!</v>
      </c>
      <c r="F16" s="2" t="e">
        <f>De!$U27/'Analytical Data'!I20</f>
        <v>#DIV/0!</v>
      </c>
      <c r="G16" s="2" t="e">
        <f>De!$U27/'Analytical Data'!J20</f>
        <v>#DIV/0!</v>
      </c>
      <c r="H16" s="2" t="e">
        <f>De!$U27/'Analytical Data'!K20</f>
        <v>#DIV/0!</v>
      </c>
      <c r="I16" s="2" t="e">
        <f>De!$U27/'Analytical Data'!L20</f>
        <v>#DIV/0!</v>
      </c>
      <c r="J16" s="2" t="e">
        <f>De!$U27/'Analytical Data'!M20</f>
        <v>#DIV/0!</v>
      </c>
      <c r="L16" s="235">
        <f t="shared" si="0"/>
        <v>0</v>
      </c>
      <c r="M16" s="256" t="e">
        <f t="shared" si="1"/>
        <v>#DIV/0!</v>
      </c>
      <c r="N16" s="256" t="e">
        <f t="shared" si="2"/>
        <v>#DIV/0!</v>
      </c>
      <c r="O16" s="256" t="e">
        <f t="shared" si="3"/>
        <v>#DIV/0!</v>
      </c>
      <c r="P16" s="256" t="e">
        <f t="shared" si="4"/>
        <v>#DIV/0!</v>
      </c>
    </row>
    <row r="17" spans="1:16" x14ac:dyDescent="0.2">
      <c r="A17" s="2">
        <f>De!T28</f>
        <v>0</v>
      </c>
      <c r="C17" s="2" t="e">
        <f>De!$U28/'Analytical Data'!F21</f>
        <v>#DIV/0!</v>
      </c>
      <c r="D17" s="2" t="e">
        <f>De!$U28/'Analytical Data'!G21</f>
        <v>#DIV/0!</v>
      </c>
      <c r="E17" s="2" t="e">
        <f>De!$U28/'Analytical Data'!H21</f>
        <v>#DIV/0!</v>
      </c>
      <c r="F17" s="2" t="e">
        <f>De!$U28/'Analytical Data'!I21</f>
        <v>#DIV/0!</v>
      </c>
      <c r="G17" s="2" t="e">
        <f>De!$U28/'Analytical Data'!J21</f>
        <v>#DIV/0!</v>
      </c>
      <c r="H17" s="2" t="e">
        <f>De!$U28/'Analytical Data'!K21</f>
        <v>#DIV/0!</v>
      </c>
      <c r="I17" s="2" t="e">
        <f>De!$U28/'Analytical Data'!L21</f>
        <v>#DIV/0!</v>
      </c>
      <c r="J17" s="2" t="e">
        <f>De!$U28/'Analytical Data'!M21</f>
        <v>#DIV/0!</v>
      </c>
      <c r="L17" s="235">
        <f t="shared" si="0"/>
        <v>0</v>
      </c>
      <c r="M17" s="256" t="e">
        <f t="shared" si="1"/>
        <v>#DIV/0!</v>
      </c>
      <c r="N17" s="256" t="e">
        <f t="shared" si="2"/>
        <v>#DIV/0!</v>
      </c>
      <c r="O17" s="256" t="e">
        <f t="shared" si="3"/>
        <v>#DIV/0!</v>
      </c>
      <c r="P17" s="256" t="e">
        <f t="shared" si="4"/>
        <v>#DIV/0!</v>
      </c>
    </row>
    <row r="18" spans="1:16" x14ac:dyDescent="0.2">
      <c r="A18" s="2">
        <f>De!T29</f>
        <v>0</v>
      </c>
      <c r="C18" s="2" t="e">
        <f>De!$U29/'Analytical Data'!F22</f>
        <v>#DIV/0!</v>
      </c>
      <c r="D18" s="2" t="e">
        <f>De!$U29/'Analytical Data'!G22</f>
        <v>#DIV/0!</v>
      </c>
      <c r="E18" s="2" t="e">
        <f>De!$U29/'Analytical Data'!H22</f>
        <v>#DIV/0!</v>
      </c>
      <c r="F18" s="2" t="e">
        <f>De!$U29/'Analytical Data'!I22</f>
        <v>#DIV/0!</v>
      </c>
      <c r="G18" s="2" t="e">
        <f>De!$U29/'Analytical Data'!J22</f>
        <v>#DIV/0!</v>
      </c>
      <c r="H18" s="2" t="e">
        <f>De!$U29/'Analytical Data'!K22</f>
        <v>#DIV/0!</v>
      </c>
      <c r="I18" s="2" t="e">
        <f>De!$U29/'Analytical Data'!L22</f>
        <v>#DIV/0!</v>
      </c>
      <c r="J18" s="2" t="e">
        <f>De!$U29/'Analytical Data'!M22</f>
        <v>#DIV/0!</v>
      </c>
      <c r="L18" s="235">
        <f t="shared" si="0"/>
        <v>0</v>
      </c>
      <c r="M18" s="256" t="e">
        <f t="shared" si="1"/>
        <v>#DIV/0!</v>
      </c>
      <c r="N18" s="256" t="e">
        <f t="shared" si="2"/>
        <v>#DIV/0!</v>
      </c>
      <c r="O18" s="256" t="e">
        <f t="shared" si="3"/>
        <v>#DIV/0!</v>
      </c>
      <c r="P18" s="256" t="e">
        <f t="shared" si="4"/>
        <v>#DIV/0!</v>
      </c>
    </row>
    <row r="19" spans="1:16" x14ac:dyDescent="0.2">
      <c r="A19" s="2">
        <f>De!T30</f>
        <v>0</v>
      </c>
      <c r="C19" s="2" t="e">
        <f>De!$U30/'Analytical Data'!F23</f>
        <v>#DIV/0!</v>
      </c>
      <c r="D19" s="2" t="e">
        <f>De!$U30/'Analytical Data'!G23</f>
        <v>#DIV/0!</v>
      </c>
      <c r="E19" s="2" t="e">
        <f>De!$U30/'Analytical Data'!H23</f>
        <v>#DIV/0!</v>
      </c>
      <c r="F19" s="2" t="e">
        <f>De!$U30/'Analytical Data'!I23</f>
        <v>#DIV/0!</v>
      </c>
      <c r="G19" s="2" t="e">
        <f>De!$U30/'Analytical Data'!J23</f>
        <v>#DIV/0!</v>
      </c>
      <c r="H19" s="2" t="e">
        <f>De!$U30/'Analytical Data'!K23</f>
        <v>#DIV/0!</v>
      </c>
      <c r="I19" s="2" t="e">
        <f>De!$U30/'Analytical Data'!L23</f>
        <v>#DIV/0!</v>
      </c>
      <c r="J19" s="2" t="e">
        <f>De!$U30/'Analytical Data'!M23</f>
        <v>#DIV/0!</v>
      </c>
      <c r="L19" s="235">
        <f t="shared" si="0"/>
        <v>0</v>
      </c>
      <c r="M19" s="256" t="e">
        <f t="shared" si="1"/>
        <v>#DIV/0!</v>
      </c>
      <c r="N19" s="256" t="e">
        <f t="shared" si="2"/>
        <v>#DIV/0!</v>
      </c>
      <c r="O19" s="256" t="e">
        <f t="shared" si="3"/>
        <v>#DIV/0!</v>
      </c>
      <c r="P19" s="256" t="e">
        <f t="shared" si="4"/>
        <v>#DIV/0!</v>
      </c>
    </row>
    <row r="20" spans="1:16" x14ac:dyDescent="0.2">
      <c r="A20" s="2">
        <f>De!T31</f>
        <v>0</v>
      </c>
      <c r="C20" s="2" t="e">
        <f>De!$U31/'Analytical Data'!F24</f>
        <v>#DIV/0!</v>
      </c>
      <c r="D20" s="2" t="e">
        <f>De!$U31/'Analytical Data'!G24</f>
        <v>#DIV/0!</v>
      </c>
      <c r="E20" s="2" t="e">
        <f>De!$U31/'Analytical Data'!H24</f>
        <v>#DIV/0!</v>
      </c>
      <c r="F20" s="2" t="e">
        <f>De!$U31/'Analytical Data'!I24</f>
        <v>#DIV/0!</v>
      </c>
      <c r="G20" s="2" t="e">
        <f>De!$U31/'Analytical Data'!J24</f>
        <v>#DIV/0!</v>
      </c>
      <c r="H20" s="2" t="e">
        <f>De!$U31/'Analytical Data'!K24</f>
        <v>#DIV/0!</v>
      </c>
      <c r="I20" s="2" t="e">
        <f>De!$U31/'Analytical Data'!L24</f>
        <v>#DIV/0!</v>
      </c>
      <c r="J20" s="2" t="e">
        <f>De!$U31/'Analytical Data'!M24</f>
        <v>#DIV/0!</v>
      </c>
      <c r="L20" s="235">
        <f t="shared" si="0"/>
        <v>0</v>
      </c>
      <c r="M20" s="256" t="e">
        <f t="shared" si="1"/>
        <v>#DIV/0!</v>
      </c>
      <c r="N20" s="256" t="e">
        <f t="shared" si="2"/>
        <v>#DIV/0!</v>
      </c>
      <c r="O20" s="256" t="e">
        <f t="shared" si="3"/>
        <v>#DIV/0!</v>
      </c>
      <c r="P20" s="256" t="e">
        <f t="shared" si="4"/>
        <v>#DIV/0!</v>
      </c>
    </row>
    <row r="21" spans="1:16" x14ac:dyDescent="0.2">
      <c r="A21" s="2">
        <f>De!T32</f>
        <v>0</v>
      </c>
      <c r="C21" s="2" t="e">
        <f>De!$U32/'Analytical Data'!F25</f>
        <v>#DIV/0!</v>
      </c>
      <c r="D21" s="2" t="e">
        <f>De!$U32/'Analytical Data'!G25</f>
        <v>#DIV/0!</v>
      </c>
      <c r="E21" s="2" t="e">
        <f>De!$U32/'Analytical Data'!H25</f>
        <v>#DIV/0!</v>
      </c>
      <c r="F21" s="2" t="e">
        <f>De!$U32/'Analytical Data'!I25</f>
        <v>#DIV/0!</v>
      </c>
      <c r="G21" s="2" t="e">
        <f>De!$U32/'Analytical Data'!J25</f>
        <v>#DIV/0!</v>
      </c>
      <c r="H21" s="2" t="e">
        <f>De!$U32/'Analytical Data'!K25</f>
        <v>#DIV/0!</v>
      </c>
      <c r="I21" s="2" t="e">
        <f>De!$U32/'Analytical Data'!L25</f>
        <v>#DIV/0!</v>
      </c>
      <c r="J21" s="2" t="e">
        <f>De!$U32/'Analytical Data'!M25</f>
        <v>#DIV/0!</v>
      </c>
      <c r="L21" s="235">
        <f t="shared" si="0"/>
        <v>0</v>
      </c>
      <c r="M21" s="256" t="e">
        <f t="shared" si="1"/>
        <v>#DIV/0!</v>
      </c>
      <c r="N21" s="256" t="e">
        <f t="shared" si="2"/>
        <v>#DIV/0!</v>
      </c>
      <c r="O21" s="256" t="e">
        <f t="shared" si="3"/>
        <v>#DIV/0!</v>
      </c>
      <c r="P21" s="256" t="e">
        <f t="shared" si="4"/>
        <v>#DIV/0!</v>
      </c>
    </row>
    <row r="22" spans="1:16" x14ac:dyDescent="0.2">
      <c r="A22" s="2">
        <f>De!T33</f>
        <v>0</v>
      </c>
      <c r="C22" s="2" t="e">
        <f>De!$U33/'Analytical Data'!F26</f>
        <v>#DIV/0!</v>
      </c>
      <c r="D22" s="2" t="e">
        <f>De!$U33/'Analytical Data'!G26</f>
        <v>#DIV/0!</v>
      </c>
      <c r="E22" s="2" t="e">
        <f>De!$U33/'Analytical Data'!H26</f>
        <v>#DIV/0!</v>
      </c>
      <c r="F22" s="2" t="e">
        <f>De!$U33/'Analytical Data'!I26</f>
        <v>#DIV/0!</v>
      </c>
      <c r="G22" s="2" t="e">
        <f>De!$U33/'Analytical Data'!J26</f>
        <v>#DIV/0!</v>
      </c>
      <c r="H22" s="2" t="e">
        <f>De!$U33/'Analytical Data'!K26</f>
        <v>#DIV/0!</v>
      </c>
      <c r="I22" s="2" t="e">
        <f>De!$U33/'Analytical Data'!L26</f>
        <v>#DIV/0!</v>
      </c>
      <c r="J22" s="2" t="e">
        <f>De!$U33/'Analytical Data'!M26</f>
        <v>#DIV/0!</v>
      </c>
      <c r="L22" s="235">
        <f t="shared" si="0"/>
        <v>0</v>
      </c>
      <c r="M22" s="256" t="e">
        <f t="shared" si="1"/>
        <v>#DIV/0!</v>
      </c>
      <c r="N22" s="256" t="e">
        <f t="shared" si="2"/>
        <v>#DIV/0!</v>
      </c>
      <c r="O22" s="256" t="e">
        <f t="shared" si="3"/>
        <v>#DIV/0!</v>
      </c>
      <c r="P22" s="256" t="e">
        <f t="shared" si="4"/>
        <v>#DIV/0!</v>
      </c>
    </row>
    <row r="23" spans="1:16" x14ac:dyDescent="0.2">
      <c r="A23" s="2">
        <f>De!T34</f>
        <v>0</v>
      </c>
      <c r="C23" s="2" t="e">
        <f>De!$U34/'Analytical Data'!F27</f>
        <v>#DIV/0!</v>
      </c>
      <c r="D23" s="2" t="e">
        <f>De!$U34/'Analytical Data'!G27</f>
        <v>#DIV/0!</v>
      </c>
      <c r="E23" s="2" t="e">
        <f>De!$U34/'Analytical Data'!H27</f>
        <v>#DIV/0!</v>
      </c>
      <c r="F23" s="2" t="e">
        <f>De!$U34/'Analytical Data'!I27</f>
        <v>#DIV/0!</v>
      </c>
      <c r="G23" s="2" t="e">
        <f>De!$U34/'Analytical Data'!J27</f>
        <v>#DIV/0!</v>
      </c>
      <c r="H23" s="2" t="e">
        <f>De!$U34/'Analytical Data'!K27</f>
        <v>#DIV/0!</v>
      </c>
      <c r="I23" s="2" t="e">
        <f>De!$U34/'Analytical Data'!L27</f>
        <v>#DIV/0!</v>
      </c>
      <c r="J23" s="2" t="e">
        <f>De!$U34/'Analytical Data'!M27</f>
        <v>#DIV/0!</v>
      </c>
      <c r="L23" s="235">
        <f t="shared" si="0"/>
        <v>0</v>
      </c>
      <c r="M23" s="256" t="e">
        <f t="shared" si="1"/>
        <v>#DIV/0!</v>
      </c>
      <c r="N23" s="256" t="e">
        <f t="shared" si="2"/>
        <v>#DIV/0!</v>
      </c>
      <c r="O23" s="256" t="e">
        <f t="shared" si="3"/>
        <v>#DIV/0!</v>
      </c>
      <c r="P23" s="256" t="e">
        <f t="shared" si="4"/>
        <v>#DIV/0!</v>
      </c>
    </row>
    <row r="24" spans="1:16" x14ac:dyDescent="0.2">
      <c r="A24" s="2">
        <f>De!T35</f>
        <v>0</v>
      </c>
      <c r="C24" s="2" t="e">
        <f>De!$U35/'Analytical Data'!F28</f>
        <v>#DIV/0!</v>
      </c>
      <c r="D24" s="2" t="e">
        <f>De!$U35/'Analytical Data'!G28</f>
        <v>#DIV/0!</v>
      </c>
      <c r="E24" s="2" t="e">
        <f>De!$U35/'Analytical Data'!H28</f>
        <v>#DIV/0!</v>
      </c>
      <c r="F24" s="2" t="e">
        <f>De!$U35/'Analytical Data'!I28</f>
        <v>#DIV/0!</v>
      </c>
      <c r="G24" s="2" t="e">
        <f>De!$U35/'Analytical Data'!J28</f>
        <v>#DIV/0!</v>
      </c>
      <c r="H24" s="2" t="e">
        <f>De!$U35/'Analytical Data'!K28</f>
        <v>#DIV/0!</v>
      </c>
      <c r="I24" s="2" t="e">
        <f>De!$U35/'Analytical Data'!L28</f>
        <v>#DIV/0!</v>
      </c>
      <c r="J24" s="2" t="e">
        <f>De!$U35/'Analytical Data'!M28</f>
        <v>#DIV/0!</v>
      </c>
      <c r="L24" s="235">
        <f t="shared" si="0"/>
        <v>0</v>
      </c>
      <c r="M24" s="256" t="e">
        <f t="shared" si="1"/>
        <v>#DIV/0!</v>
      </c>
      <c r="N24" s="256" t="e">
        <f t="shared" si="2"/>
        <v>#DIV/0!</v>
      </c>
      <c r="O24" s="256" t="e">
        <f t="shared" si="3"/>
        <v>#DIV/0!</v>
      </c>
      <c r="P24" s="256" t="e">
        <f t="shared" si="4"/>
        <v>#DIV/0!</v>
      </c>
    </row>
    <row r="25" spans="1:16" x14ac:dyDescent="0.2">
      <c r="A25" s="2">
        <f>De!T36</f>
        <v>0</v>
      </c>
      <c r="C25" s="2" t="e">
        <f>De!$U36/'Analytical Data'!F29</f>
        <v>#DIV/0!</v>
      </c>
      <c r="D25" s="2" t="e">
        <f>De!$U36/'Analytical Data'!G29</f>
        <v>#DIV/0!</v>
      </c>
      <c r="E25" s="2" t="e">
        <f>De!$U36/'Analytical Data'!H29</f>
        <v>#DIV/0!</v>
      </c>
      <c r="F25" s="2" t="e">
        <f>De!$U36/'Analytical Data'!I29</f>
        <v>#DIV/0!</v>
      </c>
      <c r="G25" s="2" t="e">
        <f>De!$U36/'Analytical Data'!J29</f>
        <v>#DIV/0!</v>
      </c>
      <c r="H25" s="2" t="e">
        <f>De!$U36/'Analytical Data'!K29</f>
        <v>#DIV/0!</v>
      </c>
      <c r="I25" s="2" t="e">
        <f>De!$U36/'Analytical Data'!L29</f>
        <v>#DIV/0!</v>
      </c>
      <c r="J25" s="2" t="e">
        <f>De!$U36/'Analytical Data'!M29</f>
        <v>#DIV/0!</v>
      </c>
      <c r="L25" s="235">
        <f t="shared" si="0"/>
        <v>0</v>
      </c>
      <c r="M25" s="256" t="e">
        <f t="shared" si="1"/>
        <v>#DIV/0!</v>
      </c>
      <c r="N25" s="256" t="e">
        <f t="shared" si="2"/>
        <v>#DIV/0!</v>
      </c>
      <c r="O25" s="256" t="e">
        <f t="shared" si="3"/>
        <v>#DIV/0!</v>
      </c>
      <c r="P25" s="256" t="e">
        <f t="shared" si="4"/>
        <v>#DIV/0!</v>
      </c>
    </row>
    <row r="26" spans="1:16" x14ac:dyDescent="0.2">
      <c r="A26" s="2">
        <f>De!T37</f>
        <v>0</v>
      </c>
      <c r="C26" s="2" t="e">
        <f>De!$U37/'Analytical Data'!F30</f>
        <v>#DIV/0!</v>
      </c>
      <c r="D26" s="2" t="e">
        <f>De!$U37/'Analytical Data'!G30</f>
        <v>#DIV/0!</v>
      </c>
      <c r="E26" s="2" t="e">
        <f>De!$U37/'Analytical Data'!H30</f>
        <v>#DIV/0!</v>
      </c>
      <c r="F26" s="2" t="e">
        <f>De!$U37/'Analytical Data'!I30</f>
        <v>#DIV/0!</v>
      </c>
      <c r="G26" s="2" t="e">
        <f>De!$U37/'Analytical Data'!J30</f>
        <v>#DIV/0!</v>
      </c>
      <c r="H26" s="2" t="e">
        <f>De!$U37/'Analytical Data'!K30</f>
        <v>#DIV/0!</v>
      </c>
      <c r="I26" s="2" t="e">
        <f>De!$U37/'Analytical Data'!L30</f>
        <v>#DIV/0!</v>
      </c>
      <c r="J26" s="2" t="e">
        <f>De!$U37/'Analytical Data'!M30</f>
        <v>#DIV/0!</v>
      </c>
      <c r="L26" s="235">
        <f t="shared" si="0"/>
        <v>0</v>
      </c>
      <c r="M26" s="256" t="e">
        <f t="shared" si="1"/>
        <v>#DIV/0!</v>
      </c>
      <c r="N26" s="256" t="e">
        <f t="shared" si="2"/>
        <v>#DIV/0!</v>
      </c>
      <c r="O26" s="256" t="e">
        <f t="shared" si="3"/>
        <v>#DIV/0!</v>
      </c>
      <c r="P26" s="256" t="e">
        <f t="shared" si="4"/>
        <v>#DIV/0!</v>
      </c>
    </row>
    <row r="27" spans="1:16" x14ac:dyDescent="0.2">
      <c r="A27" s="2">
        <f>De!T38</f>
        <v>0</v>
      </c>
      <c r="C27" s="2" t="e">
        <f>De!$U38/'Analytical Data'!F31</f>
        <v>#DIV/0!</v>
      </c>
      <c r="D27" s="2" t="e">
        <f>De!$U38/'Analytical Data'!G31</f>
        <v>#DIV/0!</v>
      </c>
      <c r="E27" s="2" t="e">
        <f>De!$U38/'Analytical Data'!H31</f>
        <v>#DIV/0!</v>
      </c>
      <c r="F27" s="2" t="e">
        <f>De!$U38/'Analytical Data'!I31</f>
        <v>#DIV/0!</v>
      </c>
      <c r="G27" s="2" t="e">
        <f>De!$U38/'Analytical Data'!J31</f>
        <v>#DIV/0!</v>
      </c>
      <c r="H27" s="2" t="e">
        <f>De!$U38/'Analytical Data'!K31</f>
        <v>#DIV/0!</v>
      </c>
      <c r="I27" s="2" t="e">
        <f>De!$U38/'Analytical Data'!L31</f>
        <v>#DIV/0!</v>
      </c>
      <c r="J27" s="2" t="e">
        <f>De!$U38/'Analytical Data'!M31</f>
        <v>#DIV/0!</v>
      </c>
      <c r="L27" s="235">
        <f t="shared" si="0"/>
        <v>0</v>
      </c>
      <c r="M27" s="256" t="e">
        <f t="shared" si="1"/>
        <v>#DIV/0!</v>
      </c>
      <c r="N27" s="256" t="e">
        <f t="shared" si="2"/>
        <v>#DIV/0!</v>
      </c>
      <c r="O27" s="256" t="e">
        <f t="shared" si="3"/>
        <v>#DIV/0!</v>
      </c>
      <c r="P27" s="256" t="e">
        <f t="shared" si="4"/>
        <v>#DIV/0!</v>
      </c>
    </row>
    <row r="28" spans="1:16" x14ac:dyDescent="0.2">
      <c r="A28" s="2">
        <f>De!T39</f>
        <v>0</v>
      </c>
      <c r="C28" s="2" t="e">
        <f>De!$U39/'Analytical Data'!F32</f>
        <v>#DIV/0!</v>
      </c>
      <c r="D28" s="2" t="e">
        <f>De!$U39/'Analytical Data'!G32</f>
        <v>#DIV/0!</v>
      </c>
      <c r="E28" s="2" t="e">
        <f>De!$U39/'Analytical Data'!H32</f>
        <v>#DIV/0!</v>
      </c>
      <c r="F28" s="2" t="e">
        <f>De!$U39/'Analytical Data'!I32</f>
        <v>#DIV/0!</v>
      </c>
      <c r="G28" s="2" t="e">
        <f>De!$U39/'Analytical Data'!J32</f>
        <v>#DIV/0!</v>
      </c>
      <c r="H28" s="2" t="e">
        <f>De!$U39/'Analytical Data'!K32</f>
        <v>#DIV/0!</v>
      </c>
      <c r="I28" s="2" t="e">
        <f>De!$U39/'Analytical Data'!L32</f>
        <v>#DIV/0!</v>
      </c>
      <c r="J28" s="2" t="e">
        <f>De!$U39/'Analytical Data'!M32</f>
        <v>#DIV/0!</v>
      </c>
      <c r="L28" s="235">
        <f t="shared" si="0"/>
        <v>0</v>
      </c>
      <c r="M28" s="256" t="e">
        <f t="shared" si="1"/>
        <v>#DIV/0!</v>
      </c>
      <c r="N28" s="256" t="e">
        <f t="shared" si="2"/>
        <v>#DIV/0!</v>
      </c>
      <c r="O28" s="256" t="e">
        <f t="shared" si="3"/>
        <v>#DIV/0!</v>
      </c>
      <c r="P28" s="256" t="e">
        <f t="shared" si="4"/>
        <v>#DIV/0!</v>
      </c>
    </row>
    <row r="29" spans="1:16" x14ac:dyDescent="0.2">
      <c r="A29" s="2">
        <f>De!T40</f>
        <v>0</v>
      </c>
      <c r="C29" s="2" t="e">
        <f>De!$U40/'Analytical Data'!F33</f>
        <v>#DIV/0!</v>
      </c>
      <c r="D29" s="2" t="e">
        <f>De!$U40/'Analytical Data'!G33</f>
        <v>#DIV/0!</v>
      </c>
      <c r="E29" s="2" t="e">
        <f>De!$U40/'Analytical Data'!H33</f>
        <v>#DIV/0!</v>
      </c>
      <c r="F29" s="2" t="e">
        <f>De!$U40/'Analytical Data'!I33</f>
        <v>#DIV/0!</v>
      </c>
      <c r="G29" s="2" t="e">
        <f>De!$U40/'Analytical Data'!J33</f>
        <v>#DIV/0!</v>
      </c>
      <c r="H29" s="2" t="e">
        <f>De!$U40/'Analytical Data'!K33</f>
        <v>#DIV/0!</v>
      </c>
      <c r="I29" s="2" t="e">
        <f>De!$U40/'Analytical Data'!L33</f>
        <v>#DIV/0!</v>
      </c>
      <c r="J29" s="2" t="e">
        <f>De!$U40/'Analytical Data'!M33</f>
        <v>#DIV/0!</v>
      </c>
      <c r="L29" s="235">
        <f t="shared" si="0"/>
        <v>0</v>
      </c>
      <c r="M29" s="256" t="e">
        <f t="shared" si="1"/>
        <v>#DIV/0!</v>
      </c>
      <c r="N29" s="256" t="e">
        <f t="shared" si="2"/>
        <v>#DIV/0!</v>
      </c>
      <c r="O29" s="256" t="e">
        <f t="shared" si="3"/>
        <v>#DIV/0!</v>
      </c>
      <c r="P29" s="256" t="e">
        <f t="shared" si="4"/>
        <v>#DIV/0!</v>
      </c>
    </row>
    <row r="30" spans="1:16" x14ac:dyDescent="0.2">
      <c r="A30" s="2">
        <f>De!T41</f>
        <v>0</v>
      </c>
      <c r="C30" s="2" t="e">
        <f>De!$U41/'Analytical Data'!F34</f>
        <v>#DIV/0!</v>
      </c>
      <c r="D30" s="2" t="e">
        <f>De!$U41/'Analytical Data'!G34</f>
        <v>#DIV/0!</v>
      </c>
      <c r="E30" s="2" t="e">
        <f>De!$U41/'Analytical Data'!H34</f>
        <v>#DIV/0!</v>
      </c>
      <c r="F30" s="2" t="e">
        <f>De!$U41/'Analytical Data'!I34</f>
        <v>#DIV/0!</v>
      </c>
      <c r="G30" s="2" t="e">
        <f>De!$U41/'Analytical Data'!J34</f>
        <v>#DIV/0!</v>
      </c>
      <c r="H30" s="2" t="e">
        <f>De!$U41/'Analytical Data'!K34</f>
        <v>#DIV/0!</v>
      </c>
      <c r="I30" s="2" t="e">
        <f>De!$U41/'Analytical Data'!L34</f>
        <v>#DIV/0!</v>
      </c>
      <c r="J30" s="2" t="e">
        <f>De!$U41/'Analytical Data'!M34</f>
        <v>#DIV/0!</v>
      </c>
      <c r="L30" s="235">
        <f t="shared" si="0"/>
        <v>0</v>
      </c>
      <c r="M30" s="256" t="e">
        <f t="shared" si="1"/>
        <v>#DIV/0!</v>
      </c>
      <c r="N30" s="256" t="e">
        <f t="shared" si="2"/>
        <v>#DIV/0!</v>
      </c>
      <c r="O30" s="256" t="e">
        <f t="shared" si="3"/>
        <v>#DIV/0!</v>
      </c>
      <c r="P30" s="256" t="e">
        <f t="shared" si="4"/>
        <v>#DIV/0!</v>
      </c>
    </row>
    <row r="31" spans="1:16" x14ac:dyDescent="0.2">
      <c r="A31" s="2">
        <f>De!T42</f>
        <v>0</v>
      </c>
      <c r="C31" s="2" t="e">
        <f>De!$U42/'Analytical Data'!F35</f>
        <v>#DIV/0!</v>
      </c>
      <c r="D31" s="2" t="e">
        <f>De!$U42/'Analytical Data'!G35</f>
        <v>#DIV/0!</v>
      </c>
      <c r="E31" s="2" t="e">
        <f>De!$U42/'Analytical Data'!H35</f>
        <v>#DIV/0!</v>
      </c>
      <c r="F31" s="2" t="e">
        <f>De!$U42/'Analytical Data'!I35</f>
        <v>#DIV/0!</v>
      </c>
      <c r="G31" s="2" t="e">
        <f>De!$U42/'Analytical Data'!J35</f>
        <v>#DIV/0!</v>
      </c>
      <c r="H31" s="2" t="e">
        <f>De!$U42/'Analytical Data'!K35</f>
        <v>#DIV/0!</v>
      </c>
      <c r="I31" s="2" t="e">
        <f>De!$U42/'Analytical Data'!L35</f>
        <v>#DIV/0!</v>
      </c>
      <c r="J31" s="2" t="e">
        <f>De!$U42/'Analytical Data'!M35</f>
        <v>#DIV/0!</v>
      </c>
      <c r="L31" s="235">
        <f t="shared" si="0"/>
        <v>0</v>
      </c>
      <c r="M31" s="256" t="e">
        <f t="shared" si="1"/>
        <v>#DIV/0!</v>
      </c>
      <c r="N31" s="256" t="e">
        <f t="shared" si="2"/>
        <v>#DIV/0!</v>
      </c>
      <c r="O31" s="256" t="e">
        <f t="shared" si="3"/>
        <v>#DIV/0!</v>
      </c>
      <c r="P31" s="256" t="e">
        <f t="shared" si="4"/>
        <v>#DIV/0!</v>
      </c>
    </row>
    <row r="32" spans="1:16" x14ac:dyDescent="0.2">
      <c r="A32" s="2">
        <f>De!T43</f>
        <v>0</v>
      </c>
      <c r="C32" s="2" t="e">
        <f>De!$U43/'Analytical Data'!F36</f>
        <v>#DIV/0!</v>
      </c>
      <c r="D32" s="2" t="e">
        <f>De!$U43/'Analytical Data'!G36</f>
        <v>#DIV/0!</v>
      </c>
      <c r="E32" s="2" t="e">
        <f>De!$U43/'Analytical Data'!H36</f>
        <v>#DIV/0!</v>
      </c>
      <c r="F32" s="2" t="e">
        <f>De!$U43/'Analytical Data'!I36</f>
        <v>#DIV/0!</v>
      </c>
      <c r="G32" s="2" t="e">
        <f>De!$U43/'Analytical Data'!J36</f>
        <v>#DIV/0!</v>
      </c>
      <c r="H32" s="2" t="e">
        <f>De!$U43/'Analytical Data'!K36</f>
        <v>#DIV/0!</v>
      </c>
      <c r="I32" s="2" t="e">
        <f>De!$U43/'Analytical Data'!L36</f>
        <v>#DIV/0!</v>
      </c>
      <c r="J32" s="2" t="e">
        <f>De!$U43/'Analytical Data'!M36</f>
        <v>#DIV/0!</v>
      </c>
      <c r="L32" s="235">
        <f t="shared" si="0"/>
        <v>0</v>
      </c>
      <c r="M32" s="256" t="e">
        <f t="shared" si="1"/>
        <v>#DIV/0!</v>
      </c>
      <c r="N32" s="256" t="e">
        <f t="shared" si="2"/>
        <v>#DIV/0!</v>
      </c>
      <c r="O32" s="256" t="e">
        <f t="shared" si="3"/>
        <v>#DIV/0!</v>
      </c>
      <c r="P32" s="256" t="e">
        <f t="shared" si="4"/>
        <v>#DIV/0!</v>
      </c>
    </row>
    <row r="33" spans="1:16" x14ac:dyDescent="0.2">
      <c r="A33" s="2">
        <f>De!T44</f>
        <v>0</v>
      </c>
      <c r="C33" s="2" t="e">
        <f>De!$U44/'Analytical Data'!F37</f>
        <v>#DIV/0!</v>
      </c>
      <c r="D33" s="2" t="e">
        <f>De!$U44/'Analytical Data'!G37</f>
        <v>#DIV/0!</v>
      </c>
      <c r="E33" s="2" t="e">
        <f>De!$U44/'Analytical Data'!H37</f>
        <v>#DIV/0!</v>
      </c>
      <c r="F33" s="2" t="e">
        <f>De!$U44/'Analytical Data'!I37</f>
        <v>#DIV/0!</v>
      </c>
      <c r="G33" s="2" t="e">
        <f>De!$U44/'Analytical Data'!J37</f>
        <v>#DIV/0!</v>
      </c>
      <c r="H33" s="2" t="e">
        <f>De!$U44/'Analytical Data'!K37</f>
        <v>#DIV/0!</v>
      </c>
      <c r="I33" s="2" t="e">
        <f>De!$U44/'Analytical Data'!L37</f>
        <v>#DIV/0!</v>
      </c>
      <c r="J33" s="2" t="e">
        <f>De!$U44/'Analytical Data'!M37</f>
        <v>#DIV/0!</v>
      </c>
      <c r="L33" s="235">
        <f t="shared" si="0"/>
        <v>0</v>
      </c>
      <c r="M33" s="256" t="e">
        <f t="shared" si="1"/>
        <v>#DIV/0!</v>
      </c>
      <c r="N33" s="256" t="e">
        <f t="shared" si="2"/>
        <v>#DIV/0!</v>
      </c>
      <c r="O33" s="256" t="e">
        <f t="shared" si="3"/>
        <v>#DIV/0!</v>
      </c>
      <c r="P33" s="256" t="e">
        <f t="shared" si="4"/>
        <v>#DIV/0!</v>
      </c>
    </row>
    <row r="34" spans="1:16" x14ac:dyDescent="0.2">
      <c r="A34" s="2">
        <f>De!T45</f>
        <v>0</v>
      </c>
      <c r="C34" s="2" t="e">
        <f>De!$U45/'Analytical Data'!F38</f>
        <v>#DIV/0!</v>
      </c>
      <c r="D34" s="2" t="e">
        <f>De!$U45/'Analytical Data'!G38</f>
        <v>#DIV/0!</v>
      </c>
      <c r="E34" s="2" t="e">
        <f>De!$U45/'Analytical Data'!H38</f>
        <v>#DIV/0!</v>
      </c>
      <c r="F34" s="2" t="e">
        <f>De!$U45/'Analytical Data'!I38</f>
        <v>#DIV/0!</v>
      </c>
      <c r="G34" s="2" t="e">
        <f>De!$U45/'Analytical Data'!J38</f>
        <v>#DIV/0!</v>
      </c>
      <c r="H34" s="2" t="e">
        <f>De!$U45/'Analytical Data'!K38</f>
        <v>#DIV/0!</v>
      </c>
      <c r="I34" s="2" t="e">
        <f>De!$U45/'Analytical Data'!L38</f>
        <v>#DIV/0!</v>
      </c>
      <c r="J34" s="2" t="e">
        <f>De!$U45/'Analytical Data'!M38</f>
        <v>#DIV/0!</v>
      </c>
      <c r="L34" s="235">
        <f t="shared" si="0"/>
        <v>0</v>
      </c>
      <c r="M34" s="256" t="e">
        <f t="shared" si="1"/>
        <v>#DIV/0!</v>
      </c>
      <c r="N34" s="256" t="e">
        <f t="shared" si="2"/>
        <v>#DIV/0!</v>
      </c>
      <c r="O34" s="256" t="e">
        <f t="shared" si="3"/>
        <v>#DIV/0!</v>
      </c>
      <c r="P34" s="256" t="e">
        <f t="shared" si="4"/>
        <v>#DIV/0!</v>
      </c>
    </row>
    <row r="35" spans="1:16" x14ac:dyDescent="0.2">
      <c r="A35" s="2">
        <f>De!T46</f>
        <v>0</v>
      </c>
      <c r="C35" s="2" t="e">
        <f>De!$U46/'Analytical Data'!F39</f>
        <v>#DIV/0!</v>
      </c>
      <c r="D35" s="2" t="e">
        <f>De!$U46/'Analytical Data'!G39</f>
        <v>#DIV/0!</v>
      </c>
      <c r="E35" s="2" t="e">
        <f>De!$U46/'Analytical Data'!H39</f>
        <v>#DIV/0!</v>
      </c>
      <c r="F35" s="2" t="e">
        <f>De!$U46/'Analytical Data'!I39</f>
        <v>#DIV/0!</v>
      </c>
      <c r="G35" s="2" t="e">
        <f>De!$U46/'Analytical Data'!J39</f>
        <v>#DIV/0!</v>
      </c>
      <c r="H35" s="2" t="e">
        <f>De!$U46/'Analytical Data'!K39</f>
        <v>#DIV/0!</v>
      </c>
      <c r="I35" s="2" t="e">
        <f>De!$U46/'Analytical Data'!L39</f>
        <v>#DIV/0!</v>
      </c>
      <c r="J35" s="2" t="e">
        <f>De!$U46/'Analytical Data'!M39</f>
        <v>#DIV/0!</v>
      </c>
      <c r="L35" s="235">
        <f t="shared" si="0"/>
        <v>0</v>
      </c>
      <c r="M35" s="256" t="e">
        <f t="shared" si="1"/>
        <v>#DIV/0!</v>
      </c>
      <c r="N35" s="256" t="e">
        <f t="shared" si="2"/>
        <v>#DIV/0!</v>
      </c>
      <c r="O35" s="256" t="e">
        <f t="shared" si="3"/>
        <v>#DIV/0!</v>
      </c>
      <c r="P35" s="256" t="e">
        <f t="shared" si="4"/>
        <v>#DIV/0!</v>
      </c>
    </row>
    <row r="36" spans="1:16" x14ac:dyDescent="0.2">
      <c r="A36" s="2">
        <f>De!T47</f>
        <v>0</v>
      </c>
      <c r="C36" s="2" t="e">
        <f>De!$U47/'Analytical Data'!F40</f>
        <v>#DIV/0!</v>
      </c>
      <c r="D36" s="2" t="e">
        <f>De!$U47/'Analytical Data'!G40</f>
        <v>#DIV/0!</v>
      </c>
      <c r="E36" s="2" t="e">
        <f>De!$U47/'Analytical Data'!H40</f>
        <v>#DIV/0!</v>
      </c>
      <c r="F36" s="2" t="e">
        <f>De!$U47/'Analytical Data'!I40</f>
        <v>#DIV/0!</v>
      </c>
      <c r="G36" s="2" t="e">
        <f>De!$U47/'Analytical Data'!J40</f>
        <v>#DIV/0!</v>
      </c>
      <c r="H36" s="2" t="e">
        <f>De!$U47/'Analytical Data'!K40</f>
        <v>#DIV/0!</v>
      </c>
      <c r="I36" s="2" t="e">
        <f>De!$U47/'Analytical Data'!L40</f>
        <v>#DIV/0!</v>
      </c>
      <c r="J36" s="2" t="e">
        <f>De!$U47/'Analytical Data'!M40</f>
        <v>#DIV/0!</v>
      </c>
      <c r="L36" s="235">
        <f t="shared" si="0"/>
        <v>0</v>
      </c>
      <c r="M36" s="256" t="e">
        <f t="shared" si="1"/>
        <v>#DIV/0!</v>
      </c>
      <c r="N36" s="256" t="e">
        <f t="shared" si="2"/>
        <v>#DIV/0!</v>
      </c>
      <c r="O36" s="256" t="e">
        <f t="shared" si="3"/>
        <v>#DIV/0!</v>
      </c>
      <c r="P36" s="256" t="e">
        <f t="shared" si="4"/>
        <v>#DIV/0!</v>
      </c>
    </row>
    <row r="37" spans="1:16" x14ac:dyDescent="0.2">
      <c r="A37" s="2">
        <f>De!T48</f>
        <v>0</v>
      </c>
      <c r="C37" s="2" t="e">
        <f>De!$U48/'Analytical Data'!F41</f>
        <v>#DIV/0!</v>
      </c>
      <c r="D37" s="2" t="e">
        <f>De!$U48/'Analytical Data'!G41</f>
        <v>#DIV/0!</v>
      </c>
      <c r="E37" s="2" t="e">
        <f>De!$U48/'Analytical Data'!H41</f>
        <v>#DIV/0!</v>
      </c>
      <c r="F37" s="2" t="e">
        <f>De!$U48/'Analytical Data'!I41</f>
        <v>#DIV/0!</v>
      </c>
      <c r="G37" s="2" t="e">
        <f>De!$U48/'Analytical Data'!J41</f>
        <v>#DIV/0!</v>
      </c>
      <c r="H37" s="2" t="e">
        <f>De!$U48/'Analytical Data'!K41</f>
        <v>#DIV/0!</v>
      </c>
      <c r="I37" s="2" t="e">
        <f>De!$U48/'Analytical Data'!L41</f>
        <v>#DIV/0!</v>
      </c>
      <c r="J37" s="2" t="e">
        <f>De!$U48/'Analytical Data'!M41</f>
        <v>#DIV/0!</v>
      </c>
      <c r="L37" s="235">
        <f t="shared" si="0"/>
        <v>0</v>
      </c>
      <c r="M37" s="256" t="e">
        <f t="shared" si="1"/>
        <v>#DIV/0!</v>
      </c>
      <c r="N37" s="256" t="e">
        <f t="shared" si="2"/>
        <v>#DIV/0!</v>
      </c>
      <c r="O37" s="256" t="e">
        <f t="shared" si="3"/>
        <v>#DIV/0!</v>
      </c>
      <c r="P37" s="256" t="e">
        <f t="shared" si="4"/>
        <v>#DIV/0!</v>
      </c>
    </row>
    <row r="38" spans="1:16" x14ac:dyDescent="0.2">
      <c r="A38" s="2">
        <f>De!T49</f>
        <v>0</v>
      </c>
      <c r="C38" s="2" t="e">
        <f>De!$U49/'Analytical Data'!F42</f>
        <v>#DIV/0!</v>
      </c>
      <c r="D38" s="2" t="e">
        <f>De!$U49/'Analytical Data'!G42</f>
        <v>#DIV/0!</v>
      </c>
      <c r="E38" s="2" t="e">
        <f>De!$U49/'Analytical Data'!H42</f>
        <v>#DIV/0!</v>
      </c>
      <c r="F38" s="2" t="e">
        <f>De!$U49/'Analytical Data'!I42</f>
        <v>#DIV/0!</v>
      </c>
      <c r="G38" s="2" t="e">
        <f>De!$U49/'Analytical Data'!J42</f>
        <v>#DIV/0!</v>
      </c>
      <c r="H38" s="2" t="e">
        <f>De!$U49/'Analytical Data'!K42</f>
        <v>#DIV/0!</v>
      </c>
      <c r="I38" s="2" t="e">
        <f>De!$U49/'Analytical Data'!L42</f>
        <v>#DIV/0!</v>
      </c>
      <c r="J38" s="2" t="e">
        <f>De!$U49/'Analytical Data'!M42</f>
        <v>#DIV/0!</v>
      </c>
      <c r="L38" s="235">
        <f t="shared" ref="L38:L71" si="5">A38</f>
        <v>0</v>
      </c>
      <c r="M38" s="256" t="e">
        <f t="shared" ref="M38:M71" si="6">MAX(C38:J38)</f>
        <v>#DIV/0!</v>
      </c>
      <c r="N38" s="256" t="e">
        <f t="shared" ref="N38:N71" si="7">MIN(C38:J38)</f>
        <v>#DIV/0!</v>
      </c>
      <c r="O38" s="256" t="e">
        <f t="shared" ref="O38:O71" si="8">MEDIAN(C38:J38)</f>
        <v>#DIV/0!</v>
      </c>
      <c r="P38" s="256" t="e">
        <f t="shared" ref="P38:P71" si="9">ROUND( AVERAGE(C38:J38),3-(1+INT(LOG10(ABS( AVERAGE(C38:J38))))))</f>
        <v>#DIV/0!</v>
      </c>
    </row>
    <row r="39" spans="1:16" x14ac:dyDescent="0.2">
      <c r="A39" s="2">
        <f>De!T50</f>
        <v>0</v>
      </c>
      <c r="C39" s="2" t="e">
        <f>De!$U50/'Analytical Data'!F43</f>
        <v>#DIV/0!</v>
      </c>
      <c r="D39" s="2" t="e">
        <f>De!$U50/'Analytical Data'!G43</f>
        <v>#DIV/0!</v>
      </c>
      <c r="E39" s="2" t="e">
        <f>De!$U50/'Analytical Data'!H43</f>
        <v>#DIV/0!</v>
      </c>
      <c r="F39" s="2" t="e">
        <f>De!$U50/'Analytical Data'!I43</f>
        <v>#DIV/0!</v>
      </c>
      <c r="G39" s="2" t="e">
        <f>De!$U50/'Analytical Data'!J43</f>
        <v>#DIV/0!</v>
      </c>
      <c r="H39" s="2" t="e">
        <f>De!$U50/'Analytical Data'!K43</f>
        <v>#DIV/0!</v>
      </c>
      <c r="I39" s="2" t="e">
        <f>De!$U50/'Analytical Data'!L43</f>
        <v>#DIV/0!</v>
      </c>
      <c r="J39" s="2" t="e">
        <f>De!$U50/'Analytical Data'!M43</f>
        <v>#DIV/0!</v>
      </c>
      <c r="L39" s="235">
        <f t="shared" si="5"/>
        <v>0</v>
      </c>
      <c r="M39" s="256" t="e">
        <f t="shared" si="6"/>
        <v>#DIV/0!</v>
      </c>
      <c r="N39" s="256" t="e">
        <f t="shared" si="7"/>
        <v>#DIV/0!</v>
      </c>
      <c r="O39" s="256" t="e">
        <f t="shared" si="8"/>
        <v>#DIV/0!</v>
      </c>
      <c r="P39" s="256" t="e">
        <f t="shared" si="9"/>
        <v>#DIV/0!</v>
      </c>
    </row>
    <row r="40" spans="1:16" x14ac:dyDescent="0.2">
      <c r="A40" s="2">
        <f>De!T51</f>
        <v>0</v>
      </c>
      <c r="C40" s="2" t="e">
        <f>De!$U51/'Analytical Data'!F44</f>
        <v>#DIV/0!</v>
      </c>
      <c r="D40" s="2" t="e">
        <f>De!$U51/'Analytical Data'!G44</f>
        <v>#DIV/0!</v>
      </c>
      <c r="E40" s="2" t="e">
        <f>De!$U51/'Analytical Data'!H44</f>
        <v>#DIV/0!</v>
      </c>
      <c r="F40" s="2" t="e">
        <f>De!$U51/'Analytical Data'!I44</f>
        <v>#DIV/0!</v>
      </c>
      <c r="G40" s="2" t="e">
        <f>De!$U51/'Analytical Data'!J44</f>
        <v>#DIV/0!</v>
      </c>
      <c r="H40" s="2" t="e">
        <f>De!$U51/'Analytical Data'!K44</f>
        <v>#DIV/0!</v>
      </c>
      <c r="I40" s="2" t="e">
        <f>De!$U51/'Analytical Data'!L44</f>
        <v>#DIV/0!</v>
      </c>
      <c r="J40" s="2" t="e">
        <f>De!$U51/'Analytical Data'!M44</f>
        <v>#DIV/0!</v>
      </c>
      <c r="L40" s="235">
        <f t="shared" si="5"/>
        <v>0</v>
      </c>
      <c r="M40" s="256" t="e">
        <f t="shared" si="6"/>
        <v>#DIV/0!</v>
      </c>
      <c r="N40" s="256" t="e">
        <f t="shared" si="7"/>
        <v>#DIV/0!</v>
      </c>
      <c r="O40" s="256" t="e">
        <f t="shared" si="8"/>
        <v>#DIV/0!</v>
      </c>
      <c r="P40" s="256" t="e">
        <f t="shared" si="9"/>
        <v>#DIV/0!</v>
      </c>
    </row>
    <row r="41" spans="1:16" x14ac:dyDescent="0.2">
      <c r="A41" s="2">
        <f>De!T52</f>
        <v>0</v>
      </c>
      <c r="C41" s="2" t="e">
        <f>De!$U52/'Analytical Data'!F45</f>
        <v>#DIV/0!</v>
      </c>
      <c r="D41" s="2" t="e">
        <f>De!$U52/'Analytical Data'!G45</f>
        <v>#DIV/0!</v>
      </c>
      <c r="E41" s="2" t="e">
        <f>De!$U52/'Analytical Data'!H45</f>
        <v>#DIV/0!</v>
      </c>
      <c r="F41" s="2" t="e">
        <f>De!$U52/'Analytical Data'!I45</f>
        <v>#DIV/0!</v>
      </c>
      <c r="G41" s="2" t="e">
        <f>De!$U52/'Analytical Data'!J45</f>
        <v>#DIV/0!</v>
      </c>
      <c r="H41" s="2" t="e">
        <f>De!$U52/'Analytical Data'!K45</f>
        <v>#DIV/0!</v>
      </c>
      <c r="I41" s="2" t="e">
        <f>De!$U52/'Analytical Data'!L45</f>
        <v>#DIV/0!</v>
      </c>
      <c r="J41" s="2" t="e">
        <f>De!$U52/'Analytical Data'!M45</f>
        <v>#DIV/0!</v>
      </c>
      <c r="L41" s="235">
        <f t="shared" si="5"/>
        <v>0</v>
      </c>
      <c r="M41" s="256" t="e">
        <f t="shared" si="6"/>
        <v>#DIV/0!</v>
      </c>
      <c r="N41" s="256" t="e">
        <f t="shared" si="7"/>
        <v>#DIV/0!</v>
      </c>
      <c r="O41" s="256" t="e">
        <f t="shared" si="8"/>
        <v>#DIV/0!</v>
      </c>
      <c r="P41" s="256" t="e">
        <f t="shared" si="9"/>
        <v>#DIV/0!</v>
      </c>
    </row>
    <row r="42" spans="1:16" x14ac:dyDescent="0.2">
      <c r="A42" s="2">
        <f>De!T53</f>
        <v>0</v>
      </c>
      <c r="C42" s="2" t="e">
        <f>De!$U53/'Analytical Data'!F46</f>
        <v>#DIV/0!</v>
      </c>
      <c r="D42" s="2" t="e">
        <f>De!$U53/'Analytical Data'!G46</f>
        <v>#DIV/0!</v>
      </c>
      <c r="E42" s="2" t="e">
        <f>De!$U53/'Analytical Data'!H46</f>
        <v>#DIV/0!</v>
      </c>
      <c r="F42" s="2" t="e">
        <f>De!$U53/'Analytical Data'!I46</f>
        <v>#DIV/0!</v>
      </c>
      <c r="G42" s="2" t="e">
        <f>De!$U53/'Analytical Data'!J46</f>
        <v>#DIV/0!</v>
      </c>
      <c r="H42" s="2" t="e">
        <f>De!$U53/'Analytical Data'!K46</f>
        <v>#DIV/0!</v>
      </c>
      <c r="I42" s="2" t="e">
        <f>De!$U53/'Analytical Data'!L46</f>
        <v>#DIV/0!</v>
      </c>
      <c r="J42" s="2" t="e">
        <f>De!$U53/'Analytical Data'!M46</f>
        <v>#DIV/0!</v>
      </c>
      <c r="L42" s="235">
        <f t="shared" si="5"/>
        <v>0</v>
      </c>
      <c r="M42" s="256" t="e">
        <f t="shared" si="6"/>
        <v>#DIV/0!</v>
      </c>
      <c r="N42" s="256" t="e">
        <f t="shared" si="7"/>
        <v>#DIV/0!</v>
      </c>
      <c r="O42" s="256" t="e">
        <f t="shared" si="8"/>
        <v>#DIV/0!</v>
      </c>
      <c r="P42" s="256" t="e">
        <f t="shared" si="9"/>
        <v>#DIV/0!</v>
      </c>
    </row>
    <row r="43" spans="1:16" x14ac:dyDescent="0.2">
      <c r="A43" s="2">
        <f>De!T54</f>
        <v>0</v>
      </c>
      <c r="C43" s="2" t="e">
        <f>De!$U54/'Analytical Data'!F47</f>
        <v>#DIV/0!</v>
      </c>
      <c r="D43" s="2" t="e">
        <f>De!$U54/'Analytical Data'!G47</f>
        <v>#DIV/0!</v>
      </c>
      <c r="E43" s="2" t="e">
        <f>De!$U54/'Analytical Data'!H47</f>
        <v>#DIV/0!</v>
      </c>
      <c r="F43" s="2" t="e">
        <f>De!$U54/'Analytical Data'!I47</f>
        <v>#DIV/0!</v>
      </c>
      <c r="G43" s="2" t="e">
        <f>De!$U54/'Analytical Data'!J47</f>
        <v>#DIV/0!</v>
      </c>
      <c r="H43" s="2" t="e">
        <f>De!$U54/'Analytical Data'!K47</f>
        <v>#DIV/0!</v>
      </c>
      <c r="I43" s="2" t="e">
        <f>De!$U54/'Analytical Data'!L47</f>
        <v>#DIV/0!</v>
      </c>
      <c r="J43" s="2" t="e">
        <f>De!$U54/'Analytical Data'!M47</f>
        <v>#DIV/0!</v>
      </c>
      <c r="L43" s="235">
        <f t="shared" si="5"/>
        <v>0</v>
      </c>
      <c r="M43" s="256" t="e">
        <f t="shared" si="6"/>
        <v>#DIV/0!</v>
      </c>
      <c r="N43" s="256" t="e">
        <f t="shared" si="7"/>
        <v>#DIV/0!</v>
      </c>
      <c r="O43" s="256" t="e">
        <f t="shared" si="8"/>
        <v>#DIV/0!</v>
      </c>
      <c r="P43" s="256" t="e">
        <f t="shared" si="9"/>
        <v>#DIV/0!</v>
      </c>
    </row>
    <row r="44" spans="1:16" x14ac:dyDescent="0.2">
      <c r="A44" s="2">
        <f>De!T55</f>
        <v>0</v>
      </c>
      <c r="C44" s="2" t="e">
        <f>De!$U55/'Analytical Data'!F48</f>
        <v>#DIV/0!</v>
      </c>
      <c r="D44" s="2" t="e">
        <f>De!$U55/'Analytical Data'!G48</f>
        <v>#DIV/0!</v>
      </c>
      <c r="E44" s="2" t="e">
        <f>De!$U55/'Analytical Data'!H48</f>
        <v>#DIV/0!</v>
      </c>
      <c r="F44" s="2" t="e">
        <f>De!$U55/'Analytical Data'!I48</f>
        <v>#DIV/0!</v>
      </c>
      <c r="G44" s="2" t="e">
        <f>De!$U55/'Analytical Data'!J48</f>
        <v>#DIV/0!</v>
      </c>
      <c r="H44" s="2" t="e">
        <f>De!$U55/'Analytical Data'!K48</f>
        <v>#DIV/0!</v>
      </c>
      <c r="I44" s="2" t="e">
        <f>De!$U55/'Analytical Data'!L48</f>
        <v>#DIV/0!</v>
      </c>
      <c r="J44" s="2" t="e">
        <f>De!$U55/'Analytical Data'!M48</f>
        <v>#DIV/0!</v>
      </c>
      <c r="L44" s="235">
        <f t="shared" si="5"/>
        <v>0</v>
      </c>
      <c r="M44" s="256" t="e">
        <f t="shared" si="6"/>
        <v>#DIV/0!</v>
      </c>
      <c r="N44" s="256" t="e">
        <f t="shared" si="7"/>
        <v>#DIV/0!</v>
      </c>
      <c r="O44" s="256" t="e">
        <f t="shared" si="8"/>
        <v>#DIV/0!</v>
      </c>
      <c r="P44" s="256" t="e">
        <f t="shared" si="9"/>
        <v>#DIV/0!</v>
      </c>
    </row>
    <row r="45" spans="1:16" x14ac:dyDescent="0.2">
      <c r="A45" s="2">
        <f>De!T56</f>
        <v>0</v>
      </c>
      <c r="C45" s="2" t="e">
        <f>De!$U56/'Analytical Data'!F49</f>
        <v>#DIV/0!</v>
      </c>
      <c r="D45" s="2" t="e">
        <f>De!$U56/'Analytical Data'!G49</f>
        <v>#DIV/0!</v>
      </c>
      <c r="E45" s="2" t="e">
        <f>De!$U56/'Analytical Data'!H49</f>
        <v>#DIV/0!</v>
      </c>
      <c r="F45" s="2" t="e">
        <f>De!$U56/'Analytical Data'!I49</f>
        <v>#DIV/0!</v>
      </c>
      <c r="G45" s="2" t="e">
        <f>De!$U56/'Analytical Data'!J49</f>
        <v>#DIV/0!</v>
      </c>
      <c r="H45" s="2" t="e">
        <f>De!$U56/'Analytical Data'!K49</f>
        <v>#DIV/0!</v>
      </c>
      <c r="I45" s="2" t="e">
        <f>De!$U56/'Analytical Data'!L49</f>
        <v>#DIV/0!</v>
      </c>
      <c r="J45" s="2" t="e">
        <f>De!$U56/'Analytical Data'!M49</f>
        <v>#DIV/0!</v>
      </c>
      <c r="L45" s="235">
        <f t="shared" si="5"/>
        <v>0</v>
      </c>
      <c r="M45" s="256" t="e">
        <f t="shared" si="6"/>
        <v>#DIV/0!</v>
      </c>
      <c r="N45" s="256" t="e">
        <f t="shared" si="7"/>
        <v>#DIV/0!</v>
      </c>
      <c r="O45" s="256" t="e">
        <f t="shared" si="8"/>
        <v>#DIV/0!</v>
      </c>
      <c r="P45" s="256" t="e">
        <f t="shared" si="9"/>
        <v>#DIV/0!</v>
      </c>
    </row>
    <row r="46" spans="1:16" x14ac:dyDescent="0.2">
      <c r="A46" s="2">
        <f>De!T57</f>
        <v>0</v>
      </c>
      <c r="C46" s="2" t="e">
        <f>De!$U57/'Analytical Data'!F50</f>
        <v>#DIV/0!</v>
      </c>
      <c r="D46" s="2" t="e">
        <f>De!$U57/'Analytical Data'!G50</f>
        <v>#DIV/0!</v>
      </c>
      <c r="E46" s="2" t="e">
        <f>De!$U57/'Analytical Data'!H50</f>
        <v>#DIV/0!</v>
      </c>
      <c r="F46" s="2" t="e">
        <f>De!$U57/'Analytical Data'!I50</f>
        <v>#DIV/0!</v>
      </c>
      <c r="G46" s="2" t="e">
        <f>De!$U57/'Analytical Data'!J50</f>
        <v>#DIV/0!</v>
      </c>
      <c r="H46" s="2" t="e">
        <f>De!$U57/'Analytical Data'!K50</f>
        <v>#DIV/0!</v>
      </c>
      <c r="I46" s="2" t="e">
        <f>De!$U57/'Analytical Data'!L50</f>
        <v>#DIV/0!</v>
      </c>
      <c r="J46" s="2" t="e">
        <f>De!$U57/'Analytical Data'!M50</f>
        <v>#DIV/0!</v>
      </c>
      <c r="L46" s="235">
        <f t="shared" si="5"/>
        <v>0</v>
      </c>
      <c r="M46" s="256" t="e">
        <f t="shared" si="6"/>
        <v>#DIV/0!</v>
      </c>
      <c r="N46" s="256" t="e">
        <f t="shared" si="7"/>
        <v>#DIV/0!</v>
      </c>
      <c r="O46" s="256" t="e">
        <f t="shared" si="8"/>
        <v>#DIV/0!</v>
      </c>
      <c r="P46" s="256" t="e">
        <f t="shared" si="9"/>
        <v>#DIV/0!</v>
      </c>
    </row>
    <row r="47" spans="1:16" x14ac:dyDescent="0.2">
      <c r="A47" s="2">
        <f>De!T58</f>
        <v>0</v>
      </c>
      <c r="C47" s="2" t="e">
        <f>De!$U58/'Analytical Data'!F51</f>
        <v>#DIV/0!</v>
      </c>
      <c r="D47" s="2" t="e">
        <f>De!$U58/'Analytical Data'!G51</f>
        <v>#DIV/0!</v>
      </c>
      <c r="E47" s="2" t="e">
        <f>De!$U58/'Analytical Data'!H51</f>
        <v>#DIV/0!</v>
      </c>
      <c r="F47" s="2" t="e">
        <f>De!$U58/'Analytical Data'!I51</f>
        <v>#DIV/0!</v>
      </c>
      <c r="G47" s="2" t="e">
        <f>De!$U58/'Analytical Data'!J51</f>
        <v>#DIV/0!</v>
      </c>
      <c r="H47" s="2" t="e">
        <f>De!$U58/'Analytical Data'!K51</f>
        <v>#DIV/0!</v>
      </c>
      <c r="I47" s="2" t="e">
        <f>De!$U58/'Analytical Data'!L51</f>
        <v>#DIV/0!</v>
      </c>
      <c r="J47" s="2" t="e">
        <f>De!$U58/'Analytical Data'!M51</f>
        <v>#DIV/0!</v>
      </c>
      <c r="L47" s="235">
        <f t="shared" si="5"/>
        <v>0</v>
      </c>
      <c r="M47" s="256" t="e">
        <f t="shared" si="6"/>
        <v>#DIV/0!</v>
      </c>
      <c r="N47" s="256" t="e">
        <f t="shared" si="7"/>
        <v>#DIV/0!</v>
      </c>
      <c r="O47" s="256" t="e">
        <f t="shared" si="8"/>
        <v>#DIV/0!</v>
      </c>
      <c r="P47" s="256" t="e">
        <f t="shared" si="9"/>
        <v>#DIV/0!</v>
      </c>
    </row>
    <row r="48" spans="1:16" x14ac:dyDescent="0.2">
      <c r="A48" s="2">
        <f>De!T59</f>
        <v>0</v>
      </c>
      <c r="C48" s="2" t="e">
        <f>De!$U59/'Analytical Data'!F52</f>
        <v>#DIV/0!</v>
      </c>
      <c r="D48" s="2" t="e">
        <f>De!$U59/'Analytical Data'!G52</f>
        <v>#DIV/0!</v>
      </c>
      <c r="E48" s="2" t="e">
        <f>De!$U59/'Analytical Data'!H52</f>
        <v>#DIV/0!</v>
      </c>
      <c r="F48" s="2" t="e">
        <f>De!$U59/'Analytical Data'!I52</f>
        <v>#DIV/0!</v>
      </c>
      <c r="G48" s="2" t="e">
        <f>De!$U59/'Analytical Data'!J52</f>
        <v>#DIV/0!</v>
      </c>
      <c r="H48" s="2" t="e">
        <f>De!$U59/'Analytical Data'!K52</f>
        <v>#DIV/0!</v>
      </c>
      <c r="I48" s="2" t="e">
        <f>De!$U59/'Analytical Data'!L52</f>
        <v>#DIV/0!</v>
      </c>
      <c r="J48" s="2" t="e">
        <f>De!$U59/'Analytical Data'!M52</f>
        <v>#DIV/0!</v>
      </c>
      <c r="L48" s="235">
        <f t="shared" si="5"/>
        <v>0</v>
      </c>
      <c r="M48" s="256" t="e">
        <f t="shared" si="6"/>
        <v>#DIV/0!</v>
      </c>
      <c r="N48" s="256" t="e">
        <f t="shared" si="7"/>
        <v>#DIV/0!</v>
      </c>
      <c r="O48" s="256" t="e">
        <f t="shared" si="8"/>
        <v>#DIV/0!</v>
      </c>
      <c r="P48" s="256" t="e">
        <f t="shared" si="9"/>
        <v>#DIV/0!</v>
      </c>
    </row>
    <row r="49" spans="1:16" x14ac:dyDescent="0.2">
      <c r="A49" s="2">
        <f>De!T60</f>
        <v>0</v>
      </c>
      <c r="C49" s="2" t="e">
        <f>De!$U60/'Analytical Data'!F53</f>
        <v>#DIV/0!</v>
      </c>
      <c r="D49" s="2" t="e">
        <f>De!$U60/'Analytical Data'!G53</f>
        <v>#DIV/0!</v>
      </c>
      <c r="E49" s="2" t="e">
        <f>De!$U60/'Analytical Data'!H53</f>
        <v>#DIV/0!</v>
      </c>
      <c r="F49" s="2" t="e">
        <f>De!$U60/'Analytical Data'!I53</f>
        <v>#DIV/0!</v>
      </c>
      <c r="G49" s="2" t="e">
        <f>De!$U60/'Analytical Data'!J53</f>
        <v>#DIV/0!</v>
      </c>
      <c r="H49" s="2" t="e">
        <f>De!$U60/'Analytical Data'!K53</f>
        <v>#DIV/0!</v>
      </c>
      <c r="I49" s="2" t="e">
        <f>De!$U60/'Analytical Data'!L53</f>
        <v>#DIV/0!</v>
      </c>
      <c r="J49" s="2" t="e">
        <f>De!$U60/'Analytical Data'!M53</f>
        <v>#DIV/0!</v>
      </c>
      <c r="L49" s="235">
        <f t="shared" si="5"/>
        <v>0</v>
      </c>
      <c r="M49" s="256" t="e">
        <f t="shared" si="6"/>
        <v>#DIV/0!</v>
      </c>
      <c r="N49" s="256" t="e">
        <f t="shared" si="7"/>
        <v>#DIV/0!</v>
      </c>
      <c r="O49" s="256" t="e">
        <f t="shared" si="8"/>
        <v>#DIV/0!</v>
      </c>
      <c r="P49" s="256" t="e">
        <f t="shared" si="9"/>
        <v>#DIV/0!</v>
      </c>
    </row>
    <row r="50" spans="1:16" x14ac:dyDescent="0.2">
      <c r="A50" s="2">
        <f>De!T61</f>
        <v>0</v>
      </c>
      <c r="C50" s="2" t="e">
        <f>De!$U61/'Analytical Data'!F54</f>
        <v>#DIV/0!</v>
      </c>
      <c r="D50" s="2" t="e">
        <f>De!$U61/'Analytical Data'!G54</f>
        <v>#DIV/0!</v>
      </c>
      <c r="E50" s="2" t="e">
        <f>De!$U61/'Analytical Data'!H54</f>
        <v>#DIV/0!</v>
      </c>
      <c r="F50" s="2" t="e">
        <f>De!$U61/'Analytical Data'!I54</f>
        <v>#DIV/0!</v>
      </c>
      <c r="G50" s="2" t="e">
        <f>De!$U61/'Analytical Data'!J54</f>
        <v>#DIV/0!</v>
      </c>
      <c r="H50" s="2" t="e">
        <f>De!$U61/'Analytical Data'!K54</f>
        <v>#DIV/0!</v>
      </c>
      <c r="I50" s="2" t="e">
        <f>De!$U61/'Analytical Data'!L54</f>
        <v>#DIV/0!</v>
      </c>
      <c r="J50" s="2" t="e">
        <f>De!$U61/'Analytical Data'!M54</f>
        <v>#DIV/0!</v>
      </c>
      <c r="L50" s="235">
        <f t="shared" si="5"/>
        <v>0</v>
      </c>
      <c r="M50" s="256" t="e">
        <f t="shared" si="6"/>
        <v>#DIV/0!</v>
      </c>
      <c r="N50" s="256" t="e">
        <f t="shared" si="7"/>
        <v>#DIV/0!</v>
      </c>
      <c r="O50" s="256" t="e">
        <f t="shared" si="8"/>
        <v>#DIV/0!</v>
      </c>
      <c r="P50" s="256" t="e">
        <f t="shared" si="9"/>
        <v>#DIV/0!</v>
      </c>
    </row>
    <row r="51" spans="1:16" x14ac:dyDescent="0.2">
      <c r="A51" s="2">
        <f>De!T62</f>
        <v>0</v>
      </c>
      <c r="C51" s="2" t="e">
        <f>De!$U62/'Analytical Data'!F55</f>
        <v>#DIV/0!</v>
      </c>
      <c r="D51" s="2" t="e">
        <f>De!$U62/'Analytical Data'!G55</f>
        <v>#DIV/0!</v>
      </c>
      <c r="E51" s="2" t="e">
        <f>De!$U62/'Analytical Data'!H55</f>
        <v>#DIV/0!</v>
      </c>
      <c r="F51" s="2" t="e">
        <f>De!$U62/'Analytical Data'!I55</f>
        <v>#DIV/0!</v>
      </c>
      <c r="G51" s="2" t="e">
        <f>De!$U62/'Analytical Data'!J55</f>
        <v>#DIV/0!</v>
      </c>
      <c r="H51" s="2" t="e">
        <f>De!$U62/'Analytical Data'!K55</f>
        <v>#DIV/0!</v>
      </c>
      <c r="I51" s="2" t="e">
        <f>De!$U62/'Analytical Data'!L55</f>
        <v>#DIV/0!</v>
      </c>
      <c r="J51" s="2" t="e">
        <f>De!$U62/'Analytical Data'!M55</f>
        <v>#DIV/0!</v>
      </c>
      <c r="L51" s="235">
        <f t="shared" si="5"/>
        <v>0</v>
      </c>
      <c r="M51" s="256" t="e">
        <f t="shared" si="6"/>
        <v>#DIV/0!</v>
      </c>
      <c r="N51" s="256" t="e">
        <f t="shared" si="7"/>
        <v>#DIV/0!</v>
      </c>
      <c r="O51" s="256" t="e">
        <f t="shared" si="8"/>
        <v>#DIV/0!</v>
      </c>
      <c r="P51" s="256" t="e">
        <f t="shared" si="9"/>
        <v>#DIV/0!</v>
      </c>
    </row>
    <row r="52" spans="1:16" x14ac:dyDescent="0.2">
      <c r="A52" s="2">
        <f>De!T63</f>
        <v>0</v>
      </c>
      <c r="C52" s="2" t="e">
        <f>De!$U63/'Analytical Data'!F56</f>
        <v>#DIV/0!</v>
      </c>
      <c r="D52" s="2" t="e">
        <f>De!$U63/'Analytical Data'!G56</f>
        <v>#DIV/0!</v>
      </c>
      <c r="E52" s="2" t="e">
        <f>De!$U63/'Analytical Data'!H56</f>
        <v>#DIV/0!</v>
      </c>
      <c r="F52" s="2" t="e">
        <f>De!$U63/'Analytical Data'!I56</f>
        <v>#DIV/0!</v>
      </c>
      <c r="G52" s="2" t="e">
        <f>De!$U63/'Analytical Data'!J56</f>
        <v>#DIV/0!</v>
      </c>
      <c r="H52" s="2" t="e">
        <f>De!$U63/'Analytical Data'!K56</f>
        <v>#DIV/0!</v>
      </c>
      <c r="I52" s="2" t="e">
        <f>De!$U63/'Analytical Data'!L56</f>
        <v>#DIV/0!</v>
      </c>
      <c r="J52" s="2" t="e">
        <f>De!$U63/'Analytical Data'!M56</f>
        <v>#DIV/0!</v>
      </c>
      <c r="L52" s="235">
        <f t="shared" si="5"/>
        <v>0</v>
      </c>
      <c r="M52" s="256" t="e">
        <f t="shared" si="6"/>
        <v>#DIV/0!</v>
      </c>
      <c r="N52" s="256" t="e">
        <f t="shared" si="7"/>
        <v>#DIV/0!</v>
      </c>
      <c r="O52" s="256" t="e">
        <f t="shared" si="8"/>
        <v>#DIV/0!</v>
      </c>
      <c r="P52" s="256" t="e">
        <f t="shared" si="9"/>
        <v>#DIV/0!</v>
      </c>
    </row>
    <row r="53" spans="1:16" x14ac:dyDescent="0.2">
      <c r="A53" s="2">
        <f>De!T64</f>
        <v>0</v>
      </c>
      <c r="C53" s="2" t="e">
        <f>De!$U64/'Analytical Data'!F57</f>
        <v>#DIV/0!</v>
      </c>
      <c r="D53" s="2" t="e">
        <f>De!$U64/'Analytical Data'!G57</f>
        <v>#DIV/0!</v>
      </c>
      <c r="E53" s="2" t="e">
        <f>De!$U64/'Analytical Data'!H57</f>
        <v>#DIV/0!</v>
      </c>
      <c r="F53" s="2" t="e">
        <f>De!$U64/'Analytical Data'!I57</f>
        <v>#DIV/0!</v>
      </c>
      <c r="G53" s="2" t="e">
        <f>De!$U64/'Analytical Data'!J57</f>
        <v>#DIV/0!</v>
      </c>
      <c r="H53" s="2" t="e">
        <f>De!$U64/'Analytical Data'!K57</f>
        <v>#DIV/0!</v>
      </c>
      <c r="I53" s="2" t="e">
        <f>De!$U64/'Analytical Data'!L57</f>
        <v>#DIV/0!</v>
      </c>
      <c r="J53" s="2" t="e">
        <f>De!$U64/'Analytical Data'!M57</f>
        <v>#DIV/0!</v>
      </c>
      <c r="L53" s="235">
        <f t="shared" si="5"/>
        <v>0</v>
      </c>
      <c r="M53" s="256" t="e">
        <f t="shared" si="6"/>
        <v>#DIV/0!</v>
      </c>
      <c r="N53" s="256" t="e">
        <f t="shared" si="7"/>
        <v>#DIV/0!</v>
      </c>
      <c r="O53" s="256" t="e">
        <f t="shared" si="8"/>
        <v>#DIV/0!</v>
      </c>
      <c r="P53" s="256" t="e">
        <f t="shared" si="9"/>
        <v>#DIV/0!</v>
      </c>
    </row>
    <row r="54" spans="1:16" x14ac:dyDescent="0.2">
      <c r="A54" s="2">
        <f>De!T65</f>
        <v>0</v>
      </c>
      <c r="C54" s="2" t="e">
        <f>De!$U65/'Analytical Data'!F58</f>
        <v>#DIV/0!</v>
      </c>
      <c r="D54" s="2" t="e">
        <f>De!$U65/'Analytical Data'!G58</f>
        <v>#DIV/0!</v>
      </c>
      <c r="E54" s="2" t="e">
        <f>De!$U65/'Analytical Data'!H58</f>
        <v>#DIV/0!</v>
      </c>
      <c r="F54" s="2" t="e">
        <f>De!$U65/'Analytical Data'!I58</f>
        <v>#DIV/0!</v>
      </c>
      <c r="G54" s="2" t="e">
        <f>De!$U65/'Analytical Data'!J58</f>
        <v>#DIV/0!</v>
      </c>
      <c r="H54" s="2" t="e">
        <f>De!$U65/'Analytical Data'!K58</f>
        <v>#DIV/0!</v>
      </c>
      <c r="I54" s="2" t="e">
        <f>De!$U65/'Analytical Data'!L58</f>
        <v>#DIV/0!</v>
      </c>
      <c r="J54" s="2" t="e">
        <f>De!$U65/'Analytical Data'!M58</f>
        <v>#DIV/0!</v>
      </c>
      <c r="L54" s="235">
        <f t="shared" si="5"/>
        <v>0</v>
      </c>
      <c r="M54" s="256" t="e">
        <f t="shared" si="6"/>
        <v>#DIV/0!</v>
      </c>
      <c r="N54" s="256" t="e">
        <f t="shared" si="7"/>
        <v>#DIV/0!</v>
      </c>
      <c r="O54" s="256" t="e">
        <f t="shared" si="8"/>
        <v>#DIV/0!</v>
      </c>
      <c r="P54" s="256" t="e">
        <f t="shared" si="9"/>
        <v>#DIV/0!</v>
      </c>
    </row>
    <row r="55" spans="1:16" x14ac:dyDescent="0.2">
      <c r="A55" s="2">
        <f>De!T66</f>
        <v>0</v>
      </c>
      <c r="C55" s="2" t="e">
        <f>De!$U66/'Analytical Data'!F59</f>
        <v>#DIV/0!</v>
      </c>
      <c r="D55" s="2" t="e">
        <f>De!$U66/'Analytical Data'!G59</f>
        <v>#DIV/0!</v>
      </c>
      <c r="E55" s="2" t="e">
        <f>De!$U66/'Analytical Data'!H59</f>
        <v>#DIV/0!</v>
      </c>
      <c r="F55" s="2" t="e">
        <f>De!$U66/'Analytical Data'!I59</f>
        <v>#DIV/0!</v>
      </c>
      <c r="G55" s="2" t="e">
        <f>De!$U66/'Analytical Data'!J59</f>
        <v>#DIV/0!</v>
      </c>
      <c r="H55" s="2" t="e">
        <f>De!$U66/'Analytical Data'!K59</f>
        <v>#DIV/0!</v>
      </c>
      <c r="I55" s="2" t="e">
        <f>De!$U66/'Analytical Data'!L59</f>
        <v>#DIV/0!</v>
      </c>
      <c r="J55" s="2" t="e">
        <f>De!$U66/'Analytical Data'!M59</f>
        <v>#DIV/0!</v>
      </c>
      <c r="L55" s="235">
        <f t="shared" si="5"/>
        <v>0</v>
      </c>
      <c r="M55" s="256" t="e">
        <f t="shared" si="6"/>
        <v>#DIV/0!</v>
      </c>
      <c r="N55" s="256" t="e">
        <f t="shared" si="7"/>
        <v>#DIV/0!</v>
      </c>
      <c r="O55" s="256" t="e">
        <f t="shared" si="8"/>
        <v>#DIV/0!</v>
      </c>
      <c r="P55" s="256" t="e">
        <f t="shared" si="9"/>
        <v>#DIV/0!</v>
      </c>
    </row>
    <row r="56" spans="1:16" x14ac:dyDescent="0.2">
      <c r="A56" s="2">
        <f>De!T67</f>
        <v>0</v>
      </c>
      <c r="C56" s="2" t="e">
        <f>De!$U67/'Analytical Data'!F60</f>
        <v>#DIV/0!</v>
      </c>
      <c r="D56" s="2" t="e">
        <f>De!$U67/'Analytical Data'!G60</f>
        <v>#DIV/0!</v>
      </c>
      <c r="E56" s="2" t="e">
        <f>De!$U67/'Analytical Data'!H60</f>
        <v>#DIV/0!</v>
      </c>
      <c r="F56" s="2" t="e">
        <f>De!$U67/'Analytical Data'!I60</f>
        <v>#DIV/0!</v>
      </c>
      <c r="G56" s="2" t="e">
        <f>De!$U67/'Analytical Data'!J60</f>
        <v>#DIV/0!</v>
      </c>
      <c r="H56" s="2" t="e">
        <f>De!$U67/'Analytical Data'!K60</f>
        <v>#DIV/0!</v>
      </c>
      <c r="I56" s="2" t="e">
        <f>De!$U67/'Analytical Data'!L60</f>
        <v>#DIV/0!</v>
      </c>
      <c r="J56" s="2" t="e">
        <f>De!$U67/'Analytical Data'!M60</f>
        <v>#DIV/0!</v>
      </c>
      <c r="L56" s="235">
        <f t="shared" si="5"/>
        <v>0</v>
      </c>
      <c r="M56" s="256" t="e">
        <f t="shared" si="6"/>
        <v>#DIV/0!</v>
      </c>
      <c r="N56" s="256" t="e">
        <f t="shared" si="7"/>
        <v>#DIV/0!</v>
      </c>
      <c r="O56" s="256" t="e">
        <f t="shared" si="8"/>
        <v>#DIV/0!</v>
      </c>
      <c r="P56" s="256" t="e">
        <f t="shared" si="9"/>
        <v>#DIV/0!</v>
      </c>
    </row>
    <row r="57" spans="1:16" x14ac:dyDescent="0.2">
      <c r="A57" s="2">
        <f>De!T68</f>
        <v>0</v>
      </c>
      <c r="C57" s="2" t="e">
        <f>De!$U68/'Analytical Data'!F61</f>
        <v>#DIV/0!</v>
      </c>
      <c r="D57" s="2" t="e">
        <f>De!$U68/'Analytical Data'!G61</f>
        <v>#DIV/0!</v>
      </c>
      <c r="E57" s="2" t="e">
        <f>De!$U68/'Analytical Data'!H61</f>
        <v>#DIV/0!</v>
      </c>
      <c r="F57" s="2" t="e">
        <f>De!$U68/'Analytical Data'!I61</f>
        <v>#DIV/0!</v>
      </c>
      <c r="G57" s="2" t="e">
        <f>De!$U68/'Analytical Data'!J61</f>
        <v>#DIV/0!</v>
      </c>
      <c r="H57" s="2" t="e">
        <f>De!$U68/'Analytical Data'!K61</f>
        <v>#DIV/0!</v>
      </c>
      <c r="I57" s="2" t="e">
        <f>De!$U68/'Analytical Data'!L61</f>
        <v>#DIV/0!</v>
      </c>
      <c r="J57" s="2" t="e">
        <f>De!$U68/'Analytical Data'!M61</f>
        <v>#DIV/0!</v>
      </c>
      <c r="L57" s="235">
        <f t="shared" si="5"/>
        <v>0</v>
      </c>
      <c r="M57" s="256" t="e">
        <f t="shared" si="6"/>
        <v>#DIV/0!</v>
      </c>
      <c r="N57" s="256" t="e">
        <f t="shared" si="7"/>
        <v>#DIV/0!</v>
      </c>
      <c r="O57" s="256" t="e">
        <f t="shared" si="8"/>
        <v>#DIV/0!</v>
      </c>
      <c r="P57" s="256" t="e">
        <f t="shared" si="9"/>
        <v>#DIV/0!</v>
      </c>
    </row>
    <row r="58" spans="1:16" x14ac:dyDescent="0.2">
      <c r="A58" s="2">
        <f>De!T69</f>
        <v>0</v>
      </c>
      <c r="C58" s="2" t="e">
        <f>De!$U69/'Analytical Data'!F62</f>
        <v>#DIV/0!</v>
      </c>
      <c r="D58" s="2" t="e">
        <f>De!$U69/'Analytical Data'!G62</f>
        <v>#DIV/0!</v>
      </c>
      <c r="E58" s="2" t="e">
        <f>De!$U69/'Analytical Data'!H62</f>
        <v>#DIV/0!</v>
      </c>
      <c r="F58" s="2" t="e">
        <f>De!$U69/'Analytical Data'!I62</f>
        <v>#DIV/0!</v>
      </c>
      <c r="G58" s="2" t="e">
        <f>De!$U69/'Analytical Data'!J62</f>
        <v>#DIV/0!</v>
      </c>
      <c r="H58" s="2" t="e">
        <f>De!$U69/'Analytical Data'!K62</f>
        <v>#DIV/0!</v>
      </c>
      <c r="I58" s="2" t="e">
        <f>De!$U69/'Analytical Data'!L62</f>
        <v>#DIV/0!</v>
      </c>
      <c r="J58" s="2" t="e">
        <f>De!$U69/'Analytical Data'!M62</f>
        <v>#DIV/0!</v>
      </c>
      <c r="L58" s="235">
        <f t="shared" si="5"/>
        <v>0</v>
      </c>
      <c r="M58" s="256" t="e">
        <f t="shared" si="6"/>
        <v>#DIV/0!</v>
      </c>
      <c r="N58" s="256" t="e">
        <f t="shared" si="7"/>
        <v>#DIV/0!</v>
      </c>
      <c r="O58" s="256" t="e">
        <f t="shared" si="8"/>
        <v>#DIV/0!</v>
      </c>
      <c r="P58" s="256" t="e">
        <f t="shared" si="9"/>
        <v>#DIV/0!</v>
      </c>
    </row>
    <row r="59" spans="1:16" x14ac:dyDescent="0.2">
      <c r="A59" s="2">
        <f>De!T70</f>
        <v>0</v>
      </c>
      <c r="C59" s="2" t="e">
        <f>De!$U70/'Analytical Data'!F63</f>
        <v>#DIV/0!</v>
      </c>
      <c r="D59" s="2" t="e">
        <f>De!$U70/'Analytical Data'!G63</f>
        <v>#DIV/0!</v>
      </c>
      <c r="E59" s="2" t="e">
        <f>De!$U70/'Analytical Data'!H63</f>
        <v>#DIV/0!</v>
      </c>
      <c r="F59" s="2" t="e">
        <f>De!$U70/'Analytical Data'!I63</f>
        <v>#DIV/0!</v>
      </c>
      <c r="G59" s="2" t="e">
        <f>De!$U70/'Analytical Data'!J63</f>
        <v>#DIV/0!</v>
      </c>
      <c r="H59" s="2" t="e">
        <f>De!$U70/'Analytical Data'!K63</f>
        <v>#DIV/0!</v>
      </c>
      <c r="I59" s="2" t="e">
        <f>De!$U70/'Analytical Data'!L63</f>
        <v>#DIV/0!</v>
      </c>
      <c r="J59" s="2" t="e">
        <f>De!$U70/'Analytical Data'!M63</f>
        <v>#DIV/0!</v>
      </c>
      <c r="L59" s="235">
        <f t="shared" si="5"/>
        <v>0</v>
      </c>
      <c r="M59" s="256" t="e">
        <f t="shared" si="6"/>
        <v>#DIV/0!</v>
      </c>
      <c r="N59" s="256" t="e">
        <f t="shared" si="7"/>
        <v>#DIV/0!</v>
      </c>
      <c r="O59" s="256" t="e">
        <f t="shared" si="8"/>
        <v>#DIV/0!</v>
      </c>
      <c r="P59" s="256" t="e">
        <f t="shared" si="9"/>
        <v>#DIV/0!</v>
      </c>
    </row>
    <row r="60" spans="1:16" x14ac:dyDescent="0.2">
      <c r="A60" s="2">
        <f>De!T71</f>
        <v>0</v>
      </c>
      <c r="C60" s="2" t="e">
        <f>De!$U71/'Analytical Data'!F64</f>
        <v>#DIV/0!</v>
      </c>
      <c r="D60" s="2" t="e">
        <f>De!$U71/'Analytical Data'!G64</f>
        <v>#DIV/0!</v>
      </c>
      <c r="E60" s="2" t="e">
        <f>De!$U71/'Analytical Data'!H64</f>
        <v>#DIV/0!</v>
      </c>
      <c r="F60" s="2" t="e">
        <f>De!$U71/'Analytical Data'!I64</f>
        <v>#DIV/0!</v>
      </c>
      <c r="G60" s="2" t="e">
        <f>De!$U71/'Analytical Data'!J64</f>
        <v>#DIV/0!</v>
      </c>
      <c r="H60" s="2" t="e">
        <f>De!$U71/'Analytical Data'!K64</f>
        <v>#DIV/0!</v>
      </c>
      <c r="I60" s="2" t="e">
        <f>De!$U71/'Analytical Data'!L64</f>
        <v>#DIV/0!</v>
      </c>
      <c r="J60" s="2" t="e">
        <f>De!$U71/'Analytical Data'!M64</f>
        <v>#DIV/0!</v>
      </c>
      <c r="L60" s="235">
        <f t="shared" si="5"/>
        <v>0</v>
      </c>
      <c r="M60" s="256" t="e">
        <f t="shared" si="6"/>
        <v>#DIV/0!</v>
      </c>
      <c r="N60" s="256" t="e">
        <f t="shared" si="7"/>
        <v>#DIV/0!</v>
      </c>
      <c r="O60" s="256" t="e">
        <f t="shared" si="8"/>
        <v>#DIV/0!</v>
      </c>
      <c r="P60" s="256" t="e">
        <f t="shared" si="9"/>
        <v>#DIV/0!</v>
      </c>
    </row>
    <row r="61" spans="1:16" x14ac:dyDescent="0.2">
      <c r="A61" s="2">
        <f>De!T72</f>
        <v>0</v>
      </c>
      <c r="C61" s="2" t="e">
        <f>De!$U72/'Analytical Data'!F65</f>
        <v>#DIV/0!</v>
      </c>
      <c r="D61" s="2" t="e">
        <f>De!$U72/'Analytical Data'!G65</f>
        <v>#DIV/0!</v>
      </c>
      <c r="E61" s="2" t="e">
        <f>De!$U72/'Analytical Data'!H65</f>
        <v>#DIV/0!</v>
      </c>
      <c r="F61" s="2" t="e">
        <f>De!$U72/'Analytical Data'!I65</f>
        <v>#DIV/0!</v>
      </c>
      <c r="G61" s="2" t="e">
        <f>De!$U72/'Analytical Data'!J65</f>
        <v>#DIV/0!</v>
      </c>
      <c r="H61" s="2" t="e">
        <f>De!$U72/'Analytical Data'!K65</f>
        <v>#DIV/0!</v>
      </c>
      <c r="I61" s="2" t="e">
        <f>De!$U72/'Analytical Data'!L65</f>
        <v>#DIV/0!</v>
      </c>
      <c r="J61" s="2" t="e">
        <f>De!$U72/'Analytical Data'!M65</f>
        <v>#DIV/0!</v>
      </c>
      <c r="L61" s="235">
        <f t="shared" si="5"/>
        <v>0</v>
      </c>
      <c r="M61" s="256" t="e">
        <f t="shared" si="6"/>
        <v>#DIV/0!</v>
      </c>
      <c r="N61" s="256" t="e">
        <f t="shared" si="7"/>
        <v>#DIV/0!</v>
      </c>
      <c r="O61" s="256" t="e">
        <f t="shared" si="8"/>
        <v>#DIV/0!</v>
      </c>
      <c r="P61" s="256" t="e">
        <f t="shared" si="9"/>
        <v>#DIV/0!</v>
      </c>
    </row>
    <row r="62" spans="1:16" x14ac:dyDescent="0.2">
      <c r="A62" s="2">
        <f>De!T73</f>
        <v>0</v>
      </c>
      <c r="C62" s="2" t="e">
        <f>De!$U73/'Analytical Data'!F66</f>
        <v>#DIV/0!</v>
      </c>
      <c r="D62" s="2" t="e">
        <f>De!$U73/'Analytical Data'!G66</f>
        <v>#DIV/0!</v>
      </c>
      <c r="E62" s="2" t="e">
        <f>De!$U73/'Analytical Data'!H66</f>
        <v>#DIV/0!</v>
      </c>
      <c r="F62" s="2" t="e">
        <f>De!$U73/'Analytical Data'!I66</f>
        <v>#DIV/0!</v>
      </c>
      <c r="G62" s="2" t="e">
        <f>De!$U73/'Analytical Data'!J66</f>
        <v>#DIV/0!</v>
      </c>
      <c r="H62" s="2" t="e">
        <f>De!$U73/'Analytical Data'!K66</f>
        <v>#DIV/0!</v>
      </c>
      <c r="I62" s="2" t="e">
        <f>De!$U73/'Analytical Data'!L66</f>
        <v>#DIV/0!</v>
      </c>
      <c r="J62" s="2" t="e">
        <f>De!$U73/'Analytical Data'!M66</f>
        <v>#DIV/0!</v>
      </c>
      <c r="L62" s="235">
        <f t="shared" si="5"/>
        <v>0</v>
      </c>
      <c r="M62" s="256" t="e">
        <f t="shared" si="6"/>
        <v>#DIV/0!</v>
      </c>
      <c r="N62" s="256" t="e">
        <f t="shared" si="7"/>
        <v>#DIV/0!</v>
      </c>
      <c r="O62" s="256" t="e">
        <f t="shared" si="8"/>
        <v>#DIV/0!</v>
      </c>
      <c r="P62" s="256" t="e">
        <f t="shared" si="9"/>
        <v>#DIV/0!</v>
      </c>
    </row>
    <row r="63" spans="1:16" x14ac:dyDescent="0.2">
      <c r="A63" s="2">
        <f>De!T74</f>
        <v>0</v>
      </c>
      <c r="C63" s="2" t="e">
        <f>De!$U74/'Analytical Data'!F67</f>
        <v>#DIV/0!</v>
      </c>
      <c r="D63" s="2" t="e">
        <f>De!$U74/'Analytical Data'!G67</f>
        <v>#DIV/0!</v>
      </c>
      <c r="E63" s="2" t="e">
        <f>De!$U74/'Analytical Data'!H67</f>
        <v>#DIV/0!</v>
      </c>
      <c r="F63" s="2" t="e">
        <f>De!$U74/'Analytical Data'!I67</f>
        <v>#DIV/0!</v>
      </c>
      <c r="G63" s="2" t="e">
        <f>De!$U74/'Analytical Data'!J67</f>
        <v>#DIV/0!</v>
      </c>
      <c r="H63" s="2" t="e">
        <f>De!$U74/'Analytical Data'!K67</f>
        <v>#DIV/0!</v>
      </c>
      <c r="I63" s="2" t="e">
        <f>De!$U74/'Analytical Data'!L67</f>
        <v>#DIV/0!</v>
      </c>
      <c r="J63" s="2" t="e">
        <f>De!$U74/'Analytical Data'!M67</f>
        <v>#DIV/0!</v>
      </c>
      <c r="L63" s="235">
        <f t="shared" si="5"/>
        <v>0</v>
      </c>
      <c r="M63" s="256" t="e">
        <f t="shared" si="6"/>
        <v>#DIV/0!</v>
      </c>
      <c r="N63" s="256" t="e">
        <f t="shared" si="7"/>
        <v>#DIV/0!</v>
      </c>
      <c r="O63" s="256" t="e">
        <f t="shared" si="8"/>
        <v>#DIV/0!</v>
      </c>
      <c r="P63" s="256" t="e">
        <f t="shared" si="9"/>
        <v>#DIV/0!</v>
      </c>
    </row>
    <row r="64" spans="1:16" x14ac:dyDescent="0.2">
      <c r="A64" s="2">
        <f>De!T75</f>
        <v>0</v>
      </c>
      <c r="C64" s="2" t="e">
        <f>De!$U75/'Analytical Data'!F68</f>
        <v>#DIV/0!</v>
      </c>
      <c r="D64" s="2" t="e">
        <f>De!$U75/'Analytical Data'!G68</f>
        <v>#DIV/0!</v>
      </c>
      <c r="E64" s="2" t="e">
        <f>De!$U75/'Analytical Data'!H68</f>
        <v>#DIV/0!</v>
      </c>
      <c r="F64" s="2" t="e">
        <f>De!$U75/'Analytical Data'!I68</f>
        <v>#DIV/0!</v>
      </c>
      <c r="G64" s="2" t="e">
        <f>De!$U75/'Analytical Data'!J68</f>
        <v>#DIV/0!</v>
      </c>
      <c r="H64" s="2" t="e">
        <f>De!$U75/'Analytical Data'!K68</f>
        <v>#DIV/0!</v>
      </c>
      <c r="I64" s="2" t="e">
        <f>De!$U75/'Analytical Data'!L68</f>
        <v>#DIV/0!</v>
      </c>
      <c r="J64" s="2" t="e">
        <f>De!$U75/'Analytical Data'!M68</f>
        <v>#DIV/0!</v>
      </c>
      <c r="L64" s="235">
        <f t="shared" si="5"/>
        <v>0</v>
      </c>
      <c r="M64" s="256" t="e">
        <f t="shared" si="6"/>
        <v>#DIV/0!</v>
      </c>
      <c r="N64" s="256" t="e">
        <f t="shared" si="7"/>
        <v>#DIV/0!</v>
      </c>
      <c r="O64" s="256" t="e">
        <f t="shared" si="8"/>
        <v>#DIV/0!</v>
      </c>
      <c r="P64" s="256" t="e">
        <f t="shared" si="9"/>
        <v>#DIV/0!</v>
      </c>
    </row>
    <row r="65" spans="1:16" x14ac:dyDescent="0.2">
      <c r="A65" s="2">
        <f>De!T76</f>
        <v>0</v>
      </c>
      <c r="C65" s="2" t="e">
        <f>De!$U76/'Analytical Data'!F69</f>
        <v>#DIV/0!</v>
      </c>
      <c r="D65" s="2" t="e">
        <f>De!$U76/'Analytical Data'!G69</f>
        <v>#DIV/0!</v>
      </c>
      <c r="E65" s="2" t="e">
        <f>De!$U76/'Analytical Data'!H69</f>
        <v>#DIV/0!</v>
      </c>
      <c r="F65" s="2" t="e">
        <f>De!$U76/'Analytical Data'!I69</f>
        <v>#DIV/0!</v>
      </c>
      <c r="G65" s="2" t="e">
        <f>De!$U76/'Analytical Data'!J69</f>
        <v>#DIV/0!</v>
      </c>
      <c r="H65" s="2" t="e">
        <f>De!$U76/'Analytical Data'!K69</f>
        <v>#DIV/0!</v>
      </c>
      <c r="I65" s="2" t="e">
        <f>De!$U76/'Analytical Data'!L69</f>
        <v>#DIV/0!</v>
      </c>
      <c r="J65" s="2" t="e">
        <f>De!$U76/'Analytical Data'!M69</f>
        <v>#DIV/0!</v>
      </c>
      <c r="L65" s="235">
        <f t="shared" si="5"/>
        <v>0</v>
      </c>
      <c r="M65" s="256" t="e">
        <f t="shared" si="6"/>
        <v>#DIV/0!</v>
      </c>
      <c r="N65" s="256" t="e">
        <f t="shared" si="7"/>
        <v>#DIV/0!</v>
      </c>
      <c r="O65" s="256" t="e">
        <f t="shared" si="8"/>
        <v>#DIV/0!</v>
      </c>
      <c r="P65" s="256" t="e">
        <f t="shared" si="9"/>
        <v>#DIV/0!</v>
      </c>
    </row>
    <row r="66" spans="1:16" x14ac:dyDescent="0.2">
      <c r="A66" s="2">
        <f>De!T77</f>
        <v>0</v>
      </c>
      <c r="C66" s="2" t="e">
        <f>De!$U77/'Analytical Data'!F70</f>
        <v>#DIV/0!</v>
      </c>
      <c r="D66" s="2" t="e">
        <f>De!$U77/'Analytical Data'!G70</f>
        <v>#DIV/0!</v>
      </c>
      <c r="E66" s="2" t="e">
        <f>De!$U77/'Analytical Data'!H70</f>
        <v>#DIV/0!</v>
      </c>
      <c r="F66" s="2" t="e">
        <f>De!$U77/'Analytical Data'!I70</f>
        <v>#DIV/0!</v>
      </c>
      <c r="G66" s="2" t="e">
        <f>De!$U77/'Analytical Data'!J70</f>
        <v>#DIV/0!</v>
      </c>
      <c r="H66" s="2" t="e">
        <f>De!$U77/'Analytical Data'!K70</f>
        <v>#DIV/0!</v>
      </c>
      <c r="I66" s="2" t="e">
        <f>De!$U77/'Analytical Data'!L70</f>
        <v>#DIV/0!</v>
      </c>
      <c r="J66" s="2" t="e">
        <f>De!$U77/'Analytical Data'!M70</f>
        <v>#DIV/0!</v>
      </c>
      <c r="L66" s="235">
        <f t="shared" si="5"/>
        <v>0</v>
      </c>
      <c r="M66" s="256" t="e">
        <f t="shared" si="6"/>
        <v>#DIV/0!</v>
      </c>
      <c r="N66" s="256" t="e">
        <f t="shared" si="7"/>
        <v>#DIV/0!</v>
      </c>
      <c r="O66" s="256" t="e">
        <f t="shared" si="8"/>
        <v>#DIV/0!</v>
      </c>
      <c r="P66" s="256" t="e">
        <f t="shared" si="9"/>
        <v>#DIV/0!</v>
      </c>
    </row>
    <row r="67" spans="1:16" x14ac:dyDescent="0.2">
      <c r="A67" s="2">
        <f>De!T78</f>
        <v>0</v>
      </c>
      <c r="C67" s="2" t="e">
        <f>De!$U78/'Analytical Data'!F71</f>
        <v>#DIV/0!</v>
      </c>
      <c r="D67" s="2" t="e">
        <f>De!$U78/'Analytical Data'!G71</f>
        <v>#DIV/0!</v>
      </c>
      <c r="E67" s="2" t="e">
        <f>De!$U78/'Analytical Data'!H71</f>
        <v>#DIV/0!</v>
      </c>
      <c r="F67" s="2" t="e">
        <f>De!$U78/'Analytical Data'!I71</f>
        <v>#DIV/0!</v>
      </c>
      <c r="G67" s="2" t="e">
        <f>De!$U78/'Analytical Data'!J71</f>
        <v>#DIV/0!</v>
      </c>
      <c r="H67" s="2" t="e">
        <f>De!$U78/'Analytical Data'!K71</f>
        <v>#DIV/0!</v>
      </c>
      <c r="I67" s="2" t="e">
        <f>De!$U78/'Analytical Data'!L71</f>
        <v>#DIV/0!</v>
      </c>
      <c r="J67" s="2" t="e">
        <f>De!$U78/'Analytical Data'!M71</f>
        <v>#DIV/0!</v>
      </c>
      <c r="L67" s="235">
        <f t="shared" si="5"/>
        <v>0</v>
      </c>
      <c r="M67" s="256" t="e">
        <f t="shared" si="6"/>
        <v>#DIV/0!</v>
      </c>
      <c r="N67" s="256" t="e">
        <f t="shared" si="7"/>
        <v>#DIV/0!</v>
      </c>
      <c r="O67" s="256" t="e">
        <f t="shared" si="8"/>
        <v>#DIV/0!</v>
      </c>
      <c r="P67" s="256" t="e">
        <f t="shared" si="9"/>
        <v>#DIV/0!</v>
      </c>
    </row>
    <row r="68" spans="1:16" x14ac:dyDescent="0.2">
      <c r="A68" s="2">
        <f>De!T79</f>
        <v>0</v>
      </c>
      <c r="C68" s="2" t="e">
        <f>De!$U79/'Analytical Data'!F72</f>
        <v>#DIV/0!</v>
      </c>
      <c r="D68" s="2" t="e">
        <f>De!$U79/'Analytical Data'!G72</f>
        <v>#DIV/0!</v>
      </c>
      <c r="E68" s="2" t="e">
        <f>De!$U79/'Analytical Data'!H72</f>
        <v>#DIV/0!</v>
      </c>
      <c r="F68" s="2" t="e">
        <f>De!$U79/'Analytical Data'!I72</f>
        <v>#DIV/0!</v>
      </c>
      <c r="G68" s="2" t="e">
        <f>De!$U79/'Analytical Data'!J72</f>
        <v>#DIV/0!</v>
      </c>
      <c r="H68" s="2" t="e">
        <f>De!$U79/'Analytical Data'!K72</f>
        <v>#DIV/0!</v>
      </c>
      <c r="I68" s="2" t="e">
        <f>De!$U79/'Analytical Data'!L72</f>
        <v>#DIV/0!</v>
      </c>
      <c r="J68" s="2" t="e">
        <f>De!$U79/'Analytical Data'!M72</f>
        <v>#DIV/0!</v>
      </c>
      <c r="L68" s="235">
        <f t="shared" si="5"/>
        <v>0</v>
      </c>
      <c r="M68" s="256" t="e">
        <f t="shared" si="6"/>
        <v>#DIV/0!</v>
      </c>
      <c r="N68" s="256" t="e">
        <f t="shared" si="7"/>
        <v>#DIV/0!</v>
      </c>
      <c r="O68" s="256" t="e">
        <f t="shared" si="8"/>
        <v>#DIV/0!</v>
      </c>
      <c r="P68" s="256" t="e">
        <f t="shared" si="9"/>
        <v>#DIV/0!</v>
      </c>
    </row>
    <row r="69" spans="1:16" x14ac:dyDescent="0.2">
      <c r="A69" s="2">
        <f>De!T80</f>
        <v>0</v>
      </c>
      <c r="C69" s="2" t="e">
        <f>De!$U80/'Analytical Data'!F73</f>
        <v>#DIV/0!</v>
      </c>
      <c r="D69" s="2" t="e">
        <f>De!$U80/'Analytical Data'!G73</f>
        <v>#DIV/0!</v>
      </c>
      <c r="E69" s="2" t="e">
        <f>De!$U80/'Analytical Data'!H73</f>
        <v>#DIV/0!</v>
      </c>
      <c r="F69" s="2" t="e">
        <f>De!$U80/'Analytical Data'!I73</f>
        <v>#DIV/0!</v>
      </c>
      <c r="G69" s="2" t="e">
        <f>De!$U80/'Analytical Data'!J73</f>
        <v>#DIV/0!</v>
      </c>
      <c r="H69" s="2" t="e">
        <f>De!$U80/'Analytical Data'!K73</f>
        <v>#DIV/0!</v>
      </c>
      <c r="I69" s="2" t="e">
        <f>De!$U80/'Analytical Data'!L73</f>
        <v>#DIV/0!</v>
      </c>
      <c r="J69" s="2" t="e">
        <f>De!$U80/'Analytical Data'!M73</f>
        <v>#DIV/0!</v>
      </c>
      <c r="L69" s="235">
        <f t="shared" si="5"/>
        <v>0</v>
      </c>
      <c r="M69" s="256" t="e">
        <f t="shared" si="6"/>
        <v>#DIV/0!</v>
      </c>
      <c r="N69" s="256" t="e">
        <f t="shared" si="7"/>
        <v>#DIV/0!</v>
      </c>
      <c r="O69" s="256" t="e">
        <f t="shared" si="8"/>
        <v>#DIV/0!</v>
      </c>
      <c r="P69" s="256" t="e">
        <f t="shared" si="9"/>
        <v>#DIV/0!</v>
      </c>
    </row>
    <row r="70" spans="1:16" x14ac:dyDescent="0.2">
      <c r="A70" s="2">
        <f>De!T81</f>
        <v>0</v>
      </c>
      <c r="C70" s="2" t="e">
        <f>De!$U81/'Analytical Data'!F74</f>
        <v>#DIV/0!</v>
      </c>
      <c r="D70" s="2" t="e">
        <f>De!$U81/'Analytical Data'!G74</f>
        <v>#DIV/0!</v>
      </c>
      <c r="E70" s="2" t="e">
        <f>De!$U81/'Analytical Data'!H74</f>
        <v>#DIV/0!</v>
      </c>
      <c r="F70" s="2" t="e">
        <f>De!$U81/'Analytical Data'!I74</f>
        <v>#DIV/0!</v>
      </c>
      <c r="G70" s="2" t="e">
        <f>De!$U81/'Analytical Data'!J74</f>
        <v>#DIV/0!</v>
      </c>
      <c r="H70" s="2" t="e">
        <f>De!$U81/'Analytical Data'!K74</f>
        <v>#DIV/0!</v>
      </c>
      <c r="I70" s="2" t="e">
        <f>De!$U81/'Analytical Data'!L74</f>
        <v>#DIV/0!</v>
      </c>
      <c r="J70" s="2" t="e">
        <f>De!$U81/'Analytical Data'!M74</f>
        <v>#DIV/0!</v>
      </c>
      <c r="L70" s="235">
        <f t="shared" si="5"/>
        <v>0</v>
      </c>
      <c r="M70" s="256" t="e">
        <f t="shared" si="6"/>
        <v>#DIV/0!</v>
      </c>
      <c r="N70" s="256" t="e">
        <f t="shared" si="7"/>
        <v>#DIV/0!</v>
      </c>
      <c r="O70" s="256" t="e">
        <f t="shared" si="8"/>
        <v>#DIV/0!</v>
      </c>
      <c r="P70" s="256" t="e">
        <f t="shared" si="9"/>
        <v>#DIV/0!</v>
      </c>
    </row>
    <row r="71" spans="1:16" x14ac:dyDescent="0.2">
      <c r="A71" s="2">
        <f>De!T82</f>
        <v>0</v>
      </c>
      <c r="C71" s="2" t="e">
        <f>De!$U82/'Analytical Data'!F75</f>
        <v>#DIV/0!</v>
      </c>
      <c r="D71" s="2" t="e">
        <f>De!$U82/'Analytical Data'!G75</f>
        <v>#DIV/0!</v>
      </c>
      <c r="E71" s="2" t="e">
        <f>De!$U82/'Analytical Data'!H75</f>
        <v>#DIV/0!</v>
      </c>
      <c r="F71" s="2" t="e">
        <f>De!$U82/'Analytical Data'!I75</f>
        <v>#DIV/0!</v>
      </c>
      <c r="G71" s="2" t="e">
        <f>De!$U82/'Analytical Data'!J75</f>
        <v>#DIV/0!</v>
      </c>
      <c r="H71" s="2" t="e">
        <f>De!$U82/'Analytical Data'!K75</f>
        <v>#DIV/0!</v>
      </c>
      <c r="I71" s="2" t="e">
        <f>De!$U82/'Analytical Data'!L75</f>
        <v>#DIV/0!</v>
      </c>
      <c r="J71" s="2" t="e">
        <f>De!$U82/'Analytical Data'!M75</f>
        <v>#DIV/0!</v>
      </c>
      <c r="L71" s="235">
        <f t="shared" si="5"/>
        <v>0</v>
      </c>
      <c r="M71" s="256" t="e">
        <f t="shared" si="6"/>
        <v>#DIV/0!</v>
      </c>
      <c r="N71" s="256" t="e">
        <f t="shared" si="7"/>
        <v>#DIV/0!</v>
      </c>
      <c r="O71" s="256" t="e">
        <f t="shared" si="8"/>
        <v>#DIV/0!</v>
      </c>
      <c r="P71" s="256" t="e">
        <f t="shared" si="9"/>
        <v>#DIV/0!</v>
      </c>
    </row>
  </sheetData>
  <phoneticPr fontId="15" type="noConversion"/>
  <conditionalFormatting sqref="M3:P71">
    <cfRule type="expression" dxfId="77" priority="2" stopIfTrue="1">
      <formula>ISERROR(M3)</formula>
    </cfRule>
  </conditionalFormatting>
  <conditionalFormatting sqref="L3:P71">
    <cfRule type="cellIs" dxfId="76" priority="1" stopIfTrue="1" operator="equal">
      <formula>0</formula>
    </cfRule>
  </conditionalFormatting>
  <pageMargins left="0.75" right="0.75" top="1" bottom="1" header="0.5" footer="0.5"/>
  <pageSetup scale="52" orientation="landscape" r:id="rId1"/>
  <headerFooter alignWithMargins="0"/>
  <ignoredErrors>
    <ignoredError sqref="M3:P37 L38:P71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6">
    <pageSetUpPr fitToPage="1"/>
  </sheetPr>
  <dimension ref="A2:K64"/>
  <sheetViews>
    <sheetView workbookViewId="0">
      <selection activeCell="B47" sqref="B47"/>
    </sheetView>
  </sheetViews>
  <sheetFormatPr defaultRowHeight="12.75" x14ac:dyDescent="0.2"/>
  <cols>
    <col min="1" max="1" width="26.5703125" bestFit="1" customWidth="1"/>
    <col min="3" max="3" width="12.140625" bestFit="1" customWidth="1"/>
    <col min="4" max="4" width="14.85546875" bestFit="1" customWidth="1"/>
    <col min="5" max="5" width="14.85546875" customWidth="1"/>
    <col min="6" max="6" width="12.42578125" bestFit="1" customWidth="1"/>
    <col min="7" max="8" width="9.5703125" bestFit="1" customWidth="1"/>
    <col min="10" max="10" width="11.42578125" bestFit="1" customWidth="1"/>
  </cols>
  <sheetData>
    <row r="2" spans="1:11" ht="15.75" x14ac:dyDescent="0.3">
      <c r="C2" t="s">
        <v>110</v>
      </c>
      <c r="D2" t="s">
        <v>111</v>
      </c>
      <c r="E2" t="s">
        <v>130</v>
      </c>
      <c r="F2" t="s">
        <v>129</v>
      </c>
      <c r="G2" t="s">
        <v>112</v>
      </c>
      <c r="H2" t="s">
        <v>112</v>
      </c>
      <c r="J2" t="s">
        <v>123</v>
      </c>
      <c r="K2" s="121">
        <v>7.8999999999999996E-10</v>
      </c>
    </row>
    <row r="3" spans="1:11" hidden="1" x14ac:dyDescent="0.2">
      <c r="A3" t="str">
        <f>'Measured Cummulative'!A5</f>
        <v>pH</v>
      </c>
      <c r="C3" s="115"/>
      <c r="D3" s="115">
        <v>365</v>
      </c>
      <c r="E3" s="115">
        <f>(PI()*'E64 unconditional'!C8)/(4*(('De (NEN 7375) '!D3*Cover!$G$11)^2)*((SQRT(64*24*60*60)-SQRT(0))^2))</f>
        <v>2.6375257591472804E-9</v>
      </c>
      <c r="F3">
        <f>('E64 unconditional'!C8/(2653*Cover!$G$11*'De (NEN 7375) '!D3)^2)</f>
        <v>2.6383113448631805E-9</v>
      </c>
      <c r="G3" s="123">
        <f>-LOG(F3)</f>
        <v>8.5786739550453746</v>
      </c>
      <c r="H3" s="123" t="e">
        <f ca="1">De!P11</f>
        <v>#DIV/0!</v>
      </c>
      <c r="J3" t="s">
        <v>131</v>
      </c>
      <c r="K3">
        <f>-LOG(K2)</f>
        <v>9.1023729087095582</v>
      </c>
    </row>
    <row r="4" spans="1:11" hidden="1" x14ac:dyDescent="0.2">
      <c r="A4" t="str">
        <f>'Measured Cummulative'!A6</f>
        <v>Electrical Conductivity</v>
      </c>
      <c r="C4" s="115"/>
      <c r="D4" s="115">
        <v>80000</v>
      </c>
      <c r="E4" s="115">
        <f>(PI()*'E64 unconditional'!C9)/(4*(('De (NEN 7375) '!D4*Cover!$G$11)^2)*((SQRT(64*24*60*60)-SQRT(0))^2))</f>
        <v>4.7543404747870499E-12</v>
      </c>
      <c r="F4">
        <f>('E64 unconditional'!C9/(2653*Cover!$G$11*'De (NEN 7375) '!D4)^2)</f>
        <v>4.7557565526974048E-12</v>
      </c>
      <c r="G4" s="123">
        <f t="shared" ref="G4:G64" si="0">-LOG(F4)</f>
        <v>11.322780385030262</v>
      </c>
      <c r="H4" s="123" t="e">
        <f ca="1">De!P12</f>
        <v>#DIV/0!</v>
      </c>
      <c r="J4" t="s">
        <v>124</v>
      </c>
      <c r="K4" s="122" t="e">
        <f>K2/F10</f>
        <v>#DIV/0!</v>
      </c>
    </row>
    <row r="5" spans="1:11" hidden="1" x14ac:dyDescent="0.2">
      <c r="A5" t="str">
        <f>'Measured Cummulative'!A7</f>
        <v>Redox potential</v>
      </c>
      <c r="C5" s="115"/>
      <c r="D5" s="115">
        <v>22000</v>
      </c>
      <c r="E5" s="115">
        <f>(PI()*'E64 unconditional'!C10)/(4*(('De (NEN 7375) '!D5*Cover!$G$11)^2)*((SQRT(64*24*60*60)-SQRT(0))^2))</f>
        <v>0</v>
      </c>
      <c r="F5">
        <f>('E64 unconditional'!C10/(2653*Cover!$G$11*'De (NEN 7375) '!D5)^2)</f>
        <v>0</v>
      </c>
      <c r="G5" s="123" t="e">
        <f t="shared" si="0"/>
        <v>#NUM!</v>
      </c>
      <c r="H5" s="123" t="e">
        <f ca="1">De!P13</f>
        <v>#DIV/0!</v>
      </c>
    </row>
    <row r="6" spans="1:11" x14ac:dyDescent="0.2">
      <c r="A6" t="str">
        <f>'Measured Cummulative'!A8</f>
        <v>Chloride</v>
      </c>
      <c r="C6" s="115" t="e">
        <v>#N/A</v>
      </c>
      <c r="D6" s="115">
        <v>900</v>
      </c>
      <c r="E6" s="115">
        <f>(PI()*'E64 unconditional'!C11)/(4*(('De (NEN 7375) '!D6*Cover!$G$11)^2)*((SQRT(64*24*60*60)-SQRT(0))^2))</f>
        <v>4.4298597334876657E-9</v>
      </c>
      <c r="F6">
        <f>('E64 unconditional'!C11/(2653*Cover!$G$11*'De (NEN 7375) '!D6)^2)</f>
        <v>4.4311791649730264E-9</v>
      </c>
      <c r="G6" s="123">
        <f t="shared" si="0"/>
        <v>8.3534806898722316</v>
      </c>
      <c r="H6" s="123">
        <f ca="1">De!P14</f>
        <v>11.625999278563192</v>
      </c>
    </row>
    <row r="7" spans="1:11" x14ac:dyDescent="0.2">
      <c r="A7" t="str">
        <f>'Measured Cummulative'!A9</f>
        <v>Sodium</v>
      </c>
      <c r="C7" s="115" t="e">
        <v>#N/A</v>
      </c>
      <c r="D7" s="115">
        <v>3150</v>
      </c>
      <c r="E7" s="115">
        <f>(PI()*'E64 unconditional'!C12)/(4*(('De (NEN 7375) '!D7*Cover!$G$11)^2)*((SQRT(64*24*60*60)-SQRT(0))^2))</f>
        <v>6.2437413942811309E-10</v>
      </c>
      <c r="F7">
        <f>('E64 unconditional'!C12/(2653*Cover!$G$11*'De (NEN 7375) '!D7)^2)</f>
        <v>6.2456010895034837E-10</v>
      </c>
      <c r="G7" s="123">
        <f t="shared" si="0"/>
        <v>9.204425757883584</v>
      </c>
      <c r="H7" s="123">
        <f ca="1">De!P15</f>
        <v>8.5993324238149782</v>
      </c>
    </row>
    <row r="8" spans="1:11" x14ac:dyDescent="0.2">
      <c r="A8">
        <f>'Measured Cummulative'!A10</f>
        <v>0</v>
      </c>
      <c r="C8" s="115">
        <v>4.9000000000000004</v>
      </c>
      <c r="D8" s="115">
        <v>5</v>
      </c>
      <c r="E8" s="115">
        <f>(PI()*'E64 unconditional'!C13)/(4*(('De (NEN 7375) '!D8*Cover!$G$11)^2)*((SQRT(64*24*60*60)-SQRT(0))^2))</f>
        <v>0</v>
      </c>
      <c r="F8">
        <f>('E64 unconditional'!C13/(2653*Cover!$G$11*'De (NEN 7375) '!D8)^2)</f>
        <v>0</v>
      </c>
      <c r="G8" s="123" t="e">
        <f t="shared" si="0"/>
        <v>#NUM!</v>
      </c>
      <c r="H8" s="123" t="e">
        <f ca="1">De!P16</f>
        <v>#DIV/0!</v>
      </c>
    </row>
    <row r="9" spans="1:11" x14ac:dyDescent="0.2">
      <c r="A9">
        <f>'Measured Cummulative'!A11</f>
        <v>0</v>
      </c>
      <c r="C9" s="115">
        <v>1.9</v>
      </c>
      <c r="D9" s="115">
        <v>2.5</v>
      </c>
      <c r="E9" s="115">
        <f>(PI()*'E64 unconditional'!C14)/(4*(('De (NEN 7375) '!D9*Cover!$G$11)^2)*((SQRT(64*24*60*60)-SQRT(0))^2))</f>
        <v>0</v>
      </c>
      <c r="F9">
        <f>('E64 unconditional'!C14/(2653*Cover!$G$11*'De (NEN 7375) '!D9)^2)</f>
        <v>0</v>
      </c>
      <c r="G9" s="123" t="e">
        <f t="shared" si="0"/>
        <v>#NUM!</v>
      </c>
      <c r="H9" s="123" t="e">
        <f ca="1">De!P17</f>
        <v>#DIV/0!</v>
      </c>
    </row>
    <row r="10" spans="1:11" x14ac:dyDescent="0.2">
      <c r="A10">
        <f>'Measured Cummulative'!A12</f>
        <v>0</v>
      </c>
      <c r="C10" s="115" t="e">
        <v>#N/A</v>
      </c>
      <c r="D10" s="115">
        <v>24000</v>
      </c>
      <c r="E10" s="115">
        <f>(PI()*'E64 unconditional'!C15)/(4*(('De (NEN 7375) '!D10*Cover!$G$11)^2)*((SQRT(64*24*60*60)-SQRT(0))^2))</f>
        <v>0</v>
      </c>
      <c r="F10">
        <f>('E64 unconditional'!C15/(2653*Cover!$G$11*'De (NEN 7375) '!D10)^2)</f>
        <v>0</v>
      </c>
      <c r="G10" s="123" t="e">
        <f t="shared" si="0"/>
        <v>#NUM!</v>
      </c>
      <c r="H10" s="123" t="e">
        <f ca="1">De!P18</f>
        <v>#DIV/0!</v>
      </c>
    </row>
    <row r="11" spans="1:11" x14ac:dyDescent="0.2">
      <c r="A11">
        <f>'Measured Cummulative'!A13</f>
        <v>0</v>
      </c>
      <c r="C11" s="115" t="e">
        <v>#N/A</v>
      </c>
      <c r="D11" s="115">
        <v>450</v>
      </c>
      <c r="E11" s="115">
        <f>(PI()*'E64 unconditional'!C16)/(4*(('De (NEN 7375) '!D11*Cover!$G$11)^2)*((SQRT(64*24*60*60)-SQRT(0))^2))</f>
        <v>0</v>
      </c>
      <c r="F11">
        <f>('E64 unconditional'!C16/(2653*Cover!$G$11*'De (NEN 7375) '!D11)^2)</f>
        <v>0</v>
      </c>
      <c r="G11" s="123" t="e">
        <f t="shared" si="0"/>
        <v>#NUM!</v>
      </c>
      <c r="H11" s="123" t="e">
        <f ca="1">De!P19</f>
        <v>#DIV/0!</v>
      </c>
    </row>
    <row r="12" spans="1:11" x14ac:dyDescent="0.2">
      <c r="A12">
        <f>'Measured Cummulative'!A14</f>
        <v>0</v>
      </c>
      <c r="B12">
        <v>12</v>
      </c>
      <c r="C12" s="115">
        <v>23</v>
      </c>
      <c r="D12" s="115">
        <v>0.24</v>
      </c>
      <c r="E12" s="115">
        <f>(PI()*'E64 unconditional'!C17)/(4*(('De (NEN 7375) '!D12*Cover!$G$11)^2)*((SQRT(64*24*60*60)-SQRT(0))^2))</f>
        <v>0</v>
      </c>
      <c r="F12">
        <f>('E64 unconditional'!C17/(2653*Cover!$G$11*'De (NEN 7375) '!D12)^2)</f>
        <v>0</v>
      </c>
      <c r="G12" s="123" t="e">
        <f t="shared" si="0"/>
        <v>#NUM!</v>
      </c>
      <c r="H12" s="123" t="e">
        <f ca="1">De!P20</f>
        <v>#DIV/0!</v>
      </c>
    </row>
    <row r="13" spans="1:11" x14ac:dyDescent="0.2">
      <c r="A13">
        <f>'Measured Cummulative'!A15</f>
        <v>0</v>
      </c>
      <c r="C13" s="115">
        <v>19</v>
      </c>
      <c r="D13" s="115">
        <v>0.37</v>
      </c>
      <c r="E13" s="115">
        <f>(PI()*'E64 unconditional'!C18)/(4*(('De (NEN 7375) '!D13*Cover!$G$11)^2)*((SQRT(64*24*60*60)-SQRT(0))^2))</f>
        <v>0</v>
      </c>
      <c r="F13">
        <f>('E64 unconditional'!C18/(2653*Cover!$G$11*'De (NEN 7375) '!D13)^2)</f>
        <v>0</v>
      </c>
      <c r="G13" s="123" t="e">
        <f t="shared" si="0"/>
        <v>#NUM!</v>
      </c>
      <c r="H13" s="123" t="e">
        <f ca="1">De!P21</f>
        <v>#DIV/0!</v>
      </c>
    </row>
    <row r="14" spans="1:11" x14ac:dyDescent="0.2">
      <c r="A14">
        <f>'Measured Cummulative'!A16</f>
        <v>0</v>
      </c>
      <c r="C14" s="115">
        <v>61</v>
      </c>
      <c r="D14" s="115">
        <v>0.75</v>
      </c>
      <c r="E14" s="115">
        <f>(PI()*'E64 unconditional'!C19)/(4*(('De (NEN 7375) '!D14*Cover!$G$11)^2)*((SQRT(64*24*60*60)-SQRT(0))^2))</f>
        <v>0</v>
      </c>
      <c r="F14">
        <f>('E64 unconditional'!C19/(2653*Cover!$G$11*'De (NEN 7375) '!D14)^2)</f>
        <v>0</v>
      </c>
      <c r="G14" s="123" t="e">
        <f t="shared" si="0"/>
        <v>#NUM!</v>
      </c>
      <c r="H14" s="123" t="e">
        <f ca="1">De!P22</f>
        <v>#DIV/0!</v>
      </c>
    </row>
    <row r="15" spans="1:11" x14ac:dyDescent="0.2">
      <c r="A15">
        <f>'Measured Cummulative'!A17</f>
        <v>0</v>
      </c>
      <c r="C15" s="115">
        <v>73</v>
      </c>
      <c r="D15" s="115">
        <v>0.05</v>
      </c>
      <c r="E15" s="115">
        <f>(PI()*'E64 unconditional'!C20)/(4*(('De (NEN 7375) '!D15*Cover!$G$11)^2)*((SQRT(64*24*60*60)-SQRT(0))^2))</f>
        <v>0</v>
      </c>
      <c r="F15">
        <f>('E64 unconditional'!C20/(2653*Cover!$G$11*'De (NEN 7375) '!D15)^2)</f>
        <v>0</v>
      </c>
      <c r="G15" s="123" t="e">
        <f t="shared" si="0"/>
        <v>#NUM!</v>
      </c>
      <c r="H15" s="123" t="e">
        <f ca="1">De!P23</f>
        <v>#DIV/0!</v>
      </c>
    </row>
    <row r="16" spans="1:11" x14ac:dyDescent="0.2">
      <c r="A16">
        <f>'Measured Cummulative'!A18</f>
        <v>0</v>
      </c>
      <c r="B16">
        <v>210</v>
      </c>
      <c r="C16" s="115">
        <v>1.6</v>
      </c>
      <c r="D16" s="115">
        <v>2.5000000000000001E-2</v>
      </c>
      <c r="E16" s="115">
        <f>(PI()*'E64 unconditional'!C21)/(4*(('De (NEN 7375) '!D16*Cover!$G$11)^2)*((SQRT(64*24*60*60)-SQRT(0))^2))</f>
        <v>0</v>
      </c>
      <c r="F16">
        <f>('E64 unconditional'!C21/(2653*Cover!$G$11*'De (NEN 7375) '!D16)^2)</f>
        <v>0</v>
      </c>
      <c r="G16" s="123" t="e">
        <f t="shared" si="0"/>
        <v>#NUM!</v>
      </c>
      <c r="H16" s="123" t="e">
        <f ca="1">De!P24</f>
        <v>#DIV/0!</v>
      </c>
    </row>
    <row r="17" spans="1:8" x14ac:dyDescent="0.2">
      <c r="A17">
        <f>'Measured Cummulative'!A19</f>
        <v>0</v>
      </c>
      <c r="C17" s="115">
        <v>38</v>
      </c>
      <c r="D17" s="115">
        <v>1.85</v>
      </c>
      <c r="E17" s="115">
        <f>(PI()*'E64 unconditional'!C22)/(4*(('De (NEN 7375) '!D17*Cover!$G$11)^2)*((SQRT(64*24*60*60)-SQRT(0))^2))</f>
        <v>0</v>
      </c>
      <c r="F17">
        <f>('E64 unconditional'!C22/(2653*Cover!$G$11*'De (NEN 7375) '!D17)^2)</f>
        <v>0</v>
      </c>
      <c r="G17" s="123" t="e">
        <f t="shared" si="0"/>
        <v>#NUM!</v>
      </c>
      <c r="H17" s="123" t="e">
        <f ca="1">De!P25</f>
        <v>#DIV/0!</v>
      </c>
    </row>
    <row r="18" spans="1:8" x14ac:dyDescent="0.2">
      <c r="A18">
        <f>'Measured Cummulative'!A20</f>
        <v>0</v>
      </c>
      <c r="B18">
        <v>63</v>
      </c>
      <c r="C18" s="115">
        <v>0.36</v>
      </c>
      <c r="D18" s="115">
        <v>0.115</v>
      </c>
      <c r="E18" s="115">
        <f>(PI()*'E64 unconditional'!C23)/(4*(('De (NEN 7375) '!D18*Cover!$G$11)^2)*((SQRT(64*24*60*60)-SQRT(0))^2))</f>
        <v>0</v>
      </c>
      <c r="F18">
        <f>('E64 unconditional'!C23/(2653*Cover!$G$11*'De (NEN 7375) '!D18)^2)</f>
        <v>0</v>
      </c>
      <c r="G18" s="123" t="e">
        <f t="shared" si="0"/>
        <v>#NUM!</v>
      </c>
      <c r="H18" s="123" t="e">
        <f ca="1">De!P26</f>
        <v>#DIV/0!</v>
      </c>
    </row>
    <row r="19" spans="1:8" x14ac:dyDescent="0.2">
      <c r="A19">
        <f>'Measured Cummulative'!A21</f>
        <v>0</v>
      </c>
      <c r="C19" s="115">
        <v>110</v>
      </c>
      <c r="D19" s="115">
        <v>5.5</v>
      </c>
      <c r="E19" s="115">
        <f>(PI()*'E64 unconditional'!C24)/(4*(('De (NEN 7375) '!D19*Cover!$G$11)^2)*((SQRT(64*24*60*60)-SQRT(0))^2))</f>
        <v>0</v>
      </c>
      <c r="F19">
        <f>('E64 unconditional'!C24/(2653*Cover!$G$11*'De (NEN 7375) '!D19)^2)</f>
        <v>0</v>
      </c>
      <c r="G19" s="123" t="e">
        <f t="shared" si="0"/>
        <v>#NUM!</v>
      </c>
      <c r="H19" s="123" t="e">
        <f ca="1">De!P27</f>
        <v>#DIV/0!</v>
      </c>
    </row>
    <row r="20" spans="1:8" x14ac:dyDescent="0.2">
      <c r="A20">
        <f>'Measured Cummulative'!A22</f>
        <v>0</v>
      </c>
      <c r="C20" s="115">
        <v>6600</v>
      </c>
      <c r="D20" s="115">
        <v>195</v>
      </c>
      <c r="E20" s="115">
        <f>(PI()*'E64 unconditional'!C25)/(4*(('De (NEN 7375) '!D20*Cover!$G$11)^2)*((SQRT(64*24*60*60)-SQRT(0))^2))</f>
        <v>0</v>
      </c>
      <c r="F20">
        <f>('E64 unconditional'!C25/(2653*Cover!$G$11*'De (NEN 7375) '!D20)^2)</f>
        <v>0</v>
      </c>
      <c r="G20" s="123" t="e">
        <f t="shared" si="0"/>
        <v>#NUM!</v>
      </c>
      <c r="H20" s="123" t="e">
        <f ca="1">De!P28</f>
        <v>#DIV/0!</v>
      </c>
    </row>
    <row r="21" spans="1:8" hidden="1" x14ac:dyDescent="0.2">
      <c r="A21">
        <f>'Measured Cummulative'!A23</f>
        <v>0</v>
      </c>
      <c r="C21" s="115">
        <v>180</v>
      </c>
      <c r="D21" s="115">
        <v>0.05</v>
      </c>
      <c r="E21" s="115">
        <f>(PI()*'E64 unconditional'!C26)/(4*(('De (NEN 7375) '!D21*Cover!$G$11)^2)*((SQRT(64*24*60*60)-SQRT(0))^2))</f>
        <v>0</v>
      </c>
      <c r="F21">
        <f>('E64 unconditional'!C26/(2653*Cover!$G$11*'De (NEN 7375) '!D21)^2)</f>
        <v>0</v>
      </c>
      <c r="G21" s="123" t="e">
        <f t="shared" si="0"/>
        <v>#NUM!</v>
      </c>
      <c r="H21" s="123" t="e">
        <f ca="1">De!P29</f>
        <v>#DIV/0!</v>
      </c>
    </row>
    <row r="22" spans="1:8" hidden="1" x14ac:dyDescent="0.2">
      <c r="A22">
        <f>'Measured Cummulative'!A24</f>
        <v>0</v>
      </c>
      <c r="C22" s="115">
        <v>180</v>
      </c>
      <c r="D22" s="115">
        <v>0.05</v>
      </c>
      <c r="E22" s="115">
        <f>(PI()*'E64 unconditional'!C27)/(4*(('De (NEN 7375) '!D22*Cover!$G$11)^2)*((SQRT(64*24*60*60)-SQRT(0))^2))</f>
        <v>0</v>
      </c>
      <c r="F22">
        <f>('E64 unconditional'!C27/(2653*Cover!$G$11*'De (NEN 7375) '!D22)^2)</f>
        <v>0</v>
      </c>
      <c r="G22" s="123" t="e">
        <f t="shared" si="0"/>
        <v>#NUM!</v>
      </c>
      <c r="H22" s="123" t="e">
        <f ca="1">De!P30</f>
        <v>#DIV/0!</v>
      </c>
    </row>
    <row r="23" spans="1:8" x14ac:dyDescent="0.2">
      <c r="A23">
        <f>'Measured Cummulative'!A25</f>
        <v>0</v>
      </c>
      <c r="C23" s="115">
        <v>420</v>
      </c>
      <c r="D23" s="115">
        <v>0.05</v>
      </c>
      <c r="E23" s="115">
        <f>(PI()*'E64 unconditional'!C28)/(4*(('De (NEN 7375) '!D23*Cover!$G$11)^2)*((SQRT(64*24*60*60)-SQRT(0))^2))</f>
        <v>0</v>
      </c>
      <c r="F23">
        <f>('E64 unconditional'!C28/(2653*Cover!$G$11*'De (NEN 7375) '!D23)^2)</f>
        <v>0</v>
      </c>
      <c r="G23" s="123" t="e">
        <f>-LOG(F23)</f>
        <v>#NUM!</v>
      </c>
      <c r="H23" s="123" t="e">
        <f ca="1">De!P31</f>
        <v>#DIV/0!</v>
      </c>
    </row>
    <row r="24" spans="1:8" x14ac:dyDescent="0.2">
      <c r="A24">
        <f>'Measured Cummulative'!A26</f>
        <v>0</v>
      </c>
      <c r="C24" s="115">
        <v>260</v>
      </c>
      <c r="D24" s="115">
        <v>0.05</v>
      </c>
      <c r="E24" s="115">
        <f>(PI()*'E64 unconditional'!C29)/(4*(('De (NEN 7375) '!D24*Cover!$G$11)^2)*((SQRT(64*24*60*60)-SQRT(0))^2))</f>
        <v>0</v>
      </c>
      <c r="F24">
        <f>('E64 unconditional'!C29/(2653*Cover!$G$11*'De (NEN 7375) '!D24)^2)</f>
        <v>0</v>
      </c>
      <c r="G24" s="123" t="e">
        <f t="shared" si="0"/>
        <v>#NUM!</v>
      </c>
      <c r="H24" s="123" t="e">
        <f ca="1">De!P32</f>
        <v>#DIV/0!</v>
      </c>
    </row>
    <row r="25" spans="1:8" x14ac:dyDescent="0.2">
      <c r="A25">
        <f>'Measured Cummulative'!A27</f>
        <v>0</v>
      </c>
      <c r="C25" s="115">
        <v>230</v>
      </c>
      <c r="D25" s="115">
        <v>0.05</v>
      </c>
      <c r="E25" s="115">
        <f>(PI()*'E64 unconditional'!C30)/(4*(('De (NEN 7375) '!D25*Cover!$G$11)^2)*((SQRT(64*24*60*60)-SQRT(0))^2))</f>
        <v>0</v>
      </c>
      <c r="F25">
        <f>('E64 unconditional'!C30/(2653*Cover!$G$11*'De (NEN 7375) '!D25)^2)</f>
        <v>0</v>
      </c>
      <c r="G25" s="123" t="e">
        <f t="shared" si="0"/>
        <v>#NUM!</v>
      </c>
      <c r="H25" s="123" t="e">
        <f ca="1">De!P33</f>
        <v>#DIV/0!</v>
      </c>
    </row>
    <row r="26" spans="1:8" x14ac:dyDescent="0.2">
      <c r="A26">
        <f>'Measured Cummulative'!A28</f>
        <v>0</v>
      </c>
      <c r="C26" s="115">
        <v>0.5</v>
      </c>
      <c r="D26" s="115">
        <v>2.5000000000000001E-2</v>
      </c>
      <c r="E26" s="115">
        <f>(PI()*'E64 unconditional'!C31)/(4*(('De (NEN 7375) '!D26*Cover!$G$11)^2)*((SQRT(64*24*60*60)-SQRT(0))^2))</f>
        <v>0</v>
      </c>
      <c r="F26">
        <f>('E64 unconditional'!C31/(2653*Cover!$G$11*'De (NEN 7375) '!D26)^2)</f>
        <v>0</v>
      </c>
      <c r="G26" s="123" t="e">
        <f t="shared" si="0"/>
        <v>#NUM!</v>
      </c>
      <c r="H26" s="123" t="e">
        <f ca="1">De!P34</f>
        <v>#DIV/0!</v>
      </c>
    </row>
    <row r="27" spans="1:8" x14ac:dyDescent="0.2">
      <c r="A27">
        <f>'Measured Cummulative'!A29</f>
        <v>0</v>
      </c>
      <c r="C27" s="115">
        <v>229.6</v>
      </c>
      <c r="D27" s="115">
        <v>10.5</v>
      </c>
      <c r="E27" s="115">
        <f>(PI()*'E64 unconditional'!C32)/(4*(('De (NEN 7375) '!D27*Cover!$G$11)^2)*((SQRT(64*24*60*60)-SQRT(0))^2))</f>
        <v>0</v>
      </c>
      <c r="F27">
        <f>('E64 unconditional'!C32/(2653*Cover!$G$11*'De (NEN 7375) '!D27)^2)</f>
        <v>0</v>
      </c>
      <c r="G27" s="123" t="e">
        <f t="shared" si="0"/>
        <v>#NUM!</v>
      </c>
      <c r="H27" s="123" t="e">
        <f ca="1">De!P35</f>
        <v>#DIV/0!</v>
      </c>
    </row>
    <row r="28" spans="1:8" x14ac:dyDescent="0.2">
      <c r="A28">
        <f>'Measured Cummulative'!A30</f>
        <v>0</v>
      </c>
      <c r="C28" s="115">
        <v>0.5</v>
      </c>
      <c r="D28" s="115">
        <v>2.5000000000000001E-2</v>
      </c>
      <c r="E28" s="115">
        <f>(PI()*'E64 unconditional'!C33)/(4*(('De (NEN 7375) '!D28*Cover!$G$11)^2)*((SQRT(64*24*60*60)-SQRT(0))^2))</f>
        <v>0</v>
      </c>
      <c r="F28">
        <f>('E64 unconditional'!C33/(2653*Cover!$G$11*'De (NEN 7375) '!D28)^2)</f>
        <v>0</v>
      </c>
      <c r="G28" s="123" t="e">
        <f t="shared" si="0"/>
        <v>#NUM!</v>
      </c>
      <c r="H28" s="123" t="e">
        <f ca="1">De!P36</f>
        <v>#DIV/0!</v>
      </c>
    </row>
    <row r="29" spans="1:8" x14ac:dyDescent="0.2">
      <c r="A29">
        <f>'Measured Cummulative'!A31</f>
        <v>0</v>
      </c>
      <c r="C29" s="115">
        <v>321.5</v>
      </c>
      <c r="D29" s="115">
        <v>10.5</v>
      </c>
      <c r="E29" s="115">
        <f>(PI()*'E64 unconditional'!C34)/(4*(('De (NEN 7375) '!D29*Cover!$G$11)^2)*((SQRT(64*24*60*60)-SQRT(0))^2))</f>
        <v>0</v>
      </c>
      <c r="F29">
        <f>('E64 unconditional'!C34/(2653*Cover!$G$11*'De (NEN 7375) '!D29)^2)</f>
        <v>0</v>
      </c>
      <c r="G29" s="123" t="e">
        <f t="shared" si="0"/>
        <v>#NUM!</v>
      </c>
      <c r="H29" s="123" t="e">
        <f ca="1">De!P37</f>
        <v>#DIV/0!</v>
      </c>
    </row>
    <row r="30" spans="1:8" x14ac:dyDescent="0.2">
      <c r="A30">
        <f>'Measured Cummulative'!A32</f>
        <v>0</v>
      </c>
      <c r="C30" s="115">
        <v>14.9</v>
      </c>
      <c r="D30" s="115">
        <v>0.14499999999999999</v>
      </c>
      <c r="E30" s="115">
        <f>(PI()*'E64 unconditional'!C35)/(4*(('De (NEN 7375) '!D30*Cover!$G$11)^2)*((SQRT(64*24*60*60)-SQRT(0))^2))</f>
        <v>0</v>
      </c>
      <c r="F30">
        <f>('E64 unconditional'!C35/(2653*Cover!$G$11*'De (NEN 7375) '!D30)^2)</f>
        <v>0</v>
      </c>
      <c r="G30" s="123" t="e">
        <f t="shared" si="0"/>
        <v>#NUM!</v>
      </c>
      <c r="H30" s="123" t="e">
        <f ca="1">De!P38</f>
        <v>#DIV/0!</v>
      </c>
    </row>
    <row r="31" spans="1:8" x14ac:dyDescent="0.2">
      <c r="A31">
        <f>'Measured Cummulative'!A33</f>
        <v>0</v>
      </c>
      <c r="C31" s="115">
        <v>734.8</v>
      </c>
      <c r="D31" s="115">
        <v>1</v>
      </c>
      <c r="E31" s="115">
        <f>(PI()*'E64 unconditional'!C36)/(4*(('De (NEN 7375) '!D31*Cover!$G$11)^2)*((SQRT(64*24*60*60)-SQRT(0))^2))</f>
        <v>0</v>
      </c>
      <c r="F31">
        <f>('E64 unconditional'!C36/(2653*Cover!$G$11*'De (NEN 7375) '!D31)^2)</f>
        <v>0</v>
      </c>
      <c r="G31" s="123" t="e">
        <f t="shared" si="0"/>
        <v>#NUM!</v>
      </c>
      <c r="H31" s="123" t="e">
        <f ca="1">De!P39</f>
        <v>#DIV/0!</v>
      </c>
    </row>
    <row r="32" spans="1:8" x14ac:dyDescent="0.2">
      <c r="A32">
        <f>'Measured Cummulative'!A34</f>
        <v>0</v>
      </c>
      <c r="C32" s="115">
        <v>849.6</v>
      </c>
      <c r="D32" s="115">
        <v>2.5000000000000001E-2</v>
      </c>
      <c r="E32" s="115">
        <f>(PI()*'E64 unconditional'!C37)/(4*(('De (NEN 7375) '!D32*Cover!$G$11)^2)*((SQRT(64*24*60*60)-SQRT(0))^2))</f>
        <v>0</v>
      </c>
      <c r="F32">
        <f>('E64 unconditional'!C37/(2653*Cover!$G$11*'De (NEN 7375) '!D32)^2)</f>
        <v>0</v>
      </c>
      <c r="G32" s="123" t="e">
        <f t="shared" si="0"/>
        <v>#NUM!</v>
      </c>
      <c r="H32" s="123" t="e">
        <f ca="1">De!P40</f>
        <v>#DIV/0!</v>
      </c>
    </row>
    <row r="33" spans="1:8" x14ac:dyDescent="0.2">
      <c r="A33">
        <f>'Measured Cummulative'!A35</f>
        <v>0</v>
      </c>
      <c r="C33" s="115">
        <v>872.6</v>
      </c>
      <c r="D33" s="115">
        <v>2.5000000000000001E-2</v>
      </c>
      <c r="E33" s="115">
        <f>(PI()*'E64 unconditional'!C38)/(4*(('De (NEN 7375) '!D33*Cover!$G$11)^2)*((SQRT(64*24*60*60)-SQRT(0))^2))</f>
        <v>0</v>
      </c>
      <c r="F33">
        <f>('E64 unconditional'!C38/(2653*Cover!$G$11*'De (NEN 7375) '!D33)^2)</f>
        <v>0</v>
      </c>
      <c r="G33" s="123" t="e">
        <f t="shared" si="0"/>
        <v>#NUM!</v>
      </c>
      <c r="H33" s="123" t="e">
        <f ca="1">De!P41</f>
        <v>#DIV/0!</v>
      </c>
    </row>
    <row r="34" spans="1:8" x14ac:dyDescent="0.2">
      <c r="A34">
        <f>'Measured Cummulative'!A36</f>
        <v>0</v>
      </c>
      <c r="C34" s="115">
        <v>1033.3</v>
      </c>
      <c r="D34" s="115">
        <v>2.5000000000000001E-2</v>
      </c>
      <c r="E34" s="115">
        <f>(PI()*'E64 unconditional'!C39)/(4*(('De (NEN 7375) '!D34*Cover!$G$11)^2)*((SQRT(64*24*60*60)-SQRT(0))^2))</f>
        <v>0</v>
      </c>
      <c r="F34">
        <f>('E64 unconditional'!C39/(2653*Cover!$G$11*'De (NEN 7375) '!D34)^2)</f>
        <v>0</v>
      </c>
      <c r="G34" s="123" t="e">
        <f t="shared" si="0"/>
        <v>#NUM!</v>
      </c>
      <c r="H34" s="123" t="e">
        <f ca="1">De!P42</f>
        <v>#DIV/0!</v>
      </c>
    </row>
    <row r="35" spans="1:8" x14ac:dyDescent="0.2">
      <c r="A35">
        <f>'Measured Cummulative'!A37</f>
        <v>0</v>
      </c>
      <c r="C35" s="115">
        <v>401.8</v>
      </c>
      <c r="D35" s="115">
        <v>2.5000000000000001E-2</v>
      </c>
      <c r="E35" s="115">
        <f>(PI()*'E64 unconditional'!C40)/(4*(('De (NEN 7375) '!D35*Cover!$G$11)^2)*((SQRT(64*24*60*60)-SQRT(0))^2))</f>
        <v>0</v>
      </c>
      <c r="F35">
        <f>('E64 unconditional'!C40/(2653*Cover!$G$11*'De (NEN 7375) '!D35)^2)</f>
        <v>0</v>
      </c>
      <c r="G35" s="123" t="e">
        <f t="shared" si="0"/>
        <v>#NUM!</v>
      </c>
      <c r="H35" s="123" t="e">
        <f ca="1">De!P43</f>
        <v>#DIV/0!</v>
      </c>
    </row>
    <row r="36" spans="1:8" x14ac:dyDescent="0.2">
      <c r="A36">
        <f>'Measured Cummulative'!A38</f>
        <v>0</v>
      </c>
      <c r="C36" s="115">
        <v>252.6</v>
      </c>
      <c r="D36" s="115">
        <v>2.5000000000000001E-2</v>
      </c>
      <c r="E36" s="115">
        <f>(PI()*'E64 unconditional'!C41)/(4*(('De (NEN 7375) '!D36*Cover!$G$11)^2)*((SQRT(64*24*60*60)-SQRT(0))^2))</f>
        <v>0</v>
      </c>
      <c r="F36">
        <f>('E64 unconditional'!C41/(2653*Cover!$G$11*'De (NEN 7375) '!D36)^2)</f>
        <v>0</v>
      </c>
      <c r="G36" s="123" t="e">
        <f t="shared" si="0"/>
        <v>#NUM!</v>
      </c>
      <c r="H36" s="123" t="e">
        <f ca="1">De!P44</f>
        <v>#DIV/0!</v>
      </c>
    </row>
    <row r="37" spans="1:8" x14ac:dyDescent="0.2">
      <c r="A37">
        <f>'Measured Cummulative'!A39</f>
        <v>0</v>
      </c>
      <c r="C37" s="115">
        <v>1377.7</v>
      </c>
      <c r="D37" s="115">
        <v>19</v>
      </c>
      <c r="E37" s="115">
        <f>(PI()*'E64 unconditional'!C42)/(4*(('De (NEN 7375) '!D37*Cover!$G$11)^2)*((SQRT(64*24*60*60)-SQRT(0))^2))</f>
        <v>0</v>
      </c>
      <c r="F37">
        <f>('E64 unconditional'!C42/(2653*Cover!$G$11*'De (NEN 7375) '!D37)^2)</f>
        <v>0</v>
      </c>
      <c r="G37" s="123" t="e">
        <f t="shared" si="0"/>
        <v>#NUM!</v>
      </c>
      <c r="H37" s="123" t="e">
        <f ca="1">De!P45</f>
        <v>#DIV/0!</v>
      </c>
    </row>
    <row r="38" spans="1:8" x14ac:dyDescent="0.2">
      <c r="A38">
        <f>'Measured Cummulative'!A40</f>
        <v>0</v>
      </c>
      <c r="C38" s="115">
        <v>723.3</v>
      </c>
      <c r="D38" s="115">
        <v>2.5000000000000001E-2</v>
      </c>
      <c r="E38" s="115">
        <f>(PI()*'E64 unconditional'!C43)/(4*(('De (NEN 7375) '!D38*Cover!$G$11)^2)*((SQRT(64*24*60*60)-SQRT(0))^2))</f>
        <v>0</v>
      </c>
      <c r="F38">
        <f>('E64 unconditional'!C43/(2653*Cover!$G$11*'De (NEN 7375) '!D38)^2)</f>
        <v>0</v>
      </c>
      <c r="G38" s="123" t="e">
        <f t="shared" si="0"/>
        <v>#NUM!</v>
      </c>
      <c r="H38" s="123" t="e">
        <f ca="1">De!P46</f>
        <v>#DIV/0!</v>
      </c>
    </row>
    <row r="39" spans="1:8" x14ac:dyDescent="0.2">
      <c r="A39">
        <f>'Measured Cummulative'!A41</f>
        <v>0</v>
      </c>
      <c r="C39" s="115">
        <v>321.5</v>
      </c>
      <c r="D39" s="115">
        <v>6.5</v>
      </c>
      <c r="E39" s="115">
        <f>(PI()*'E64 unconditional'!C44)/(4*(('De (NEN 7375) '!D39*Cover!$G$11)^2)*((SQRT(64*24*60*60)-SQRT(0))^2))</f>
        <v>0</v>
      </c>
      <c r="F39">
        <f>('E64 unconditional'!C44/(2653*Cover!$G$11*'De (NEN 7375) '!D39)^2)</f>
        <v>0</v>
      </c>
      <c r="G39" s="123" t="e">
        <f t="shared" si="0"/>
        <v>#NUM!</v>
      </c>
      <c r="H39" s="123" t="e">
        <f ca="1">De!P47</f>
        <v>#DIV/0!</v>
      </c>
    </row>
    <row r="40" spans="1:8" x14ac:dyDescent="0.2">
      <c r="A40">
        <f>'Measured Cummulative'!A42</f>
        <v>0</v>
      </c>
      <c r="C40" s="115">
        <v>2755.5</v>
      </c>
      <c r="D40" s="115">
        <v>1.7</v>
      </c>
      <c r="E40" s="115">
        <f>(PI()*'E64 unconditional'!C45)/(4*(('De (NEN 7375) '!D40*Cover!$G$11)^2)*((SQRT(64*24*60*60)-SQRT(0))^2))</f>
        <v>0</v>
      </c>
      <c r="F40">
        <f>('E64 unconditional'!C45/(2653*Cover!$G$11*'De (NEN 7375) '!D40)^2)</f>
        <v>0</v>
      </c>
      <c r="G40" s="123" t="e">
        <f t="shared" si="0"/>
        <v>#NUM!</v>
      </c>
      <c r="H40" s="123" t="e">
        <f ca="1">De!P48</f>
        <v>#DIV/0!</v>
      </c>
    </row>
    <row r="41" spans="1:8" x14ac:dyDescent="0.2">
      <c r="A41">
        <f>'Measured Cummulative'!A43</f>
        <v>0</v>
      </c>
      <c r="C41" s="115">
        <v>505.2</v>
      </c>
      <c r="D41" s="115">
        <v>5</v>
      </c>
      <c r="E41" s="115">
        <f>(PI()*'E64 unconditional'!C46)/(4*(('De (NEN 7375) '!D41*Cover!$G$11)^2)*((SQRT(64*24*60*60)-SQRT(0))^2))</f>
        <v>0</v>
      </c>
      <c r="F41">
        <f>('E64 unconditional'!C46/(2653*Cover!$G$11*'De (NEN 7375) '!D41)^2)</f>
        <v>0</v>
      </c>
      <c r="G41" s="123" t="e">
        <f t="shared" si="0"/>
        <v>#NUM!</v>
      </c>
      <c r="H41" s="123" t="e">
        <f ca="1">De!P49</f>
        <v>#DIV/0!</v>
      </c>
    </row>
    <row r="42" spans="1:8" x14ac:dyDescent="0.2">
      <c r="A42">
        <f>'Measured Cummulative'!A44</f>
        <v>0</v>
      </c>
      <c r="C42" s="115">
        <v>401.8</v>
      </c>
      <c r="D42" s="115">
        <v>2.5000000000000001E-2</v>
      </c>
      <c r="E42" s="115">
        <f>(PI()*'E64 unconditional'!C47)/(4*(('De (NEN 7375) '!D42*Cover!$G$11)^2)*((SQRT(64*24*60*60)-SQRT(0))^2))</f>
        <v>0</v>
      </c>
      <c r="F42">
        <f>('E64 unconditional'!C47/(2653*Cover!$G$11*'De (NEN 7375) '!D42)^2)</f>
        <v>0</v>
      </c>
      <c r="G42" s="123" t="e">
        <f t="shared" si="0"/>
        <v>#NUM!</v>
      </c>
      <c r="H42" s="123" t="e">
        <f ca="1">De!P50</f>
        <v>#DIV/0!</v>
      </c>
    </row>
    <row r="43" spans="1:8" x14ac:dyDescent="0.2">
      <c r="A43">
        <f>'Measured Cummulative'!A45</f>
        <v>0</v>
      </c>
      <c r="C43" s="115">
        <v>665.9</v>
      </c>
      <c r="D43" s="115">
        <v>60</v>
      </c>
      <c r="E43" s="115">
        <f>(PI()*'E64 unconditional'!C48)/(4*(('De (NEN 7375) '!D43*Cover!$G$11)^2)*((SQRT(64*24*60*60)-SQRT(0))^2))</f>
        <v>0</v>
      </c>
      <c r="F43">
        <f>('E64 unconditional'!C48/(2653*Cover!$G$11*'De (NEN 7375) '!D43)^2)</f>
        <v>0</v>
      </c>
      <c r="G43" s="123" t="e">
        <f t="shared" si="0"/>
        <v>#NUM!</v>
      </c>
      <c r="H43" s="123" t="e">
        <f ca="1">De!P51</f>
        <v>#DIV/0!</v>
      </c>
    </row>
    <row r="44" spans="1:8" x14ac:dyDescent="0.2">
      <c r="A44">
        <f>'Measured Cummulative'!A46</f>
        <v>0</v>
      </c>
      <c r="C44" s="115">
        <v>0.5</v>
      </c>
      <c r="D44" s="115">
        <v>2.5000000000000001E-2</v>
      </c>
      <c r="E44" s="115">
        <f>(PI()*'E64 unconditional'!C49)/(4*(('De (NEN 7375) '!D44*Cover!$G$11)^2)*((SQRT(64*24*60*60)-SQRT(0))^2))</f>
        <v>0</v>
      </c>
      <c r="F44">
        <f>('E64 unconditional'!C49/(2653*Cover!$G$11*'De (NEN 7375) '!D44)^2)</f>
        <v>0</v>
      </c>
      <c r="G44" s="123" t="e">
        <f t="shared" si="0"/>
        <v>#NUM!</v>
      </c>
      <c r="H44" s="123" t="e">
        <f ca="1">De!P52</f>
        <v>#DIV/0!</v>
      </c>
    </row>
    <row r="45" spans="1:8" x14ac:dyDescent="0.2">
      <c r="A45">
        <f>'Measured Cummulative'!A47</f>
        <v>0</v>
      </c>
      <c r="C45" s="115">
        <v>3903.6</v>
      </c>
      <c r="D45" s="115">
        <v>10.5</v>
      </c>
      <c r="E45" s="115">
        <f>(PI()*'E64 unconditional'!C50)/(4*(('De (NEN 7375) '!D45*Cover!$G$11)^2)*((SQRT(64*24*60*60)-SQRT(0))^2))</f>
        <v>0</v>
      </c>
      <c r="F45">
        <f>('E64 unconditional'!C50/(2653*Cover!$G$11*'De (NEN 7375) '!D45)^2)</f>
        <v>0</v>
      </c>
      <c r="G45" s="123" t="e">
        <f t="shared" si="0"/>
        <v>#NUM!</v>
      </c>
      <c r="H45" s="123" t="e">
        <f ca="1">De!P53</f>
        <v>#DIV/0!</v>
      </c>
    </row>
    <row r="46" spans="1:8" x14ac:dyDescent="0.2">
      <c r="A46">
        <f>'Measured Cummulative'!A48</f>
        <v>0</v>
      </c>
      <c r="C46" s="115">
        <v>2066.6</v>
      </c>
      <c r="D46" s="115">
        <v>1</v>
      </c>
      <c r="E46" s="115">
        <f>(PI()*'E64 unconditional'!C51)/(4*(('De (NEN 7375) '!D46*Cover!$G$11)^2)*((SQRT(64*24*60*60)-SQRT(0))^2))</f>
        <v>0</v>
      </c>
      <c r="F46">
        <f>('E64 unconditional'!C51/(2653*Cover!$G$11*'De (NEN 7375) '!D46)^2)</f>
        <v>0</v>
      </c>
      <c r="G46" s="123" t="e">
        <f t="shared" si="0"/>
        <v>#NUM!</v>
      </c>
      <c r="H46" s="123" t="e">
        <f ca="1">De!P54</f>
        <v>#DIV/0!</v>
      </c>
    </row>
    <row r="47" spans="1:8" x14ac:dyDescent="0.2">
      <c r="A47">
        <f>'Measured Cummulative'!A49</f>
        <v>0</v>
      </c>
      <c r="C47" s="115">
        <v>3.2</v>
      </c>
      <c r="D47" s="115">
        <v>4</v>
      </c>
      <c r="E47" s="115">
        <f>(PI()*'E64 unconditional'!C52)/(4*(('De (NEN 7375) '!D47*Cover!$G$11)^2)*((SQRT(64*24*60*60)-SQRT(0))^2))</f>
        <v>0</v>
      </c>
      <c r="F47">
        <f>('E64 unconditional'!C52/(2653*Cover!$G$11*'De (NEN 7375) '!D47)^2)</f>
        <v>0</v>
      </c>
      <c r="G47" s="123" t="e">
        <f t="shared" si="0"/>
        <v>#NUM!</v>
      </c>
      <c r="H47" s="123" t="e">
        <f ca="1">De!P55</f>
        <v>#DIV/0!</v>
      </c>
    </row>
    <row r="48" spans="1:8" x14ac:dyDescent="0.2">
      <c r="A48">
        <f>'Measured Cummulative'!A50</f>
        <v>0</v>
      </c>
      <c r="C48" s="115">
        <v>5.5</v>
      </c>
      <c r="D48" s="115">
        <v>5.0000000000000001E-4</v>
      </c>
      <c r="E48" s="115">
        <f>(PI()*'E64 unconditional'!C53)/(4*(('De (NEN 7375) '!D48*Cover!$G$11)^2)*((SQRT(64*24*60*60)-SQRT(0))^2))</f>
        <v>0</v>
      </c>
      <c r="F48">
        <f>('E64 unconditional'!C53/(2653*Cover!$G$11*'De (NEN 7375) '!D48)^2)</f>
        <v>0</v>
      </c>
      <c r="G48" s="123" t="e">
        <f t="shared" si="0"/>
        <v>#NUM!</v>
      </c>
      <c r="H48" s="123" t="e">
        <f ca="1">De!P56</f>
        <v>#DIV/0!</v>
      </c>
    </row>
    <row r="49" spans="1:8" x14ac:dyDescent="0.2">
      <c r="A49">
        <f>'Measured Cummulative'!A51</f>
        <v>0</v>
      </c>
      <c r="C49" s="115">
        <v>5.9</v>
      </c>
      <c r="D49" s="115">
        <v>5.0000000000000001E-4</v>
      </c>
      <c r="E49" s="115">
        <f>(PI()*'E64 unconditional'!C54)/(4*(('De (NEN 7375) '!D49*Cover!$G$11)^2)*((SQRT(64*24*60*60)-SQRT(0))^2))</f>
        <v>0</v>
      </c>
      <c r="F49">
        <f>('E64 unconditional'!C54/(2653*Cover!$G$11*'De (NEN 7375) '!D49)^2)</f>
        <v>0</v>
      </c>
      <c r="G49" s="123" t="e">
        <f t="shared" si="0"/>
        <v>#NUM!</v>
      </c>
      <c r="H49" s="123" t="e">
        <f ca="1">De!P57</f>
        <v>#DIV/0!</v>
      </c>
    </row>
    <row r="50" spans="1:8" x14ac:dyDescent="0.2">
      <c r="A50" t="e">
        <f>'Measured Cummulative'!#REF!</f>
        <v>#REF!</v>
      </c>
      <c r="C50" s="115">
        <v>9.9</v>
      </c>
      <c r="D50" s="115">
        <v>5.0000000000000001E-4</v>
      </c>
      <c r="E50" s="115" t="e">
        <f>(PI()*'E64 unconditional'!C55)/(4*(('De (NEN 7375) '!D50*Cover!$G$11)^2)*((SQRT(64*24*60*60)-SQRT(0))^2))</f>
        <v>#REF!</v>
      </c>
      <c r="F50" t="e">
        <f>('E64 unconditional'!C55/(2653*Cover!$G$11*'De (NEN 7375) '!D50)^2)</f>
        <v>#REF!</v>
      </c>
      <c r="G50" s="123" t="e">
        <f t="shared" si="0"/>
        <v>#REF!</v>
      </c>
      <c r="H50" s="123" t="e">
        <f ca="1">De!P58</f>
        <v>#DIV/0!</v>
      </c>
    </row>
    <row r="51" spans="1:8" x14ac:dyDescent="0.2">
      <c r="A51" t="e">
        <f>'Measured Cummulative'!#REF!</f>
        <v>#REF!</v>
      </c>
      <c r="C51" s="115">
        <v>1.3</v>
      </c>
      <c r="D51" s="115">
        <v>5.0000000000000001E-4</v>
      </c>
      <c r="E51" s="115" t="e">
        <f>(PI()*'E64 unconditional'!C56)/(4*(('De (NEN 7375) '!D51*Cover!$G$11)^2)*((SQRT(64*24*60*60)-SQRT(0))^2))</f>
        <v>#REF!</v>
      </c>
      <c r="F51" t="e">
        <f>('E64 unconditional'!C56/(2653*Cover!$G$11*'De (NEN 7375) '!D51)^2)</f>
        <v>#REF!</v>
      </c>
      <c r="G51" s="123" t="e">
        <f t="shared" si="0"/>
        <v>#REF!</v>
      </c>
      <c r="H51" s="123" t="e">
        <f ca="1">De!P59</f>
        <v>#DIV/0!</v>
      </c>
    </row>
    <row r="52" spans="1:8" x14ac:dyDescent="0.2">
      <c r="A52" t="e">
        <f>'Measured Cummulative'!#REF!</f>
        <v>#REF!</v>
      </c>
      <c r="C52" s="115">
        <v>22</v>
      </c>
      <c r="D52" s="115">
        <v>5.0000000000000001E-4</v>
      </c>
      <c r="E52" s="115" t="e">
        <f>(PI()*'E64 unconditional'!C57)/(4*(('De (NEN 7375) '!D52*Cover!$G$11)^2)*((SQRT(64*24*60*60)-SQRT(0))^2))</f>
        <v>#REF!</v>
      </c>
      <c r="F52" t="e">
        <f>('E64 unconditional'!C57/(2653*Cover!$G$11*'De (NEN 7375) '!D52)^2)</f>
        <v>#REF!</v>
      </c>
      <c r="G52" s="123" t="e">
        <f t="shared" si="0"/>
        <v>#REF!</v>
      </c>
      <c r="H52" s="123" t="e">
        <f ca="1">De!P60</f>
        <v>#DIV/0!</v>
      </c>
    </row>
    <row r="53" spans="1:8" x14ac:dyDescent="0.2">
      <c r="A53" t="e">
        <f>'Measured Cummulative'!#REF!</f>
        <v>#REF!</v>
      </c>
      <c r="C53" s="115">
        <v>2.4</v>
      </c>
      <c r="D53" s="115">
        <v>5.0000000000000001E-4</v>
      </c>
      <c r="E53" s="115" t="e">
        <f>(PI()*'E64 unconditional'!C58)/(4*(('De (NEN 7375) '!D53*Cover!$G$11)^2)*((SQRT(64*24*60*60)-SQRT(0))^2))</f>
        <v>#REF!</v>
      </c>
      <c r="F53" t="e">
        <f>('E64 unconditional'!C58/(2653*Cover!$G$11*'De (NEN 7375) '!D53)^2)</f>
        <v>#REF!</v>
      </c>
      <c r="G53" s="123" t="e">
        <f t="shared" si="0"/>
        <v>#REF!</v>
      </c>
      <c r="H53" s="123" t="e">
        <f ca="1">De!P61</f>
        <v>#DIV/0!</v>
      </c>
    </row>
    <row r="54" spans="1:8" x14ac:dyDescent="0.2">
      <c r="A54" t="e">
        <f>'Measured Cummulative'!#REF!</f>
        <v>#REF!</v>
      </c>
      <c r="C54" s="115">
        <v>5.6</v>
      </c>
      <c r="D54" s="115">
        <v>5.0000000000000001E-4</v>
      </c>
      <c r="E54" s="115" t="e">
        <f>(PI()*'E64 unconditional'!C59)/(4*(('De (NEN 7375) '!D54*Cover!$G$11)^2)*((SQRT(64*24*60*60)-SQRT(0))^2))</f>
        <v>#REF!</v>
      </c>
      <c r="F54" t="e">
        <f>('E64 unconditional'!C59/(2653*Cover!$G$11*'De (NEN 7375) '!D54)^2)</f>
        <v>#REF!</v>
      </c>
      <c r="G54" s="123" t="e">
        <f t="shared" si="0"/>
        <v>#REF!</v>
      </c>
      <c r="H54" s="123" t="e">
        <f ca="1">De!P62</f>
        <v>#DIV/0!</v>
      </c>
    </row>
    <row r="55" spans="1:8" x14ac:dyDescent="0.2">
      <c r="A55" t="e">
        <f>'Measured Cummulative'!#REF!</f>
        <v>#REF!</v>
      </c>
      <c r="C55" s="115">
        <v>5.4</v>
      </c>
      <c r="D55" s="115">
        <v>5.0000000000000001E-4</v>
      </c>
      <c r="E55" s="115" t="e">
        <f>(PI()*'E64 unconditional'!C60)/(4*(('De (NEN 7375) '!D55*Cover!$G$11)^2)*((SQRT(64*24*60*60)-SQRT(0))^2))</f>
        <v>#REF!</v>
      </c>
      <c r="F55" t="e">
        <f>('E64 unconditional'!C60/(2653*Cover!$G$11*'De (NEN 7375) '!D55)^2)</f>
        <v>#REF!</v>
      </c>
      <c r="G55" s="123" t="e">
        <f t="shared" si="0"/>
        <v>#REF!</v>
      </c>
      <c r="H55" s="123" t="e">
        <f ca="1">De!P63</f>
        <v>#DIV/0!</v>
      </c>
    </row>
    <row r="56" spans="1:8" x14ac:dyDescent="0.2">
      <c r="A56" t="e">
        <f>'Measured Cummulative'!#REF!</f>
        <v>#REF!</v>
      </c>
      <c r="C56" s="115">
        <v>23</v>
      </c>
      <c r="D56" s="115">
        <v>5.0000000000000001E-4</v>
      </c>
      <c r="E56" s="115" t="e">
        <f>(PI()*'E64 unconditional'!C61)/(4*(('De (NEN 7375) '!D56*Cover!$G$11)^2)*((SQRT(64*24*60*60)-SQRT(0))^2))</f>
        <v>#REF!</v>
      </c>
      <c r="F56" t="e">
        <f>('E64 unconditional'!C61/(2653*Cover!$G$11*'De (NEN 7375) '!D56)^2)</f>
        <v>#REF!</v>
      </c>
      <c r="G56" s="123" t="e">
        <f t="shared" si="0"/>
        <v>#REF!</v>
      </c>
      <c r="H56" s="123" t="e">
        <f ca="1">De!P64</f>
        <v>#DIV/0!</v>
      </c>
    </row>
    <row r="57" spans="1:8" x14ac:dyDescent="0.2">
      <c r="A57" t="e">
        <f>'Measured Cummulative'!#REF!</f>
        <v>#REF!</v>
      </c>
      <c r="C57" s="115">
        <v>20</v>
      </c>
      <c r="D57" s="115">
        <v>5.0000000000000001E-4</v>
      </c>
      <c r="E57" s="115" t="e">
        <f>(PI()*'E64 unconditional'!C62)/(4*(('De (NEN 7375) '!D57*Cover!$G$11)^2)*((SQRT(64*24*60*60)-SQRT(0))^2))</f>
        <v>#REF!</v>
      </c>
      <c r="F57" t="e">
        <f>('E64 unconditional'!C62/(2653*Cover!$G$11*'De (NEN 7375) '!D57)^2)</f>
        <v>#REF!</v>
      </c>
      <c r="G57" s="123" t="e">
        <f t="shared" si="0"/>
        <v>#REF!</v>
      </c>
      <c r="H57" s="123" t="e">
        <f ca="1">De!P65</f>
        <v>#DIV/0!</v>
      </c>
    </row>
    <row r="58" spans="1:8" x14ac:dyDescent="0.2">
      <c r="A58" t="e">
        <f>'Measured Cummulative'!#REF!</f>
        <v>#REF!</v>
      </c>
      <c r="C58" s="115">
        <v>140</v>
      </c>
      <c r="D58" s="115">
        <v>0.01</v>
      </c>
      <c r="E58" s="115" t="e">
        <f>(PI()*'E64 unconditional'!C63)/(4*(('De (NEN 7375) '!D58*Cover!$G$11)^2)*((SQRT(64*24*60*60)-SQRT(0))^2))</f>
        <v>#REF!</v>
      </c>
      <c r="F58" t="e">
        <f>('E64 unconditional'!C63/(2653*Cover!$G$11*'De (NEN 7375) '!D58)^2)</f>
        <v>#REF!</v>
      </c>
      <c r="G58" s="123" t="e">
        <f t="shared" si="0"/>
        <v>#REF!</v>
      </c>
      <c r="H58" s="123" t="e">
        <f ca="1">De!P66</f>
        <v>#DIV/0!</v>
      </c>
    </row>
    <row r="59" spans="1:8" x14ac:dyDescent="0.2">
      <c r="A59" t="e">
        <f>'Measured Cummulative'!#REF!</f>
        <v>#REF!</v>
      </c>
      <c r="C59" s="115">
        <v>1</v>
      </c>
      <c r="D59" s="115">
        <v>5.0000000000000001E-3</v>
      </c>
      <c r="E59" s="115" t="e">
        <f>(PI()*'E64 unconditional'!C64)/(4*(('De (NEN 7375) '!D59*Cover!$G$11)^2)*((SQRT(64*24*60*60)-SQRT(0))^2))</f>
        <v>#REF!</v>
      </c>
      <c r="F59" t="e">
        <f>('E64 unconditional'!C64/(2653*Cover!$G$11*'De (NEN 7375) '!D59)^2)</f>
        <v>#REF!</v>
      </c>
      <c r="G59" s="123" t="e">
        <f t="shared" si="0"/>
        <v>#REF!</v>
      </c>
      <c r="H59" s="123" t="e">
        <f ca="1">De!P67</f>
        <v>#DIV/0!</v>
      </c>
    </row>
    <row r="60" spans="1:8" x14ac:dyDescent="0.2">
      <c r="A60" t="e">
        <f>'Measured Cummulative'!#REF!</f>
        <v>#REF!</v>
      </c>
      <c r="C60" s="115">
        <v>1</v>
      </c>
      <c r="D60" s="115">
        <v>5.0000000000000001E-3</v>
      </c>
      <c r="E60" s="115" t="e">
        <f>(PI()*'E64 unconditional'!C65)/(4*(('De (NEN 7375) '!D60*Cover!$G$11)^2)*((SQRT(64*24*60*60)-SQRT(0))^2))</f>
        <v>#REF!</v>
      </c>
      <c r="F60" t="e">
        <f>('E64 unconditional'!C65/(2653*Cover!$G$11*'De (NEN 7375) '!D60)^2)</f>
        <v>#REF!</v>
      </c>
      <c r="G60" s="123" t="e">
        <f t="shared" si="0"/>
        <v>#REF!</v>
      </c>
      <c r="H60" s="123" t="e">
        <f ca="1">De!P68</f>
        <v>#DIV/0!</v>
      </c>
    </row>
    <row r="61" spans="1:8" x14ac:dyDescent="0.2">
      <c r="A61" t="e">
        <f>'Measured Cummulative'!#REF!</f>
        <v>#REF!</v>
      </c>
      <c r="C61" s="115">
        <v>1</v>
      </c>
      <c r="D61" s="115">
        <v>5.0000000000000001E-3</v>
      </c>
      <c r="E61" s="115" t="e">
        <f>(PI()*'E64 unconditional'!C66)/(4*(('De (NEN 7375) '!D61*Cover!$G$11)^2)*((SQRT(64*24*60*60)-SQRT(0))^2))</f>
        <v>#REF!</v>
      </c>
      <c r="F61" t="e">
        <f>('E64 unconditional'!C66/(2653*Cover!$G$11*'De (NEN 7375) '!D61)^2)</f>
        <v>#REF!</v>
      </c>
      <c r="G61" s="123" t="e">
        <f t="shared" si="0"/>
        <v>#REF!</v>
      </c>
      <c r="H61" s="123" t="e">
        <f ca="1">De!P69</f>
        <v>#DIV/0!</v>
      </c>
    </row>
    <row r="62" spans="1:8" x14ac:dyDescent="0.2">
      <c r="A62" t="e">
        <f>'Measured Cummulative'!#REF!</f>
        <v>#REF!</v>
      </c>
      <c r="C62" s="115">
        <v>1</v>
      </c>
      <c r="D62" s="115">
        <v>5.0000000000000001E-3</v>
      </c>
      <c r="E62" s="115" t="e">
        <f>(PI()*'E64 unconditional'!C67)/(4*(('De (NEN 7375) '!D62*Cover!$G$11)^2)*((SQRT(64*24*60*60)-SQRT(0))^2))</f>
        <v>#REF!</v>
      </c>
      <c r="F62" t="e">
        <f>('E64 unconditional'!C67/(2653*Cover!$G$11*'De (NEN 7375) '!D62)^2)</f>
        <v>#REF!</v>
      </c>
      <c r="G62" s="123" t="e">
        <f t="shared" si="0"/>
        <v>#REF!</v>
      </c>
      <c r="H62" s="123" t="e">
        <f ca="1">De!P70</f>
        <v>#DIV/0!</v>
      </c>
    </row>
    <row r="63" spans="1:8" x14ac:dyDescent="0.2">
      <c r="A63" t="e">
        <f>'Measured Cummulative'!#REF!</f>
        <v>#REF!</v>
      </c>
      <c r="C63" s="115">
        <v>1</v>
      </c>
      <c r="D63" s="115">
        <v>5.0000000000000001E-3</v>
      </c>
      <c r="E63" s="115" t="e">
        <f>(PI()*'E64 unconditional'!C68)/(4*(('De (NEN 7375) '!D63*Cover!$G$11)^2)*((SQRT(64*24*60*60)-SQRT(0))^2))</f>
        <v>#REF!</v>
      </c>
      <c r="F63" t="e">
        <f>('E64 unconditional'!C68/(2653*Cover!$G$11*'De (NEN 7375) '!D63)^2)</f>
        <v>#REF!</v>
      </c>
      <c r="G63" s="123" t="e">
        <f t="shared" si="0"/>
        <v>#REF!</v>
      </c>
      <c r="H63" s="123" t="e">
        <f ca="1">De!P71</f>
        <v>#DIV/0!</v>
      </c>
    </row>
    <row r="64" spans="1:8" x14ac:dyDescent="0.2">
      <c r="A64" t="e">
        <f>'Measured Cummulative'!#REF!</f>
        <v>#REF!</v>
      </c>
      <c r="C64" s="115">
        <v>0.3</v>
      </c>
      <c r="D64" s="115">
        <v>5</v>
      </c>
      <c r="E64" s="115" t="e">
        <f>(PI()*'E64 unconditional'!C69)/(4*(('De (NEN 7375) '!D64*Cover!$G$11)^2)*((SQRT(64*24*60*60)-SQRT(0))^2))</f>
        <v>#REF!</v>
      </c>
      <c r="F64" t="e">
        <f>('E64 unconditional'!C69/(2653*Cover!$G$11*'De (NEN 7375) '!D64)^2)</f>
        <v>#REF!</v>
      </c>
      <c r="G64" s="123" t="e">
        <f t="shared" si="0"/>
        <v>#REF!</v>
      </c>
      <c r="H64" s="123" t="e">
        <f ca="1">De!P72</f>
        <v>#DIV/0!</v>
      </c>
    </row>
  </sheetData>
  <phoneticPr fontId="15" type="noConversion"/>
  <pageMargins left="0.74803149606299213" right="0.74803149606299213" top="0.98425196850393704" bottom="0.98425196850393704" header="0.51181102362204722" footer="0.51181102362204722"/>
  <pageSetup paperSize="9" scale="61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A1:BS83"/>
  <sheetViews>
    <sheetView topLeftCell="AS1" workbookViewId="0">
      <selection activeCell="BA8" sqref="BA8"/>
    </sheetView>
  </sheetViews>
  <sheetFormatPr defaultRowHeight="12.75" x14ac:dyDescent="0.2"/>
  <cols>
    <col min="1" max="42" width="0.140625" style="360" customWidth="1"/>
    <col min="43" max="43" width="10.28515625" style="355" customWidth="1"/>
    <col min="44" max="45" width="10.28515625" style="356" customWidth="1"/>
    <col min="46" max="46" width="26.5703125" style="2" customWidth="1"/>
    <col min="47" max="47" width="10.140625" style="2" customWidth="1"/>
    <col min="48" max="48" width="11.140625" style="2" customWidth="1"/>
    <col min="49" max="49" width="9.140625" style="255" customWidth="1"/>
    <col min="50" max="51" width="11.42578125" style="2" hidden="1" customWidth="1"/>
    <col min="52" max="52" width="2.7109375" style="2" customWidth="1"/>
    <col min="53" max="16384" width="9.140625" style="2"/>
  </cols>
  <sheetData>
    <row r="1" spans="1:66" ht="13.5" thickBot="1" x14ac:dyDescent="0.25"/>
    <row r="2" spans="1:66" ht="14.25" customHeight="1" x14ac:dyDescent="0.2">
      <c r="AT2" s="379" t="s">
        <v>142</v>
      </c>
      <c r="AU2" s="381" t="s">
        <v>219</v>
      </c>
      <c r="AV2" s="381" t="s">
        <v>220</v>
      </c>
      <c r="AW2" s="383" t="s">
        <v>215</v>
      </c>
      <c r="AX2" s="251" t="s">
        <v>212</v>
      </c>
      <c r="AY2" s="251" t="s">
        <v>214</v>
      </c>
    </row>
    <row r="3" spans="1:66" x14ac:dyDescent="0.2">
      <c r="AT3" s="380"/>
      <c r="AU3" s="382"/>
      <c r="AV3" s="382"/>
      <c r="AW3" s="384"/>
      <c r="AX3" s="252" t="e">
        <f ca="1">PI()*((AH14-AG14)/(2*Cover!$G$11*1000*De!AN14*(SQRT(De!$Z$11)-SQRT(De!$Y$11))))</f>
        <v>#REF!</v>
      </c>
      <c r="AY3" s="252" t="str">
        <f ca="1">IF(ISNUMBER((E36calc!$G11/(De!AN14*2653*Cover!$G$11))^2), (E36calc!$G11/(De!AN14*2653*Cover!$G$11))^2,"")</f>
        <v/>
      </c>
    </row>
    <row r="4" spans="1:66" x14ac:dyDescent="0.2">
      <c r="AT4" s="304" t="str">
        <f t="shared" ref="AT4:AT67" si="0">T15</f>
        <v>Chloride</v>
      </c>
      <c r="AU4" s="232">
        <f ca="1">((AP15)^2)*(PI()/4)*((VOL/SA)^2)</f>
        <v>1.3329774299146985E-10</v>
      </c>
      <c r="AV4" s="232">
        <f t="shared" ref="AV4:AV10" ca="1" si="1">AU4*10000</f>
        <v>1.3329774299146986E-6</v>
      </c>
      <c r="AW4" s="305">
        <f t="shared" ref="AW4:AW20" ca="1" si="2">RSQ($AG15:$AM15,$BD$13:$BJ$13)</f>
        <v>0.97746816324383867</v>
      </c>
      <c r="AX4" s="252">
        <f ca="1">PI()*((AH15-AG15)/(2*Cover!$G$11*1000*De!AN15*(SQRT(De!$Z$11)-SQRT(De!$Y$11))))</f>
        <v>4.9544550982652041E-10</v>
      </c>
      <c r="AY4" s="252">
        <f ca="1">IF(ISNUMBER((E36calc!$G12/(De!AN15*2653*Cover!$G$11))^2), (E36calc!$G12/(De!AN15*2653*Cover!$G$11))^2,"")</f>
        <v>1.0894718248014583E-5</v>
      </c>
    </row>
    <row r="5" spans="1:66" x14ac:dyDescent="0.2">
      <c r="AT5" s="304" t="str">
        <f t="shared" si="0"/>
        <v>Sodium</v>
      </c>
      <c r="AU5" s="232">
        <f ca="1">((AP16)^2)*(PI()/4)*((VOL/SA)^2)</f>
        <v>1.5109218001148926E-10</v>
      </c>
      <c r="AV5" s="232">
        <f t="shared" ca="1" si="1"/>
        <v>1.5109218001148927E-6</v>
      </c>
      <c r="AW5" s="305">
        <f ca="1">RSQ($AG16:$AM16,$BD$13:$BJ$13)</f>
        <v>0.98337837112285365</v>
      </c>
      <c r="AX5" s="252">
        <f ca="1">PI()*((AH16-AG16)/(2*Cover!$G$11*1000*De!AN16*(SQRT(De!$Z$11)-SQRT(De!$Y$11))))</f>
        <v>2.1950858481208078E-9</v>
      </c>
      <c r="AY5" s="252" t="str">
        <f ca="1">IF(ISNUMBER((E36calc!$G13/(De!AN16*2653*Cover!$G$11))^2), (E36calc!$G13/(De!AN16*2653*Cover!$G$11))^2,"")</f>
        <v/>
      </c>
      <c r="BD5" s="378" t="str">
        <f ca="1">OFFSET($AT$2,$BB$12,)</f>
        <v>Sodium</v>
      </c>
      <c r="BE5" s="378"/>
      <c r="BF5" s="378"/>
      <c r="BG5" s="378"/>
      <c r="BH5" s="378"/>
      <c r="BI5" s="378"/>
      <c r="BJ5" s="378"/>
    </row>
    <row r="6" spans="1:66" x14ac:dyDescent="0.2">
      <c r="AT6" s="304">
        <f t="shared" si="0"/>
        <v>0</v>
      </c>
      <c r="AU6" s="232" t="e">
        <f t="shared" ref="AU6:AU10" ca="1" si="3">((AP17)^2)*(PI()/4)*((VOL/SA)^2)</f>
        <v>#VALUE!</v>
      </c>
      <c r="AV6" s="232" t="e">
        <f t="shared" ca="1" si="1"/>
        <v>#VALUE!</v>
      </c>
      <c r="AW6" s="305" t="e">
        <f t="shared" ca="1" si="2"/>
        <v>#DIV/0!</v>
      </c>
      <c r="AX6" s="252" t="e">
        <f ca="1">PI()*((AH17-AG17)/(2*Cover!$G$11*1000*De!AN17*(SQRT(De!$Z$11)-SQRT(De!$Y$11))))</f>
        <v>#DIV/0!</v>
      </c>
      <c r="AY6" s="252" t="str">
        <f ca="1">IF(ISNUMBER((E36calc!$G14/(De!AN17*2653*Cover!$G$11))^2), (E36calc!$G14/(De!AN17*2653*Cover!$G$11))^2,"")</f>
        <v/>
      </c>
      <c r="BD6" s="378"/>
      <c r="BE6" s="378"/>
      <c r="BF6" s="378"/>
      <c r="BG6" s="378"/>
      <c r="BH6" s="378"/>
      <c r="BI6" s="378"/>
      <c r="BJ6" s="378"/>
    </row>
    <row r="7" spans="1:66" x14ac:dyDescent="0.2">
      <c r="W7" s="360" t="s">
        <v>181</v>
      </c>
      <c r="X7" s="360">
        <f ca="1">'Measured Cummulative'!E4</f>
        <v>6.25E-2</v>
      </c>
      <c r="Y7" s="360">
        <f ca="1">'Measured Cummulative'!F4</f>
        <v>0.25</v>
      </c>
      <c r="Z7" s="360">
        <f ca="1">'Measured Cummulative'!G4</f>
        <v>1</v>
      </c>
      <c r="AA7" s="360">
        <f ca="1">'Measured Cummulative'!H4</f>
        <v>2.25</v>
      </c>
      <c r="AB7" s="360">
        <f ca="1">'Measured Cummulative'!I4</f>
        <v>4</v>
      </c>
      <c r="AC7" s="360">
        <f ca="1">'Measured Cummulative'!J4</f>
        <v>6.25</v>
      </c>
      <c r="AD7" s="360">
        <f ca="1">'Measured Cummulative'!K4</f>
        <v>9</v>
      </c>
      <c r="AE7" s="360">
        <f ca="1">'Measured Cummulative'!L4</f>
        <v>16</v>
      </c>
      <c r="AT7" s="304">
        <f t="shared" si="0"/>
        <v>0</v>
      </c>
      <c r="AU7" s="232" t="e">
        <f t="shared" ca="1" si="3"/>
        <v>#VALUE!</v>
      </c>
      <c r="AV7" s="232" t="e">
        <f t="shared" ca="1" si="1"/>
        <v>#VALUE!</v>
      </c>
      <c r="AW7" s="305" t="e">
        <f t="shared" ca="1" si="2"/>
        <v>#DIV/0!</v>
      </c>
      <c r="AX7" s="252" t="e">
        <f ca="1">PI()*((AH18-AG18)/(2*Cover!$G$11*1000*De!AN18*(SQRT(De!$Z$11)-SQRT(De!$Y$11))))</f>
        <v>#DIV/0!</v>
      </c>
      <c r="AY7" s="252" t="str">
        <f ca="1">IF(ISNUMBER((E36calc!$G15/(De!AN18*2653*Cover!$G$11))^2), (E36calc!$G15/(De!AN18*2653*Cover!$G$11))^2,"")</f>
        <v/>
      </c>
      <c r="BD7" s="378"/>
      <c r="BE7" s="378"/>
      <c r="BF7" s="378"/>
      <c r="BG7" s="378"/>
      <c r="BH7" s="378"/>
      <c r="BI7" s="378"/>
      <c r="BJ7" s="378"/>
    </row>
    <row r="8" spans="1:66" x14ac:dyDescent="0.2">
      <c r="T8" s="361" t="s">
        <v>270</v>
      </c>
      <c r="W8" s="360" t="s">
        <v>182</v>
      </c>
      <c r="X8" s="360">
        <f ca="1">X7</f>
        <v>6.25E-2</v>
      </c>
      <c r="Y8" s="360">
        <f ca="1">Y7-X7</f>
        <v>0.1875</v>
      </c>
      <c r="Z8" s="360">
        <f ca="1">Z7-Y7</f>
        <v>0.75</v>
      </c>
      <c r="AA8" s="360">
        <f t="shared" ref="AA8:AE8" ca="1" si="4">AA7-Z7</f>
        <v>1.25</v>
      </c>
      <c r="AB8" s="360">
        <f t="shared" ca="1" si="4"/>
        <v>1.75</v>
      </c>
      <c r="AC8" s="360">
        <f t="shared" ca="1" si="4"/>
        <v>2.25</v>
      </c>
      <c r="AD8" s="360">
        <f t="shared" ca="1" si="4"/>
        <v>2.75</v>
      </c>
      <c r="AE8" s="360">
        <f t="shared" ca="1" si="4"/>
        <v>7</v>
      </c>
      <c r="AT8" s="304">
        <f t="shared" si="0"/>
        <v>0</v>
      </c>
      <c r="AU8" s="232" t="e">
        <f t="shared" ca="1" si="3"/>
        <v>#VALUE!</v>
      </c>
      <c r="AV8" s="232" t="e">
        <f t="shared" ca="1" si="1"/>
        <v>#VALUE!</v>
      </c>
      <c r="AW8" s="305" t="e">
        <f t="shared" ca="1" si="2"/>
        <v>#DIV/0!</v>
      </c>
      <c r="AX8" s="252" t="e">
        <f ca="1">PI()*((AH19-AG19)/(2*Cover!$G$11*1000*De!AN19*(SQRT(De!$Z$11)-SQRT(De!$Y$11))))</f>
        <v>#DIV/0!</v>
      </c>
      <c r="AY8" s="252" t="str">
        <f ca="1">IF(ISNUMBER((E36calc!$G16/(De!AN19*2653*Cover!$G$11))^2), (E36calc!$G16/(De!AN19*2653*Cover!$G$11))^2,"")</f>
        <v/>
      </c>
      <c r="BD8" s="378"/>
      <c r="BE8" s="378"/>
      <c r="BF8" s="378"/>
      <c r="BG8" s="378"/>
      <c r="BH8" s="378"/>
      <c r="BI8" s="378"/>
      <c r="BJ8" s="378"/>
    </row>
    <row r="9" spans="1:66" x14ac:dyDescent="0.2">
      <c r="T9" s="362">
        <f>Cover!B7</f>
        <v>1</v>
      </c>
      <c r="W9" s="360" t="s">
        <v>183</v>
      </c>
      <c r="X9" s="360">
        <f t="shared" ref="X9:AE9" ca="1" si="5">X7*42*3600</f>
        <v>9450</v>
      </c>
      <c r="Y9" s="360">
        <f t="shared" ca="1" si="5"/>
        <v>37800</v>
      </c>
      <c r="Z9" s="360">
        <f t="shared" ca="1" si="5"/>
        <v>151200</v>
      </c>
      <c r="AA9" s="360">
        <f t="shared" ca="1" si="5"/>
        <v>340200</v>
      </c>
      <c r="AB9" s="360">
        <f t="shared" ca="1" si="5"/>
        <v>604800</v>
      </c>
      <c r="AC9" s="360">
        <f t="shared" ca="1" si="5"/>
        <v>945000</v>
      </c>
      <c r="AD9" s="360">
        <f t="shared" ca="1" si="5"/>
        <v>1360800</v>
      </c>
      <c r="AE9" s="360">
        <f t="shared" ca="1" si="5"/>
        <v>2419200</v>
      </c>
      <c r="AT9" s="304">
        <f t="shared" si="0"/>
        <v>0</v>
      </c>
      <c r="AU9" s="232" t="e">
        <f t="shared" ca="1" si="3"/>
        <v>#VALUE!</v>
      </c>
      <c r="AV9" s="232" t="e">
        <f t="shared" ca="1" si="1"/>
        <v>#VALUE!</v>
      </c>
      <c r="AW9" s="305" t="e">
        <f t="shared" ca="1" si="2"/>
        <v>#DIV/0!</v>
      </c>
      <c r="AX9" s="252" t="e">
        <f ca="1">PI()*((AH20-AG20)/(2*Cover!$G$11*1000*De!AN20*(SQRT(De!$Z$11)-SQRT(De!$Y$11))))</f>
        <v>#DIV/0!</v>
      </c>
      <c r="AY9" s="252" t="str">
        <f ca="1">IF(ISNUMBER((E36calc!$G17/(De!AN20*2653*Cover!$G$11))^2), (E36calc!$G17/(De!AN20*2653*Cover!$G$11))^2,"")</f>
        <v/>
      </c>
      <c r="BD9" s="378"/>
      <c r="BE9" s="378"/>
      <c r="BF9" s="378"/>
      <c r="BG9" s="378"/>
      <c r="BH9" s="378"/>
      <c r="BI9" s="378"/>
      <c r="BJ9" s="378"/>
    </row>
    <row r="10" spans="1:66" ht="15.75" x14ac:dyDescent="0.3">
      <c r="B10" s="361" t="s">
        <v>110</v>
      </c>
      <c r="C10" s="360" t="s">
        <v>279</v>
      </c>
      <c r="D10" s="360" t="s">
        <v>113</v>
      </c>
      <c r="E10" s="360" t="s">
        <v>114</v>
      </c>
      <c r="F10" s="360" t="s">
        <v>115</v>
      </c>
      <c r="G10" s="360" t="s">
        <v>116</v>
      </c>
      <c r="H10" s="360" t="s">
        <v>117</v>
      </c>
      <c r="I10" s="360" t="s">
        <v>118</v>
      </c>
      <c r="J10" s="360" t="s">
        <v>119</v>
      </c>
      <c r="K10" s="360" t="s">
        <v>120</v>
      </c>
      <c r="L10" s="361" t="s">
        <v>142</v>
      </c>
      <c r="M10" s="361" t="s">
        <v>110</v>
      </c>
      <c r="N10" s="361" t="s">
        <v>280</v>
      </c>
      <c r="O10" s="361" t="s">
        <v>122</v>
      </c>
      <c r="P10" s="361" t="s">
        <v>121</v>
      </c>
      <c r="Q10" s="361" t="s">
        <v>141</v>
      </c>
      <c r="W10" s="360" t="s">
        <v>184</v>
      </c>
      <c r="X10" s="360">
        <f ca="1">LOG(X9)</f>
        <v>3.975431808509263</v>
      </c>
      <c r="Y10" s="360">
        <f t="shared" ref="Y10:AE10" ca="1" si="6">LOG(Y9)</f>
        <v>4.5774917998372251</v>
      </c>
      <c r="Z10" s="360">
        <f t="shared" ca="1" si="6"/>
        <v>5.1795517911651876</v>
      </c>
      <c r="AA10" s="360">
        <f t="shared" ca="1" si="6"/>
        <v>5.5317343092765503</v>
      </c>
      <c r="AB10" s="360">
        <f t="shared" ca="1" si="6"/>
        <v>5.7816117824931501</v>
      </c>
      <c r="AC10" s="360">
        <f t="shared" ca="1" si="6"/>
        <v>5.9754318085092626</v>
      </c>
      <c r="AD10" s="360">
        <f t="shared" ca="1" si="6"/>
        <v>6.1337943006045128</v>
      </c>
      <c r="AE10" s="360">
        <f t="shared" ca="1" si="6"/>
        <v>6.3836717738211126</v>
      </c>
      <c r="AT10" s="304">
        <f t="shared" si="0"/>
        <v>0</v>
      </c>
      <c r="AU10" s="232" t="e">
        <f t="shared" ca="1" si="3"/>
        <v>#VALUE!</v>
      </c>
      <c r="AV10" s="232" t="e">
        <f t="shared" ca="1" si="1"/>
        <v>#VALUE!</v>
      </c>
      <c r="AW10" s="305" t="e">
        <f t="shared" ca="1" si="2"/>
        <v>#DIV/0!</v>
      </c>
      <c r="AX10" s="252" t="e">
        <f ca="1">PI()*((AH21-AG21)/(2*Cover!$G$11*1000*De!AN21*(SQRT(De!$Z$11)-SQRT(De!$Y$11))))</f>
        <v>#DIV/0!</v>
      </c>
      <c r="AY10" s="252" t="str">
        <f ca="1">IF(ISNUMBER((E36calc!$G18/(De!AN21*2653*Cover!$G$11))^2), (E36calc!$G18/(De!AN21*2653*Cover!$G$11))^2,"")</f>
        <v/>
      </c>
    </row>
    <row r="11" spans="1:66" ht="15" x14ac:dyDescent="0.25">
      <c r="A11" s="360" t="str">
        <f>'Measured Cummulative'!A5</f>
        <v>pH</v>
      </c>
      <c r="B11" s="363">
        <f>M11</f>
        <v>0</v>
      </c>
      <c r="C11" s="364"/>
      <c r="D11" s="360" t="e">
        <f ca="1">(PI()/4)*(('Measured Cummulative'!E5/$B11)^2)*((Cover!$F$11/Cover!$I$11)^2)*(1/'Measured Cummulative'!E$1)</f>
        <v>#DIV/0!</v>
      </c>
      <c r="E11" s="360" t="e">
        <f ca="1">(PI()/4)*(('Measured Cummulative'!F5/$B11)^2)*((Cover!$F$11/Cover!$I$11)^2)*(1/'Measured Cummulative'!F$1)</f>
        <v>#DIV/0!</v>
      </c>
      <c r="F11" s="360" t="e">
        <f ca="1">(PI()/4)*(('Measured Cummulative'!G5/$B11)^2)*((Cover!$F$11/Cover!$I$11)^2)*(1/'Measured Cummulative'!G$1)</f>
        <v>#DIV/0!</v>
      </c>
      <c r="G11" s="360" t="e">
        <f ca="1">(PI()/4)*(('Measured Cummulative'!H5/$B11)^2)*((Cover!$F$11/Cover!$I$11)^2)*(1/'Measured Cummulative'!H$1)</f>
        <v>#DIV/0!</v>
      </c>
      <c r="H11" s="360" t="e">
        <f ca="1">(PI()/4)*(('Measured Cummulative'!I5/$B11)^2)*((Cover!$F$11/Cover!$I$11)^2)*(1/'Measured Cummulative'!I$1)</f>
        <v>#DIV/0!</v>
      </c>
      <c r="I11" s="360" t="e">
        <f ca="1">(PI()/4)*(('Measured Cummulative'!J5/$B11)^2)*((Cover!$F$11/Cover!$I$11)^2)*(1/'Measured Cummulative'!J$1)</f>
        <v>#DIV/0!</v>
      </c>
      <c r="J11" s="360" t="e">
        <f ca="1">(PI()/4)*(('Measured Cummulative'!K5/$B11)^2)*((Cover!$F$11/Cover!$I$11)^2)*(1/'Measured Cummulative'!K$1)</f>
        <v>#DIV/0!</v>
      </c>
      <c r="K11" s="360" t="e">
        <f ca="1">(PI()/4)*(('Measured Cummulative'!L5/$B11)^2)*((Cover!$F$11/Cover!$I$11)^2)*(1/'Measured Cummulative'!L$1)</f>
        <v>#DIV/0!</v>
      </c>
      <c r="L11" s="360" t="str">
        <f>'Measured Cummulative'!A5</f>
        <v>pH</v>
      </c>
      <c r="M11" s="363"/>
      <c r="O11" s="365" t="e">
        <f t="shared" ref="O11:O57" ca="1" si="7">-LOG(MAX(D11:K11))</f>
        <v>#DIV/0!</v>
      </c>
      <c r="P11" s="365" t="e">
        <f t="shared" ref="P11:P57" ca="1" si="8">-LOG(MIN(D11:K11))</f>
        <v>#DIV/0!</v>
      </c>
      <c r="Q11" s="365" t="e">
        <f ca="1">-LOG(AVERAGE(D11:K11))</f>
        <v>#DIV/0!</v>
      </c>
      <c r="W11" s="360" t="s">
        <v>185</v>
      </c>
      <c r="X11" s="360">
        <f ca="1">SQRT(X9)</f>
        <v>97.211110476117909</v>
      </c>
      <c r="Y11" s="360">
        <f t="shared" ref="Y11:AE11" ca="1" si="9">SQRT(Y9)</f>
        <v>194.42222095223582</v>
      </c>
      <c r="Z11" s="360">
        <f t="shared" ca="1" si="9"/>
        <v>388.84444190447164</v>
      </c>
      <c r="AA11" s="360">
        <f t="shared" ca="1" si="9"/>
        <v>583.2666628567074</v>
      </c>
      <c r="AB11" s="360">
        <f t="shared" ca="1" si="9"/>
        <v>777.68888380894327</v>
      </c>
      <c r="AC11" s="360">
        <f t="shared" ca="1" si="9"/>
        <v>972.11110476117904</v>
      </c>
      <c r="AD11" s="360">
        <f t="shared" ca="1" si="9"/>
        <v>1166.5333257134148</v>
      </c>
      <c r="AE11" s="360">
        <f t="shared" ca="1" si="9"/>
        <v>1555.3777676178865</v>
      </c>
      <c r="AT11" s="304">
        <f t="shared" si="0"/>
        <v>0</v>
      </c>
      <c r="AU11" s="232" t="e">
        <f t="shared" ref="AU11:AU34" ca="1" si="10">((AP22)^2)*(PI()/4)*((VOL/SA)^2)</f>
        <v>#VALUE!</v>
      </c>
      <c r="AV11" s="232" t="e">
        <f t="shared" ref="AV11:AV20" ca="1" si="11">AU11*10000</f>
        <v>#VALUE!</v>
      </c>
      <c r="AW11" s="305" t="e">
        <f t="shared" ca="1" si="2"/>
        <v>#DIV/0!</v>
      </c>
      <c r="AX11" s="252" t="e">
        <f ca="1">PI()*((AH22-AG22)/(2*Cover!$G$11*1000*De!AN22*(SQRT(De!$Z$11)-SQRT(De!$Y$11))))</f>
        <v>#DIV/0!</v>
      </c>
      <c r="AY11" s="252" t="str">
        <f ca="1">IF(ISNUMBER((E36calc!$G19/(De!AN22*2653*Cover!$G$11))^2), (E36calc!$G19/(De!AN22*2653*Cover!$G$11))^2,"")</f>
        <v/>
      </c>
      <c r="BL11" s="369" t="s">
        <v>152</v>
      </c>
      <c r="BM11" s="369"/>
      <c r="BN11" s="369"/>
    </row>
    <row r="12" spans="1:66" ht="15" x14ac:dyDescent="0.25">
      <c r="A12" s="360" t="str">
        <f>'Measured Cummulative'!A6</f>
        <v>Electrical Conductivity</v>
      </c>
      <c r="B12" s="363">
        <f t="shared" ref="B12:B75" si="12">M12</f>
        <v>0</v>
      </c>
      <c r="C12" s="364"/>
      <c r="D12" s="360" t="e">
        <f ca="1">(PI()/4)*(('Measured Cummulative'!E6/$B12)^2)*((Cover!$F$11/Cover!$I$11)^2)*(1/'Measured Cummulative'!E$1)</f>
        <v>#DIV/0!</v>
      </c>
      <c r="E12" s="360" t="e">
        <f ca="1">(PI()/4)*(('Measured Cummulative'!F6/$B12)^2)*((Cover!$F$11/Cover!$I$11)^2)*(1/'Measured Cummulative'!F$1)</f>
        <v>#DIV/0!</v>
      </c>
      <c r="F12" s="360" t="e">
        <f ca="1">(PI()/4)*(('Measured Cummulative'!G6/$B12)^2)*((Cover!$F$11/Cover!$I$11)^2)*(1/'Measured Cummulative'!G$1)</f>
        <v>#DIV/0!</v>
      </c>
      <c r="G12" s="360" t="e">
        <f ca="1">(PI()/4)*(('Measured Cummulative'!H6/$B12)^2)*((Cover!$F$11/Cover!$I$11)^2)*(1/'Measured Cummulative'!H$1)</f>
        <v>#DIV/0!</v>
      </c>
      <c r="H12" s="360" t="e">
        <f ca="1">(PI()/4)*(('Measured Cummulative'!I6/$B12)^2)*((Cover!$F$11/Cover!$I$11)^2)*(1/'Measured Cummulative'!I$1)</f>
        <v>#DIV/0!</v>
      </c>
      <c r="I12" s="360" t="e">
        <f ca="1">(PI()/4)*(('Measured Cummulative'!J6/$B12)^2)*((Cover!$F$11/Cover!$I$11)^2)*(1/'Measured Cummulative'!J$1)</f>
        <v>#DIV/0!</v>
      </c>
      <c r="J12" s="360" t="e">
        <f ca="1">(PI()/4)*(('Measured Cummulative'!K6/$B12)^2)*((Cover!$F$11/Cover!$I$11)^2)*(1/'Measured Cummulative'!K$1)</f>
        <v>#DIV/0!</v>
      </c>
      <c r="K12" s="360" t="e">
        <f ca="1">(PI()/4)*(('Measured Cummulative'!L6/$B12)^2)*((Cover!$F$11/Cover!$I$11)^2)*(1/'Measured Cummulative'!L$1)</f>
        <v>#DIV/0!</v>
      </c>
      <c r="L12" s="360" t="str">
        <f>'Measured Cummulative'!A6</f>
        <v>Electrical Conductivity</v>
      </c>
      <c r="M12" s="363"/>
      <c r="O12" s="365" t="e">
        <f t="shared" ca="1" si="7"/>
        <v>#DIV/0!</v>
      </c>
      <c r="P12" s="365" t="e">
        <f t="shared" ca="1" si="8"/>
        <v>#DIV/0!</v>
      </c>
      <c r="Q12" s="365" t="e">
        <f t="shared" ref="Q12:Q57" ca="1" si="13">-LOG(AVERAGE(D12:K12))</f>
        <v>#DIV/0!</v>
      </c>
      <c r="AT12" s="304">
        <f t="shared" si="0"/>
        <v>0</v>
      </c>
      <c r="AU12" s="232" t="e">
        <f t="shared" ca="1" si="10"/>
        <v>#VALUE!</v>
      </c>
      <c r="AV12" s="232" t="e">
        <f t="shared" ca="1" si="11"/>
        <v>#VALUE!</v>
      </c>
      <c r="AW12" s="305" t="e">
        <f t="shared" ca="1" si="2"/>
        <v>#DIV/0!</v>
      </c>
      <c r="AX12" s="252" t="e">
        <f ca="1">PI()*((AH23-AG23)/(2*Cover!$G$11*1000*De!AN23*(SQRT(De!$Z$11)-SQRT(De!$Y$11))))</f>
        <v>#DIV/0!</v>
      </c>
      <c r="AY12" s="252" t="str">
        <f ca="1">IF(ISNUMBER((E36calc!$G20/(De!AN23*2653*Cover!$G$11))^2), (E36calc!$G20/(De!AN23*2653*Cover!$G$11))^2,"")</f>
        <v/>
      </c>
      <c r="BA12" s="375" t="s">
        <v>211</v>
      </c>
      <c r="BB12" s="233">
        <v>3</v>
      </c>
    </row>
    <row r="13" spans="1:66" ht="15" x14ac:dyDescent="0.25">
      <c r="A13" s="360" t="str">
        <f>'Measured Cummulative'!A7</f>
        <v>Redox potential</v>
      </c>
      <c r="B13" s="363">
        <f t="shared" si="12"/>
        <v>0</v>
      </c>
      <c r="C13" s="364"/>
      <c r="D13" s="360" t="e">
        <f ca="1">(PI()/4)*(('Measured Cummulative'!E7/$B13)^2)*((Cover!$F$11/Cover!$I$11)^2)*(1/'Measured Cummulative'!E$1)</f>
        <v>#DIV/0!</v>
      </c>
      <c r="E13" s="360" t="e">
        <f ca="1">(PI()/4)*(('Measured Cummulative'!F7/$B13)^2)*((Cover!$F$11/Cover!$I$11)^2)*(1/'Measured Cummulative'!F$1)</f>
        <v>#DIV/0!</v>
      </c>
      <c r="F13" s="360" t="e">
        <f ca="1">(PI()/4)*(('Measured Cummulative'!G7/$B13)^2)*((Cover!$F$11/Cover!$I$11)^2)*(1/'Measured Cummulative'!G$1)</f>
        <v>#DIV/0!</v>
      </c>
      <c r="G13" s="360" t="e">
        <f ca="1">(PI()/4)*(('Measured Cummulative'!H7/$B13)^2)*((Cover!$F$11/Cover!$I$11)^2)*(1/'Measured Cummulative'!H$1)</f>
        <v>#DIV/0!</v>
      </c>
      <c r="H13" s="360" t="e">
        <f ca="1">(PI()/4)*(('Measured Cummulative'!I7/$B13)^2)*((Cover!$F$11/Cover!$I$11)^2)*(1/'Measured Cummulative'!I$1)</f>
        <v>#DIV/0!</v>
      </c>
      <c r="I13" s="360" t="e">
        <f ca="1">(PI()/4)*(('Measured Cummulative'!J7/$B13)^2)*((Cover!$F$11/Cover!$I$11)^2)*(1/'Measured Cummulative'!J$1)</f>
        <v>#DIV/0!</v>
      </c>
      <c r="J13" s="360" t="e">
        <f ca="1">(PI()/4)*(('Measured Cummulative'!K7/$B13)^2)*((Cover!$F$11/Cover!$I$11)^2)*(1/'Measured Cummulative'!K$1)</f>
        <v>#DIV/0!</v>
      </c>
      <c r="K13" s="360" t="e">
        <f ca="1">(PI()/4)*(('Measured Cummulative'!L7/$B13)^2)*((Cover!$F$11/Cover!$I$11)^2)*(1/'Measured Cummulative'!L$1)</f>
        <v>#DIV/0!</v>
      </c>
      <c r="L13" s="360" t="str">
        <f>'Measured Cummulative'!A7</f>
        <v>Redox potential</v>
      </c>
      <c r="M13" s="363"/>
      <c r="O13" s="365" t="e">
        <f t="shared" ca="1" si="7"/>
        <v>#DIV/0!</v>
      </c>
      <c r="P13" s="365" t="e">
        <f t="shared" ca="1" si="8"/>
        <v>#DIV/0!</v>
      </c>
      <c r="Q13" s="365" t="e">
        <f t="shared" ca="1" si="13"/>
        <v>#DIV/0!</v>
      </c>
      <c r="U13" s="360" t="s">
        <v>186</v>
      </c>
      <c r="V13" s="360" t="s">
        <v>199</v>
      </c>
      <c r="W13" s="364" t="s">
        <v>187</v>
      </c>
      <c r="X13" s="360" t="s">
        <v>201</v>
      </c>
      <c r="Y13" s="360" t="s">
        <v>202</v>
      </c>
      <c r="Z13" s="360" t="s">
        <v>203</v>
      </c>
      <c r="AA13" s="360" t="s">
        <v>204</v>
      </c>
      <c r="AB13" s="360" t="s">
        <v>205</v>
      </c>
      <c r="AC13" s="360" t="s">
        <v>206</v>
      </c>
      <c r="AD13" s="360" t="s">
        <v>207</v>
      </c>
      <c r="AE13" s="360" t="s">
        <v>208</v>
      </c>
      <c r="AF13" s="360" t="s">
        <v>191</v>
      </c>
      <c r="AG13" s="360" t="s">
        <v>192</v>
      </c>
      <c r="AH13" s="360" t="s">
        <v>193</v>
      </c>
      <c r="AI13" s="360" t="s">
        <v>194</v>
      </c>
      <c r="AJ13" s="360" t="s">
        <v>195</v>
      </c>
      <c r="AK13" s="360" t="s">
        <v>196</v>
      </c>
      <c r="AL13" s="360" t="s">
        <v>197</v>
      </c>
      <c r="AM13" s="360" t="s">
        <v>198</v>
      </c>
      <c r="AN13" s="364" t="s">
        <v>188</v>
      </c>
      <c r="AO13" s="360" t="s">
        <v>189</v>
      </c>
      <c r="AP13" s="360" t="s">
        <v>190</v>
      </c>
      <c r="AT13" s="304">
        <f t="shared" si="0"/>
        <v>0</v>
      </c>
      <c r="AU13" s="232" t="e">
        <f t="shared" ca="1" si="10"/>
        <v>#VALUE!</v>
      </c>
      <c r="AV13" s="232" t="e">
        <f t="shared" ca="1" si="11"/>
        <v>#VALUE!</v>
      </c>
      <c r="AW13" s="305" t="e">
        <f t="shared" ca="1" si="2"/>
        <v>#DIV/0!</v>
      </c>
      <c r="AX13" s="252" t="e">
        <f ca="1">PI()*((AH24-AG24)/(2*Cover!$G$11*1000*De!AN24*(SQRT(De!$Z$11)-SQRT(De!$Y$11))))</f>
        <v>#DIV/0!</v>
      </c>
      <c r="AY13" s="252" t="str">
        <f ca="1">IF(ISNUMBER((E36calc!$G21/(De!AN24*2653*Cover!$G$11))^2), (E36calc!$G21/(De!AN24*2653*Cover!$G$11))^2,"")</f>
        <v/>
      </c>
      <c r="BA13" s="376"/>
      <c r="BB13" s="2" t="s">
        <v>209</v>
      </c>
      <c r="BC13" s="2">
        <f ca="1">X11</f>
        <v>97.211110476117909</v>
      </c>
      <c r="BD13" s="2">
        <f t="shared" ref="BD13:BJ13" ca="1" si="14">Y11</f>
        <v>194.42222095223582</v>
      </c>
      <c r="BE13" s="2">
        <f t="shared" ca="1" si="14"/>
        <v>388.84444190447164</v>
      </c>
      <c r="BF13" s="2">
        <f t="shared" ca="1" si="14"/>
        <v>583.2666628567074</v>
      </c>
      <c r="BG13" s="2">
        <f t="shared" ca="1" si="14"/>
        <v>777.68888380894327</v>
      </c>
      <c r="BH13" s="2">
        <f t="shared" ca="1" si="14"/>
        <v>972.11110476117904</v>
      </c>
      <c r="BI13" s="2">
        <f t="shared" ca="1" si="14"/>
        <v>1166.5333257134148</v>
      </c>
      <c r="BJ13" s="2">
        <f t="shared" ca="1" si="14"/>
        <v>1555.3777676178865</v>
      </c>
    </row>
    <row r="14" spans="1:66" ht="15" x14ac:dyDescent="0.25">
      <c r="A14" s="360" t="str">
        <f>'Measured Cummulative'!A8</f>
        <v>Chloride</v>
      </c>
      <c r="B14" s="363">
        <f t="shared" si="12"/>
        <v>6198.3471074380168</v>
      </c>
      <c r="C14" s="364"/>
      <c r="D14" s="360">
        <f ca="1">(PI()/4)*(('Measured Cummulative'!E8/$B14)^2)*((Cover!$F$11/Cover!$I$11)^2)*(1/'Measured Cummulative'!E$1)</f>
        <v>2.3659236276829948E-12</v>
      </c>
      <c r="E14" s="360">
        <f ca="1">(PI()/4)*(('Measured Cummulative'!F8/$B14)^2)*((Cover!$F$11/Cover!$I$11)^2)*(1/'Measured Cummulative'!F$1)</f>
        <v>5.6841315155083985E-12</v>
      </c>
      <c r="F14" s="360">
        <f ca="1">(PI()/4)*(('Measured Cummulative'!G8/$B14)^2)*((Cover!$F$11/Cover!$I$11)^2)*(1/'Measured Cummulative'!G$1)</f>
        <v>1.6200809910786036E-10</v>
      </c>
      <c r="G14" s="360">
        <f ca="1">(PI()/4)*(('Measured Cummulative'!H8/$B14)^2)*((Cover!$F$11/Cover!$I$11)^2)*(1/'Measured Cummulative'!H$1)</f>
        <v>8.1939565330361393E-9</v>
      </c>
      <c r="H14" s="360">
        <f ca="1">(PI()/4)*(('Measured Cummulative'!I8/$B14)^2)*((Cover!$F$11/Cover!$I$11)^2)*(1/'Measured Cummulative'!I$1)</f>
        <v>2.7538671192862672E-8</v>
      </c>
      <c r="I14" s="360">
        <f ca="1">(PI()/4)*(('Measured Cummulative'!J8/$B14)^2)*((Cover!$F$11/Cover!$I$11)^2)*(1/'Measured Cummulative'!J$1)</f>
        <v>3.6560561273010625E-8</v>
      </c>
      <c r="J14" s="360">
        <f ca="1">(PI()/4)*(('Measured Cummulative'!K8/$B14)^2)*((Cover!$F$11/Cover!$I$11)^2)*(1/'Measured Cummulative'!K$1)</f>
        <v>4.4357414145753655E-8</v>
      </c>
      <c r="K14" s="360">
        <f ca="1">(PI()/4)*(('Measured Cummulative'!L8/$B14)^2)*((Cover!$F$11/Cover!$I$11)^2)*(1/'Measured Cummulative'!L$1)</f>
        <v>4.2843915888467654E-8</v>
      </c>
      <c r="L14" s="360" t="str">
        <f>'Measured Cummulative'!A8</f>
        <v>Chloride</v>
      </c>
      <c r="M14" s="364">
        <f>U15</f>
        <v>6198.3471074380168</v>
      </c>
      <c r="N14" s="364"/>
      <c r="O14" s="365">
        <f ca="1">-LOG(MAX(D14:K14))</f>
        <v>7.3530337793615459</v>
      </c>
      <c r="P14" s="365">
        <f t="shared" ca="1" si="8"/>
        <v>11.625999278563192</v>
      </c>
      <c r="Q14" s="365">
        <f ca="1">-LOG(AVERAGE(D14:K14))</f>
        <v>7.6998814117329166</v>
      </c>
      <c r="R14" s="366"/>
      <c r="S14" s="364"/>
      <c r="T14" s="366" t="str">
        <f>A13</f>
        <v>Redox potential</v>
      </c>
      <c r="U14" s="364">
        <f>M13*0.5</f>
        <v>0</v>
      </c>
      <c r="V14" s="364"/>
      <c r="W14" s="367">
        <v>1</v>
      </c>
      <c r="X14" s="360" t="e">
        <f>('Analytical Data'!#REF!*Cover!$H$11)/($U14*(Cover!$B$11/1000))</f>
        <v>#REF!</v>
      </c>
      <c r="Y14" s="360" t="e">
        <f>('Analytical Data'!#REF!*Cover!$H$11)/($U14*(Cover!$B$11/1000))</f>
        <v>#REF!</v>
      </c>
      <c r="Z14" s="360" t="e">
        <f>('Analytical Data'!#REF!*Cover!$H$11)/($U14*(Cover!$B$11/1000))</f>
        <v>#REF!</v>
      </c>
      <c r="AA14" s="360" t="e">
        <f>('Analytical Data'!#REF!*Cover!$H$11)/($U14*(Cover!$B$11/1000))</f>
        <v>#REF!</v>
      </c>
      <c r="AB14" s="360" t="e">
        <f>('Analytical Data'!#REF!*Cover!$H$11)/($U14*(Cover!$B$11/1000))</f>
        <v>#REF!</v>
      </c>
      <c r="AC14" s="360" t="e">
        <f>('Analytical Data'!#REF!*Cover!$H$11)/($U14*(Cover!$B$11/1000))</f>
        <v>#REF!</v>
      </c>
      <c r="AD14" s="360" t="e">
        <f>('Analytical Data'!#REF!*Cover!$H$11)/($U14*(Cover!$B$11/1000))</f>
        <v>#REF!</v>
      </c>
      <c r="AE14" s="360" t="e">
        <f>('Analytical Data'!#REF!*Cover!$H$11)/($U14*(Cover!$B$11/1000))</f>
        <v>#REF!</v>
      </c>
      <c r="AF14" s="360" t="e">
        <f>X14</f>
        <v>#REF!</v>
      </c>
      <c r="AG14" s="360" t="e">
        <f>SUM(X14:Y14)</f>
        <v>#REF!</v>
      </c>
      <c r="AH14" s="360" t="e">
        <f>SUM(X14:Z14)</f>
        <v>#REF!</v>
      </c>
      <c r="AI14" s="360" t="e">
        <f>SUM(X14:AA14)</f>
        <v>#REF!</v>
      </c>
      <c r="AJ14" s="360" t="e">
        <f>SUM(X14:AB14)</f>
        <v>#REF!</v>
      </c>
      <c r="AK14" s="360" t="e">
        <f>SUM(X14:AC14)</f>
        <v>#REF!</v>
      </c>
      <c r="AL14" s="360" t="e">
        <f>SUM(X14:AD14)</f>
        <v>#REF!</v>
      </c>
      <c r="AM14" s="360" t="e">
        <f>SUM(X14:AE14)</f>
        <v>#REF!</v>
      </c>
      <c r="AN14" s="364">
        <f>U14*W14</f>
        <v>0</v>
      </c>
      <c r="AO14" s="360" t="e">
        <f ca="1">INTERCEPT(AG14:AM14,$Y$11:$AE$11)</f>
        <v>#REF!</v>
      </c>
      <c r="AP14" s="368" t="e">
        <f ca="1">LINEST(AG14:AM14,$Y$11:$AE$11,AO14)</f>
        <v>#VALUE!</v>
      </c>
      <c r="AQ14" s="357"/>
      <c r="AR14" s="358"/>
      <c r="AS14" s="358"/>
      <c r="AT14" s="304">
        <f t="shared" si="0"/>
        <v>0</v>
      </c>
      <c r="AU14" s="232" t="e">
        <f t="shared" ca="1" si="10"/>
        <v>#VALUE!</v>
      </c>
      <c r="AV14" s="232" t="e">
        <f t="shared" ca="1" si="11"/>
        <v>#VALUE!</v>
      </c>
      <c r="AW14" s="305" t="e">
        <f t="shared" ca="1" si="2"/>
        <v>#DIV/0!</v>
      </c>
      <c r="AX14" s="252" t="e">
        <f ca="1">PI()*((AH25-AG25)/(2*Cover!$G$11*1000*De!AN25*(SQRT(De!$Z$11)-SQRT(De!$Y$11))))</f>
        <v>#DIV/0!</v>
      </c>
      <c r="AY14" s="252" t="str">
        <f ca="1">IF(ISNUMBER((E36calc!$G22/(De!AN25*2653*Cover!$G$11))^2), (E36calc!$G22/(De!AN25*2653*Cover!$G$11))^2,"")</f>
        <v/>
      </c>
      <c r="BA14" s="376"/>
      <c r="BB14" s="2" t="s">
        <v>210</v>
      </c>
      <c r="BC14" s="2">
        <f ca="1">OFFSET(AF$13,$BB$12,)</f>
        <v>2.0363451086956523E-2</v>
      </c>
      <c r="BD14" s="2">
        <f t="shared" ref="BD14:BJ14" ca="1" si="15">OFFSET(AG$13,$BB$12,)</f>
        <v>6.1090353260869569E-2</v>
      </c>
      <c r="BE14" s="2">
        <f t="shared" ca="1" si="15"/>
        <v>0.11199898097826087</v>
      </c>
      <c r="BF14" s="2">
        <f t="shared" ca="1" si="15"/>
        <v>0.34617866847826084</v>
      </c>
      <c r="BG14" s="2">
        <f t="shared" ca="1" si="15"/>
        <v>0.69235733695652169</v>
      </c>
      <c r="BH14" s="2">
        <f t="shared" ca="1" si="15"/>
        <v>0.92653702445652164</v>
      </c>
      <c r="BI14" s="2">
        <f t="shared" ca="1" si="15"/>
        <v>1.1810801630434782</v>
      </c>
      <c r="BJ14" s="2">
        <f t="shared" ca="1" si="15"/>
        <v>1.5374405570652172</v>
      </c>
    </row>
    <row r="15" spans="1:66" ht="15" x14ac:dyDescent="0.25">
      <c r="A15" s="360" t="str">
        <f>'Measured Cummulative'!A9</f>
        <v>Sodium</v>
      </c>
      <c r="B15" s="363">
        <f t="shared" si="12"/>
        <v>3801.6528925619837</v>
      </c>
      <c r="C15" s="364"/>
      <c r="D15" s="360">
        <f ca="1">(PI()/4)*(('Measured Cummulative'!E9/$B15)^2)*((Cover!$F$11/Cover!$I$11)^2)*(1/'Measured Cummulative'!E$1)</f>
        <v>2.5157505492848481E-9</v>
      </c>
      <c r="E15" s="360">
        <f ca="1">(PI()/4)*(('Measured Cummulative'!F9/$B15)^2)*((Cover!$F$11/Cover!$I$11)^2)*(1/'Measured Cummulative'!F$1)</f>
        <v>5.6604387358909076E-9</v>
      </c>
      <c r="F15" s="360">
        <f ca="1">(PI()/4)*(('Measured Cummulative'!G9/$B15)^2)*((Cover!$F$11/Cover!$I$11)^2)*(1/'Measured Cummulative'!G$1)</f>
        <v>4.7563408822416664E-9</v>
      </c>
      <c r="G15" s="360">
        <f ca="1">(PI()/4)*(('Measured Cummulative'!H9/$B15)^2)*((Cover!$F$11/Cover!$I$11)^2)*(1/'Measured Cummulative'!H$1)</f>
        <v>2.0195886353981145E-8</v>
      </c>
      <c r="H15" s="360">
        <f ca="1">(PI()/4)*(('Measured Cummulative'!I9/$B15)^2)*((Cover!$F$11/Cover!$I$11)^2)*(1/'Measured Cummulative'!I$1)</f>
        <v>4.5440744296457569E-8</v>
      </c>
      <c r="I15" s="360">
        <f ca="1">(PI()/4)*(('Measured Cummulative'!J9/$B15)^2)*((Cover!$F$11/Cover!$I$11)^2)*(1/'Measured Cummulative'!J$1)</f>
        <v>5.2082325746569569E-8</v>
      </c>
      <c r="J15" s="360">
        <f ca="1">(PI()/4)*(('Measured Cummulative'!K9/$B15)^2)*((Cover!$F$11/Cover!$I$11)^2)*(1/'Measured Cummulative'!K$1)</f>
        <v>5.8770728109682147E-8</v>
      </c>
      <c r="K15" s="360">
        <f ca="1">(PI()/4)*(('Measured Cummulative'!L9/$B15)^2)*((Cover!$F$11/Cover!$I$11)^2)*(1/'Measured Cummulative'!L$1)</f>
        <v>5.601721511156622E-8</v>
      </c>
      <c r="L15" s="360" t="str">
        <f>'Measured Cummulative'!A9</f>
        <v>Sodium</v>
      </c>
      <c r="M15" s="364">
        <f t="shared" ref="M15:M78" si="16">U16</f>
        <v>3801.6528925619837</v>
      </c>
      <c r="N15" s="364"/>
      <c r="O15" s="365">
        <f t="shared" ca="1" si="7"/>
        <v>7.2308389287843529</v>
      </c>
      <c r="P15" s="365">
        <f t="shared" ca="1" si="8"/>
        <v>8.5993324238149782</v>
      </c>
      <c r="Q15" s="365">
        <f t="shared" ca="1" si="13"/>
        <v>7.5131456536915335</v>
      </c>
      <c r="R15" s="366"/>
      <c r="S15" s="364"/>
      <c r="T15" s="366" t="str">
        <f t="shared" ref="T15:T76" si="17">A14</f>
        <v>Chloride</v>
      </c>
      <c r="U15" s="364">
        <f>'Source Term'!AI22*$T$9</f>
        <v>6198.3471074380168</v>
      </c>
      <c r="V15" s="364"/>
      <c r="W15" s="367">
        <v>1</v>
      </c>
      <c r="X15" s="360">
        <f>('Analytical Data'!F8*Cover!$H$11)/($U15*(Cover!$B$11/1000))</f>
        <v>6.2447916666666663E-4</v>
      </c>
      <c r="Y15" s="360">
        <f>('Analytical Data'!G8*Cover!$H$11)/($U15*(Cover!$B$11/1000))</f>
        <v>1.3114062500000001E-3</v>
      </c>
      <c r="Z15" s="360">
        <f>('Analytical Data'!H8*Cover!$H$11)/($U15*(Cover!$B$11/1000))</f>
        <v>1.8734374999999998E-2</v>
      </c>
      <c r="AA15" s="360">
        <f>('Analytical Data'!I8*Cover!$H$11)/($U15*(Cover!$B$11/1000))</f>
        <v>0.19983333333333334</v>
      </c>
      <c r="AB15" s="360">
        <f>('Analytical Data'!J8*Cover!$H$11)/($U15*(Cover!$B$11/1000))</f>
        <v>0.31848437499999993</v>
      </c>
      <c r="AC15" s="360">
        <f>('Analytical Data'!K8*Cover!$H$11)/($U15*(Cover!$B$11/1000))</f>
        <v>0.23730208333333333</v>
      </c>
      <c r="AD15" s="360">
        <f>('Analytical Data'!L8*Cover!$H$11)/($U15*(Cover!$B$11/1000))</f>
        <v>0.24979166666666666</v>
      </c>
      <c r="AE15" s="360">
        <f>('Analytical Data'!M8*Cover!$H$11)/($U15*(Cover!$B$11/1000))</f>
        <v>0.31848437499999993</v>
      </c>
      <c r="AF15" s="360">
        <f t="shared" ref="AF15:AF78" si="18">X15</f>
        <v>6.2447916666666663E-4</v>
      </c>
      <c r="AG15" s="360">
        <f t="shared" ref="AG15:AG78" si="19">SUM(X15:Y15)</f>
        <v>1.9358854166666667E-3</v>
      </c>
      <c r="AH15" s="360">
        <f t="shared" ref="AH15:AH78" si="20">SUM(X15:Z15)</f>
        <v>2.0670260416666666E-2</v>
      </c>
      <c r="AI15" s="360">
        <f t="shared" ref="AI15:AI78" si="21">SUM(X15:AA15)</f>
        <v>0.22050359375</v>
      </c>
      <c r="AJ15" s="360">
        <f t="shared" ref="AJ15:AJ78" si="22">SUM(X15:AB15)</f>
        <v>0.53898796874999988</v>
      </c>
      <c r="AK15" s="360">
        <f t="shared" ref="AK15:AK78" si="23">SUM(X15:AC15)</f>
        <v>0.77629005208333324</v>
      </c>
      <c r="AL15" s="360">
        <f t="shared" ref="AL15:AL78" si="24">SUM(X15:AD15)</f>
        <v>1.02608171875</v>
      </c>
      <c r="AM15" s="360">
        <f t="shared" ref="AM15:AM78" si="25">SUM(X15:AE15)</f>
        <v>1.3445660937499999</v>
      </c>
      <c r="AN15" s="364">
        <f t="shared" ref="AN15:AN21" si="26">U15*W15</f>
        <v>6198.3471074380168</v>
      </c>
      <c r="AO15" s="360">
        <f t="shared" ref="AO15:AO35" ca="1" si="27">INTERCEPT(AG15:AM15,$Y$11:$AE$11)</f>
        <v>-0.31557594006147527</v>
      </c>
      <c r="AP15" s="368">
        <f ca="1">LINEST(AH15:AM15,$Z$11:$AE$11,AO15)</f>
        <v>1.1742060138666636E-3</v>
      </c>
      <c r="AQ15" s="357"/>
      <c r="AR15" s="358"/>
      <c r="AS15" s="358"/>
      <c r="AT15" s="304">
        <f t="shared" si="0"/>
        <v>0</v>
      </c>
      <c r="AU15" s="232" t="e">
        <f t="shared" ca="1" si="10"/>
        <v>#VALUE!</v>
      </c>
      <c r="AV15" s="232" t="e">
        <f t="shared" ca="1" si="11"/>
        <v>#VALUE!</v>
      </c>
      <c r="AW15" s="305" t="e">
        <f t="shared" ca="1" si="2"/>
        <v>#DIV/0!</v>
      </c>
      <c r="AX15" s="252" t="e">
        <f ca="1">PI()*((AH26-AG26)/(2*Cover!$G$11*1000*De!AN26*(SQRT(De!$Z$11)-SQRT(De!$Y$11))))</f>
        <v>#DIV/0!</v>
      </c>
      <c r="AY15" s="252" t="str">
        <f ca="1">IF(ISNUMBER((E36calc!$G23/(De!AN26*2653*Cover!$G$11))^2), (E36calc!$G23/(De!AN26*2653*Cover!$G$11))^2,"")</f>
        <v/>
      </c>
      <c r="BA15" s="376"/>
    </row>
    <row r="16" spans="1:66" ht="15" x14ac:dyDescent="0.25">
      <c r="A16" s="360">
        <f>'Measured Cummulative'!A10</f>
        <v>0</v>
      </c>
      <c r="B16" s="363" t="e">
        <f t="shared" si="12"/>
        <v>#DIV/0!</v>
      </c>
      <c r="C16" s="364"/>
      <c r="D16" s="360" t="e">
        <f ca="1">(PI()/4)*(('Measured Cummulative'!E10/$B16)^2)*((Cover!$F$11/Cover!$I$11)^2)*(1/'Measured Cummulative'!E$1)</f>
        <v>#DIV/0!</v>
      </c>
      <c r="E16" s="360" t="e">
        <f ca="1">(PI()/4)*(('Measured Cummulative'!F10/$B16)^2)*((Cover!$F$11/Cover!$I$11)^2)*(1/'Measured Cummulative'!F$1)</f>
        <v>#DIV/0!</v>
      </c>
      <c r="F16" s="360" t="e">
        <f ca="1">(PI()/4)*(('Measured Cummulative'!G10/$B16)^2)*((Cover!$F$11/Cover!$I$11)^2)*(1/'Measured Cummulative'!G$1)</f>
        <v>#DIV/0!</v>
      </c>
      <c r="G16" s="360" t="e">
        <f ca="1">(PI()/4)*(('Measured Cummulative'!H10/$B16)^2)*((Cover!$F$11/Cover!$I$11)^2)*(1/'Measured Cummulative'!H$1)</f>
        <v>#DIV/0!</v>
      </c>
      <c r="H16" s="360" t="e">
        <f ca="1">(PI()/4)*(('Measured Cummulative'!I10/$B16)^2)*((Cover!$F$11/Cover!$I$11)^2)*(1/'Measured Cummulative'!I$1)</f>
        <v>#DIV/0!</v>
      </c>
      <c r="I16" s="360" t="e">
        <f ca="1">(PI()/4)*(('Measured Cummulative'!J10/$B16)^2)*((Cover!$F$11/Cover!$I$11)^2)*(1/'Measured Cummulative'!J$1)</f>
        <v>#DIV/0!</v>
      </c>
      <c r="J16" s="360" t="e">
        <f ca="1">(PI()/4)*(('Measured Cummulative'!K10/$B16)^2)*((Cover!$F$11/Cover!$I$11)^2)*(1/'Measured Cummulative'!K$1)</f>
        <v>#DIV/0!</v>
      </c>
      <c r="K16" s="360" t="e">
        <f ca="1">(PI()/4)*(('Measured Cummulative'!L10/$B16)^2)*((Cover!$F$11/Cover!$I$11)^2)*(1/'Measured Cummulative'!L$1)</f>
        <v>#DIV/0!</v>
      </c>
      <c r="L16" s="360">
        <f>'Measured Cummulative'!A10</f>
        <v>0</v>
      </c>
      <c r="M16" s="364" t="e">
        <f t="shared" si="16"/>
        <v>#DIV/0!</v>
      </c>
      <c r="N16" s="364"/>
      <c r="O16" s="365" t="e">
        <f t="shared" ca="1" si="7"/>
        <v>#DIV/0!</v>
      </c>
      <c r="P16" s="365" t="e">
        <f t="shared" ca="1" si="8"/>
        <v>#DIV/0!</v>
      </c>
      <c r="Q16" s="365" t="e">
        <f t="shared" ca="1" si="13"/>
        <v>#DIV/0!</v>
      </c>
      <c r="R16" s="366"/>
      <c r="S16" s="364"/>
      <c r="T16" s="366" t="str">
        <f t="shared" si="17"/>
        <v>Sodium</v>
      </c>
      <c r="U16" s="364">
        <f>'Source Term'!AI23*$T$9</f>
        <v>3801.6528925619837</v>
      </c>
      <c r="V16" s="364"/>
      <c r="W16" s="367">
        <v>1</v>
      </c>
      <c r="X16" s="360">
        <f>('Analytical Data'!F9*Cover!$H$11)/($U16*(Cover!$B$11/1000))</f>
        <v>2.0363451086956523E-2</v>
      </c>
      <c r="Y16" s="360">
        <f>('Analytical Data'!G9*Cover!$H$11)/($U16*(Cover!$B$11/1000))</f>
        <v>4.0726902173913046E-2</v>
      </c>
      <c r="Z16" s="360">
        <f>('Analytical Data'!H9*Cover!$H$11)/($U16*(Cover!$B$11/1000))</f>
        <v>5.0908627717391304E-2</v>
      </c>
      <c r="AA16" s="360">
        <f>('Analytical Data'!I9*Cover!$H$11)/($U16*(Cover!$B$11/1000))</f>
        <v>0.23417968749999998</v>
      </c>
      <c r="AB16" s="360">
        <f>('Analytical Data'!J9*Cover!$H$11)/($U16*(Cover!$B$11/1000))</f>
        <v>0.34617866847826084</v>
      </c>
      <c r="AC16" s="360">
        <f>('Analytical Data'!K9*Cover!$H$11)/($U16*(Cover!$B$11/1000))</f>
        <v>0.23417968749999998</v>
      </c>
      <c r="AD16" s="360">
        <f>('Analytical Data'!L9*Cover!$H$11)/($U16*(Cover!$B$11/1000))</f>
        <v>0.25454313858695649</v>
      </c>
      <c r="AE16" s="360">
        <f>('Analytical Data'!M9*Cover!$H$11)/($U16*(Cover!$B$11/1000))</f>
        <v>0.35636039402173908</v>
      </c>
      <c r="AF16" s="360">
        <f t="shared" si="18"/>
        <v>2.0363451086956523E-2</v>
      </c>
      <c r="AG16" s="360">
        <f t="shared" si="19"/>
        <v>6.1090353260869569E-2</v>
      </c>
      <c r="AH16" s="360">
        <f t="shared" si="20"/>
        <v>0.11199898097826087</v>
      </c>
      <c r="AI16" s="360">
        <f t="shared" si="21"/>
        <v>0.34617866847826084</v>
      </c>
      <c r="AJ16" s="360">
        <f t="shared" si="22"/>
        <v>0.69235733695652169</v>
      </c>
      <c r="AK16" s="360">
        <f t="shared" si="23"/>
        <v>0.92653702445652164</v>
      </c>
      <c r="AL16" s="360">
        <f t="shared" si="24"/>
        <v>1.1810801630434782</v>
      </c>
      <c r="AM16" s="360">
        <f t="shared" si="25"/>
        <v>1.5374405570652172</v>
      </c>
      <c r="AN16" s="364">
        <f t="shared" si="26"/>
        <v>3801.6528925619837</v>
      </c>
      <c r="AO16" s="360">
        <f t="shared" ca="1" si="27"/>
        <v>-0.25596190362170346</v>
      </c>
      <c r="AP16" s="368">
        <f ca="1">LINEST(AH16:AM16,$Z$11:$AE$11,AO16)</f>
        <v>1.2501263119751231E-3</v>
      </c>
      <c r="AQ16" s="357"/>
      <c r="AR16" s="358"/>
      <c r="AS16" s="358"/>
      <c r="AT16" s="304">
        <f t="shared" si="0"/>
        <v>0</v>
      </c>
      <c r="AU16" s="232" t="e">
        <f ca="1">((AP27)^2)*(PI()/4)*((VOL/SA)^2)</f>
        <v>#VALUE!</v>
      </c>
      <c r="AV16" s="232" t="e">
        <f t="shared" ca="1" si="11"/>
        <v>#VALUE!</v>
      </c>
      <c r="AW16" s="305" t="e">
        <f t="shared" ca="1" si="2"/>
        <v>#DIV/0!</v>
      </c>
      <c r="AX16" s="252" t="e">
        <f ca="1">PI()*((AH27-AG27)/(2*Cover!$G$11*1000*De!AN27*(SQRT(De!$Z$11)-SQRT(De!$Y$11))))</f>
        <v>#DIV/0!</v>
      </c>
      <c r="AY16" s="252" t="str">
        <f ca="1">IF(ISNUMBER((E36calc!$G24/(De!AN27*2653*Cover!$G$11))^2), (E36calc!$G24/(De!AN27*2653*Cover!$G$11))^2,"")</f>
        <v/>
      </c>
      <c r="BA16" s="376"/>
    </row>
    <row r="17" spans="1:71" ht="15" x14ac:dyDescent="0.25">
      <c r="A17" s="360">
        <f>'Measured Cummulative'!A11</f>
        <v>0</v>
      </c>
      <c r="B17" s="363" t="e">
        <f t="shared" si="12"/>
        <v>#DIV/0!</v>
      </c>
      <c r="C17" s="364"/>
      <c r="D17" s="360" t="e">
        <f ca="1">(PI()/4)*(('Measured Cummulative'!E11/$B17)^2)*((Cover!$F$11/Cover!$I$11)^2)*(1/'Measured Cummulative'!E$1)</f>
        <v>#DIV/0!</v>
      </c>
      <c r="E17" s="360" t="e">
        <f ca="1">(PI()/4)*(('Measured Cummulative'!F11/$B17)^2)*((Cover!$F$11/Cover!$I$11)^2)*(1/'Measured Cummulative'!F$1)</f>
        <v>#DIV/0!</v>
      </c>
      <c r="F17" s="360" t="e">
        <f ca="1">(PI()/4)*(('Measured Cummulative'!G11/$B17)^2)*((Cover!$F$11/Cover!$I$11)^2)*(1/'Measured Cummulative'!G$1)</f>
        <v>#DIV/0!</v>
      </c>
      <c r="G17" s="360" t="e">
        <f ca="1">(PI()/4)*(('Measured Cummulative'!H11/$B17)^2)*((Cover!$F$11/Cover!$I$11)^2)*(1/'Measured Cummulative'!H$1)</f>
        <v>#DIV/0!</v>
      </c>
      <c r="H17" s="360" t="e">
        <f ca="1">(PI()/4)*(('Measured Cummulative'!I11/$B17)^2)*((Cover!$F$11/Cover!$I$11)^2)*(1/'Measured Cummulative'!I$1)</f>
        <v>#DIV/0!</v>
      </c>
      <c r="I17" s="360" t="e">
        <f ca="1">(PI()/4)*(('Measured Cummulative'!J11/$B17)^2)*((Cover!$F$11/Cover!$I$11)^2)*(1/'Measured Cummulative'!J$1)</f>
        <v>#DIV/0!</v>
      </c>
      <c r="J17" s="360" t="e">
        <f ca="1">(PI()/4)*(('Measured Cummulative'!K11/$B17)^2)*((Cover!$F$11/Cover!$I$11)^2)*(1/'Measured Cummulative'!K$1)</f>
        <v>#DIV/0!</v>
      </c>
      <c r="K17" s="360" t="e">
        <f ca="1">(PI()/4)*(('Measured Cummulative'!L11/$B17)^2)*((Cover!$F$11/Cover!$I$11)^2)*(1/'Measured Cummulative'!L$1)</f>
        <v>#DIV/0!</v>
      </c>
      <c r="L17" s="360">
        <f>'Measured Cummulative'!A11</f>
        <v>0</v>
      </c>
      <c r="M17" s="364" t="e">
        <f t="shared" si="16"/>
        <v>#DIV/0!</v>
      </c>
      <c r="N17" s="364"/>
      <c r="O17" s="365" t="e">
        <f t="shared" ca="1" si="7"/>
        <v>#DIV/0!</v>
      </c>
      <c r="P17" s="365" t="e">
        <f t="shared" ca="1" si="8"/>
        <v>#DIV/0!</v>
      </c>
      <c r="Q17" s="365" t="e">
        <f t="shared" ca="1" si="13"/>
        <v>#DIV/0!</v>
      </c>
      <c r="R17" s="366"/>
      <c r="S17" s="364"/>
      <c r="T17" s="366">
        <f t="shared" si="17"/>
        <v>0</v>
      </c>
      <c r="U17" s="364" t="e">
        <f>'Source Term'!AI24*$T$9</f>
        <v>#DIV/0!</v>
      </c>
      <c r="V17" s="364"/>
      <c r="W17" s="367">
        <v>1</v>
      </c>
      <c r="X17" s="360" t="e">
        <f>('Analytical Data'!F10*Cover!$H$11)/($U17*(Cover!$B$11/1000))</f>
        <v>#DIV/0!</v>
      </c>
      <c r="Y17" s="360" t="e">
        <f>('Analytical Data'!G10*Cover!$H$11)/($U17*(Cover!$B$11/1000))</f>
        <v>#DIV/0!</v>
      </c>
      <c r="Z17" s="360" t="e">
        <f>('Analytical Data'!H10*Cover!$H$11)/($U17*(Cover!$B$11/1000))</f>
        <v>#DIV/0!</v>
      </c>
      <c r="AA17" s="360" t="e">
        <f>('Analytical Data'!I10*Cover!$H$11)/($U17*(Cover!$B$11/1000))</f>
        <v>#DIV/0!</v>
      </c>
      <c r="AB17" s="360" t="e">
        <f>('Analytical Data'!J10*Cover!$H$11)/($U17*(Cover!$B$11/1000))</f>
        <v>#DIV/0!</v>
      </c>
      <c r="AC17" s="360" t="e">
        <f>('Analytical Data'!K10*Cover!$H$11)/($U17*(Cover!$B$11/1000))</f>
        <v>#DIV/0!</v>
      </c>
      <c r="AD17" s="360" t="e">
        <f>('Analytical Data'!L10*Cover!$H$11)/($U17*(Cover!$B$11/1000))</f>
        <v>#DIV/0!</v>
      </c>
      <c r="AE17" s="360" t="e">
        <f>('Analytical Data'!M10*Cover!$H$11)/($U17*(Cover!$B$11/1000))</f>
        <v>#DIV/0!</v>
      </c>
      <c r="AF17" s="360" t="e">
        <f t="shared" si="18"/>
        <v>#DIV/0!</v>
      </c>
      <c r="AG17" s="360" t="e">
        <f t="shared" si="19"/>
        <v>#DIV/0!</v>
      </c>
      <c r="AH17" s="360" t="e">
        <f t="shared" si="20"/>
        <v>#DIV/0!</v>
      </c>
      <c r="AI17" s="360" t="e">
        <f t="shared" si="21"/>
        <v>#DIV/0!</v>
      </c>
      <c r="AJ17" s="360" t="e">
        <f t="shared" si="22"/>
        <v>#DIV/0!</v>
      </c>
      <c r="AK17" s="360" t="e">
        <f t="shared" si="23"/>
        <v>#DIV/0!</v>
      </c>
      <c r="AL17" s="360" t="e">
        <f t="shared" si="24"/>
        <v>#DIV/0!</v>
      </c>
      <c r="AM17" s="360" t="e">
        <f t="shared" si="25"/>
        <v>#DIV/0!</v>
      </c>
      <c r="AN17" s="364" t="e">
        <f t="shared" si="26"/>
        <v>#DIV/0!</v>
      </c>
      <c r="AO17" s="360" t="e">
        <f t="shared" ca="1" si="27"/>
        <v>#DIV/0!</v>
      </c>
      <c r="AP17" s="368" t="e">
        <f t="shared" ref="AP17:AP31" ca="1" si="28">LINEST(AG17:AM17,$Y$11:$AE$11,AO17)</f>
        <v>#VALUE!</v>
      </c>
      <c r="AQ17" s="357"/>
      <c r="AR17" s="358"/>
      <c r="AS17" s="358"/>
      <c r="AT17" s="304">
        <f t="shared" si="0"/>
        <v>0</v>
      </c>
      <c r="AU17" s="232" t="e">
        <f t="shared" ca="1" si="10"/>
        <v>#VALUE!</v>
      </c>
      <c r="AV17" s="232" t="e">
        <f t="shared" ca="1" si="11"/>
        <v>#VALUE!</v>
      </c>
      <c r="AW17" s="305" t="e">
        <f t="shared" ca="1" si="2"/>
        <v>#DIV/0!</v>
      </c>
      <c r="AX17" s="252" t="e">
        <f ca="1">PI()*((AH28-AG28)/(2*Cover!$G$11*1000*De!AN28*(SQRT(De!$Z$11)-SQRT(De!$Y$11))))</f>
        <v>#DIV/0!</v>
      </c>
      <c r="AY17" s="252" t="str">
        <f ca="1">IF(ISNUMBER((E36calc!$G25/(De!AN28*2653*Cover!$G$11))^2), (E36calc!$G25/(De!AN28*2653*Cover!$G$11))^2,"")</f>
        <v/>
      </c>
      <c r="BA17" s="376"/>
      <c r="BO17" s="370" t="s">
        <v>213</v>
      </c>
      <c r="BP17" s="371"/>
      <c r="BQ17" s="371"/>
      <c r="BR17" s="371"/>
      <c r="BS17" s="293"/>
    </row>
    <row r="18" spans="1:71" ht="15" x14ac:dyDescent="0.25">
      <c r="A18" s="360">
        <f>'Measured Cummulative'!A12</f>
        <v>0</v>
      </c>
      <c r="B18" s="363" t="e">
        <f t="shared" si="12"/>
        <v>#DIV/0!</v>
      </c>
      <c r="C18" s="364"/>
      <c r="D18" s="360" t="e">
        <f ca="1">(PI()/4)*(('Measured Cummulative'!E12/$B18)^2)*((Cover!$F$11/Cover!$I$11)^2)*(1/'Measured Cummulative'!E$1)</f>
        <v>#DIV/0!</v>
      </c>
      <c r="E18" s="360" t="e">
        <f ca="1">(PI()/4)*(('Measured Cummulative'!F12/$B18)^2)*((Cover!$F$11/Cover!$I$11)^2)*(1/'Measured Cummulative'!F$1)</f>
        <v>#DIV/0!</v>
      </c>
      <c r="F18" s="360" t="e">
        <f ca="1">(PI()/4)*(('Measured Cummulative'!G12/$B18)^2)*((Cover!$F$11/Cover!$I$11)^2)*(1/'Measured Cummulative'!G$1)</f>
        <v>#DIV/0!</v>
      </c>
      <c r="G18" s="360" t="e">
        <f ca="1">(PI()/4)*(('Measured Cummulative'!H12/$B18)^2)*((Cover!$F$11/Cover!$I$11)^2)*(1/'Measured Cummulative'!H$1)</f>
        <v>#DIV/0!</v>
      </c>
      <c r="H18" s="360" t="e">
        <f ca="1">(PI()/4)*(('Measured Cummulative'!I12/$B18)^2)*((Cover!$F$11/Cover!$I$11)^2)*(1/'Measured Cummulative'!I$1)</f>
        <v>#DIV/0!</v>
      </c>
      <c r="I18" s="360" t="e">
        <f ca="1">(PI()/4)*(('Measured Cummulative'!J12/$B18)^2)*((Cover!$F$11/Cover!$I$11)^2)*(1/'Measured Cummulative'!J$1)</f>
        <v>#DIV/0!</v>
      </c>
      <c r="J18" s="360" t="e">
        <f ca="1">(PI()/4)*(('Measured Cummulative'!K12/$B18)^2)*((Cover!$F$11/Cover!$I$11)^2)*(1/'Measured Cummulative'!K$1)</f>
        <v>#DIV/0!</v>
      </c>
      <c r="K18" s="360" t="e">
        <f ca="1">(PI()/4)*(('Measured Cummulative'!L12/$B18)^2)*((Cover!$F$11/Cover!$I$11)^2)*(1/'Measured Cummulative'!L$1)</f>
        <v>#DIV/0!</v>
      </c>
      <c r="L18" s="360">
        <f>'Measured Cummulative'!A12</f>
        <v>0</v>
      </c>
      <c r="M18" s="364" t="e">
        <f t="shared" si="16"/>
        <v>#DIV/0!</v>
      </c>
      <c r="N18" s="364"/>
      <c r="O18" s="365" t="e">
        <f t="shared" ca="1" si="7"/>
        <v>#DIV/0!</v>
      </c>
      <c r="P18" s="365" t="e">
        <f t="shared" ca="1" si="8"/>
        <v>#DIV/0!</v>
      </c>
      <c r="Q18" s="365" t="e">
        <f t="shared" ca="1" si="13"/>
        <v>#DIV/0!</v>
      </c>
      <c r="R18" s="366"/>
      <c r="S18" s="364"/>
      <c r="T18" s="366">
        <f t="shared" si="17"/>
        <v>0</v>
      </c>
      <c r="U18" s="364" t="e">
        <f>'Source Term'!AI25*$T$9</f>
        <v>#DIV/0!</v>
      </c>
      <c r="V18" s="364"/>
      <c r="W18" s="367">
        <v>1</v>
      </c>
      <c r="X18" s="360" t="e">
        <f>('Analytical Data'!F11*Cover!$H$11)/($U18*(Cover!$B$11/1000))</f>
        <v>#DIV/0!</v>
      </c>
      <c r="Y18" s="360" t="e">
        <f>('Analytical Data'!G11*Cover!$H$11)/($U18*(Cover!$B$11/1000))</f>
        <v>#DIV/0!</v>
      </c>
      <c r="Z18" s="360" t="e">
        <f>('Analytical Data'!H11*Cover!$H$11)/($U18*(Cover!$B$11/1000))</f>
        <v>#DIV/0!</v>
      </c>
      <c r="AA18" s="360" t="e">
        <f>('Analytical Data'!I11*Cover!$H$11)/($U18*(Cover!$B$11/1000))</f>
        <v>#DIV/0!</v>
      </c>
      <c r="AB18" s="360" t="e">
        <f>('Analytical Data'!J11*Cover!$H$11)/($U18*(Cover!$B$11/1000))</f>
        <v>#DIV/0!</v>
      </c>
      <c r="AC18" s="360" t="e">
        <f>('Analytical Data'!K11*Cover!$H$11)/($U18*(Cover!$B$11/1000))</f>
        <v>#DIV/0!</v>
      </c>
      <c r="AD18" s="360" t="e">
        <f>('Analytical Data'!L11*Cover!$H$11)/($U18*(Cover!$B$11/1000))</f>
        <v>#DIV/0!</v>
      </c>
      <c r="AE18" s="360" t="e">
        <f>('Analytical Data'!M11*Cover!$H$11)/($U18*(Cover!$B$11/1000))</f>
        <v>#DIV/0!</v>
      </c>
      <c r="AF18" s="360" t="e">
        <f t="shared" si="18"/>
        <v>#DIV/0!</v>
      </c>
      <c r="AG18" s="360" t="e">
        <f t="shared" si="19"/>
        <v>#DIV/0!</v>
      </c>
      <c r="AH18" s="360" t="e">
        <f t="shared" si="20"/>
        <v>#DIV/0!</v>
      </c>
      <c r="AI18" s="360" t="e">
        <f t="shared" si="21"/>
        <v>#DIV/0!</v>
      </c>
      <c r="AJ18" s="360" t="e">
        <f t="shared" si="22"/>
        <v>#DIV/0!</v>
      </c>
      <c r="AK18" s="360" t="e">
        <f t="shared" si="23"/>
        <v>#DIV/0!</v>
      </c>
      <c r="AL18" s="360" t="e">
        <f t="shared" si="24"/>
        <v>#DIV/0!</v>
      </c>
      <c r="AM18" s="360" t="e">
        <f t="shared" si="25"/>
        <v>#DIV/0!</v>
      </c>
      <c r="AN18" s="364" t="e">
        <f t="shared" si="26"/>
        <v>#DIV/0!</v>
      </c>
      <c r="AO18" s="360" t="e">
        <f t="shared" ca="1" si="27"/>
        <v>#DIV/0!</v>
      </c>
      <c r="AP18" s="368" t="e">
        <f t="shared" ca="1" si="28"/>
        <v>#VALUE!</v>
      </c>
      <c r="AQ18" s="357"/>
      <c r="AR18" s="358"/>
      <c r="AS18" s="358"/>
      <c r="AT18" s="304">
        <f t="shared" si="0"/>
        <v>0</v>
      </c>
      <c r="AU18" s="232" t="e">
        <f t="shared" ca="1" si="10"/>
        <v>#VALUE!</v>
      </c>
      <c r="AV18" s="232" t="e">
        <f t="shared" ca="1" si="11"/>
        <v>#VALUE!</v>
      </c>
      <c r="AW18" s="305" t="e">
        <f t="shared" ca="1" si="2"/>
        <v>#DIV/0!</v>
      </c>
      <c r="AX18" s="252" t="e">
        <f ca="1">PI()*((AH29-AG29)/(2*Cover!$G$11*1000*De!AN29*(SQRT(De!$Z$11)-SQRT(De!$Y$11))))</f>
        <v>#DIV/0!</v>
      </c>
      <c r="AY18" s="252" t="str">
        <f ca="1">IF(ISNUMBER((E36calc!$G26/(De!AN29*2653*Cover!$G$11))^2), (E36calc!$G26/(De!AN29*2653*Cover!$G$11))^2,"")</f>
        <v/>
      </c>
      <c r="BA18" s="376"/>
      <c r="BO18" s="371"/>
      <c r="BP18" s="371"/>
      <c r="BQ18" s="371"/>
      <c r="BR18" s="371"/>
      <c r="BS18" s="293"/>
    </row>
    <row r="19" spans="1:71" ht="15" x14ac:dyDescent="0.25">
      <c r="A19" s="360">
        <f>'Measured Cummulative'!A13</f>
        <v>0</v>
      </c>
      <c r="B19" s="363" t="e">
        <f t="shared" si="12"/>
        <v>#DIV/0!</v>
      </c>
      <c r="C19" s="364"/>
      <c r="D19" s="360" t="e">
        <f ca="1">(PI()/4)*(('Measured Cummulative'!E13/$B19)^2)*((Cover!$F$11/Cover!$I$11)^2)*(1/'Measured Cummulative'!E$1)</f>
        <v>#DIV/0!</v>
      </c>
      <c r="E19" s="360" t="e">
        <f ca="1">(PI()/4)*(('Measured Cummulative'!F13/$B19)^2)*((Cover!$F$11/Cover!$I$11)^2)*(1/'Measured Cummulative'!F$1)</f>
        <v>#DIV/0!</v>
      </c>
      <c r="F19" s="360" t="e">
        <f ca="1">(PI()/4)*(('Measured Cummulative'!G13/$B19)^2)*((Cover!$F$11/Cover!$I$11)^2)*(1/'Measured Cummulative'!G$1)</f>
        <v>#DIV/0!</v>
      </c>
      <c r="G19" s="360" t="e">
        <f ca="1">(PI()/4)*(('Measured Cummulative'!H13/$B19)^2)*((Cover!$F$11/Cover!$I$11)^2)*(1/'Measured Cummulative'!H$1)</f>
        <v>#DIV/0!</v>
      </c>
      <c r="H19" s="360" t="e">
        <f ca="1">(PI()/4)*(('Measured Cummulative'!I13/$B19)^2)*((Cover!$F$11/Cover!$I$11)^2)*(1/'Measured Cummulative'!I$1)</f>
        <v>#DIV/0!</v>
      </c>
      <c r="I19" s="360" t="e">
        <f ca="1">(PI()/4)*(('Measured Cummulative'!J13/$B19)^2)*((Cover!$F$11/Cover!$I$11)^2)*(1/'Measured Cummulative'!J$1)</f>
        <v>#DIV/0!</v>
      </c>
      <c r="J19" s="360" t="e">
        <f ca="1">(PI()/4)*(('Measured Cummulative'!K13/$B19)^2)*((Cover!$F$11/Cover!$I$11)^2)*(1/'Measured Cummulative'!K$1)</f>
        <v>#DIV/0!</v>
      </c>
      <c r="K19" s="360" t="e">
        <f ca="1">(PI()/4)*(('Measured Cummulative'!L13/$B19)^2)*((Cover!$F$11/Cover!$I$11)^2)*(1/'Measured Cummulative'!L$1)</f>
        <v>#DIV/0!</v>
      </c>
      <c r="L19" s="360">
        <f>'Measured Cummulative'!A13</f>
        <v>0</v>
      </c>
      <c r="M19" s="364" t="e">
        <f t="shared" si="16"/>
        <v>#DIV/0!</v>
      </c>
      <c r="N19" s="364"/>
      <c r="O19" s="365" t="e">
        <f t="shared" ca="1" si="7"/>
        <v>#DIV/0!</v>
      </c>
      <c r="P19" s="365" t="e">
        <f t="shared" ca="1" si="8"/>
        <v>#DIV/0!</v>
      </c>
      <c r="Q19" s="365" t="e">
        <f t="shared" ca="1" si="13"/>
        <v>#DIV/0!</v>
      </c>
      <c r="R19" s="366"/>
      <c r="S19" s="364"/>
      <c r="T19" s="366">
        <f t="shared" si="17"/>
        <v>0</v>
      </c>
      <c r="U19" s="364" t="e">
        <f>'Source Term'!AI26*$T$9</f>
        <v>#DIV/0!</v>
      </c>
      <c r="V19" s="364"/>
      <c r="W19" s="367">
        <v>1</v>
      </c>
      <c r="X19" s="360" t="e">
        <f>('Analytical Data'!F12*Cover!$H$11)/($U19*(Cover!$B$11/1000))</f>
        <v>#DIV/0!</v>
      </c>
      <c r="Y19" s="360" t="e">
        <f>('Analytical Data'!G12*Cover!$H$11)/($U19*(Cover!$B$11/1000))</f>
        <v>#DIV/0!</v>
      </c>
      <c r="Z19" s="360" t="e">
        <f>('Analytical Data'!H12*Cover!$H$11)/($U19*(Cover!$B$11/1000))</f>
        <v>#DIV/0!</v>
      </c>
      <c r="AA19" s="360" t="e">
        <f>('Analytical Data'!I12*Cover!$H$11)/($U19*(Cover!$B$11/1000))</f>
        <v>#DIV/0!</v>
      </c>
      <c r="AB19" s="360" t="e">
        <f>('Analytical Data'!J12*Cover!$H$11)/($U19*(Cover!$B$11/1000))</f>
        <v>#DIV/0!</v>
      </c>
      <c r="AC19" s="360" t="e">
        <f>('Analytical Data'!K12*Cover!$H$11)/($U19*(Cover!$B$11/1000))</f>
        <v>#DIV/0!</v>
      </c>
      <c r="AD19" s="360" t="e">
        <f>('Analytical Data'!L12*Cover!$H$11)/($U19*(Cover!$B$11/1000))</f>
        <v>#DIV/0!</v>
      </c>
      <c r="AE19" s="360" t="e">
        <f>('Analytical Data'!M12*Cover!$H$11)/($U19*(Cover!$B$11/1000))</f>
        <v>#DIV/0!</v>
      </c>
      <c r="AF19" s="360" t="e">
        <f t="shared" si="18"/>
        <v>#DIV/0!</v>
      </c>
      <c r="AG19" s="360" t="e">
        <f t="shared" si="19"/>
        <v>#DIV/0!</v>
      </c>
      <c r="AH19" s="360" t="e">
        <f t="shared" si="20"/>
        <v>#DIV/0!</v>
      </c>
      <c r="AI19" s="360" t="e">
        <f t="shared" si="21"/>
        <v>#DIV/0!</v>
      </c>
      <c r="AJ19" s="360" t="e">
        <f t="shared" si="22"/>
        <v>#DIV/0!</v>
      </c>
      <c r="AK19" s="360" t="e">
        <f t="shared" si="23"/>
        <v>#DIV/0!</v>
      </c>
      <c r="AL19" s="360" t="e">
        <f t="shared" si="24"/>
        <v>#DIV/0!</v>
      </c>
      <c r="AM19" s="360" t="e">
        <f t="shared" si="25"/>
        <v>#DIV/0!</v>
      </c>
      <c r="AN19" s="364" t="e">
        <f t="shared" si="26"/>
        <v>#DIV/0!</v>
      </c>
      <c r="AO19" s="360" t="e">
        <f t="shared" ca="1" si="27"/>
        <v>#DIV/0!</v>
      </c>
      <c r="AP19" s="368" t="e">
        <f t="shared" ca="1" si="28"/>
        <v>#VALUE!</v>
      </c>
      <c r="AQ19" s="357"/>
      <c r="AR19" s="358"/>
      <c r="AS19" s="358"/>
      <c r="AT19" s="304">
        <f t="shared" si="0"/>
        <v>0</v>
      </c>
      <c r="AU19" s="232" t="e">
        <f t="shared" ca="1" si="10"/>
        <v>#VALUE!</v>
      </c>
      <c r="AV19" s="232" t="e">
        <f t="shared" ca="1" si="11"/>
        <v>#VALUE!</v>
      </c>
      <c r="AW19" s="305" t="e">
        <f ca="1">RSQ($AG30:$AM30,$BD$13:$BJ$13)</f>
        <v>#DIV/0!</v>
      </c>
      <c r="AX19" s="252" t="e">
        <f ca="1">PI()*((AH30-AG30)/(2*Cover!$G$11*1000*De!AN30*(SQRT(De!$Z$11)-SQRT(De!$Y$11))))</f>
        <v>#DIV/0!</v>
      </c>
      <c r="AY19" s="252" t="str">
        <f ca="1">IF(ISNUMBER((E36calc!$G27/(De!AN30*2653*Cover!$G$11))^2), (E36calc!$G27/(De!AN30*2653*Cover!$G$11))^2,"")</f>
        <v/>
      </c>
      <c r="BA19" s="376"/>
    </row>
    <row r="20" spans="1:71" ht="15" x14ac:dyDescent="0.25">
      <c r="A20" s="360">
        <f>'Measured Cummulative'!A14</f>
        <v>0</v>
      </c>
      <c r="B20" s="363" t="e">
        <f t="shared" si="12"/>
        <v>#DIV/0!</v>
      </c>
      <c r="C20" s="364"/>
      <c r="D20" s="360" t="e">
        <f ca="1">(PI()/4)*(('Measured Cummulative'!E14/$B20)^2)*((Cover!$F$11/Cover!$I$11)^2)*(1/'Measured Cummulative'!E$1)</f>
        <v>#DIV/0!</v>
      </c>
      <c r="E20" s="360" t="e">
        <f ca="1">(PI()/4)*(('Measured Cummulative'!F14/$B20)^2)*((Cover!$F$11/Cover!$I$11)^2)*(1/'Measured Cummulative'!F$1)</f>
        <v>#DIV/0!</v>
      </c>
      <c r="F20" s="360" t="e">
        <f ca="1">(PI()/4)*(('Measured Cummulative'!G14/$B20)^2)*((Cover!$F$11/Cover!$I$11)^2)*(1/'Measured Cummulative'!G$1)</f>
        <v>#DIV/0!</v>
      </c>
      <c r="G20" s="360" t="e">
        <f ca="1">(PI()/4)*(('Measured Cummulative'!H14/$B20)^2)*((Cover!$F$11/Cover!$I$11)^2)*(1/'Measured Cummulative'!H$1)</f>
        <v>#DIV/0!</v>
      </c>
      <c r="H20" s="360" t="e">
        <f ca="1">(PI()/4)*(('Measured Cummulative'!I14/$B20)^2)*((Cover!$F$11/Cover!$I$11)^2)*(1/'Measured Cummulative'!I$1)</f>
        <v>#DIV/0!</v>
      </c>
      <c r="I20" s="360" t="e">
        <f ca="1">(PI()/4)*(('Measured Cummulative'!J14/$B20)^2)*((Cover!$F$11/Cover!$I$11)^2)*(1/'Measured Cummulative'!J$1)</f>
        <v>#DIV/0!</v>
      </c>
      <c r="J20" s="360" t="e">
        <f ca="1">(PI()/4)*(('Measured Cummulative'!K14/$B20)^2)*((Cover!$F$11/Cover!$I$11)^2)*(1/'Measured Cummulative'!K$1)</f>
        <v>#DIV/0!</v>
      </c>
      <c r="K20" s="360" t="e">
        <f ca="1">(PI()/4)*(('Measured Cummulative'!L14/$B20)^2)*((Cover!$F$11/Cover!$I$11)^2)*(1/'Measured Cummulative'!L$1)</f>
        <v>#DIV/0!</v>
      </c>
      <c r="L20" s="360">
        <f>'Measured Cummulative'!A14</f>
        <v>0</v>
      </c>
      <c r="M20" s="364" t="e">
        <f t="shared" si="16"/>
        <v>#DIV/0!</v>
      </c>
      <c r="N20" s="364"/>
      <c r="O20" s="365" t="e">
        <f ca="1">-LOG(MAX(D20:K20))</f>
        <v>#DIV/0!</v>
      </c>
      <c r="P20" s="365" t="e">
        <f t="shared" ca="1" si="8"/>
        <v>#DIV/0!</v>
      </c>
      <c r="Q20" s="365" t="e">
        <f t="shared" ca="1" si="13"/>
        <v>#DIV/0!</v>
      </c>
      <c r="R20" s="366"/>
      <c r="S20" s="364"/>
      <c r="T20" s="366">
        <f t="shared" si="17"/>
        <v>0</v>
      </c>
      <c r="U20" s="364" t="e">
        <f>'Source Term'!AI27*$T$9</f>
        <v>#DIV/0!</v>
      </c>
      <c r="V20" s="364"/>
      <c r="W20" s="367">
        <v>1</v>
      </c>
      <c r="X20" s="360" t="e">
        <f>('Analytical Data'!F13*Cover!$H$11)/($U20*(Cover!$B$11/1000))</f>
        <v>#DIV/0!</v>
      </c>
      <c r="Y20" s="360" t="e">
        <f>('Analytical Data'!G13*Cover!$H$11)/($U20*(Cover!$B$11/1000))</f>
        <v>#DIV/0!</v>
      </c>
      <c r="Z20" s="360" t="e">
        <f>('Analytical Data'!H13*Cover!$H$11)/($U20*(Cover!$B$11/1000))</f>
        <v>#DIV/0!</v>
      </c>
      <c r="AA20" s="360" t="e">
        <f>('Analytical Data'!I13*Cover!$H$11)/($U20*(Cover!$B$11/1000))</f>
        <v>#DIV/0!</v>
      </c>
      <c r="AB20" s="360" t="e">
        <f>('Analytical Data'!J13*Cover!$H$11)/($U20*(Cover!$B$11/1000))</f>
        <v>#DIV/0!</v>
      </c>
      <c r="AC20" s="360" t="e">
        <f>('Analytical Data'!K13*Cover!$H$11)/($U20*(Cover!$B$11/1000))</f>
        <v>#DIV/0!</v>
      </c>
      <c r="AD20" s="360" t="e">
        <f>('Analytical Data'!L13*Cover!$H$11)/($U20*(Cover!$B$11/1000))</f>
        <v>#DIV/0!</v>
      </c>
      <c r="AE20" s="360" t="e">
        <f>('Analytical Data'!M13*Cover!$H$11)/($U20*(Cover!$B$11/1000))</f>
        <v>#DIV/0!</v>
      </c>
      <c r="AF20" s="360" t="e">
        <f t="shared" si="18"/>
        <v>#DIV/0!</v>
      </c>
      <c r="AG20" s="360" t="e">
        <f t="shared" si="19"/>
        <v>#DIV/0!</v>
      </c>
      <c r="AH20" s="360" t="e">
        <f t="shared" si="20"/>
        <v>#DIV/0!</v>
      </c>
      <c r="AI20" s="360" t="e">
        <f t="shared" si="21"/>
        <v>#DIV/0!</v>
      </c>
      <c r="AJ20" s="360" t="e">
        <f t="shared" si="22"/>
        <v>#DIV/0!</v>
      </c>
      <c r="AK20" s="360" t="e">
        <f t="shared" si="23"/>
        <v>#DIV/0!</v>
      </c>
      <c r="AL20" s="360" t="e">
        <f t="shared" si="24"/>
        <v>#DIV/0!</v>
      </c>
      <c r="AM20" s="360" t="e">
        <f t="shared" si="25"/>
        <v>#DIV/0!</v>
      </c>
      <c r="AN20" s="364" t="e">
        <f t="shared" si="26"/>
        <v>#DIV/0!</v>
      </c>
      <c r="AO20" s="360" t="e">
        <f t="shared" ca="1" si="27"/>
        <v>#DIV/0!</v>
      </c>
      <c r="AP20" s="368" t="e">
        <f t="shared" ca="1" si="28"/>
        <v>#VALUE!</v>
      </c>
      <c r="AQ20" s="357"/>
      <c r="AR20" s="358"/>
      <c r="AS20" s="358"/>
      <c r="AT20" s="304">
        <f t="shared" si="0"/>
        <v>0</v>
      </c>
      <c r="AU20" s="232" t="e">
        <f t="shared" ca="1" si="10"/>
        <v>#VALUE!</v>
      </c>
      <c r="AV20" s="232" t="e">
        <f t="shared" ca="1" si="11"/>
        <v>#VALUE!</v>
      </c>
      <c r="AW20" s="305" t="e">
        <f t="shared" ca="1" si="2"/>
        <v>#DIV/0!</v>
      </c>
      <c r="AX20" s="252" t="e">
        <f ca="1">PI()*((AH31-AG31)/(2*Cover!$G$11*1000*De!AN31*(SQRT(De!$Z$11)-SQRT(De!$Y$11))))</f>
        <v>#DIV/0!</v>
      </c>
      <c r="AY20" s="252" t="str">
        <f ca="1">IF(ISNUMBER((E36calc!$G28/(De!AN31*2653*Cover!$G$11))^2), (E36calc!$G28/(De!AN31*2653*Cover!$G$11))^2,"")</f>
        <v/>
      </c>
      <c r="BA20" s="376"/>
      <c r="BP20" s="372">
        <f ca="1">1*10^-8.8/AU5</f>
        <v>10.489577900991225</v>
      </c>
      <c r="BQ20" s="372"/>
    </row>
    <row r="21" spans="1:71" ht="15" x14ac:dyDescent="0.25">
      <c r="A21" s="360">
        <f>'Measured Cummulative'!A15</f>
        <v>0</v>
      </c>
      <c r="B21" s="363" t="e">
        <f t="shared" si="12"/>
        <v>#DIV/0!</v>
      </c>
      <c r="C21" s="364"/>
      <c r="D21" s="360" t="e">
        <f ca="1">(PI()/4)*(('Measured Cummulative'!E15/$B21)^2)*((Cover!$F$11/Cover!$I$11)^2)*(1/'Measured Cummulative'!E$1)</f>
        <v>#DIV/0!</v>
      </c>
      <c r="E21" s="360" t="e">
        <f ca="1">(PI()/4)*(('Measured Cummulative'!F15/$B21)^2)*((Cover!$F$11/Cover!$I$11)^2)*(1/'Measured Cummulative'!F$1)</f>
        <v>#DIV/0!</v>
      </c>
      <c r="F21" s="360" t="e">
        <f ca="1">(PI()/4)*(('Measured Cummulative'!G15/$B21)^2)*((Cover!$F$11/Cover!$I$11)^2)*(1/'Measured Cummulative'!G$1)</f>
        <v>#DIV/0!</v>
      </c>
      <c r="G21" s="360" t="e">
        <f ca="1">(PI()/4)*(('Measured Cummulative'!H15/$B21)^2)*((Cover!$F$11/Cover!$I$11)^2)*(1/'Measured Cummulative'!H$1)</f>
        <v>#DIV/0!</v>
      </c>
      <c r="H21" s="360" t="e">
        <f ca="1">(PI()/4)*(('Measured Cummulative'!I15/$B21)^2)*((Cover!$F$11/Cover!$I$11)^2)*(1/'Measured Cummulative'!I$1)</f>
        <v>#DIV/0!</v>
      </c>
      <c r="I21" s="360" t="e">
        <f ca="1">(PI()/4)*(('Measured Cummulative'!J15/$B21)^2)*((Cover!$F$11/Cover!$I$11)^2)*(1/'Measured Cummulative'!J$1)</f>
        <v>#DIV/0!</v>
      </c>
      <c r="J21" s="360" t="e">
        <f ca="1">(PI()/4)*(('Measured Cummulative'!K15/$B21)^2)*((Cover!$F$11/Cover!$I$11)^2)*(1/'Measured Cummulative'!K$1)</f>
        <v>#DIV/0!</v>
      </c>
      <c r="K21" s="360" t="e">
        <f ca="1">(PI()/4)*(('Measured Cummulative'!L15/$B21)^2)*((Cover!$F$11/Cover!$I$11)^2)*(1/'Measured Cummulative'!L$1)</f>
        <v>#DIV/0!</v>
      </c>
      <c r="L21" s="360">
        <f>'Measured Cummulative'!A15</f>
        <v>0</v>
      </c>
      <c r="M21" s="364" t="e">
        <f t="shared" si="16"/>
        <v>#DIV/0!</v>
      </c>
      <c r="N21" s="364"/>
      <c r="O21" s="365" t="e">
        <f t="shared" ca="1" si="7"/>
        <v>#DIV/0!</v>
      </c>
      <c r="P21" s="365" t="e">
        <f t="shared" ca="1" si="8"/>
        <v>#DIV/0!</v>
      </c>
      <c r="Q21" s="365" t="e">
        <f t="shared" ca="1" si="13"/>
        <v>#DIV/0!</v>
      </c>
      <c r="R21" s="366"/>
      <c r="S21" s="364"/>
      <c r="T21" s="366">
        <f t="shared" si="17"/>
        <v>0</v>
      </c>
      <c r="U21" s="364" t="e">
        <f>'Source Term'!AI28*$T$9</f>
        <v>#DIV/0!</v>
      </c>
      <c r="V21" s="364"/>
      <c r="W21" s="367">
        <v>1</v>
      </c>
      <c r="X21" s="360" t="e">
        <f>('Analytical Data'!F14*Cover!$H$11)/($U21*(Cover!$B$11/1000))</f>
        <v>#DIV/0!</v>
      </c>
      <c r="Y21" s="360" t="e">
        <f>('Analytical Data'!G14*Cover!$H$11)/($U21*(Cover!$B$11/1000))</f>
        <v>#DIV/0!</v>
      </c>
      <c r="Z21" s="360" t="e">
        <f>('Analytical Data'!H14*Cover!$H$11)/($U21*(Cover!$B$11/1000))</f>
        <v>#DIV/0!</v>
      </c>
      <c r="AA21" s="360" t="e">
        <f>('Analytical Data'!I14*Cover!$H$11)/($U21*(Cover!$B$11/1000))</f>
        <v>#DIV/0!</v>
      </c>
      <c r="AB21" s="360" t="e">
        <f>('Analytical Data'!J14*Cover!$H$11)/($U21*(Cover!$B$11/1000))</f>
        <v>#DIV/0!</v>
      </c>
      <c r="AC21" s="360" t="e">
        <f>('Analytical Data'!K14*Cover!$H$11)/($U21*(Cover!$B$11/1000))</f>
        <v>#DIV/0!</v>
      </c>
      <c r="AD21" s="360" t="e">
        <f>('Analytical Data'!L14*Cover!$H$11)/($U21*(Cover!$B$11/1000))</f>
        <v>#DIV/0!</v>
      </c>
      <c r="AE21" s="360" t="e">
        <f>('Analytical Data'!M14*Cover!$H$11)/($U21*(Cover!$B$11/1000))</f>
        <v>#DIV/0!</v>
      </c>
      <c r="AF21" s="360" t="e">
        <f t="shared" si="18"/>
        <v>#DIV/0!</v>
      </c>
      <c r="AG21" s="360" t="e">
        <f t="shared" si="19"/>
        <v>#DIV/0!</v>
      </c>
      <c r="AH21" s="360" t="e">
        <f t="shared" si="20"/>
        <v>#DIV/0!</v>
      </c>
      <c r="AI21" s="360" t="e">
        <f t="shared" si="21"/>
        <v>#DIV/0!</v>
      </c>
      <c r="AJ21" s="360" t="e">
        <f t="shared" si="22"/>
        <v>#DIV/0!</v>
      </c>
      <c r="AK21" s="360" t="e">
        <f t="shared" si="23"/>
        <v>#DIV/0!</v>
      </c>
      <c r="AL21" s="360" t="e">
        <f t="shared" si="24"/>
        <v>#DIV/0!</v>
      </c>
      <c r="AM21" s="360" t="e">
        <f t="shared" si="25"/>
        <v>#DIV/0!</v>
      </c>
      <c r="AN21" s="364" t="e">
        <f t="shared" si="26"/>
        <v>#DIV/0!</v>
      </c>
      <c r="AO21" s="360" t="e">
        <f t="shared" ca="1" si="27"/>
        <v>#DIV/0!</v>
      </c>
      <c r="AP21" s="368" t="e">
        <f t="shared" ca="1" si="28"/>
        <v>#VALUE!</v>
      </c>
      <c r="AQ21" s="357"/>
      <c r="AR21" s="358"/>
      <c r="AS21" s="358"/>
      <c r="AT21" s="304">
        <f t="shared" si="0"/>
        <v>0</v>
      </c>
      <c r="AU21" s="232" t="e">
        <f t="shared" ca="1" si="10"/>
        <v>#VALUE!</v>
      </c>
      <c r="AV21" s="232" t="e">
        <f ca="1">AU21*10000</f>
        <v>#VALUE!</v>
      </c>
      <c r="AW21" s="305" t="e">
        <f ca="1">RSQ($AG32:$AM32,$BD$13:$BJ$13)</f>
        <v>#DIV/0!</v>
      </c>
      <c r="AX21" s="252" t="e">
        <f ca="1">PI()*((AH32-AG32)/(2*Cover!$G$11*1000*De!AN32*(SQRT(De!$Z$11)-SQRT(De!$Y$11))))</f>
        <v>#DIV/0!</v>
      </c>
      <c r="AY21" s="252" t="str">
        <f ca="1">IF(ISNUMBER((E36calc!$G29/(De!AN32*2653*Cover!$G$11))^2), (E36calc!$G29/(De!AN32*2653*Cover!$G$11))^2,"")</f>
        <v/>
      </c>
      <c r="BA21" s="376"/>
      <c r="BP21" s="372"/>
      <c r="BQ21" s="372"/>
    </row>
    <row r="22" spans="1:71" ht="15" x14ac:dyDescent="0.25">
      <c r="A22" s="360">
        <f>'Measured Cummulative'!A16</f>
        <v>0</v>
      </c>
      <c r="B22" s="363" t="e">
        <f t="shared" si="12"/>
        <v>#DIV/0!</v>
      </c>
      <c r="C22" s="364"/>
      <c r="D22" s="360" t="e">
        <f ca="1">(PI()/4)*(('Measured Cummulative'!E16/$B22)^2)*((Cover!$F$11/Cover!$I$11)^2)*(1/'Measured Cummulative'!E$1)</f>
        <v>#DIV/0!</v>
      </c>
      <c r="E22" s="360" t="e">
        <f ca="1">(PI()/4)*(('Measured Cummulative'!F16/$B22)^2)*((Cover!$F$11/Cover!$I$11)^2)*(1/'Measured Cummulative'!F$1)</f>
        <v>#DIV/0!</v>
      </c>
      <c r="F22" s="360" t="e">
        <f ca="1">(PI()/4)*(('Measured Cummulative'!G16/$B22)^2)*((Cover!$F$11/Cover!$I$11)^2)*(1/'Measured Cummulative'!G$1)</f>
        <v>#DIV/0!</v>
      </c>
      <c r="G22" s="360" t="e">
        <f ca="1">(PI()/4)*(('Measured Cummulative'!H16/$B22)^2)*((Cover!$F$11/Cover!$I$11)^2)*(1/'Measured Cummulative'!H$1)</f>
        <v>#DIV/0!</v>
      </c>
      <c r="H22" s="360" t="e">
        <f ca="1">(PI()/4)*(('Measured Cummulative'!I16/$B22)^2)*((Cover!$F$11/Cover!$I$11)^2)*(1/'Measured Cummulative'!I$1)</f>
        <v>#DIV/0!</v>
      </c>
      <c r="I22" s="360" t="e">
        <f ca="1">(PI()/4)*(('Measured Cummulative'!J16/$B22)^2)*((Cover!$F$11/Cover!$I$11)^2)*(1/'Measured Cummulative'!J$1)</f>
        <v>#DIV/0!</v>
      </c>
      <c r="J22" s="360" t="e">
        <f ca="1">(PI()/4)*(('Measured Cummulative'!K16/$B22)^2)*((Cover!$F$11/Cover!$I$11)^2)*(1/'Measured Cummulative'!K$1)</f>
        <v>#DIV/0!</v>
      </c>
      <c r="K22" s="360" t="e">
        <f ca="1">(PI()/4)*(('Measured Cummulative'!L16/$B22)^2)*((Cover!$F$11/Cover!$I$11)^2)*(1/'Measured Cummulative'!L$1)</f>
        <v>#DIV/0!</v>
      </c>
      <c r="L22" s="360">
        <f>'Measured Cummulative'!A16</f>
        <v>0</v>
      </c>
      <c r="M22" s="364" t="e">
        <f t="shared" si="16"/>
        <v>#DIV/0!</v>
      </c>
      <c r="N22" s="364"/>
      <c r="O22" s="365" t="e">
        <f t="shared" ca="1" si="7"/>
        <v>#DIV/0!</v>
      </c>
      <c r="P22" s="365" t="e">
        <f t="shared" ca="1" si="8"/>
        <v>#DIV/0!</v>
      </c>
      <c r="Q22" s="365" t="e">
        <f t="shared" ca="1" si="13"/>
        <v>#DIV/0!</v>
      </c>
      <c r="R22" s="366"/>
      <c r="S22" s="367"/>
      <c r="T22" s="366">
        <f t="shared" si="17"/>
        <v>0</v>
      </c>
      <c r="U22" s="364" t="e">
        <f>'Source Term'!AI29*$T$9</f>
        <v>#DIV/0!</v>
      </c>
      <c r="V22" s="367"/>
      <c r="W22" s="367">
        <v>1</v>
      </c>
      <c r="X22" s="360" t="e">
        <f>('Analytical Data'!F15*Cover!$H$11)/($U22*(Cover!$B$11/1000))</f>
        <v>#DIV/0!</v>
      </c>
      <c r="Y22" s="360" t="e">
        <f>('Analytical Data'!G15*Cover!$H$11)/($U22*(Cover!$B$11/1000))</f>
        <v>#DIV/0!</v>
      </c>
      <c r="Z22" s="360" t="e">
        <f>('Analytical Data'!H15*Cover!$H$11)/($U22*(Cover!$B$11/1000))</f>
        <v>#DIV/0!</v>
      </c>
      <c r="AA22" s="360" t="e">
        <f>('Analytical Data'!I15*Cover!$H$11)/($U22*(Cover!$B$11/1000))</f>
        <v>#DIV/0!</v>
      </c>
      <c r="AB22" s="360" t="e">
        <f>('Analytical Data'!J15*Cover!$H$11)/($U22*(Cover!$B$11/1000))</f>
        <v>#DIV/0!</v>
      </c>
      <c r="AC22" s="360" t="e">
        <f>('Analytical Data'!K15*Cover!$H$11)/($U22*(Cover!$B$11/1000))</f>
        <v>#DIV/0!</v>
      </c>
      <c r="AD22" s="360" t="e">
        <f>('Analytical Data'!L15*Cover!$H$11)/($U22*(Cover!$B$11/1000))</f>
        <v>#DIV/0!</v>
      </c>
      <c r="AE22" s="360" t="e">
        <f>('Analytical Data'!M15*Cover!$H$11)/($U22*(Cover!$B$11/1000))</f>
        <v>#DIV/0!</v>
      </c>
      <c r="AF22" s="360" t="e">
        <f t="shared" si="18"/>
        <v>#DIV/0!</v>
      </c>
      <c r="AG22" s="360" t="e">
        <f t="shared" si="19"/>
        <v>#DIV/0!</v>
      </c>
      <c r="AH22" s="360" t="e">
        <f t="shared" si="20"/>
        <v>#DIV/0!</v>
      </c>
      <c r="AI22" s="360" t="e">
        <f t="shared" si="21"/>
        <v>#DIV/0!</v>
      </c>
      <c r="AJ22" s="360" t="e">
        <f t="shared" si="22"/>
        <v>#DIV/0!</v>
      </c>
      <c r="AK22" s="360" t="e">
        <f t="shared" si="23"/>
        <v>#DIV/0!</v>
      </c>
      <c r="AL22" s="360" t="e">
        <f t="shared" si="24"/>
        <v>#DIV/0!</v>
      </c>
      <c r="AM22" s="360" t="e">
        <f t="shared" si="25"/>
        <v>#DIV/0!</v>
      </c>
      <c r="AN22" s="364" t="e">
        <f t="shared" ref="AN22:AN65" si="29">U22*W22</f>
        <v>#DIV/0!</v>
      </c>
      <c r="AO22" s="360" t="e">
        <f t="shared" ca="1" si="27"/>
        <v>#DIV/0!</v>
      </c>
      <c r="AP22" s="368" t="e">
        <f t="shared" ca="1" si="28"/>
        <v>#VALUE!</v>
      </c>
      <c r="AQ22" s="357"/>
      <c r="AR22" s="358"/>
      <c r="AS22" s="358"/>
      <c r="AT22" s="304">
        <f t="shared" si="0"/>
        <v>0</v>
      </c>
      <c r="AU22" s="232" t="e">
        <f t="shared" ca="1" si="10"/>
        <v>#VALUE!</v>
      </c>
      <c r="AV22" s="232" t="e">
        <f ca="1">AU22*10000</f>
        <v>#VALUE!</v>
      </c>
      <c r="AW22" s="305" t="e">
        <f ca="1">RSQ($AG33:$AM33,$BD$13:$BJ$13)</f>
        <v>#DIV/0!</v>
      </c>
      <c r="AX22" s="252" t="e">
        <f ca="1">PI()*((AH33-AG33)/(2*Cover!$G$11*1000*De!AN33*(SQRT(De!$Z$11)-SQRT(De!$Y$11))))</f>
        <v>#DIV/0!</v>
      </c>
      <c r="AY22" s="252" t="str">
        <f ca="1">IF(ISNUMBER((E36calc!$G30/(De!AN33*2653*Cover!$G$11))^2), (E36calc!$G30/(De!AN33*2653*Cover!$G$11))^2,"")</f>
        <v/>
      </c>
      <c r="BA22" s="376"/>
    </row>
    <row r="23" spans="1:71" ht="15" x14ac:dyDescent="0.25">
      <c r="A23" s="360">
        <f>'Measured Cummulative'!A17</f>
        <v>0</v>
      </c>
      <c r="B23" s="363" t="e">
        <f t="shared" si="12"/>
        <v>#DIV/0!</v>
      </c>
      <c r="C23" s="364"/>
      <c r="D23" s="360" t="e">
        <f ca="1">(PI()/4)*(('Measured Cummulative'!E17/$B23)^2)*((Cover!$F$11/Cover!$I$11)^2)*(1/'Measured Cummulative'!E$1)</f>
        <v>#DIV/0!</v>
      </c>
      <c r="E23" s="360" t="e">
        <f ca="1">(PI()/4)*(('Measured Cummulative'!F17/$B23)^2)*((Cover!$F$11/Cover!$I$11)^2)*(1/'Measured Cummulative'!F$1)</f>
        <v>#DIV/0!</v>
      </c>
      <c r="F23" s="360" t="e">
        <f ca="1">(PI()/4)*(('Measured Cummulative'!G17/$B23)^2)*((Cover!$F$11/Cover!$I$11)^2)*(1/'Measured Cummulative'!G$1)</f>
        <v>#DIV/0!</v>
      </c>
      <c r="G23" s="360" t="e">
        <f ca="1">(PI()/4)*(('Measured Cummulative'!H17/$B23)^2)*((Cover!$F$11/Cover!$I$11)^2)*(1/'Measured Cummulative'!H$1)</f>
        <v>#DIV/0!</v>
      </c>
      <c r="H23" s="360" t="e">
        <f ca="1">(PI()/4)*(('Measured Cummulative'!I17/$B23)^2)*((Cover!$F$11/Cover!$I$11)^2)*(1/'Measured Cummulative'!I$1)</f>
        <v>#DIV/0!</v>
      </c>
      <c r="I23" s="360" t="e">
        <f ca="1">(PI()/4)*(('Measured Cummulative'!J17/$B23)^2)*((Cover!$F$11/Cover!$I$11)^2)*(1/'Measured Cummulative'!J$1)</f>
        <v>#DIV/0!</v>
      </c>
      <c r="J23" s="360" t="e">
        <f ca="1">(PI()/4)*(('Measured Cummulative'!K17/$B23)^2)*((Cover!$F$11/Cover!$I$11)^2)*(1/'Measured Cummulative'!K$1)</f>
        <v>#DIV/0!</v>
      </c>
      <c r="K23" s="360" t="e">
        <f ca="1">(PI()/4)*(('Measured Cummulative'!L17/$B23)^2)*((Cover!$F$11/Cover!$I$11)^2)*(1/'Measured Cummulative'!L$1)</f>
        <v>#DIV/0!</v>
      </c>
      <c r="L23" s="360">
        <f>'Measured Cummulative'!A17</f>
        <v>0</v>
      </c>
      <c r="M23" s="364" t="e">
        <f t="shared" si="16"/>
        <v>#DIV/0!</v>
      </c>
      <c r="N23" s="364"/>
      <c r="O23" s="365" t="e">
        <f t="shared" ca="1" si="7"/>
        <v>#DIV/0!</v>
      </c>
      <c r="P23" s="365" t="e">
        <f t="shared" ca="1" si="8"/>
        <v>#DIV/0!</v>
      </c>
      <c r="Q23" s="365" t="e">
        <f t="shared" ca="1" si="13"/>
        <v>#DIV/0!</v>
      </c>
      <c r="R23" s="366"/>
      <c r="S23" s="367"/>
      <c r="T23" s="366">
        <f t="shared" si="17"/>
        <v>0</v>
      </c>
      <c r="U23" s="364" t="e">
        <f>'Source Term'!AI30*$T$9</f>
        <v>#DIV/0!</v>
      </c>
      <c r="V23" s="367"/>
      <c r="W23" s="367">
        <v>1</v>
      </c>
      <c r="X23" s="360" t="e">
        <f>('Analytical Data'!F16*Cover!$H$11)/($U23*(Cover!$B$11/1000))</f>
        <v>#DIV/0!</v>
      </c>
      <c r="Y23" s="360" t="e">
        <f>('Analytical Data'!G16*Cover!$H$11)/($U23*(Cover!$B$11/1000))</f>
        <v>#DIV/0!</v>
      </c>
      <c r="Z23" s="360" t="e">
        <f>('Analytical Data'!H16*Cover!$H$11)/($U23*(Cover!$B$11/1000))</f>
        <v>#DIV/0!</v>
      </c>
      <c r="AA23" s="360" t="e">
        <f>('Analytical Data'!I16*Cover!$H$11)/($U23*(Cover!$B$11/1000))</f>
        <v>#DIV/0!</v>
      </c>
      <c r="AB23" s="360" t="e">
        <f>('Analytical Data'!J16*Cover!$H$11)/($U23*(Cover!$B$11/1000))</f>
        <v>#DIV/0!</v>
      </c>
      <c r="AC23" s="360" t="e">
        <f>('Analytical Data'!K16*Cover!$H$11)/($U23*(Cover!$B$11/1000))</f>
        <v>#DIV/0!</v>
      </c>
      <c r="AD23" s="360" t="e">
        <f>('Analytical Data'!L16*Cover!$H$11)/($U23*(Cover!$B$11/1000))</f>
        <v>#DIV/0!</v>
      </c>
      <c r="AE23" s="360" t="e">
        <f>('Analytical Data'!M16*Cover!$H$11)/($U23*(Cover!$B$11/1000))</f>
        <v>#DIV/0!</v>
      </c>
      <c r="AF23" s="360" t="e">
        <f t="shared" si="18"/>
        <v>#DIV/0!</v>
      </c>
      <c r="AG23" s="360" t="e">
        <f t="shared" si="19"/>
        <v>#DIV/0!</v>
      </c>
      <c r="AH23" s="360" t="e">
        <f t="shared" si="20"/>
        <v>#DIV/0!</v>
      </c>
      <c r="AI23" s="360" t="e">
        <f t="shared" si="21"/>
        <v>#DIV/0!</v>
      </c>
      <c r="AJ23" s="360" t="e">
        <f t="shared" si="22"/>
        <v>#DIV/0!</v>
      </c>
      <c r="AK23" s="360" t="e">
        <f t="shared" si="23"/>
        <v>#DIV/0!</v>
      </c>
      <c r="AL23" s="360" t="e">
        <f t="shared" si="24"/>
        <v>#DIV/0!</v>
      </c>
      <c r="AM23" s="360" t="e">
        <f t="shared" si="25"/>
        <v>#DIV/0!</v>
      </c>
      <c r="AN23" s="364" t="e">
        <f t="shared" si="29"/>
        <v>#DIV/0!</v>
      </c>
      <c r="AO23" s="360" t="e">
        <f t="shared" ca="1" si="27"/>
        <v>#DIV/0!</v>
      </c>
      <c r="AP23" s="368" t="e">
        <f t="shared" ca="1" si="28"/>
        <v>#VALUE!</v>
      </c>
      <c r="AQ23" s="357"/>
      <c r="AR23" s="358"/>
      <c r="AS23" s="358"/>
      <c r="AT23" s="304">
        <f t="shared" si="0"/>
        <v>0</v>
      </c>
      <c r="AU23" s="232" t="e">
        <f t="shared" ca="1" si="10"/>
        <v>#VALUE!</v>
      </c>
      <c r="AV23" s="232" t="e">
        <f ca="1">AU23*10000</f>
        <v>#VALUE!</v>
      </c>
      <c r="AW23" s="305" t="e">
        <f ca="1">RSQ($AG34:$AM34,$BD$13:$BJ$13)</f>
        <v>#DIV/0!</v>
      </c>
      <c r="AX23" s="252" t="e">
        <f ca="1">PI()*((AH34-AG34)/(2*Cover!$G$11*1000*De!AN34*(SQRT(De!$Z$11)-SQRT(De!$Y$11))))</f>
        <v>#DIV/0!</v>
      </c>
      <c r="AY23" s="252" t="str">
        <f ca="1">IF(ISNUMBER((E36calc!$G31/(De!AN34*2653*Cover!$G$11))^2), (E36calc!$G31/(De!AN34*2653*Cover!$G$11))^2,"")</f>
        <v/>
      </c>
      <c r="BA23" s="376"/>
    </row>
    <row r="24" spans="1:71" ht="15" x14ac:dyDescent="0.25">
      <c r="A24" s="360">
        <f>'Measured Cummulative'!A18</f>
        <v>0</v>
      </c>
      <c r="B24" s="363" t="e">
        <f t="shared" si="12"/>
        <v>#DIV/0!</v>
      </c>
      <c r="C24" s="364"/>
      <c r="D24" s="360" t="e">
        <f ca="1">(PI()/4)*(('Measured Cummulative'!E18/$B24)^2)*((Cover!$F$11/Cover!$I$11)^2)*(1/'Measured Cummulative'!E$1)</f>
        <v>#DIV/0!</v>
      </c>
      <c r="E24" s="360" t="e">
        <f ca="1">(PI()/4)*(('Measured Cummulative'!F18/$B24)^2)*((Cover!$F$11/Cover!$I$11)^2)*(1/'Measured Cummulative'!F$1)</f>
        <v>#DIV/0!</v>
      </c>
      <c r="F24" s="360" t="e">
        <f ca="1">(PI()/4)*(('Measured Cummulative'!G18/$B24)^2)*((Cover!$F$11/Cover!$I$11)^2)*(1/'Measured Cummulative'!G$1)</f>
        <v>#DIV/0!</v>
      </c>
      <c r="G24" s="360" t="e">
        <f ca="1">(PI()/4)*(('Measured Cummulative'!H18/$B24)^2)*((Cover!$F$11/Cover!$I$11)^2)*(1/'Measured Cummulative'!H$1)</f>
        <v>#DIV/0!</v>
      </c>
      <c r="H24" s="360" t="e">
        <f ca="1">(PI()/4)*(('Measured Cummulative'!I18/$B24)^2)*((Cover!$F$11/Cover!$I$11)^2)*(1/'Measured Cummulative'!I$1)</f>
        <v>#DIV/0!</v>
      </c>
      <c r="I24" s="360" t="e">
        <f ca="1">(PI()/4)*(('Measured Cummulative'!J18/$B24)^2)*((Cover!$F$11/Cover!$I$11)^2)*(1/'Measured Cummulative'!J$1)</f>
        <v>#DIV/0!</v>
      </c>
      <c r="J24" s="360" t="e">
        <f ca="1">(PI()/4)*(('Measured Cummulative'!K18/$B24)^2)*((Cover!$F$11/Cover!$I$11)^2)*(1/'Measured Cummulative'!K$1)</f>
        <v>#DIV/0!</v>
      </c>
      <c r="K24" s="360" t="e">
        <f ca="1">(PI()/4)*(('Measured Cummulative'!L18/$B24)^2)*((Cover!$F$11/Cover!$I$11)^2)*(1/'Measured Cummulative'!L$1)</f>
        <v>#DIV/0!</v>
      </c>
      <c r="L24" s="360">
        <f>'Measured Cummulative'!A18</f>
        <v>0</v>
      </c>
      <c r="M24" s="364" t="e">
        <f t="shared" si="16"/>
        <v>#DIV/0!</v>
      </c>
      <c r="N24" s="364"/>
      <c r="O24" s="365" t="e">
        <f t="shared" ca="1" si="7"/>
        <v>#DIV/0!</v>
      </c>
      <c r="P24" s="365" t="e">
        <f t="shared" ca="1" si="8"/>
        <v>#DIV/0!</v>
      </c>
      <c r="Q24" s="365" t="e">
        <f t="shared" ca="1" si="13"/>
        <v>#DIV/0!</v>
      </c>
      <c r="R24" s="366"/>
      <c r="S24" s="367"/>
      <c r="T24" s="366">
        <f t="shared" si="17"/>
        <v>0</v>
      </c>
      <c r="U24" s="364" t="e">
        <f>'Source Term'!AI31*$T$9</f>
        <v>#DIV/0!</v>
      </c>
      <c r="V24" s="367"/>
      <c r="W24" s="367">
        <v>1</v>
      </c>
      <c r="X24" s="360" t="e">
        <f>('Analytical Data'!F17*Cover!$H$11)/($U24*(Cover!$B$11/1000))</f>
        <v>#DIV/0!</v>
      </c>
      <c r="Y24" s="360" t="e">
        <f>('Analytical Data'!G17*Cover!$H$11)/($U24*(Cover!$B$11/1000))</f>
        <v>#DIV/0!</v>
      </c>
      <c r="Z24" s="360" t="e">
        <f>('Analytical Data'!H17*Cover!$H$11)/($U24*(Cover!$B$11/1000))</f>
        <v>#DIV/0!</v>
      </c>
      <c r="AA24" s="360" t="e">
        <f>('Analytical Data'!I17*Cover!$H$11)/($U24*(Cover!$B$11/1000))</f>
        <v>#DIV/0!</v>
      </c>
      <c r="AB24" s="360" t="e">
        <f>('Analytical Data'!J17*Cover!$H$11)/($U24*(Cover!$B$11/1000))</f>
        <v>#DIV/0!</v>
      </c>
      <c r="AC24" s="360" t="e">
        <f>('Analytical Data'!K17*Cover!$H$11)/($U24*(Cover!$B$11/1000))</f>
        <v>#DIV/0!</v>
      </c>
      <c r="AD24" s="360" t="e">
        <f>('Analytical Data'!L17*Cover!$H$11)/($U24*(Cover!$B$11/1000))</f>
        <v>#DIV/0!</v>
      </c>
      <c r="AE24" s="360" t="e">
        <f>('Analytical Data'!M17*Cover!$H$11)/($U24*(Cover!$B$11/1000))</f>
        <v>#DIV/0!</v>
      </c>
      <c r="AF24" s="360" t="e">
        <f t="shared" si="18"/>
        <v>#DIV/0!</v>
      </c>
      <c r="AG24" s="360" t="e">
        <f t="shared" si="19"/>
        <v>#DIV/0!</v>
      </c>
      <c r="AH24" s="360" t="e">
        <f t="shared" si="20"/>
        <v>#DIV/0!</v>
      </c>
      <c r="AI24" s="360" t="e">
        <f t="shared" si="21"/>
        <v>#DIV/0!</v>
      </c>
      <c r="AJ24" s="360" t="e">
        <f t="shared" si="22"/>
        <v>#DIV/0!</v>
      </c>
      <c r="AK24" s="360" t="e">
        <f t="shared" si="23"/>
        <v>#DIV/0!</v>
      </c>
      <c r="AL24" s="360" t="e">
        <f t="shared" si="24"/>
        <v>#DIV/0!</v>
      </c>
      <c r="AM24" s="360" t="e">
        <f t="shared" si="25"/>
        <v>#DIV/0!</v>
      </c>
      <c r="AN24" s="364" t="e">
        <f t="shared" si="29"/>
        <v>#DIV/0!</v>
      </c>
      <c r="AO24" s="360" t="e">
        <f t="shared" ca="1" si="27"/>
        <v>#DIV/0!</v>
      </c>
      <c r="AP24" s="368" t="e">
        <f t="shared" ca="1" si="28"/>
        <v>#VALUE!</v>
      </c>
      <c r="AQ24" s="357"/>
      <c r="AR24" s="358"/>
      <c r="AS24" s="358"/>
      <c r="AT24" s="304">
        <f t="shared" si="0"/>
        <v>0</v>
      </c>
      <c r="AU24" s="232" t="e">
        <f t="shared" ca="1" si="10"/>
        <v>#VALUE!</v>
      </c>
      <c r="AV24" s="232" t="e">
        <f ca="1">AU24*10000</f>
        <v>#VALUE!</v>
      </c>
      <c r="AW24" s="305" t="e">
        <f ca="1">RSQ($AG35:$AM35,$BD$13:$BJ$13)</f>
        <v>#DIV/0!</v>
      </c>
      <c r="AX24" s="252" t="e">
        <f ca="1">PI()*((AH35-AG35)/(2*Cover!$G$11*1000*De!AN35*(SQRT(De!$Z$11)-SQRT(De!$Y$11))))</f>
        <v>#DIV/0!</v>
      </c>
      <c r="AY24" s="252" t="str">
        <f ca="1">IF(ISNUMBER((E36calc!$G32/(De!AN35*2653*Cover!$G$11))^2), (E36calc!$G32/(De!AN35*2653*Cover!$G$11))^2,"")</f>
        <v/>
      </c>
      <c r="BA24" s="376"/>
    </row>
    <row r="25" spans="1:71" ht="15" x14ac:dyDescent="0.25">
      <c r="A25" s="360">
        <f>'Measured Cummulative'!A19</f>
        <v>0</v>
      </c>
      <c r="B25" s="363" t="e">
        <f t="shared" si="12"/>
        <v>#DIV/0!</v>
      </c>
      <c r="C25" s="364"/>
      <c r="D25" s="360" t="e">
        <f ca="1">(PI()/4)*(('Measured Cummulative'!E19/$B25)^2)*((Cover!$F$11/Cover!$I$11)^2)*(1/'Measured Cummulative'!E$1)</f>
        <v>#DIV/0!</v>
      </c>
      <c r="E25" s="360" t="e">
        <f ca="1">(PI()/4)*(('Measured Cummulative'!F19/$B25)^2)*((Cover!$F$11/Cover!$I$11)^2)*(1/'Measured Cummulative'!F$1)</f>
        <v>#DIV/0!</v>
      </c>
      <c r="F25" s="360" t="e">
        <f ca="1">(PI()/4)*(('Measured Cummulative'!G19/$B25)^2)*((Cover!$F$11/Cover!$I$11)^2)*(1/'Measured Cummulative'!G$1)</f>
        <v>#DIV/0!</v>
      </c>
      <c r="G25" s="360" t="e">
        <f ca="1">(PI()/4)*(('Measured Cummulative'!H19/$B25)^2)*((Cover!$F$11/Cover!$I$11)^2)*(1/'Measured Cummulative'!H$1)</f>
        <v>#DIV/0!</v>
      </c>
      <c r="H25" s="360" t="e">
        <f ca="1">(PI()/4)*(('Measured Cummulative'!I19/$B25)^2)*((Cover!$F$11/Cover!$I$11)^2)*(1/'Measured Cummulative'!I$1)</f>
        <v>#DIV/0!</v>
      </c>
      <c r="I25" s="360" t="e">
        <f ca="1">(PI()/4)*(('Measured Cummulative'!J19/$B25)^2)*((Cover!$F$11/Cover!$I$11)^2)*(1/'Measured Cummulative'!J$1)</f>
        <v>#DIV/0!</v>
      </c>
      <c r="J25" s="360" t="e">
        <f ca="1">(PI()/4)*(('Measured Cummulative'!K19/$B25)^2)*((Cover!$F$11/Cover!$I$11)^2)*(1/'Measured Cummulative'!K$1)</f>
        <v>#DIV/0!</v>
      </c>
      <c r="K25" s="360" t="e">
        <f ca="1">(PI()/4)*(('Measured Cummulative'!L19/$B25)^2)*((Cover!$F$11/Cover!$I$11)^2)*(1/'Measured Cummulative'!L$1)</f>
        <v>#DIV/0!</v>
      </c>
      <c r="L25" s="360">
        <f>'Measured Cummulative'!A19</f>
        <v>0</v>
      </c>
      <c r="M25" s="364" t="e">
        <f t="shared" si="16"/>
        <v>#DIV/0!</v>
      </c>
      <c r="N25" s="364"/>
      <c r="O25" s="365" t="e">
        <f t="shared" ca="1" si="7"/>
        <v>#DIV/0!</v>
      </c>
      <c r="P25" s="365" t="e">
        <f t="shared" ca="1" si="8"/>
        <v>#DIV/0!</v>
      </c>
      <c r="Q25" s="365" t="e">
        <f t="shared" ca="1" si="13"/>
        <v>#DIV/0!</v>
      </c>
      <c r="R25" s="366"/>
      <c r="S25" s="367"/>
      <c r="T25" s="366">
        <f t="shared" si="17"/>
        <v>0</v>
      </c>
      <c r="U25" s="364" t="e">
        <f>'Source Term'!AI32*$T$9</f>
        <v>#DIV/0!</v>
      </c>
      <c r="V25" s="367"/>
      <c r="W25" s="367">
        <v>1</v>
      </c>
      <c r="X25" s="360" t="e">
        <f>('Analytical Data'!F18*Cover!$H$11)/($U25*(Cover!$B$11/1000))</f>
        <v>#DIV/0!</v>
      </c>
      <c r="Y25" s="360" t="e">
        <f>('Analytical Data'!G18*Cover!$H$11)/($U25*(Cover!$B$11/1000))</f>
        <v>#DIV/0!</v>
      </c>
      <c r="Z25" s="360" t="e">
        <f>('Analytical Data'!H18*Cover!$H$11)/($U25*(Cover!$B$11/1000))</f>
        <v>#DIV/0!</v>
      </c>
      <c r="AA25" s="360" t="e">
        <f>('Analytical Data'!I18*Cover!$H$11)/($U25*(Cover!$B$11/1000))</f>
        <v>#DIV/0!</v>
      </c>
      <c r="AB25" s="360" t="e">
        <f>('Analytical Data'!J18*Cover!$H$11)/($U25*(Cover!$B$11/1000))</f>
        <v>#DIV/0!</v>
      </c>
      <c r="AC25" s="360" t="e">
        <f>('Analytical Data'!K18*Cover!$H$11)/($U25*(Cover!$B$11/1000))</f>
        <v>#DIV/0!</v>
      </c>
      <c r="AD25" s="360" t="e">
        <f>('Analytical Data'!L18*Cover!$H$11)/($U25*(Cover!$B$11/1000))</f>
        <v>#DIV/0!</v>
      </c>
      <c r="AE25" s="360" t="e">
        <f>('Analytical Data'!M18*Cover!$H$11)/($U25*(Cover!$B$11/1000))</f>
        <v>#DIV/0!</v>
      </c>
      <c r="AF25" s="360" t="e">
        <f t="shared" si="18"/>
        <v>#DIV/0!</v>
      </c>
      <c r="AG25" s="360" t="e">
        <f t="shared" si="19"/>
        <v>#DIV/0!</v>
      </c>
      <c r="AH25" s="360" t="e">
        <f t="shared" si="20"/>
        <v>#DIV/0!</v>
      </c>
      <c r="AI25" s="360" t="e">
        <f t="shared" si="21"/>
        <v>#DIV/0!</v>
      </c>
      <c r="AJ25" s="360" t="e">
        <f t="shared" si="22"/>
        <v>#DIV/0!</v>
      </c>
      <c r="AK25" s="360" t="e">
        <f t="shared" si="23"/>
        <v>#DIV/0!</v>
      </c>
      <c r="AL25" s="360" t="e">
        <f t="shared" si="24"/>
        <v>#DIV/0!</v>
      </c>
      <c r="AM25" s="360" t="e">
        <f t="shared" si="25"/>
        <v>#DIV/0!</v>
      </c>
      <c r="AN25" s="364" t="e">
        <f t="shared" si="29"/>
        <v>#DIV/0!</v>
      </c>
      <c r="AO25" s="360" t="e">
        <f t="shared" ca="1" si="27"/>
        <v>#DIV/0!</v>
      </c>
      <c r="AP25" s="368" t="e">
        <f t="shared" ca="1" si="28"/>
        <v>#VALUE!</v>
      </c>
      <c r="AQ25" s="357"/>
      <c r="AR25" s="358"/>
      <c r="AS25" s="358"/>
      <c r="AT25" s="304">
        <f t="shared" si="0"/>
        <v>0</v>
      </c>
      <c r="AU25" s="232" t="e">
        <f t="shared" ca="1" si="10"/>
        <v>#VALUE!</v>
      </c>
      <c r="AV25" s="232" t="e">
        <f ca="1">AU25*10000</f>
        <v>#VALUE!</v>
      </c>
      <c r="AW25" s="305" t="e">
        <f ca="1">RSQ($AG36:$AM36,$BD$13:$BJ$13)</f>
        <v>#DIV/0!</v>
      </c>
      <c r="AX25" s="252" t="e">
        <f ca="1">PI()*((AH36-AG36)/(2*Cover!$G$11*1000*De!AN36*(SQRT(De!$Z$11)-SQRT(De!$Y$11))))</f>
        <v>#DIV/0!</v>
      </c>
      <c r="AY25" s="252" t="str">
        <f ca="1">IF(ISNUMBER((E36calc!$G33/(De!AN36*2653*Cover!$G$11))^2), (E36calc!$G33/(De!AN36*2653*Cover!$G$11))^2,"")</f>
        <v/>
      </c>
      <c r="BA25" s="376"/>
    </row>
    <row r="26" spans="1:71" ht="15" x14ac:dyDescent="0.25">
      <c r="A26" s="360">
        <f>'Measured Cummulative'!A20</f>
        <v>0</v>
      </c>
      <c r="B26" s="363" t="e">
        <f t="shared" si="12"/>
        <v>#DIV/0!</v>
      </c>
      <c r="C26" s="364"/>
      <c r="D26" s="360" t="e">
        <f ca="1">(PI()/4)*(('Measured Cummulative'!E20/$B26)^2)*((Cover!$F$11/Cover!$I$11)^2)*(1/'Measured Cummulative'!E$1)</f>
        <v>#DIV/0!</v>
      </c>
      <c r="E26" s="360" t="e">
        <f ca="1">(PI()/4)*(('Measured Cummulative'!F20/$B26)^2)*((Cover!$F$11/Cover!$I$11)^2)*(1/'Measured Cummulative'!F$1)</f>
        <v>#DIV/0!</v>
      </c>
      <c r="F26" s="360" t="e">
        <f ca="1">(PI()/4)*(('Measured Cummulative'!G20/$B26)^2)*((Cover!$F$11/Cover!$I$11)^2)*(1/'Measured Cummulative'!G$1)</f>
        <v>#DIV/0!</v>
      </c>
      <c r="G26" s="360" t="e">
        <f ca="1">(PI()/4)*(('Measured Cummulative'!H20/$B26)^2)*((Cover!$F$11/Cover!$I$11)^2)*(1/'Measured Cummulative'!H$1)</f>
        <v>#DIV/0!</v>
      </c>
      <c r="H26" s="360" t="e">
        <f ca="1">(PI()/4)*(('Measured Cummulative'!I20/$B26)^2)*((Cover!$F$11/Cover!$I$11)^2)*(1/'Measured Cummulative'!I$1)</f>
        <v>#DIV/0!</v>
      </c>
      <c r="I26" s="360" t="e">
        <f ca="1">(PI()/4)*(('Measured Cummulative'!J20/$B26)^2)*((Cover!$F$11/Cover!$I$11)^2)*(1/'Measured Cummulative'!J$1)</f>
        <v>#DIV/0!</v>
      </c>
      <c r="J26" s="360" t="e">
        <f ca="1">(PI()/4)*(('Measured Cummulative'!K20/$B26)^2)*((Cover!$F$11/Cover!$I$11)^2)*(1/'Measured Cummulative'!K$1)</f>
        <v>#DIV/0!</v>
      </c>
      <c r="K26" s="360" t="e">
        <f ca="1">(PI()/4)*(('Measured Cummulative'!L20/$B26)^2)*((Cover!$F$11/Cover!$I$11)^2)*(1/'Measured Cummulative'!L$1)</f>
        <v>#DIV/0!</v>
      </c>
      <c r="L26" s="360">
        <f>'Measured Cummulative'!A20</f>
        <v>0</v>
      </c>
      <c r="M26" s="364" t="e">
        <f t="shared" si="16"/>
        <v>#DIV/0!</v>
      </c>
      <c r="N26" s="364"/>
      <c r="O26" s="365" t="e">
        <f t="shared" ca="1" si="7"/>
        <v>#DIV/0!</v>
      </c>
      <c r="P26" s="365" t="e">
        <f t="shared" ca="1" si="8"/>
        <v>#DIV/0!</v>
      </c>
      <c r="Q26" s="365" t="e">
        <f t="shared" ca="1" si="13"/>
        <v>#DIV/0!</v>
      </c>
      <c r="R26" s="366"/>
      <c r="S26" s="367"/>
      <c r="T26" s="366">
        <f t="shared" si="17"/>
        <v>0</v>
      </c>
      <c r="U26" s="364" t="e">
        <f>'Source Term'!AI33*$T$9</f>
        <v>#DIV/0!</v>
      </c>
      <c r="V26" s="367"/>
      <c r="W26" s="367">
        <v>1</v>
      </c>
      <c r="X26" s="360" t="e">
        <f>('Analytical Data'!F19*Cover!$H$11)/($U26*(Cover!$B$11/1000))</f>
        <v>#DIV/0!</v>
      </c>
      <c r="Y26" s="360" t="e">
        <f>('Analytical Data'!G19*Cover!$H$11)/($U26*(Cover!$B$11/1000))</f>
        <v>#DIV/0!</v>
      </c>
      <c r="Z26" s="360" t="e">
        <f>('Analytical Data'!H19*Cover!$H$11)/($U26*(Cover!$B$11/1000))</f>
        <v>#DIV/0!</v>
      </c>
      <c r="AA26" s="360" t="e">
        <f>('Analytical Data'!I19*Cover!$H$11)/($U26*(Cover!$B$11/1000))</f>
        <v>#DIV/0!</v>
      </c>
      <c r="AB26" s="360" t="e">
        <f>('Analytical Data'!J19*Cover!$H$11)/($U26*(Cover!$B$11/1000))</f>
        <v>#DIV/0!</v>
      </c>
      <c r="AC26" s="360" t="e">
        <f>('Analytical Data'!K19*Cover!$H$11)/($U26*(Cover!$B$11/1000))</f>
        <v>#DIV/0!</v>
      </c>
      <c r="AD26" s="360" t="e">
        <f>('Analytical Data'!L19*Cover!$H$11)/($U26*(Cover!$B$11/1000))</f>
        <v>#DIV/0!</v>
      </c>
      <c r="AE26" s="360" t="e">
        <f>('Analytical Data'!M19*Cover!$H$11)/($U26*(Cover!$B$11/1000))</f>
        <v>#DIV/0!</v>
      </c>
      <c r="AF26" s="360" t="e">
        <f t="shared" si="18"/>
        <v>#DIV/0!</v>
      </c>
      <c r="AG26" s="360" t="e">
        <f t="shared" si="19"/>
        <v>#DIV/0!</v>
      </c>
      <c r="AH26" s="360" t="e">
        <f t="shared" si="20"/>
        <v>#DIV/0!</v>
      </c>
      <c r="AI26" s="360" t="e">
        <f t="shared" si="21"/>
        <v>#DIV/0!</v>
      </c>
      <c r="AJ26" s="360" t="e">
        <f t="shared" si="22"/>
        <v>#DIV/0!</v>
      </c>
      <c r="AK26" s="360" t="e">
        <f t="shared" si="23"/>
        <v>#DIV/0!</v>
      </c>
      <c r="AL26" s="360" t="e">
        <f t="shared" si="24"/>
        <v>#DIV/0!</v>
      </c>
      <c r="AM26" s="360" t="e">
        <f t="shared" si="25"/>
        <v>#DIV/0!</v>
      </c>
      <c r="AN26" s="364" t="e">
        <f t="shared" si="29"/>
        <v>#DIV/0!</v>
      </c>
      <c r="AO26" s="360" t="e">
        <f t="shared" ca="1" si="27"/>
        <v>#DIV/0!</v>
      </c>
      <c r="AP26" s="368" t="e">
        <f t="shared" ca="1" si="28"/>
        <v>#VALUE!</v>
      </c>
      <c r="AQ26" s="357"/>
      <c r="AR26" s="358"/>
      <c r="AS26" s="358"/>
      <c r="AT26" s="304">
        <f t="shared" si="0"/>
        <v>0</v>
      </c>
      <c r="AU26" s="232" t="e">
        <f t="shared" ca="1" si="10"/>
        <v>#VALUE!</v>
      </c>
      <c r="AV26" s="232" t="e">
        <f t="shared" ref="AV26:AV52" ca="1" si="30">AU26*10000</f>
        <v>#VALUE!</v>
      </c>
      <c r="AW26" s="305" t="e">
        <f t="shared" ref="AW26:AW72" ca="1" si="31">RSQ($AG37:$AM37,$BD$13:$BJ$13)</f>
        <v>#DIV/0!</v>
      </c>
      <c r="AX26" s="252" t="e">
        <f ca="1">PI()*((AH37-AG37)/(2*Cover!$G$11*1000*De!AN37*(SQRT(De!$Z$11)-SQRT(De!$Y$11))))</f>
        <v>#DIV/0!</v>
      </c>
      <c r="AY26" s="252" t="str">
        <f ca="1">IF(ISNUMBER((E36calc!$G34/(De!AN37*2653*Cover!$G$11))^2), (E36calc!$G34/(De!AN37*2653*Cover!$G$11))^2,"")</f>
        <v/>
      </c>
      <c r="BA26" s="376"/>
    </row>
    <row r="27" spans="1:71" ht="15" x14ac:dyDescent="0.25">
      <c r="A27" s="360">
        <f>'Measured Cummulative'!A21</f>
        <v>0</v>
      </c>
      <c r="B27" s="363" t="e">
        <f t="shared" si="12"/>
        <v>#DIV/0!</v>
      </c>
      <c r="C27" s="364"/>
      <c r="D27" s="360" t="e">
        <f ca="1">(PI()/4)*(('Measured Cummulative'!E21/$B27)^2)*((Cover!$F$11/Cover!$I$11)^2)*(1/'Measured Cummulative'!E$1)</f>
        <v>#DIV/0!</v>
      </c>
      <c r="E27" s="360" t="e">
        <f ca="1">(PI()/4)*(('Measured Cummulative'!F21/$B27)^2)*((Cover!$F$11/Cover!$I$11)^2)*(1/'Measured Cummulative'!F$1)</f>
        <v>#DIV/0!</v>
      </c>
      <c r="F27" s="360" t="e">
        <f ca="1">(PI()/4)*(('Measured Cummulative'!G21/$B27)^2)*((Cover!$F$11/Cover!$I$11)^2)*(1/'Measured Cummulative'!G$1)</f>
        <v>#DIV/0!</v>
      </c>
      <c r="G27" s="360" t="e">
        <f ca="1">(PI()/4)*(('Measured Cummulative'!H21/$B27)^2)*((Cover!$F$11/Cover!$I$11)^2)*(1/'Measured Cummulative'!H$1)</f>
        <v>#DIV/0!</v>
      </c>
      <c r="H27" s="360" t="e">
        <f ca="1">(PI()/4)*(('Measured Cummulative'!I21/$B27)^2)*((Cover!$F$11/Cover!$I$11)^2)*(1/'Measured Cummulative'!I$1)</f>
        <v>#DIV/0!</v>
      </c>
      <c r="I27" s="360" t="e">
        <f ca="1">(PI()/4)*(('Measured Cummulative'!J21/$B27)^2)*((Cover!$F$11/Cover!$I$11)^2)*(1/'Measured Cummulative'!J$1)</f>
        <v>#DIV/0!</v>
      </c>
      <c r="J27" s="360" t="e">
        <f ca="1">(PI()/4)*(('Measured Cummulative'!K21/$B27)^2)*((Cover!$F$11/Cover!$I$11)^2)*(1/'Measured Cummulative'!K$1)</f>
        <v>#DIV/0!</v>
      </c>
      <c r="K27" s="360" t="e">
        <f ca="1">(PI()/4)*(('Measured Cummulative'!L21/$B27)^2)*((Cover!$F$11/Cover!$I$11)^2)*(1/'Measured Cummulative'!L$1)</f>
        <v>#DIV/0!</v>
      </c>
      <c r="L27" s="360">
        <f>'Measured Cummulative'!A21</f>
        <v>0</v>
      </c>
      <c r="M27" s="364" t="e">
        <f t="shared" si="16"/>
        <v>#DIV/0!</v>
      </c>
      <c r="N27" s="364"/>
      <c r="O27" s="365" t="e">
        <f t="shared" ca="1" si="7"/>
        <v>#DIV/0!</v>
      </c>
      <c r="P27" s="365" t="e">
        <f t="shared" ca="1" si="8"/>
        <v>#DIV/0!</v>
      </c>
      <c r="Q27" s="365" t="e">
        <f t="shared" ca="1" si="13"/>
        <v>#DIV/0!</v>
      </c>
      <c r="R27" s="366"/>
      <c r="S27" s="367"/>
      <c r="T27" s="366">
        <f t="shared" si="17"/>
        <v>0</v>
      </c>
      <c r="U27" s="364" t="e">
        <f>'Source Term'!AI34*$T$9</f>
        <v>#DIV/0!</v>
      </c>
      <c r="V27" s="367"/>
      <c r="W27" s="367">
        <v>1</v>
      </c>
      <c r="X27" s="360" t="e">
        <f>('Analytical Data'!F20*Cover!$H$11)/($U27*(Cover!$B$11/1000))</f>
        <v>#DIV/0!</v>
      </c>
      <c r="Y27" s="360" t="e">
        <f>('Analytical Data'!G20*Cover!$H$11)/($U27*(Cover!$B$11/1000))</f>
        <v>#DIV/0!</v>
      </c>
      <c r="Z27" s="360" t="e">
        <f>('Analytical Data'!H20*Cover!$H$11)/($U27*(Cover!$B$11/1000))</f>
        <v>#DIV/0!</v>
      </c>
      <c r="AA27" s="360" t="e">
        <f>('Analytical Data'!I20*Cover!$H$11)/($U27*(Cover!$B$11/1000))</f>
        <v>#DIV/0!</v>
      </c>
      <c r="AB27" s="360" t="e">
        <f>('Analytical Data'!J20*Cover!$H$11)/($U27*(Cover!$B$11/1000))</f>
        <v>#DIV/0!</v>
      </c>
      <c r="AC27" s="360" t="e">
        <f>('Analytical Data'!K20*Cover!$H$11)/($U27*(Cover!$B$11/1000))</f>
        <v>#DIV/0!</v>
      </c>
      <c r="AD27" s="360" t="e">
        <f>('Analytical Data'!L20*Cover!$H$11)/($U27*(Cover!$B$11/1000))</f>
        <v>#DIV/0!</v>
      </c>
      <c r="AE27" s="360" t="e">
        <f>('Analytical Data'!M20*Cover!$H$11)/($U27*(Cover!$B$11/1000))</f>
        <v>#DIV/0!</v>
      </c>
      <c r="AF27" s="360" t="e">
        <f t="shared" si="18"/>
        <v>#DIV/0!</v>
      </c>
      <c r="AG27" s="360" t="e">
        <f t="shared" si="19"/>
        <v>#DIV/0!</v>
      </c>
      <c r="AH27" s="360" t="e">
        <f t="shared" si="20"/>
        <v>#DIV/0!</v>
      </c>
      <c r="AI27" s="360" t="e">
        <f t="shared" si="21"/>
        <v>#DIV/0!</v>
      </c>
      <c r="AJ27" s="360" t="e">
        <f t="shared" si="22"/>
        <v>#DIV/0!</v>
      </c>
      <c r="AK27" s="360" t="e">
        <f t="shared" si="23"/>
        <v>#DIV/0!</v>
      </c>
      <c r="AL27" s="360" t="e">
        <f t="shared" si="24"/>
        <v>#DIV/0!</v>
      </c>
      <c r="AM27" s="360" t="e">
        <f t="shared" si="25"/>
        <v>#DIV/0!</v>
      </c>
      <c r="AN27" s="364" t="e">
        <f t="shared" si="29"/>
        <v>#DIV/0!</v>
      </c>
      <c r="AO27" s="360" t="e">
        <f t="shared" ca="1" si="27"/>
        <v>#DIV/0!</v>
      </c>
      <c r="AP27" s="368" t="e">
        <f t="shared" ca="1" si="28"/>
        <v>#VALUE!</v>
      </c>
      <c r="AQ27" s="357"/>
      <c r="AR27" s="358"/>
      <c r="AS27" s="358"/>
      <c r="AT27" s="304">
        <f t="shared" si="0"/>
        <v>0</v>
      </c>
      <c r="AU27" s="232" t="e">
        <f t="shared" ca="1" si="10"/>
        <v>#VALUE!</v>
      </c>
      <c r="AV27" s="232" t="e">
        <f t="shared" ca="1" si="30"/>
        <v>#VALUE!</v>
      </c>
      <c r="AW27" s="305" t="e">
        <f t="shared" ca="1" si="31"/>
        <v>#DIV/0!</v>
      </c>
      <c r="AX27" s="252" t="e">
        <f ca="1">PI()*((AH38-AG38)/(2*Cover!$G$11*1000*De!AN38*(SQRT(De!$Z$11)-SQRT(De!$Y$11))))</f>
        <v>#DIV/0!</v>
      </c>
      <c r="AY27" s="252" t="str">
        <f ca="1">IF(ISNUMBER((E36calc!$G35/(De!AN38*2653*Cover!$G$11))^2), (E36calc!$G35/(De!AN38*2653*Cover!$G$11))^2,"")</f>
        <v/>
      </c>
      <c r="BA27" s="376"/>
    </row>
    <row r="28" spans="1:71" ht="15" x14ac:dyDescent="0.25">
      <c r="A28" s="360">
        <f>'Measured Cummulative'!A22</f>
        <v>0</v>
      </c>
      <c r="B28" s="363" t="e">
        <f t="shared" si="12"/>
        <v>#DIV/0!</v>
      </c>
      <c r="C28" s="364"/>
      <c r="D28" s="360" t="e">
        <f ca="1">(PI()/4)*(('Measured Cummulative'!E22/$B28)^2)*((Cover!$F$11/Cover!$I$11)^2)*(1/'Measured Cummulative'!E$1)</f>
        <v>#DIV/0!</v>
      </c>
      <c r="E28" s="360" t="e">
        <f ca="1">(PI()/4)*(('Measured Cummulative'!F22/$B28)^2)*((Cover!$F$11/Cover!$I$11)^2)*(1/'Measured Cummulative'!F$1)</f>
        <v>#DIV/0!</v>
      </c>
      <c r="F28" s="360" t="e">
        <f ca="1">(PI()/4)*(('Measured Cummulative'!G22/$B28)^2)*((Cover!$F$11/Cover!$I$11)^2)*(1/'Measured Cummulative'!G$1)</f>
        <v>#DIV/0!</v>
      </c>
      <c r="G28" s="360" t="e">
        <f ca="1">(PI()/4)*(('Measured Cummulative'!H22/$B28)^2)*((Cover!$F$11/Cover!$I$11)^2)*(1/'Measured Cummulative'!H$1)</f>
        <v>#DIV/0!</v>
      </c>
      <c r="H28" s="360" t="e">
        <f ca="1">(PI()/4)*(('Measured Cummulative'!I22/$B28)^2)*((Cover!$F$11/Cover!$I$11)^2)*(1/'Measured Cummulative'!I$1)</f>
        <v>#DIV/0!</v>
      </c>
      <c r="I28" s="360" t="e">
        <f ca="1">(PI()/4)*(('Measured Cummulative'!J22/$B28)^2)*((Cover!$F$11/Cover!$I$11)^2)*(1/'Measured Cummulative'!J$1)</f>
        <v>#DIV/0!</v>
      </c>
      <c r="J28" s="360" t="e">
        <f ca="1">(PI()/4)*(('Measured Cummulative'!K22/$B28)^2)*((Cover!$F$11/Cover!$I$11)^2)*(1/'Measured Cummulative'!K$1)</f>
        <v>#DIV/0!</v>
      </c>
      <c r="K28" s="360" t="e">
        <f ca="1">(PI()/4)*(('Measured Cummulative'!L22/$B28)^2)*((Cover!$F$11/Cover!$I$11)^2)*(1/'Measured Cummulative'!L$1)</f>
        <v>#DIV/0!</v>
      </c>
      <c r="L28" s="360">
        <f>'Measured Cummulative'!A22</f>
        <v>0</v>
      </c>
      <c r="M28" s="364" t="e">
        <f t="shared" si="16"/>
        <v>#DIV/0!</v>
      </c>
      <c r="N28" s="364"/>
      <c r="O28" s="365" t="e">
        <f t="shared" ca="1" si="7"/>
        <v>#DIV/0!</v>
      </c>
      <c r="P28" s="365" t="e">
        <f t="shared" ca="1" si="8"/>
        <v>#DIV/0!</v>
      </c>
      <c r="Q28" s="365" t="e">
        <f t="shared" ca="1" si="13"/>
        <v>#DIV/0!</v>
      </c>
      <c r="R28" s="366"/>
      <c r="S28" s="367"/>
      <c r="T28" s="366">
        <f t="shared" si="17"/>
        <v>0</v>
      </c>
      <c r="U28" s="364" t="e">
        <f>'Source Term'!AI35*$T$9</f>
        <v>#DIV/0!</v>
      </c>
      <c r="V28" s="367"/>
      <c r="W28" s="367">
        <v>1</v>
      </c>
      <c r="X28" s="360" t="e">
        <f>('Analytical Data'!F21*Cover!$H$11)/($U28*(Cover!$B$11/1000))</f>
        <v>#DIV/0!</v>
      </c>
      <c r="Y28" s="360" t="e">
        <f>('Analytical Data'!G21*Cover!$H$11)/($U28*(Cover!$B$11/1000))</f>
        <v>#DIV/0!</v>
      </c>
      <c r="Z28" s="360" t="e">
        <f>('Analytical Data'!H21*Cover!$H$11)/($U28*(Cover!$B$11/1000))</f>
        <v>#DIV/0!</v>
      </c>
      <c r="AA28" s="360" t="e">
        <f>('Analytical Data'!I21*Cover!$H$11)/($U28*(Cover!$B$11/1000))</f>
        <v>#DIV/0!</v>
      </c>
      <c r="AB28" s="360" t="e">
        <f>('Analytical Data'!J21*Cover!$H$11)/($U28*(Cover!$B$11/1000))</f>
        <v>#DIV/0!</v>
      </c>
      <c r="AC28" s="360" t="e">
        <f>('Analytical Data'!K21*Cover!$H$11)/($U28*(Cover!$B$11/1000))</f>
        <v>#DIV/0!</v>
      </c>
      <c r="AD28" s="360" t="e">
        <f>('Analytical Data'!L21*Cover!$H$11)/($U28*(Cover!$B$11/1000))</f>
        <v>#DIV/0!</v>
      </c>
      <c r="AE28" s="360" t="e">
        <f>('Analytical Data'!M21*Cover!$H$11)/($U28*(Cover!$B$11/1000))</f>
        <v>#DIV/0!</v>
      </c>
      <c r="AF28" s="360" t="e">
        <f t="shared" si="18"/>
        <v>#DIV/0!</v>
      </c>
      <c r="AG28" s="360" t="e">
        <f t="shared" si="19"/>
        <v>#DIV/0!</v>
      </c>
      <c r="AH28" s="360" t="e">
        <f t="shared" si="20"/>
        <v>#DIV/0!</v>
      </c>
      <c r="AI28" s="360" t="e">
        <f t="shared" si="21"/>
        <v>#DIV/0!</v>
      </c>
      <c r="AJ28" s="360" t="e">
        <f t="shared" si="22"/>
        <v>#DIV/0!</v>
      </c>
      <c r="AK28" s="360" t="e">
        <f t="shared" si="23"/>
        <v>#DIV/0!</v>
      </c>
      <c r="AL28" s="360" t="e">
        <f t="shared" si="24"/>
        <v>#DIV/0!</v>
      </c>
      <c r="AM28" s="360" t="e">
        <f t="shared" si="25"/>
        <v>#DIV/0!</v>
      </c>
      <c r="AN28" s="364" t="e">
        <f t="shared" si="29"/>
        <v>#DIV/0!</v>
      </c>
      <c r="AO28" s="360" t="e">
        <f t="shared" ca="1" si="27"/>
        <v>#DIV/0!</v>
      </c>
      <c r="AP28" s="368" t="e">
        <f t="shared" ca="1" si="28"/>
        <v>#VALUE!</v>
      </c>
      <c r="AQ28" s="357"/>
      <c r="AR28" s="358"/>
      <c r="AS28" s="358"/>
      <c r="AT28" s="304">
        <f t="shared" si="0"/>
        <v>0</v>
      </c>
      <c r="AU28" s="232" t="e">
        <f t="shared" ca="1" si="10"/>
        <v>#VALUE!</v>
      </c>
      <c r="AV28" s="232" t="e">
        <f t="shared" ca="1" si="30"/>
        <v>#VALUE!</v>
      </c>
      <c r="AW28" s="305" t="e">
        <f t="shared" ca="1" si="31"/>
        <v>#DIV/0!</v>
      </c>
      <c r="AX28" s="252" t="e">
        <f ca="1">PI()*((AH39-AG39)/(2*Cover!$G$11*1000*De!AN39*(SQRT(De!$Z$11)-SQRT(De!$Y$11))))</f>
        <v>#DIV/0!</v>
      </c>
      <c r="AY28" s="252" t="str">
        <f ca="1">IF(ISNUMBER((E36calc!$G36/(De!AN39*2653*Cover!$G$11))^2), (E36calc!$G36/(De!AN39*2653*Cover!$G$11))^2,"")</f>
        <v/>
      </c>
      <c r="BA28" s="376"/>
    </row>
    <row r="29" spans="1:71" ht="15" x14ac:dyDescent="0.25">
      <c r="A29" s="360">
        <f>'Measured Cummulative'!A23</f>
        <v>0</v>
      </c>
      <c r="B29" s="363" t="e">
        <f t="shared" si="12"/>
        <v>#DIV/0!</v>
      </c>
      <c r="C29" s="364"/>
      <c r="D29" s="360" t="e">
        <f ca="1">(PI()/4)*(('Measured Cummulative'!E23/$B29)^2)*((Cover!$F$11/Cover!$I$11)^2)*(1/'Measured Cummulative'!E$1)</f>
        <v>#DIV/0!</v>
      </c>
      <c r="E29" s="360" t="e">
        <f ca="1">(PI()/4)*(('Measured Cummulative'!F23/$B29)^2)*((Cover!$F$11/Cover!$I$11)^2)*(1/'Measured Cummulative'!F$1)</f>
        <v>#DIV/0!</v>
      </c>
      <c r="F29" s="360" t="e">
        <f ca="1">(PI()/4)*(('Measured Cummulative'!G23/$B29)^2)*((Cover!$F$11/Cover!$I$11)^2)*(1/'Measured Cummulative'!G$1)</f>
        <v>#DIV/0!</v>
      </c>
      <c r="G29" s="360" t="e">
        <f ca="1">(PI()/4)*(('Measured Cummulative'!H23/$B29)^2)*((Cover!$F$11/Cover!$I$11)^2)*(1/'Measured Cummulative'!H$1)</f>
        <v>#DIV/0!</v>
      </c>
      <c r="H29" s="360" t="e">
        <f ca="1">(PI()/4)*(('Measured Cummulative'!I23/$B29)^2)*((Cover!$F$11/Cover!$I$11)^2)*(1/'Measured Cummulative'!I$1)</f>
        <v>#DIV/0!</v>
      </c>
      <c r="I29" s="360" t="e">
        <f ca="1">(PI()/4)*(('Measured Cummulative'!J23/$B29)^2)*((Cover!$F$11/Cover!$I$11)^2)*(1/'Measured Cummulative'!J$1)</f>
        <v>#DIV/0!</v>
      </c>
      <c r="J29" s="360" t="e">
        <f ca="1">(PI()/4)*(('Measured Cummulative'!K23/$B29)^2)*((Cover!$F$11/Cover!$I$11)^2)*(1/'Measured Cummulative'!K$1)</f>
        <v>#DIV/0!</v>
      </c>
      <c r="K29" s="360" t="e">
        <f ca="1">(PI()/4)*(('Measured Cummulative'!L23/$B29)^2)*((Cover!$F$11/Cover!$I$11)^2)*(1/'Measured Cummulative'!L$1)</f>
        <v>#DIV/0!</v>
      </c>
      <c r="L29" s="360">
        <f>'Measured Cummulative'!A23</f>
        <v>0</v>
      </c>
      <c r="M29" s="364" t="e">
        <f t="shared" si="16"/>
        <v>#DIV/0!</v>
      </c>
      <c r="N29" s="364"/>
      <c r="O29" s="365" t="e">
        <f t="shared" ca="1" si="7"/>
        <v>#DIV/0!</v>
      </c>
      <c r="P29" s="365" t="e">
        <f t="shared" ca="1" si="8"/>
        <v>#DIV/0!</v>
      </c>
      <c r="Q29" s="365" t="e">
        <f t="shared" ca="1" si="13"/>
        <v>#DIV/0!</v>
      </c>
      <c r="R29" s="366"/>
      <c r="S29" s="367"/>
      <c r="T29" s="366">
        <f t="shared" si="17"/>
        <v>0</v>
      </c>
      <c r="U29" s="364" t="e">
        <f>'Source Term'!AI36*$T$9</f>
        <v>#DIV/0!</v>
      </c>
      <c r="V29" s="367"/>
      <c r="W29" s="367">
        <v>1</v>
      </c>
      <c r="X29" s="360" t="e">
        <f>('Analytical Data'!F22*Cover!$H$11)/($U29*(Cover!$B$11/1000))</f>
        <v>#DIV/0!</v>
      </c>
      <c r="Y29" s="360" t="e">
        <f>('Analytical Data'!G22*Cover!$H$11)/($U29*(Cover!$B$11/1000))</f>
        <v>#DIV/0!</v>
      </c>
      <c r="Z29" s="360" t="e">
        <f>('Analytical Data'!H22*Cover!$H$11)/($U29*(Cover!$B$11/1000))</f>
        <v>#DIV/0!</v>
      </c>
      <c r="AA29" s="360" t="e">
        <f>('Analytical Data'!I22*Cover!$H$11)/($U29*(Cover!$B$11/1000))</f>
        <v>#DIV/0!</v>
      </c>
      <c r="AB29" s="360" t="e">
        <f>('Analytical Data'!J22*Cover!$H$11)/($U29*(Cover!$B$11/1000))</f>
        <v>#DIV/0!</v>
      </c>
      <c r="AC29" s="360" t="e">
        <f>('Analytical Data'!K22*Cover!$H$11)/($U29*(Cover!$B$11/1000))</f>
        <v>#DIV/0!</v>
      </c>
      <c r="AD29" s="360" t="e">
        <f>('Analytical Data'!L22*Cover!$H$11)/($U29*(Cover!$B$11/1000))</f>
        <v>#DIV/0!</v>
      </c>
      <c r="AE29" s="360" t="e">
        <f>('Analytical Data'!M22*Cover!$H$11)/($U29*(Cover!$B$11/1000))</f>
        <v>#DIV/0!</v>
      </c>
      <c r="AF29" s="360" t="e">
        <f t="shared" si="18"/>
        <v>#DIV/0!</v>
      </c>
      <c r="AG29" s="360" t="e">
        <f t="shared" si="19"/>
        <v>#DIV/0!</v>
      </c>
      <c r="AH29" s="360" t="e">
        <f t="shared" si="20"/>
        <v>#DIV/0!</v>
      </c>
      <c r="AI29" s="360" t="e">
        <f t="shared" si="21"/>
        <v>#DIV/0!</v>
      </c>
      <c r="AJ29" s="360" t="e">
        <f t="shared" si="22"/>
        <v>#DIV/0!</v>
      </c>
      <c r="AK29" s="360" t="e">
        <f t="shared" si="23"/>
        <v>#DIV/0!</v>
      </c>
      <c r="AL29" s="360" t="e">
        <f t="shared" si="24"/>
        <v>#DIV/0!</v>
      </c>
      <c r="AM29" s="360" t="e">
        <f t="shared" si="25"/>
        <v>#DIV/0!</v>
      </c>
      <c r="AN29" s="364" t="e">
        <f t="shared" si="29"/>
        <v>#DIV/0!</v>
      </c>
      <c r="AO29" s="360" t="e">
        <f t="shared" ca="1" si="27"/>
        <v>#DIV/0!</v>
      </c>
      <c r="AP29" s="368" t="e">
        <f t="shared" ca="1" si="28"/>
        <v>#VALUE!</v>
      </c>
      <c r="AQ29" s="357"/>
      <c r="AR29" s="358"/>
      <c r="AS29" s="358"/>
      <c r="AT29" s="304">
        <f t="shared" si="0"/>
        <v>0</v>
      </c>
      <c r="AU29" s="232" t="e">
        <f t="shared" ca="1" si="10"/>
        <v>#VALUE!</v>
      </c>
      <c r="AV29" s="232" t="e">
        <f t="shared" ca="1" si="30"/>
        <v>#VALUE!</v>
      </c>
      <c r="AW29" s="305" t="e">
        <f t="shared" ca="1" si="31"/>
        <v>#DIV/0!</v>
      </c>
      <c r="AX29" s="252" t="e">
        <f ca="1">PI()*((AH40-AG40)/(2*Cover!$G$11*1000*De!AN40*(SQRT(De!$Z$11)-SQRT(De!$Y$11))))</f>
        <v>#DIV/0!</v>
      </c>
      <c r="AY29" s="252" t="str">
        <f ca="1">IF(ISNUMBER((E36calc!$G37/(De!AN40*2653*Cover!$G$11))^2), (E36calc!$G37/(De!AN40*2653*Cover!$G$11))^2,"")</f>
        <v/>
      </c>
      <c r="BA29" s="376"/>
    </row>
    <row r="30" spans="1:71" ht="15" x14ac:dyDescent="0.25">
      <c r="A30" s="360">
        <f>'Measured Cummulative'!A24</f>
        <v>0</v>
      </c>
      <c r="B30" s="363" t="e">
        <f t="shared" si="12"/>
        <v>#DIV/0!</v>
      </c>
      <c r="C30" s="364"/>
      <c r="D30" s="360" t="e">
        <f ca="1">(PI()/4)*(('Measured Cummulative'!E24/$B30)^2)*((Cover!$F$11/Cover!$I$11)^2)*(1/'Measured Cummulative'!E$1)</f>
        <v>#DIV/0!</v>
      </c>
      <c r="E30" s="360" t="e">
        <f ca="1">(PI()/4)*(('Measured Cummulative'!F24/$B30)^2)*((Cover!$F$11/Cover!$I$11)^2)*(1/'Measured Cummulative'!F$1)</f>
        <v>#DIV/0!</v>
      </c>
      <c r="F30" s="360" t="e">
        <f ca="1">(PI()/4)*(('Measured Cummulative'!G24/$B30)^2)*((Cover!$F$11/Cover!$I$11)^2)*(1/'Measured Cummulative'!G$1)</f>
        <v>#DIV/0!</v>
      </c>
      <c r="G30" s="360" t="e">
        <f ca="1">(PI()/4)*(('Measured Cummulative'!H24/$B30)^2)*((Cover!$F$11/Cover!$I$11)^2)*(1/'Measured Cummulative'!H$1)</f>
        <v>#DIV/0!</v>
      </c>
      <c r="H30" s="360" t="e">
        <f ca="1">(PI()/4)*(('Measured Cummulative'!I24/$B30)^2)*((Cover!$F$11/Cover!$I$11)^2)*(1/'Measured Cummulative'!I$1)</f>
        <v>#DIV/0!</v>
      </c>
      <c r="I30" s="360" t="e">
        <f ca="1">(PI()/4)*(('Measured Cummulative'!J24/$B30)^2)*((Cover!$F$11/Cover!$I$11)^2)*(1/'Measured Cummulative'!J$1)</f>
        <v>#DIV/0!</v>
      </c>
      <c r="J30" s="360" t="e">
        <f ca="1">(PI()/4)*(('Measured Cummulative'!K24/$B30)^2)*((Cover!$F$11/Cover!$I$11)^2)*(1/'Measured Cummulative'!K$1)</f>
        <v>#DIV/0!</v>
      </c>
      <c r="K30" s="360" t="e">
        <f ca="1">(PI()/4)*(('Measured Cummulative'!L24/$B30)^2)*((Cover!$F$11/Cover!$I$11)^2)*(1/'Measured Cummulative'!L$1)</f>
        <v>#DIV/0!</v>
      </c>
      <c r="L30" s="360">
        <f>'Measured Cummulative'!A24</f>
        <v>0</v>
      </c>
      <c r="M30" s="364" t="e">
        <f t="shared" si="16"/>
        <v>#DIV/0!</v>
      </c>
      <c r="N30" s="364"/>
      <c r="O30" s="365" t="e">
        <f t="shared" ca="1" si="7"/>
        <v>#DIV/0!</v>
      </c>
      <c r="P30" s="365" t="e">
        <f t="shared" ca="1" si="8"/>
        <v>#DIV/0!</v>
      </c>
      <c r="Q30" s="365" t="e">
        <f t="shared" ca="1" si="13"/>
        <v>#DIV/0!</v>
      </c>
      <c r="R30" s="366"/>
      <c r="S30" s="367"/>
      <c r="T30" s="366">
        <f t="shared" si="17"/>
        <v>0</v>
      </c>
      <c r="U30" s="364" t="e">
        <f>'Source Term'!AI37*$T$9</f>
        <v>#DIV/0!</v>
      </c>
      <c r="V30" s="367"/>
      <c r="W30" s="367">
        <v>1</v>
      </c>
      <c r="X30" s="360" t="e">
        <f>('Analytical Data'!F23*Cover!$H$11)/($U30*(Cover!$B$11/1000))</f>
        <v>#DIV/0!</v>
      </c>
      <c r="Y30" s="360" t="e">
        <f>('Analytical Data'!G23*Cover!$H$11)/($U30*(Cover!$B$11/1000))</f>
        <v>#DIV/0!</v>
      </c>
      <c r="Z30" s="360" t="e">
        <f>('Analytical Data'!H23*Cover!$H$11)/($U30*(Cover!$B$11/1000))</f>
        <v>#DIV/0!</v>
      </c>
      <c r="AA30" s="360" t="e">
        <f>('Analytical Data'!I23*Cover!$H$11)/($U30*(Cover!$B$11/1000))</f>
        <v>#DIV/0!</v>
      </c>
      <c r="AB30" s="360" t="e">
        <f>('Analytical Data'!J23*Cover!$H$11)/($U30*(Cover!$B$11/1000))</f>
        <v>#DIV/0!</v>
      </c>
      <c r="AC30" s="360" t="e">
        <f>('Analytical Data'!K23*Cover!$H$11)/($U30*(Cover!$B$11/1000))</f>
        <v>#DIV/0!</v>
      </c>
      <c r="AD30" s="360" t="e">
        <f>('Analytical Data'!L23*Cover!$H$11)/($U30*(Cover!$B$11/1000))</f>
        <v>#DIV/0!</v>
      </c>
      <c r="AE30" s="360" t="e">
        <f>('Analytical Data'!M23*Cover!$H$11)/($U30*(Cover!$B$11/1000))</f>
        <v>#DIV/0!</v>
      </c>
      <c r="AF30" s="360" t="e">
        <f t="shared" si="18"/>
        <v>#DIV/0!</v>
      </c>
      <c r="AG30" s="360" t="e">
        <f t="shared" si="19"/>
        <v>#DIV/0!</v>
      </c>
      <c r="AH30" s="360" t="e">
        <f t="shared" si="20"/>
        <v>#DIV/0!</v>
      </c>
      <c r="AI30" s="360" t="e">
        <f t="shared" si="21"/>
        <v>#DIV/0!</v>
      </c>
      <c r="AJ30" s="360" t="e">
        <f t="shared" si="22"/>
        <v>#DIV/0!</v>
      </c>
      <c r="AK30" s="360" t="e">
        <f t="shared" si="23"/>
        <v>#DIV/0!</v>
      </c>
      <c r="AL30" s="360" t="e">
        <f t="shared" si="24"/>
        <v>#DIV/0!</v>
      </c>
      <c r="AM30" s="360" t="e">
        <f t="shared" si="25"/>
        <v>#DIV/0!</v>
      </c>
      <c r="AN30" s="364" t="e">
        <f t="shared" si="29"/>
        <v>#DIV/0!</v>
      </c>
      <c r="AO30" s="360" t="e">
        <f t="shared" ca="1" si="27"/>
        <v>#DIV/0!</v>
      </c>
      <c r="AP30" s="368" t="e">
        <f t="shared" ca="1" si="28"/>
        <v>#VALUE!</v>
      </c>
      <c r="AQ30" s="357"/>
      <c r="AR30" s="358"/>
      <c r="AS30" s="358"/>
      <c r="AT30" s="304">
        <f t="shared" si="0"/>
        <v>0</v>
      </c>
      <c r="AU30" s="232" t="e">
        <f t="shared" ca="1" si="10"/>
        <v>#VALUE!</v>
      </c>
      <c r="AV30" s="232" t="e">
        <f t="shared" ca="1" si="30"/>
        <v>#VALUE!</v>
      </c>
      <c r="AW30" s="305" t="e">
        <f t="shared" ca="1" si="31"/>
        <v>#DIV/0!</v>
      </c>
      <c r="AX30" s="252" t="e">
        <f ca="1">PI()*((AH41-AG41)/(2*Cover!$G$11*1000*De!AN41*(SQRT(De!$Z$11)-SQRT(De!$Y$11))))</f>
        <v>#DIV/0!</v>
      </c>
      <c r="AY30" s="252" t="str">
        <f ca="1">IF(ISNUMBER((E36calc!$G38/(De!AN41*2653*Cover!$G$11))^2), (E36calc!$G38/(De!AN41*2653*Cover!$G$11))^2,"")</f>
        <v/>
      </c>
      <c r="BA30" s="376"/>
    </row>
    <row r="31" spans="1:71" ht="15" x14ac:dyDescent="0.25">
      <c r="A31" s="360">
        <f>'Measured Cummulative'!A25</f>
        <v>0</v>
      </c>
      <c r="B31" s="363" t="e">
        <f t="shared" si="12"/>
        <v>#DIV/0!</v>
      </c>
      <c r="C31" s="364"/>
      <c r="D31" s="360" t="e">
        <f ca="1">(PI()/4)*(('Measured Cummulative'!E25/$B31)^2)*((Cover!$F$11/Cover!$I$11)^2)*(1/'Measured Cummulative'!E$1)</f>
        <v>#DIV/0!</v>
      </c>
      <c r="E31" s="360" t="e">
        <f ca="1">(PI()/4)*(('Measured Cummulative'!F25/$B31)^2)*((Cover!$F$11/Cover!$I$11)^2)*(1/'Measured Cummulative'!F$1)</f>
        <v>#DIV/0!</v>
      </c>
      <c r="F31" s="360" t="e">
        <f ca="1">(PI()/4)*(('Measured Cummulative'!G25/$B31)^2)*((Cover!$F$11/Cover!$I$11)^2)*(1/'Measured Cummulative'!G$1)</f>
        <v>#DIV/0!</v>
      </c>
      <c r="G31" s="360" t="e">
        <f ca="1">(PI()/4)*(('Measured Cummulative'!H25/$B31)^2)*((Cover!$F$11/Cover!$I$11)^2)*(1/'Measured Cummulative'!H$1)</f>
        <v>#DIV/0!</v>
      </c>
      <c r="H31" s="360" t="e">
        <f ca="1">(PI()/4)*(('Measured Cummulative'!I25/$B31)^2)*((Cover!$F$11/Cover!$I$11)^2)*(1/'Measured Cummulative'!I$1)</f>
        <v>#DIV/0!</v>
      </c>
      <c r="I31" s="360" t="e">
        <f ca="1">(PI()/4)*(('Measured Cummulative'!J25/$B31)^2)*((Cover!$F$11/Cover!$I$11)^2)*(1/'Measured Cummulative'!J$1)</f>
        <v>#DIV/0!</v>
      </c>
      <c r="J31" s="360" t="e">
        <f ca="1">(PI()/4)*(('Measured Cummulative'!K25/$B31)^2)*((Cover!$F$11/Cover!$I$11)^2)*(1/'Measured Cummulative'!K$1)</f>
        <v>#DIV/0!</v>
      </c>
      <c r="K31" s="360" t="e">
        <f ca="1">(PI()/4)*(('Measured Cummulative'!L25/$B31)^2)*((Cover!$F$11/Cover!$I$11)^2)*(1/'Measured Cummulative'!L$1)</f>
        <v>#DIV/0!</v>
      </c>
      <c r="L31" s="360">
        <f>'Measured Cummulative'!A25</f>
        <v>0</v>
      </c>
      <c r="M31" s="364" t="e">
        <f t="shared" si="16"/>
        <v>#DIV/0!</v>
      </c>
      <c r="N31" s="364"/>
      <c r="O31" s="365" t="e">
        <f t="shared" ca="1" si="7"/>
        <v>#DIV/0!</v>
      </c>
      <c r="P31" s="365" t="e">
        <f t="shared" ca="1" si="8"/>
        <v>#DIV/0!</v>
      </c>
      <c r="Q31" s="365" t="e">
        <f t="shared" ca="1" si="13"/>
        <v>#DIV/0!</v>
      </c>
      <c r="R31" s="366"/>
      <c r="S31" s="367"/>
      <c r="T31" s="366">
        <f t="shared" si="17"/>
        <v>0</v>
      </c>
      <c r="U31" s="364" t="e">
        <f>'Source Term'!AI38*$T$9</f>
        <v>#DIV/0!</v>
      </c>
      <c r="V31" s="367"/>
      <c r="W31" s="367">
        <v>1</v>
      </c>
      <c r="X31" s="360" t="e">
        <f>('Analytical Data'!F24*Cover!$H$11)/($U31*(Cover!$B$11/1000))</f>
        <v>#DIV/0!</v>
      </c>
      <c r="Y31" s="360" t="e">
        <f>('Analytical Data'!G24*Cover!$H$11)/($U31*(Cover!$B$11/1000))</f>
        <v>#DIV/0!</v>
      </c>
      <c r="Z31" s="360" t="e">
        <f>('Analytical Data'!H24*Cover!$H$11)/($U31*(Cover!$B$11/1000))</f>
        <v>#DIV/0!</v>
      </c>
      <c r="AA31" s="360" t="e">
        <f>('Analytical Data'!I24*Cover!$H$11)/($U31*(Cover!$B$11/1000))</f>
        <v>#DIV/0!</v>
      </c>
      <c r="AB31" s="360" t="e">
        <f>('Analytical Data'!J24*Cover!$H$11)/($U31*(Cover!$B$11/1000))</f>
        <v>#DIV/0!</v>
      </c>
      <c r="AC31" s="360" t="e">
        <f>('Analytical Data'!K24*Cover!$H$11)/($U31*(Cover!$B$11/1000))</f>
        <v>#DIV/0!</v>
      </c>
      <c r="AD31" s="360" t="e">
        <f>('Analytical Data'!L24*Cover!$H$11)/($U31*(Cover!$B$11/1000))</f>
        <v>#DIV/0!</v>
      </c>
      <c r="AE31" s="360" t="e">
        <f>('Analytical Data'!M24*Cover!$H$11)/($U31*(Cover!$B$11/1000))</f>
        <v>#DIV/0!</v>
      </c>
      <c r="AF31" s="360" t="e">
        <f t="shared" si="18"/>
        <v>#DIV/0!</v>
      </c>
      <c r="AG31" s="360" t="e">
        <f t="shared" si="19"/>
        <v>#DIV/0!</v>
      </c>
      <c r="AH31" s="360" t="e">
        <f t="shared" si="20"/>
        <v>#DIV/0!</v>
      </c>
      <c r="AI31" s="360" t="e">
        <f t="shared" si="21"/>
        <v>#DIV/0!</v>
      </c>
      <c r="AJ31" s="360" t="e">
        <f t="shared" si="22"/>
        <v>#DIV/0!</v>
      </c>
      <c r="AK31" s="360" t="e">
        <f t="shared" si="23"/>
        <v>#DIV/0!</v>
      </c>
      <c r="AL31" s="360" t="e">
        <f t="shared" si="24"/>
        <v>#DIV/0!</v>
      </c>
      <c r="AM31" s="360" t="e">
        <f t="shared" si="25"/>
        <v>#DIV/0!</v>
      </c>
      <c r="AN31" s="364" t="e">
        <f t="shared" si="29"/>
        <v>#DIV/0!</v>
      </c>
      <c r="AO31" s="360" t="e">
        <f t="shared" ca="1" si="27"/>
        <v>#DIV/0!</v>
      </c>
      <c r="AP31" s="368" t="e">
        <f t="shared" ca="1" si="28"/>
        <v>#VALUE!</v>
      </c>
      <c r="AQ31" s="357"/>
      <c r="AR31" s="358"/>
      <c r="AS31" s="358"/>
      <c r="AT31" s="304">
        <f t="shared" si="0"/>
        <v>0</v>
      </c>
      <c r="AU31" s="232" t="e">
        <f t="shared" ca="1" si="10"/>
        <v>#VALUE!</v>
      </c>
      <c r="AV31" s="232" t="e">
        <f t="shared" ca="1" si="30"/>
        <v>#VALUE!</v>
      </c>
      <c r="AW31" s="305" t="e">
        <f t="shared" ca="1" si="31"/>
        <v>#DIV/0!</v>
      </c>
      <c r="AX31" s="252" t="e">
        <f ca="1">PI()*((AH42-AG42)/(2*Cover!$G$11*1000*De!AN42*(SQRT(De!$Z$11)-SQRT(De!$Y$11))))</f>
        <v>#DIV/0!</v>
      </c>
      <c r="AY31" s="252" t="str">
        <f ca="1">IF(ISNUMBER((E36calc!$G39/(De!AN42*2653*Cover!$G$11))^2), (E36calc!$G39/(De!AN42*2653*Cover!$G$11))^2,"")</f>
        <v/>
      </c>
      <c r="BA31" s="376"/>
    </row>
    <row r="32" spans="1:71" ht="15" x14ac:dyDescent="0.25">
      <c r="A32" s="360">
        <f>'Measured Cummulative'!A26</f>
        <v>0</v>
      </c>
      <c r="B32" s="363" t="e">
        <f t="shared" si="12"/>
        <v>#DIV/0!</v>
      </c>
      <c r="C32" s="364"/>
      <c r="D32" s="360" t="e">
        <f ca="1">(PI()/4)*(('Measured Cummulative'!E26/$B32)^2)*((Cover!$F$11/Cover!$I$11)^2)*(1/'Measured Cummulative'!E$1)</f>
        <v>#DIV/0!</v>
      </c>
      <c r="E32" s="360" t="e">
        <f ca="1">(PI()/4)*(('Measured Cummulative'!F26/$B32)^2)*((Cover!$F$11/Cover!$I$11)^2)*(1/'Measured Cummulative'!F$1)</f>
        <v>#DIV/0!</v>
      </c>
      <c r="F32" s="360" t="e">
        <f ca="1">(PI()/4)*(('Measured Cummulative'!G26/$B32)^2)*((Cover!$F$11/Cover!$I$11)^2)*(1/'Measured Cummulative'!G$1)</f>
        <v>#DIV/0!</v>
      </c>
      <c r="G32" s="360" t="e">
        <f ca="1">(PI()/4)*(('Measured Cummulative'!H26/$B32)^2)*((Cover!$F$11/Cover!$I$11)^2)*(1/'Measured Cummulative'!H$1)</f>
        <v>#DIV/0!</v>
      </c>
      <c r="H32" s="360" t="e">
        <f ca="1">(PI()/4)*(('Measured Cummulative'!I26/$B32)^2)*((Cover!$F$11/Cover!$I$11)^2)*(1/'Measured Cummulative'!I$1)</f>
        <v>#DIV/0!</v>
      </c>
      <c r="I32" s="360" t="e">
        <f ca="1">(PI()/4)*(('Measured Cummulative'!J26/$B32)^2)*((Cover!$F$11/Cover!$I$11)^2)*(1/'Measured Cummulative'!J$1)</f>
        <v>#DIV/0!</v>
      </c>
      <c r="J32" s="360" t="e">
        <f ca="1">(PI()/4)*(('Measured Cummulative'!K26/$B32)^2)*((Cover!$F$11/Cover!$I$11)^2)*(1/'Measured Cummulative'!K$1)</f>
        <v>#DIV/0!</v>
      </c>
      <c r="K32" s="360" t="e">
        <f ca="1">(PI()/4)*(('Measured Cummulative'!L26/$B32)^2)*((Cover!$F$11/Cover!$I$11)^2)*(1/'Measured Cummulative'!L$1)</f>
        <v>#DIV/0!</v>
      </c>
      <c r="L32" s="360">
        <f>'Measured Cummulative'!A26</f>
        <v>0</v>
      </c>
      <c r="M32" s="364" t="e">
        <f t="shared" si="16"/>
        <v>#DIV/0!</v>
      </c>
      <c r="N32" s="364"/>
      <c r="O32" s="365" t="e">
        <f t="shared" ca="1" si="7"/>
        <v>#DIV/0!</v>
      </c>
      <c r="P32" s="365" t="e">
        <f t="shared" ca="1" si="8"/>
        <v>#DIV/0!</v>
      </c>
      <c r="Q32" s="365" t="e">
        <f t="shared" ca="1" si="13"/>
        <v>#DIV/0!</v>
      </c>
      <c r="R32" s="366"/>
      <c r="S32" s="367"/>
      <c r="T32" s="366">
        <f t="shared" si="17"/>
        <v>0</v>
      </c>
      <c r="U32" s="364" t="e">
        <f>'Source Term'!AI39*$T$9</f>
        <v>#DIV/0!</v>
      </c>
      <c r="V32" s="367"/>
      <c r="W32" s="367">
        <v>1</v>
      </c>
      <c r="X32" s="360" t="e">
        <f>('Analytical Data'!F25*Cover!$H$11)/($U32*(Cover!$B$11/1000))</f>
        <v>#DIV/0!</v>
      </c>
      <c r="Y32" s="360" t="e">
        <f>('Analytical Data'!G25*Cover!$H$11)/($U32*(Cover!$B$11/1000))</f>
        <v>#DIV/0!</v>
      </c>
      <c r="Z32" s="360" t="e">
        <f>('Analytical Data'!H25*Cover!$H$11)/($U32*(Cover!$B$11/1000))</f>
        <v>#DIV/0!</v>
      </c>
      <c r="AA32" s="360" t="e">
        <f>('Analytical Data'!I25*Cover!$H$11)/($U32*(Cover!$B$11/1000))</f>
        <v>#DIV/0!</v>
      </c>
      <c r="AB32" s="360" t="e">
        <f>('Analytical Data'!J25*Cover!$H$11)/($U32*(Cover!$B$11/1000))</f>
        <v>#DIV/0!</v>
      </c>
      <c r="AC32" s="360" t="e">
        <f>('Analytical Data'!K25*Cover!$H$11)/($U32*(Cover!$B$11/1000))</f>
        <v>#DIV/0!</v>
      </c>
      <c r="AD32" s="360" t="e">
        <f>('Analytical Data'!L25*Cover!$H$11)/($U32*(Cover!$B$11/1000))</f>
        <v>#DIV/0!</v>
      </c>
      <c r="AE32" s="360" t="e">
        <f>('Analytical Data'!M25*Cover!$H$11)/($U32*(Cover!$B$11/1000))</f>
        <v>#DIV/0!</v>
      </c>
      <c r="AF32" s="360" t="e">
        <f t="shared" si="18"/>
        <v>#DIV/0!</v>
      </c>
      <c r="AG32" s="360" t="e">
        <f t="shared" si="19"/>
        <v>#DIV/0!</v>
      </c>
      <c r="AH32" s="360" t="e">
        <f t="shared" si="20"/>
        <v>#DIV/0!</v>
      </c>
      <c r="AI32" s="360" t="e">
        <f t="shared" si="21"/>
        <v>#DIV/0!</v>
      </c>
      <c r="AJ32" s="360" t="e">
        <f t="shared" si="22"/>
        <v>#DIV/0!</v>
      </c>
      <c r="AK32" s="360" t="e">
        <f t="shared" si="23"/>
        <v>#DIV/0!</v>
      </c>
      <c r="AL32" s="360" t="e">
        <f t="shared" si="24"/>
        <v>#DIV/0!</v>
      </c>
      <c r="AM32" s="360" t="e">
        <f t="shared" si="25"/>
        <v>#DIV/0!</v>
      </c>
      <c r="AN32" s="364" t="e">
        <f t="shared" si="29"/>
        <v>#DIV/0!</v>
      </c>
      <c r="AO32" s="360" t="e">
        <f t="shared" ca="1" si="27"/>
        <v>#DIV/0!</v>
      </c>
      <c r="AP32" s="368" t="e">
        <f ca="1">LINEST(AG32:AM32,$Y$11:$AE$11,AO32)</f>
        <v>#VALUE!</v>
      </c>
      <c r="AQ32" s="357"/>
      <c r="AR32" s="358"/>
      <c r="AS32" s="358"/>
      <c r="AT32" s="304">
        <f t="shared" si="0"/>
        <v>0</v>
      </c>
      <c r="AU32" s="232" t="e">
        <f t="shared" ca="1" si="10"/>
        <v>#VALUE!</v>
      </c>
      <c r="AV32" s="232" t="e">
        <f t="shared" ca="1" si="30"/>
        <v>#VALUE!</v>
      </c>
      <c r="AW32" s="305" t="e">
        <f t="shared" ca="1" si="31"/>
        <v>#DIV/0!</v>
      </c>
      <c r="AX32" s="252" t="e">
        <f ca="1">PI()*((AH43-AG43)/(2*Cover!$G$11*1000*De!AN43*(SQRT(De!$Z$11)-SQRT(De!$Y$11))))</f>
        <v>#DIV/0!</v>
      </c>
      <c r="AY32" s="252" t="str">
        <f ca="1">IF(ISNUMBER((E36calc!$G40/(De!AN43*2653*Cover!$G$11))^2), (E36calc!$G40/(De!AN43*2653*Cover!$G$11))^2,"")</f>
        <v/>
      </c>
      <c r="BA32" s="376"/>
    </row>
    <row r="33" spans="1:63" ht="15" x14ac:dyDescent="0.25">
      <c r="A33" s="360">
        <f>'Measured Cummulative'!A27</f>
        <v>0</v>
      </c>
      <c r="B33" s="363" t="e">
        <f t="shared" si="12"/>
        <v>#DIV/0!</v>
      </c>
      <c r="C33" s="364"/>
      <c r="D33" s="360" t="e">
        <f ca="1">(PI()/4)*(('Measured Cummulative'!E27/$B33)^2)*((Cover!$F$11/Cover!$I$11)^2)*(1/'Measured Cummulative'!E$1)</f>
        <v>#DIV/0!</v>
      </c>
      <c r="E33" s="360" t="e">
        <f ca="1">(PI()/4)*(('Measured Cummulative'!F27/$B33)^2)*((Cover!$F$11/Cover!$I$11)^2)*(1/'Measured Cummulative'!F$1)</f>
        <v>#DIV/0!</v>
      </c>
      <c r="F33" s="360" t="e">
        <f ca="1">(PI()/4)*(('Measured Cummulative'!G27/$B33)^2)*((Cover!$F$11/Cover!$I$11)^2)*(1/'Measured Cummulative'!G$1)</f>
        <v>#DIV/0!</v>
      </c>
      <c r="G33" s="360" t="e">
        <f ca="1">(PI()/4)*(('Measured Cummulative'!H27/$B33)^2)*((Cover!$F$11/Cover!$I$11)^2)*(1/'Measured Cummulative'!H$1)</f>
        <v>#DIV/0!</v>
      </c>
      <c r="H33" s="360" t="e">
        <f ca="1">(PI()/4)*(('Measured Cummulative'!I27/$B33)^2)*((Cover!$F$11/Cover!$I$11)^2)*(1/'Measured Cummulative'!I$1)</f>
        <v>#DIV/0!</v>
      </c>
      <c r="I33" s="360" t="e">
        <f ca="1">(PI()/4)*(('Measured Cummulative'!J27/$B33)^2)*((Cover!$F$11/Cover!$I$11)^2)*(1/'Measured Cummulative'!J$1)</f>
        <v>#DIV/0!</v>
      </c>
      <c r="J33" s="360" t="e">
        <f ca="1">(PI()/4)*(('Measured Cummulative'!K27/$B33)^2)*((Cover!$F$11/Cover!$I$11)^2)*(1/'Measured Cummulative'!K$1)</f>
        <v>#DIV/0!</v>
      </c>
      <c r="K33" s="360" t="e">
        <f ca="1">(PI()/4)*(('Measured Cummulative'!L27/$B33)^2)*((Cover!$F$11/Cover!$I$11)^2)*(1/'Measured Cummulative'!L$1)</f>
        <v>#DIV/0!</v>
      </c>
      <c r="L33" s="360">
        <f>'Measured Cummulative'!A27</f>
        <v>0</v>
      </c>
      <c r="M33" s="364" t="e">
        <f t="shared" si="16"/>
        <v>#DIV/0!</v>
      </c>
      <c r="N33" s="364"/>
      <c r="O33" s="365" t="e">
        <f t="shared" ca="1" si="7"/>
        <v>#DIV/0!</v>
      </c>
      <c r="P33" s="365" t="e">
        <f t="shared" ca="1" si="8"/>
        <v>#DIV/0!</v>
      </c>
      <c r="Q33" s="365" t="e">
        <f t="shared" ca="1" si="13"/>
        <v>#DIV/0!</v>
      </c>
      <c r="R33" s="366"/>
      <c r="S33" s="367"/>
      <c r="T33" s="366">
        <f t="shared" si="17"/>
        <v>0</v>
      </c>
      <c r="U33" s="364" t="e">
        <f>'Source Term'!AI40*$T$9</f>
        <v>#DIV/0!</v>
      </c>
      <c r="V33" s="367"/>
      <c r="W33" s="367">
        <v>1</v>
      </c>
      <c r="X33" s="360" t="e">
        <f>('Analytical Data'!F26*Cover!$H$11)/($U33*(Cover!$B$11/1000))</f>
        <v>#DIV/0!</v>
      </c>
      <c r="Y33" s="360" t="e">
        <f>('Analytical Data'!G26*Cover!$H$11)/($U33*(Cover!$B$11/1000))</f>
        <v>#DIV/0!</v>
      </c>
      <c r="Z33" s="360" t="e">
        <f>('Analytical Data'!H26*Cover!$H$11)/($U33*(Cover!$B$11/1000))</f>
        <v>#DIV/0!</v>
      </c>
      <c r="AA33" s="360" t="e">
        <f>('Analytical Data'!I26*Cover!$H$11)/($U33*(Cover!$B$11/1000))</f>
        <v>#DIV/0!</v>
      </c>
      <c r="AB33" s="360" t="e">
        <f>('Analytical Data'!J26*Cover!$H$11)/($U33*(Cover!$B$11/1000))</f>
        <v>#DIV/0!</v>
      </c>
      <c r="AC33" s="360" t="e">
        <f>('Analytical Data'!K26*Cover!$H$11)/($U33*(Cover!$B$11/1000))</f>
        <v>#DIV/0!</v>
      </c>
      <c r="AD33" s="360" t="e">
        <f>('Analytical Data'!L26*Cover!$H$11)/($U33*(Cover!$B$11/1000))</f>
        <v>#DIV/0!</v>
      </c>
      <c r="AE33" s="360" t="e">
        <f>('Analytical Data'!M26*Cover!$H$11)/($U33*(Cover!$B$11/1000))</f>
        <v>#DIV/0!</v>
      </c>
      <c r="AF33" s="360" t="e">
        <f t="shared" si="18"/>
        <v>#DIV/0!</v>
      </c>
      <c r="AG33" s="360" t="e">
        <f t="shared" si="19"/>
        <v>#DIV/0!</v>
      </c>
      <c r="AH33" s="360" t="e">
        <f t="shared" si="20"/>
        <v>#DIV/0!</v>
      </c>
      <c r="AI33" s="360" t="e">
        <f t="shared" si="21"/>
        <v>#DIV/0!</v>
      </c>
      <c r="AJ33" s="360" t="e">
        <f t="shared" si="22"/>
        <v>#DIV/0!</v>
      </c>
      <c r="AK33" s="360" t="e">
        <f t="shared" si="23"/>
        <v>#DIV/0!</v>
      </c>
      <c r="AL33" s="360" t="e">
        <f t="shared" si="24"/>
        <v>#DIV/0!</v>
      </c>
      <c r="AM33" s="360" t="e">
        <f t="shared" si="25"/>
        <v>#DIV/0!</v>
      </c>
      <c r="AN33" s="364" t="e">
        <f t="shared" si="29"/>
        <v>#DIV/0!</v>
      </c>
      <c r="AO33" s="360" t="e">
        <f t="shared" ca="1" si="27"/>
        <v>#DIV/0!</v>
      </c>
      <c r="AP33" s="368" t="e">
        <f ca="1">LINEST(AG33:AM33,$Y$11:$AE$11,AO33)</f>
        <v>#VALUE!</v>
      </c>
      <c r="AQ33" s="357"/>
      <c r="AR33" s="358"/>
      <c r="AS33" s="358"/>
      <c r="AT33" s="304">
        <f t="shared" si="0"/>
        <v>0</v>
      </c>
      <c r="AU33" s="232" t="e">
        <f t="shared" ca="1" si="10"/>
        <v>#VALUE!</v>
      </c>
      <c r="AV33" s="232" t="e">
        <f t="shared" ca="1" si="30"/>
        <v>#VALUE!</v>
      </c>
      <c r="AW33" s="305" t="e">
        <f t="shared" ca="1" si="31"/>
        <v>#DIV/0!</v>
      </c>
      <c r="AX33" s="252" t="e">
        <f ca="1">PI()*((AH44-AG44)/(2*Cover!$G$11*1000*De!AN44*(SQRT(De!$Z$11)-SQRT(De!$Y$11))))</f>
        <v>#DIV/0!</v>
      </c>
      <c r="AY33" s="252" t="str">
        <f ca="1">IF(ISNUMBER((E36calc!$G41/(De!AN44*2653*Cover!$G$11))^2), (E36calc!$G41/(De!AN44*2653*Cover!$G$11))^2,"")</f>
        <v/>
      </c>
      <c r="BA33" s="376"/>
    </row>
    <row r="34" spans="1:63" ht="15" x14ac:dyDescent="0.25">
      <c r="A34" s="360">
        <f>'Measured Cummulative'!A28</f>
        <v>0</v>
      </c>
      <c r="B34" s="363" t="e">
        <f t="shared" si="12"/>
        <v>#DIV/0!</v>
      </c>
      <c r="C34" s="364"/>
      <c r="D34" s="360" t="e">
        <f ca="1">(PI()/4)*(('Measured Cummulative'!E28/$B34)^2)*((Cover!$F$11/Cover!$I$11)^2)*(1/'Measured Cummulative'!E$1)</f>
        <v>#DIV/0!</v>
      </c>
      <c r="E34" s="360" t="e">
        <f ca="1">(PI()/4)*(('Measured Cummulative'!F28/$B34)^2)*((Cover!$F$11/Cover!$I$11)^2)*(1/'Measured Cummulative'!F$1)</f>
        <v>#DIV/0!</v>
      </c>
      <c r="F34" s="360" t="e">
        <f ca="1">(PI()/4)*(('Measured Cummulative'!G28/$B34)^2)*((Cover!$F$11/Cover!$I$11)^2)*(1/'Measured Cummulative'!G$1)</f>
        <v>#DIV/0!</v>
      </c>
      <c r="G34" s="360" t="e">
        <f ca="1">(PI()/4)*(('Measured Cummulative'!H28/$B34)^2)*((Cover!$F$11/Cover!$I$11)^2)*(1/'Measured Cummulative'!H$1)</f>
        <v>#DIV/0!</v>
      </c>
      <c r="H34" s="360" t="e">
        <f ca="1">(PI()/4)*(('Measured Cummulative'!I28/$B34)^2)*((Cover!$F$11/Cover!$I$11)^2)*(1/'Measured Cummulative'!I$1)</f>
        <v>#DIV/0!</v>
      </c>
      <c r="I34" s="360" t="e">
        <f ca="1">(PI()/4)*(('Measured Cummulative'!J28/$B34)^2)*((Cover!$F$11/Cover!$I$11)^2)*(1/'Measured Cummulative'!J$1)</f>
        <v>#DIV/0!</v>
      </c>
      <c r="J34" s="360" t="e">
        <f ca="1">(PI()/4)*(('Measured Cummulative'!K28/$B34)^2)*((Cover!$F$11/Cover!$I$11)^2)*(1/'Measured Cummulative'!K$1)</f>
        <v>#DIV/0!</v>
      </c>
      <c r="K34" s="360" t="e">
        <f ca="1">(PI()/4)*(('Measured Cummulative'!L28/$B34)^2)*((Cover!$F$11/Cover!$I$11)^2)*(1/'Measured Cummulative'!L$1)</f>
        <v>#DIV/0!</v>
      </c>
      <c r="L34" s="360">
        <f>'Measured Cummulative'!A28</f>
        <v>0</v>
      </c>
      <c r="M34" s="364" t="e">
        <f t="shared" si="16"/>
        <v>#DIV/0!</v>
      </c>
      <c r="N34" s="364"/>
      <c r="O34" s="365" t="e">
        <f t="shared" ca="1" si="7"/>
        <v>#DIV/0!</v>
      </c>
      <c r="P34" s="365" t="e">
        <f t="shared" ca="1" si="8"/>
        <v>#DIV/0!</v>
      </c>
      <c r="Q34" s="365" t="e">
        <f t="shared" ca="1" si="13"/>
        <v>#DIV/0!</v>
      </c>
      <c r="R34" s="366"/>
      <c r="S34" s="367"/>
      <c r="T34" s="366">
        <f t="shared" si="17"/>
        <v>0</v>
      </c>
      <c r="U34" s="364" t="e">
        <f>'Source Term'!AI41*$T$9</f>
        <v>#DIV/0!</v>
      </c>
      <c r="V34" s="367"/>
      <c r="W34" s="367">
        <v>1</v>
      </c>
      <c r="X34" s="360" t="e">
        <f>('Analytical Data'!F27*Cover!$H$11)/($U34*(Cover!$B$11/1000))</f>
        <v>#DIV/0!</v>
      </c>
      <c r="Y34" s="360" t="e">
        <f>('Analytical Data'!G27*Cover!$H$11)/($U34*(Cover!$B$11/1000))</f>
        <v>#DIV/0!</v>
      </c>
      <c r="Z34" s="360" t="e">
        <f>('Analytical Data'!H27*Cover!$H$11)/($U34*(Cover!$B$11/1000))</f>
        <v>#DIV/0!</v>
      </c>
      <c r="AA34" s="360" t="e">
        <f>('Analytical Data'!I27*Cover!$H$11)/($U34*(Cover!$B$11/1000))</f>
        <v>#DIV/0!</v>
      </c>
      <c r="AB34" s="360" t="e">
        <f>('Analytical Data'!J27*Cover!$H$11)/($U34*(Cover!$B$11/1000))</f>
        <v>#DIV/0!</v>
      </c>
      <c r="AC34" s="360" t="e">
        <f>('Analytical Data'!K27*Cover!$H$11)/($U34*(Cover!$B$11/1000))</f>
        <v>#DIV/0!</v>
      </c>
      <c r="AD34" s="360" t="e">
        <f>('Analytical Data'!L27*Cover!$H$11)/($U34*(Cover!$B$11/1000))</f>
        <v>#DIV/0!</v>
      </c>
      <c r="AE34" s="360" t="e">
        <f>('Analytical Data'!M27*Cover!$H$11)/($U34*(Cover!$B$11/1000))</f>
        <v>#DIV/0!</v>
      </c>
      <c r="AF34" s="360" t="e">
        <f t="shared" si="18"/>
        <v>#DIV/0!</v>
      </c>
      <c r="AG34" s="360" t="e">
        <f t="shared" si="19"/>
        <v>#DIV/0!</v>
      </c>
      <c r="AH34" s="360" t="e">
        <f t="shared" si="20"/>
        <v>#DIV/0!</v>
      </c>
      <c r="AI34" s="360" t="e">
        <f t="shared" si="21"/>
        <v>#DIV/0!</v>
      </c>
      <c r="AJ34" s="360" t="e">
        <f t="shared" si="22"/>
        <v>#DIV/0!</v>
      </c>
      <c r="AK34" s="360" t="e">
        <f t="shared" si="23"/>
        <v>#DIV/0!</v>
      </c>
      <c r="AL34" s="360" t="e">
        <f t="shared" si="24"/>
        <v>#DIV/0!</v>
      </c>
      <c r="AM34" s="360" t="e">
        <f t="shared" si="25"/>
        <v>#DIV/0!</v>
      </c>
      <c r="AN34" s="364" t="e">
        <f t="shared" si="29"/>
        <v>#DIV/0!</v>
      </c>
      <c r="AO34" s="360" t="e">
        <f t="shared" ca="1" si="27"/>
        <v>#DIV/0!</v>
      </c>
      <c r="AP34" s="368" t="e">
        <f ca="1">LINEST(AG34:AM34,$Y$11:$AE$11,AO34)</f>
        <v>#VALUE!</v>
      </c>
      <c r="AQ34" s="357"/>
      <c r="AR34" s="358"/>
      <c r="AS34" s="358"/>
      <c r="AT34" s="304">
        <f t="shared" si="0"/>
        <v>0</v>
      </c>
      <c r="AU34" s="232" t="e">
        <f t="shared" ca="1" si="10"/>
        <v>#VALUE!</v>
      </c>
      <c r="AV34" s="232" t="e">
        <f t="shared" ca="1" si="30"/>
        <v>#VALUE!</v>
      </c>
      <c r="AW34" s="305" t="e">
        <f t="shared" ca="1" si="31"/>
        <v>#DIV/0!</v>
      </c>
      <c r="AX34" s="252" t="e">
        <f ca="1">PI()*((AH45-AG45)/(2*Cover!$G$11*1000*De!AN45*(SQRT(De!$Z$11)-SQRT(De!$Y$11))))</f>
        <v>#DIV/0!</v>
      </c>
      <c r="AY34" s="252" t="str">
        <f ca="1">IF(ISNUMBER((E36calc!$G42/(De!AN45*2653*Cover!$G$11))^2), (E36calc!$G42/(De!AN45*2653*Cover!$G$11))^2,"")</f>
        <v/>
      </c>
      <c r="BA34" s="376"/>
    </row>
    <row r="35" spans="1:63" ht="15" x14ac:dyDescent="0.25">
      <c r="A35" s="360">
        <f>'Measured Cummulative'!A29</f>
        <v>0</v>
      </c>
      <c r="B35" s="363" t="e">
        <f t="shared" si="12"/>
        <v>#DIV/0!</v>
      </c>
      <c r="C35" s="364"/>
      <c r="D35" s="360" t="e">
        <f ca="1">(PI()/4)*(('Measured Cummulative'!E29/$B35)^2)*((Cover!$F$11/Cover!$I$11)^2)*(1/'Measured Cummulative'!E$1)</f>
        <v>#DIV/0!</v>
      </c>
      <c r="E35" s="360" t="e">
        <f ca="1">(PI()/4)*(('Measured Cummulative'!F29/$B35)^2)*((Cover!$F$11/Cover!$I$11)^2)*(1/'Measured Cummulative'!F$1)</f>
        <v>#DIV/0!</v>
      </c>
      <c r="F35" s="360" t="e">
        <f ca="1">(PI()/4)*(('Measured Cummulative'!G29/$B35)^2)*((Cover!$F$11/Cover!$I$11)^2)*(1/'Measured Cummulative'!G$1)</f>
        <v>#DIV/0!</v>
      </c>
      <c r="G35" s="360" t="e">
        <f ca="1">(PI()/4)*(('Measured Cummulative'!H29/$B35)^2)*((Cover!$F$11/Cover!$I$11)^2)*(1/'Measured Cummulative'!H$1)</f>
        <v>#DIV/0!</v>
      </c>
      <c r="H35" s="360" t="e">
        <f ca="1">(PI()/4)*(('Measured Cummulative'!I29/$B35)^2)*((Cover!$F$11/Cover!$I$11)^2)*(1/'Measured Cummulative'!I$1)</f>
        <v>#DIV/0!</v>
      </c>
      <c r="I35" s="360" t="e">
        <f ca="1">(PI()/4)*(('Measured Cummulative'!J29/$B35)^2)*((Cover!$F$11/Cover!$I$11)^2)*(1/'Measured Cummulative'!J$1)</f>
        <v>#DIV/0!</v>
      </c>
      <c r="J35" s="360" t="e">
        <f ca="1">(PI()/4)*(('Measured Cummulative'!K29/$B35)^2)*((Cover!$F$11/Cover!$I$11)^2)*(1/'Measured Cummulative'!K$1)</f>
        <v>#DIV/0!</v>
      </c>
      <c r="K35" s="360" t="e">
        <f ca="1">(PI()/4)*(('Measured Cummulative'!L29/$B35)^2)*((Cover!$F$11/Cover!$I$11)^2)*(1/'Measured Cummulative'!L$1)</f>
        <v>#DIV/0!</v>
      </c>
      <c r="L35" s="360">
        <f>'Measured Cummulative'!A29</f>
        <v>0</v>
      </c>
      <c r="M35" s="364" t="e">
        <f t="shared" si="16"/>
        <v>#DIV/0!</v>
      </c>
      <c r="N35" s="364"/>
      <c r="O35" s="365" t="e">
        <f t="shared" ca="1" si="7"/>
        <v>#DIV/0!</v>
      </c>
      <c r="P35" s="365" t="e">
        <f t="shared" ca="1" si="8"/>
        <v>#DIV/0!</v>
      </c>
      <c r="Q35" s="365" t="e">
        <f t="shared" ca="1" si="13"/>
        <v>#DIV/0!</v>
      </c>
      <c r="R35" s="366"/>
      <c r="S35" s="367"/>
      <c r="T35" s="366">
        <f t="shared" si="17"/>
        <v>0</v>
      </c>
      <c r="U35" s="364" t="e">
        <f>'Source Term'!AI42*$T$9</f>
        <v>#DIV/0!</v>
      </c>
      <c r="V35" s="367"/>
      <c r="W35" s="367">
        <v>1</v>
      </c>
      <c r="X35" s="360" t="e">
        <f>('Analytical Data'!F28*Cover!$H$11)/($U35*(Cover!$B$11/1000))</f>
        <v>#DIV/0!</v>
      </c>
      <c r="Y35" s="360" t="e">
        <f>('Analytical Data'!G28*Cover!$H$11)/($U35*(Cover!$B$11/1000))</f>
        <v>#DIV/0!</v>
      </c>
      <c r="Z35" s="360" t="e">
        <f>('Analytical Data'!H28*Cover!$H$11)/($U35*(Cover!$B$11/1000))</f>
        <v>#DIV/0!</v>
      </c>
      <c r="AA35" s="360" t="e">
        <f>('Analytical Data'!I28*Cover!$H$11)/($U35*(Cover!$B$11/1000))</f>
        <v>#DIV/0!</v>
      </c>
      <c r="AB35" s="360" t="e">
        <f>('Analytical Data'!J28*Cover!$H$11)/($U35*(Cover!$B$11/1000))</f>
        <v>#DIV/0!</v>
      </c>
      <c r="AC35" s="360" t="e">
        <f>('Analytical Data'!K28*Cover!$H$11)/($U35*(Cover!$B$11/1000))</f>
        <v>#DIV/0!</v>
      </c>
      <c r="AD35" s="360" t="e">
        <f>('Analytical Data'!L28*Cover!$H$11)/($U35*(Cover!$B$11/1000))</f>
        <v>#DIV/0!</v>
      </c>
      <c r="AE35" s="360" t="e">
        <f>('Analytical Data'!M28*Cover!$H$11)/($U35*(Cover!$B$11/1000))</f>
        <v>#DIV/0!</v>
      </c>
      <c r="AF35" s="360" t="e">
        <f t="shared" si="18"/>
        <v>#DIV/0!</v>
      </c>
      <c r="AG35" s="360" t="e">
        <f t="shared" si="19"/>
        <v>#DIV/0!</v>
      </c>
      <c r="AH35" s="360" t="e">
        <f t="shared" si="20"/>
        <v>#DIV/0!</v>
      </c>
      <c r="AI35" s="360" t="e">
        <f t="shared" si="21"/>
        <v>#DIV/0!</v>
      </c>
      <c r="AJ35" s="360" t="e">
        <f t="shared" si="22"/>
        <v>#DIV/0!</v>
      </c>
      <c r="AK35" s="360" t="e">
        <f t="shared" si="23"/>
        <v>#DIV/0!</v>
      </c>
      <c r="AL35" s="360" t="e">
        <f t="shared" si="24"/>
        <v>#DIV/0!</v>
      </c>
      <c r="AM35" s="360" t="e">
        <f t="shared" si="25"/>
        <v>#DIV/0!</v>
      </c>
      <c r="AN35" s="364" t="e">
        <f t="shared" si="29"/>
        <v>#DIV/0!</v>
      </c>
      <c r="AO35" s="360" t="e">
        <f t="shared" ca="1" si="27"/>
        <v>#DIV/0!</v>
      </c>
      <c r="AP35" s="368" t="e">
        <f ca="1">LINEST(AG35:AM35,$Y$11:$AE$11,AO35)</f>
        <v>#VALUE!</v>
      </c>
      <c r="AQ35" s="357"/>
      <c r="AR35" s="358"/>
      <c r="AS35" s="358"/>
      <c r="AT35" s="304">
        <f t="shared" si="0"/>
        <v>0</v>
      </c>
      <c r="AU35" s="232" t="e">
        <f t="shared" ref="AU35:AU52" ca="1" si="32">((AP46)^2)*(PI()/4)*((VOL/SA)^2)</f>
        <v>#VALUE!</v>
      </c>
      <c r="AV35" s="232" t="e">
        <f t="shared" ca="1" si="30"/>
        <v>#VALUE!</v>
      </c>
      <c r="AW35" s="305" t="e">
        <f t="shared" ca="1" si="31"/>
        <v>#DIV/0!</v>
      </c>
      <c r="AX35" s="252" t="e">
        <f ca="1">PI()*((AH46-AG46)/(2*Cover!$G$11*1000*De!AN46*(SQRT(De!$Z$11)-SQRT(De!$Y$11))))</f>
        <v>#DIV/0!</v>
      </c>
      <c r="AY35" s="252" t="str">
        <f ca="1">IF(ISNUMBER((E36calc!$G43/(De!AN46*2653*Cover!$G$11))^2), (E36calc!$G43/(De!AN46*2653*Cover!$G$11))^2,"")</f>
        <v/>
      </c>
      <c r="BA35" s="376"/>
    </row>
    <row r="36" spans="1:63" ht="15" x14ac:dyDescent="0.25">
      <c r="A36" s="360">
        <f>'Measured Cummulative'!A30</f>
        <v>0</v>
      </c>
      <c r="B36" s="363" t="e">
        <f t="shared" si="12"/>
        <v>#DIV/0!</v>
      </c>
      <c r="C36" s="364"/>
      <c r="D36" s="360" t="e">
        <f ca="1">(PI()/4)*(('Measured Cummulative'!E30/$B36)^2)*((Cover!$F$11/Cover!$I$11)^2)*(1/'Measured Cummulative'!E$1)</f>
        <v>#DIV/0!</v>
      </c>
      <c r="E36" s="360" t="e">
        <f ca="1">(PI()/4)*(('Measured Cummulative'!F30/$B36)^2)*((Cover!$F$11/Cover!$I$11)^2)*(1/'Measured Cummulative'!F$1)</f>
        <v>#DIV/0!</v>
      </c>
      <c r="F36" s="360" t="e">
        <f ca="1">(PI()/4)*(('Measured Cummulative'!G30/$B36)^2)*((Cover!$F$11/Cover!$I$11)^2)*(1/'Measured Cummulative'!G$1)</f>
        <v>#DIV/0!</v>
      </c>
      <c r="G36" s="360" t="e">
        <f ca="1">(PI()/4)*(('Measured Cummulative'!H30/$B36)^2)*((Cover!$F$11/Cover!$I$11)^2)*(1/'Measured Cummulative'!H$1)</f>
        <v>#DIV/0!</v>
      </c>
      <c r="H36" s="360" t="e">
        <f ca="1">(PI()/4)*(('Measured Cummulative'!I30/$B36)^2)*((Cover!$F$11/Cover!$I$11)^2)*(1/'Measured Cummulative'!I$1)</f>
        <v>#DIV/0!</v>
      </c>
      <c r="I36" s="360" t="e">
        <f ca="1">(PI()/4)*(('Measured Cummulative'!J30/$B36)^2)*((Cover!$F$11/Cover!$I$11)^2)*(1/'Measured Cummulative'!J$1)</f>
        <v>#DIV/0!</v>
      </c>
      <c r="J36" s="360" t="e">
        <f ca="1">(PI()/4)*(('Measured Cummulative'!K30/$B36)^2)*((Cover!$F$11/Cover!$I$11)^2)*(1/'Measured Cummulative'!K$1)</f>
        <v>#DIV/0!</v>
      </c>
      <c r="K36" s="360" t="e">
        <f ca="1">(PI()/4)*(('Measured Cummulative'!L30/$B36)^2)*((Cover!$F$11/Cover!$I$11)^2)*(1/'Measured Cummulative'!L$1)</f>
        <v>#DIV/0!</v>
      </c>
      <c r="L36" s="360">
        <f>'Measured Cummulative'!A30</f>
        <v>0</v>
      </c>
      <c r="M36" s="364" t="e">
        <f t="shared" si="16"/>
        <v>#DIV/0!</v>
      </c>
      <c r="N36" s="364"/>
      <c r="O36" s="365" t="e">
        <f t="shared" ca="1" si="7"/>
        <v>#DIV/0!</v>
      </c>
      <c r="P36" s="365" t="e">
        <f t="shared" ca="1" si="8"/>
        <v>#DIV/0!</v>
      </c>
      <c r="Q36" s="365" t="e">
        <f t="shared" ca="1" si="13"/>
        <v>#DIV/0!</v>
      </c>
      <c r="R36" s="366"/>
      <c r="S36" s="367"/>
      <c r="T36" s="366">
        <f t="shared" si="17"/>
        <v>0</v>
      </c>
      <c r="U36" s="364" t="e">
        <f>'Source Term'!AI43*$T$9</f>
        <v>#DIV/0!</v>
      </c>
      <c r="V36" s="367"/>
      <c r="W36" s="367">
        <v>1</v>
      </c>
      <c r="X36" s="360" t="e">
        <f>('Analytical Data'!F29*Cover!$H$11)/($U36*(Cover!$B$11/1000))</f>
        <v>#DIV/0!</v>
      </c>
      <c r="Y36" s="360" t="e">
        <f>('Analytical Data'!G29*Cover!$H$11)/($U36*(Cover!$B$11/1000))</f>
        <v>#DIV/0!</v>
      </c>
      <c r="Z36" s="360" t="e">
        <f>('Analytical Data'!H29*Cover!$H$11)/($U36*(Cover!$B$11/1000))</f>
        <v>#DIV/0!</v>
      </c>
      <c r="AA36" s="360" t="e">
        <f>('Analytical Data'!I29*Cover!$H$11)/($U36*(Cover!$B$11/1000))</f>
        <v>#DIV/0!</v>
      </c>
      <c r="AB36" s="360" t="e">
        <f>('Analytical Data'!J29*Cover!$H$11)/($U36*(Cover!$B$11/1000))</f>
        <v>#DIV/0!</v>
      </c>
      <c r="AC36" s="360" t="e">
        <f>('Analytical Data'!K29*Cover!$H$11)/($U36*(Cover!$B$11/1000))</f>
        <v>#DIV/0!</v>
      </c>
      <c r="AD36" s="360" t="e">
        <f>('Analytical Data'!L29*Cover!$H$11)/($U36*(Cover!$B$11/1000))</f>
        <v>#DIV/0!</v>
      </c>
      <c r="AE36" s="360" t="e">
        <f>('Analytical Data'!M29*Cover!$H$11)/($U36*(Cover!$B$11/1000))</f>
        <v>#DIV/0!</v>
      </c>
      <c r="AF36" s="360" t="e">
        <f t="shared" si="18"/>
        <v>#DIV/0!</v>
      </c>
      <c r="AG36" s="360" t="e">
        <f t="shared" si="19"/>
        <v>#DIV/0!</v>
      </c>
      <c r="AH36" s="360" t="e">
        <f t="shared" si="20"/>
        <v>#DIV/0!</v>
      </c>
      <c r="AI36" s="360" t="e">
        <f t="shared" si="21"/>
        <v>#DIV/0!</v>
      </c>
      <c r="AJ36" s="360" t="e">
        <f t="shared" si="22"/>
        <v>#DIV/0!</v>
      </c>
      <c r="AK36" s="360" t="e">
        <f t="shared" si="23"/>
        <v>#DIV/0!</v>
      </c>
      <c r="AL36" s="360" t="e">
        <f t="shared" si="24"/>
        <v>#DIV/0!</v>
      </c>
      <c r="AM36" s="360" t="e">
        <f t="shared" si="25"/>
        <v>#DIV/0!</v>
      </c>
      <c r="AN36" s="364" t="e">
        <f t="shared" si="29"/>
        <v>#DIV/0!</v>
      </c>
      <c r="AO36" s="360" t="e">
        <f t="shared" ref="AO36:AO78" ca="1" si="33">INTERCEPT(AG36:AM36,$Y$11:$AE$11)</f>
        <v>#DIV/0!</v>
      </c>
      <c r="AP36" s="368" t="e">
        <f t="shared" ref="AP36:AP78" ca="1" si="34">LINEST(AG36:AM36,$Y$11:$AE$11,AO36)</f>
        <v>#VALUE!</v>
      </c>
      <c r="AQ36" s="357"/>
      <c r="AR36" s="358"/>
      <c r="AS36" s="358"/>
      <c r="AT36" s="304">
        <f t="shared" si="0"/>
        <v>0</v>
      </c>
      <c r="AU36" s="232" t="e">
        <f t="shared" ca="1" si="32"/>
        <v>#VALUE!</v>
      </c>
      <c r="AV36" s="232" t="e">
        <f t="shared" ca="1" si="30"/>
        <v>#VALUE!</v>
      </c>
      <c r="AW36" s="305" t="e">
        <f t="shared" ca="1" si="31"/>
        <v>#DIV/0!</v>
      </c>
      <c r="AX36" s="252" t="e">
        <f ca="1">PI()*((AH47-AG47)/(2*Cover!$G$11*1000*De!AN47*(SQRT(De!$Z$11)-SQRT(De!$Y$11))))</f>
        <v>#DIV/0!</v>
      </c>
      <c r="AY36" s="252" t="str">
        <f ca="1">IF(ISNUMBER((E36calc!$G44/(De!AN47*2653*Cover!$G$11))^2), (E36calc!$G44/(De!AN47*2653*Cover!$G$11))^2,"")</f>
        <v/>
      </c>
    </row>
    <row r="37" spans="1:63" ht="15" x14ac:dyDescent="0.25">
      <c r="A37" s="360">
        <f>'Measured Cummulative'!A31</f>
        <v>0</v>
      </c>
      <c r="B37" s="363" t="e">
        <f t="shared" si="12"/>
        <v>#DIV/0!</v>
      </c>
      <c r="C37" s="364"/>
      <c r="D37" s="360" t="e">
        <f ca="1">(PI()/4)*(('Measured Cummulative'!E31/$B37)^2)*((Cover!$F$11/Cover!$I$11)^2)*(1/'Measured Cummulative'!E$1)</f>
        <v>#DIV/0!</v>
      </c>
      <c r="E37" s="360" t="e">
        <f ca="1">(PI()/4)*(('Measured Cummulative'!F31/$B37)^2)*((Cover!$F$11/Cover!$I$11)^2)*(1/'Measured Cummulative'!F$1)</f>
        <v>#DIV/0!</v>
      </c>
      <c r="F37" s="360" t="e">
        <f ca="1">(PI()/4)*(('Measured Cummulative'!G31/$B37)^2)*((Cover!$F$11/Cover!$I$11)^2)*(1/'Measured Cummulative'!G$1)</f>
        <v>#DIV/0!</v>
      </c>
      <c r="G37" s="360" t="e">
        <f ca="1">(PI()/4)*(('Measured Cummulative'!H31/$B37)^2)*((Cover!$F$11/Cover!$I$11)^2)*(1/'Measured Cummulative'!H$1)</f>
        <v>#DIV/0!</v>
      </c>
      <c r="H37" s="360" t="e">
        <f ca="1">(PI()/4)*(('Measured Cummulative'!I31/$B37)^2)*((Cover!$F$11/Cover!$I$11)^2)*(1/'Measured Cummulative'!I$1)</f>
        <v>#DIV/0!</v>
      </c>
      <c r="I37" s="360" t="e">
        <f ca="1">(PI()/4)*(('Measured Cummulative'!J31/$B37)^2)*((Cover!$F$11/Cover!$I$11)^2)*(1/'Measured Cummulative'!J$1)</f>
        <v>#DIV/0!</v>
      </c>
      <c r="J37" s="360" t="e">
        <f ca="1">(PI()/4)*(('Measured Cummulative'!K31/$B37)^2)*((Cover!$F$11/Cover!$I$11)^2)*(1/'Measured Cummulative'!K$1)</f>
        <v>#DIV/0!</v>
      </c>
      <c r="K37" s="360" t="e">
        <f ca="1">(PI()/4)*(('Measured Cummulative'!L31/$B37)^2)*((Cover!$F$11/Cover!$I$11)^2)*(1/'Measured Cummulative'!L$1)</f>
        <v>#DIV/0!</v>
      </c>
      <c r="L37" s="360">
        <f>'Measured Cummulative'!A31</f>
        <v>0</v>
      </c>
      <c r="M37" s="364" t="e">
        <f t="shared" si="16"/>
        <v>#DIV/0!</v>
      </c>
      <c r="N37" s="364"/>
      <c r="O37" s="365" t="e">
        <f t="shared" ca="1" si="7"/>
        <v>#DIV/0!</v>
      </c>
      <c r="P37" s="365" t="e">
        <f t="shared" ca="1" si="8"/>
        <v>#DIV/0!</v>
      </c>
      <c r="Q37" s="365" t="e">
        <f t="shared" ca="1" si="13"/>
        <v>#DIV/0!</v>
      </c>
      <c r="R37" s="366"/>
      <c r="S37" s="367"/>
      <c r="T37" s="366">
        <f t="shared" si="17"/>
        <v>0</v>
      </c>
      <c r="U37" s="364" t="e">
        <f>'Source Term'!AI44*$T$9</f>
        <v>#DIV/0!</v>
      </c>
      <c r="V37" s="367"/>
      <c r="W37" s="367">
        <v>1</v>
      </c>
      <c r="X37" s="360" t="e">
        <f>('Analytical Data'!F30*Cover!$H$11)/($U37*(Cover!$B$11/1000))</f>
        <v>#DIV/0!</v>
      </c>
      <c r="Y37" s="360" t="e">
        <f>('Analytical Data'!G30*Cover!$H$11)/($U37*(Cover!$B$11/1000))</f>
        <v>#DIV/0!</v>
      </c>
      <c r="Z37" s="360" t="e">
        <f>('Analytical Data'!H30*Cover!$H$11)/($U37*(Cover!$B$11/1000))</f>
        <v>#DIV/0!</v>
      </c>
      <c r="AA37" s="360" t="e">
        <f>('Analytical Data'!I30*Cover!$H$11)/($U37*(Cover!$B$11/1000))</f>
        <v>#DIV/0!</v>
      </c>
      <c r="AB37" s="360" t="e">
        <f>('Analytical Data'!J30*Cover!$H$11)/($U37*(Cover!$B$11/1000))</f>
        <v>#DIV/0!</v>
      </c>
      <c r="AC37" s="360" t="e">
        <f>('Analytical Data'!K30*Cover!$H$11)/($U37*(Cover!$B$11/1000))</f>
        <v>#DIV/0!</v>
      </c>
      <c r="AD37" s="360" t="e">
        <f>('Analytical Data'!L30*Cover!$H$11)/($U37*(Cover!$B$11/1000))</f>
        <v>#DIV/0!</v>
      </c>
      <c r="AE37" s="360" t="e">
        <f>('Analytical Data'!M30*Cover!$H$11)/($U37*(Cover!$B$11/1000))</f>
        <v>#DIV/0!</v>
      </c>
      <c r="AF37" s="360" t="e">
        <f t="shared" si="18"/>
        <v>#DIV/0!</v>
      </c>
      <c r="AG37" s="360" t="e">
        <f t="shared" si="19"/>
        <v>#DIV/0!</v>
      </c>
      <c r="AH37" s="360" t="e">
        <f t="shared" si="20"/>
        <v>#DIV/0!</v>
      </c>
      <c r="AI37" s="360" t="e">
        <f t="shared" si="21"/>
        <v>#DIV/0!</v>
      </c>
      <c r="AJ37" s="360" t="e">
        <f t="shared" si="22"/>
        <v>#DIV/0!</v>
      </c>
      <c r="AK37" s="360" t="e">
        <f t="shared" si="23"/>
        <v>#DIV/0!</v>
      </c>
      <c r="AL37" s="360" t="e">
        <f t="shared" si="24"/>
        <v>#DIV/0!</v>
      </c>
      <c r="AM37" s="360" t="e">
        <f t="shared" si="25"/>
        <v>#DIV/0!</v>
      </c>
      <c r="AN37" s="364" t="e">
        <f t="shared" si="29"/>
        <v>#DIV/0!</v>
      </c>
      <c r="AO37" s="360" t="e">
        <f t="shared" ca="1" si="33"/>
        <v>#DIV/0!</v>
      </c>
      <c r="AP37" s="368" t="e">
        <f t="shared" ca="1" si="34"/>
        <v>#VALUE!</v>
      </c>
      <c r="AQ37" s="357"/>
      <c r="AR37" s="358"/>
      <c r="AS37" s="358"/>
      <c r="AT37" s="304">
        <f t="shared" si="0"/>
        <v>0</v>
      </c>
      <c r="AU37" s="232" t="e">
        <f t="shared" ca="1" si="32"/>
        <v>#VALUE!</v>
      </c>
      <c r="AV37" s="232" t="e">
        <f t="shared" ca="1" si="30"/>
        <v>#VALUE!</v>
      </c>
      <c r="AW37" s="305" t="e">
        <f t="shared" ca="1" si="31"/>
        <v>#DIV/0!</v>
      </c>
      <c r="AX37" s="252" t="e">
        <f ca="1">PI()*((AH48-AG48)/(2*Cover!$G$11*1000*De!AN48*(SQRT(De!$Z$11)-SQRT(De!$Y$11))))</f>
        <v>#DIV/0!</v>
      </c>
      <c r="AY37" s="252" t="str">
        <f ca="1">IF(ISNUMBER((E36calc!$G45/(De!AN48*2653*Cover!$G$11))^2), (E36calc!$G45/(De!AN48*2653*Cover!$G$11))^2,"")</f>
        <v/>
      </c>
      <c r="BC37" s="377" t="s">
        <v>225</v>
      </c>
      <c r="BD37" s="377"/>
      <c r="BE37" s="377"/>
      <c r="BF37" s="377"/>
      <c r="BG37" s="377"/>
      <c r="BH37" s="377"/>
      <c r="BI37" s="377"/>
      <c r="BJ37" s="377"/>
      <c r="BK37" s="377"/>
    </row>
    <row r="38" spans="1:63" ht="15" x14ac:dyDescent="0.25">
      <c r="A38" s="360">
        <f>'Measured Cummulative'!A32</f>
        <v>0</v>
      </c>
      <c r="B38" s="363" t="e">
        <f t="shared" si="12"/>
        <v>#DIV/0!</v>
      </c>
      <c r="C38" s="364"/>
      <c r="D38" s="360" t="e">
        <f ca="1">(PI()/4)*(('Measured Cummulative'!E32/$B38)^2)*((Cover!$F$11/Cover!$I$11)^2)*(1/'Measured Cummulative'!E$1)</f>
        <v>#DIV/0!</v>
      </c>
      <c r="E38" s="360" t="e">
        <f ca="1">(PI()/4)*(('Measured Cummulative'!F32/$B38)^2)*((Cover!$F$11/Cover!$I$11)^2)*(1/'Measured Cummulative'!F$1)</f>
        <v>#DIV/0!</v>
      </c>
      <c r="F38" s="360" t="e">
        <f ca="1">(PI()/4)*(('Measured Cummulative'!G32/$B38)^2)*((Cover!$F$11/Cover!$I$11)^2)*(1/'Measured Cummulative'!G$1)</f>
        <v>#DIV/0!</v>
      </c>
      <c r="G38" s="360" t="e">
        <f ca="1">(PI()/4)*(('Measured Cummulative'!H32/$B38)^2)*((Cover!$F$11/Cover!$I$11)^2)*(1/'Measured Cummulative'!H$1)</f>
        <v>#DIV/0!</v>
      </c>
      <c r="H38" s="360" t="e">
        <f ca="1">(PI()/4)*(('Measured Cummulative'!I32/$B38)^2)*((Cover!$F$11/Cover!$I$11)^2)*(1/'Measured Cummulative'!I$1)</f>
        <v>#DIV/0!</v>
      </c>
      <c r="I38" s="360" t="e">
        <f ca="1">(PI()/4)*(('Measured Cummulative'!J32/$B38)^2)*((Cover!$F$11/Cover!$I$11)^2)*(1/'Measured Cummulative'!J$1)</f>
        <v>#DIV/0!</v>
      </c>
      <c r="J38" s="360" t="e">
        <f ca="1">(PI()/4)*(('Measured Cummulative'!K32/$B38)^2)*((Cover!$F$11/Cover!$I$11)^2)*(1/'Measured Cummulative'!K$1)</f>
        <v>#DIV/0!</v>
      </c>
      <c r="K38" s="360" t="e">
        <f ca="1">(PI()/4)*(('Measured Cummulative'!L32/$B38)^2)*((Cover!$F$11/Cover!$I$11)^2)*(1/'Measured Cummulative'!L$1)</f>
        <v>#DIV/0!</v>
      </c>
      <c r="L38" s="360">
        <f>'Measured Cummulative'!A32</f>
        <v>0</v>
      </c>
      <c r="M38" s="364" t="e">
        <f t="shared" si="16"/>
        <v>#DIV/0!</v>
      </c>
      <c r="N38" s="364"/>
      <c r="O38" s="365" t="e">
        <f t="shared" ca="1" si="7"/>
        <v>#DIV/0!</v>
      </c>
      <c r="P38" s="365" t="e">
        <f t="shared" ca="1" si="8"/>
        <v>#DIV/0!</v>
      </c>
      <c r="Q38" s="365" t="e">
        <f t="shared" ca="1" si="13"/>
        <v>#DIV/0!</v>
      </c>
      <c r="R38" s="366"/>
      <c r="S38" s="367"/>
      <c r="T38" s="366">
        <f t="shared" si="17"/>
        <v>0</v>
      </c>
      <c r="U38" s="364" t="e">
        <f>'Source Term'!AI45*$T$9</f>
        <v>#DIV/0!</v>
      </c>
      <c r="V38" s="367"/>
      <c r="W38" s="367">
        <v>1</v>
      </c>
      <c r="X38" s="360" t="e">
        <f>('Analytical Data'!F31*Cover!$H$11)/($U38*(Cover!$B$11/1000))</f>
        <v>#DIV/0!</v>
      </c>
      <c r="Y38" s="360" t="e">
        <f>('Analytical Data'!G31*Cover!$H$11)/($U38*(Cover!$B$11/1000))</f>
        <v>#DIV/0!</v>
      </c>
      <c r="Z38" s="360" t="e">
        <f>('Analytical Data'!H31*Cover!$H$11)/($U38*(Cover!$B$11/1000))</f>
        <v>#DIV/0!</v>
      </c>
      <c r="AA38" s="360" t="e">
        <f>('Analytical Data'!I31*Cover!$H$11)/($U38*(Cover!$B$11/1000))</f>
        <v>#DIV/0!</v>
      </c>
      <c r="AB38" s="360" t="e">
        <f>('Analytical Data'!J31*Cover!$H$11)/($U38*(Cover!$B$11/1000))</f>
        <v>#DIV/0!</v>
      </c>
      <c r="AC38" s="360" t="e">
        <f>('Analytical Data'!K31*Cover!$H$11)/($U38*(Cover!$B$11/1000))</f>
        <v>#DIV/0!</v>
      </c>
      <c r="AD38" s="360" t="e">
        <f>('Analytical Data'!L31*Cover!$H$11)/($U38*(Cover!$B$11/1000))</f>
        <v>#DIV/0!</v>
      </c>
      <c r="AE38" s="360" t="e">
        <f>('Analytical Data'!M31*Cover!$H$11)/($U38*(Cover!$B$11/1000))</f>
        <v>#DIV/0!</v>
      </c>
      <c r="AF38" s="360" t="e">
        <f t="shared" si="18"/>
        <v>#DIV/0!</v>
      </c>
      <c r="AG38" s="360" t="e">
        <f t="shared" si="19"/>
        <v>#DIV/0!</v>
      </c>
      <c r="AH38" s="360" t="e">
        <f t="shared" si="20"/>
        <v>#DIV/0!</v>
      </c>
      <c r="AI38" s="360" t="e">
        <f t="shared" si="21"/>
        <v>#DIV/0!</v>
      </c>
      <c r="AJ38" s="360" t="e">
        <f t="shared" si="22"/>
        <v>#DIV/0!</v>
      </c>
      <c r="AK38" s="360" t="e">
        <f t="shared" si="23"/>
        <v>#DIV/0!</v>
      </c>
      <c r="AL38" s="360" t="e">
        <f t="shared" si="24"/>
        <v>#DIV/0!</v>
      </c>
      <c r="AM38" s="360" t="e">
        <f t="shared" si="25"/>
        <v>#DIV/0!</v>
      </c>
      <c r="AN38" s="364" t="e">
        <f t="shared" si="29"/>
        <v>#DIV/0!</v>
      </c>
      <c r="AO38" s="360" t="e">
        <f t="shared" ca="1" si="33"/>
        <v>#DIV/0!</v>
      </c>
      <c r="AP38" s="368" t="e">
        <f t="shared" ca="1" si="34"/>
        <v>#VALUE!</v>
      </c>
      <c r="AQ38" s="357"/>
      <c r="AR38" s="358"/>
      <c r="AS38" s="358"/>
      <c r="AT38" s="304">
        <f t="shared" si="0"/>
        <v>0</v>
      </c>
      <c r="AU38" s="232" t="e">
        <f t="shared" ref="AU38:AU43" ca="1" si="35">((AP49)^2)*(PI()/4)*((VOL/SA)^2)</f>
        <v>#VALUE!</v>
      </c>
      <c r="AV38" s="232" t="e">
        <f t="shared" ref="AV38:AV43" ca="1" si="36">AU38*10000</f>
        <v>#VALUE!</v>
      </c>
      <c r="AW38" s="305" t="e">
        <f t="shared" ca="1" si="31"/>
        <v>#DIV/0!</v>
      </c>
      <c r="AX38" s="252" t="e">
        <f ca="1">PI()*((AH49-AG49)/(2*Cover!$G$11*1000*De!AN49*(SQRT(De!$Z$11)-SQRT(De!$Y$11))))</f>
        <v>#DIV/0!</v>
      </c>
      <c r="AY38" s="252" t="str">
        <f ca="1">IF(ISNUMBER((E36calc!$G46/(De!AN49*2653*Cover!$G$11))^2), (E36calc!$G46/(De!AN49*2653*Cover!$G$11))^2,"")</f>
        <v/>
      </c>
      <c r="BC38" s="377"/>
      <c r="BD38" s="377"/>
      <c r="BE38" s="377"/>
      <c r="BF38" s="377"/>
      <c r="BG38" s="377"/>
      <c r="BH38" s="377"/>
      <c r="BI38" s="377"/>
      <c r="BJ38" s="377"/>
      <c r="BK38" s="377"/>
    </row>
    <row r="39" spans="1:63" ht="15" x14ac:dyDescent="0.25">
      <c r="A39" s="360">
        <f>'Measured Cummulative'!A33</f>
        <v>0</v>
      </c>
      <c r="B39" s="363" t="e">
        <f t="shared" si="12"/>
        <v>#DIV/0!</v>
      </c>
      <c r="C39" s="364"/>
      <c r="D39" s="360" t="e">
        <f ca="1">(PI()/4)*(('Measured Cummulative'!E33/$B39)^2)*((Cover!$F$11/Cover!$I$11)^2)*(1/'Measured Cummulative'!E$1)</f>
        <v>#DIV/0!</v>
      </c>
      <c r="E39" s="360" t="e">
        <f ca="1">(PI()/4)*(('Measured Cummulative'!F33/$B39)^2)*((Cover!$F$11/Cover!$I$11)^2)*(1/'Measured Cummulative'!F$1)</f>
        <v>#DIV/0!</v>
      </c>
      <c r="F39" s="360" t="e">
        <f ca="1">(PI()/4)*(('Measured Cummulative'!G33/$B39)^2)*((Cover!$F$11/Cover!$I$11)^2)*(1/'Measured Cummulative'!G$1)</f>
        <v>#DIV/0!</v>
      </c>
      <c r="G39" s="360" t="e">
        <f ca="1">(PI()/4)*(('Measured Cummulative'!H33/$B39)^2)*((Cover!$F$11/Cover!$I$11)^2)*(1/'Measured Cummulative'!H$1)</f>
        <v>#DIV/0!</v>
      </c>
      <c r="H39" s="360" t="e">
        <f ca="1">(PI()/4)*(('Measured Cummulative'!I33/$B39)^2)*((Cover!$F$11/Cover!$I$11)^2)*(1/'Measured Cummulative'!I$1)</f>
        <v>#DIV/0!</v>
      </c>
      <c r="I39" s="360" t="e">
        <f ca="1">(PI()/4)*(('Measured Cummulative'!J33/$B39)^2)*((Cover!$F$11/Cover!$I$11)^2)*(1/'Measured Cummulative'!J$1)</f>
        <v>#DIV/0!</v>
      </c>
      <c r="J39" s="360" t="e">
        <f ca="1">(PI()/4)*(('Measured Cummulative'!K33/$B39)^2)*((Cover!$F$11/Cover!$I$11)^2)*(1/'Measured Cummulative'!K$1)</f>
        <v>#DIV/0!</v>
      </c>
      <c r="K39" s="360" t="e">
        <f ca="1">(PI()/4)*(('Measured Cummulative'!L33/$B39)^2)*((Cover!$F$11/Cover!$I$11)^2)*(1/'Measured Cummulative'!L$1)</f>
        <v>#DIV/0!</v>
      </c>
      <c r="L39" s="360">
        <f>'Measured Cummulative'!A33</f>
        <v>0</v>
      </c>
      <c r="M39" s="364" t="e">
        <f t="shared" si="16"/>
        <v>#DIV/0!</v>
      </c>
      <c r="N39" s="364"/>
      <c r="O39" s="365" t="e">
        <f t="shared" ca="1" si="7"/>
        <v>#DIV/0!</v>
      </c>
      <c r="P39" s="365" t="e">
        <f t="shared" ca="1" si="8"/>
        <v>#DIV/0!</v>
      </c>
      <c r="Q39" s="365" t="e">
        <f t="shared" ca="1" si="13"/>
        <v>#DIV/0!</v>
      </c>
      <c r="R39" s="366"/>
      <c r="S39" s="367"/>
      <c r="T39" s="366">
        <f t="shared" si="17"/>
        <v>0</v>
      </c>
      <c r="U39" s="364" t="e">
        <f>'Source Term'!AI46*$T$9</f>
        <v>#DIV/0!</v>
      </c>
      <c r="V39" s="367"/>
      <c r="W39" s="367">
        <v>1</v>
      </c>
      <c r="X39" s="360" t="e">
        <f>('Analytical Data'!F32*Cover!$H$11)/($U39*(Cover!$B$11/1000))</f>
        <v>#DIV/0!</v>
      </c>
      <c r="Y39" s="360" t="e">
        <f>('Analytical Data'!G32*Cover!$H$11)/($U39*(Cover!$B$11/1000))</f>
        <v>#DIV/0!</v>
      </c>
      <c r="Z39" s="360" t="e">
        <f>('Analytical Data'!H32*Cover!$H$11)/($U39*(Cover!$B$11/1000))</f>
        <v>#DIV/0!</v>
      </c>
      <c r="AA39" s="360" t="e">
        <f>('Analytical Data'!I32*Cover!$H$11)/($U39*(Cover!$B$11/1000))</f>
        <v>#DIV/0!</v>
      </c>
      <c r="AB39" s="360" t="e">
        <f>('Analytical Data'!J32*Cover!$H$11)/($U39*(Cover!$B$11/1000))</f>
        <v>#DIV/0!</v>
      </c>
      <c r="AC39" s="360" t="e">
        <f>('Analytical Data'!K32*Cover!$H$11)/($U39*(Cover!$B$11/1000))</f>
        <v>#DIV/0!</v>
      </c>
      <c r="AD39" s="360" t="e">
        <f>('Analytical Data'!L32*Cover!$H$11)/($U39*(Cover!$B$11/1000))</f>
        <v>#DIV/0!</v>
      </c>
      <c r="AE39" s="360" t="e">
        <f>('Analytical Data'!M32*Cover!$H$11)/($U39*(Cover!$B$11/1000))</f>
        <v>#DIV/0!</v>
      </c>
      <c r="AF39" s="360" t="e">
        <f t="shared" si="18"/>
        <v>#DIV/0!</v>
      </c>
      <c r="AG39" s="360" t="e">
        <f t="shared" si="19"/>
        <v>#DIV/0!</v>
      </c>
      <c r="AH39" s="360" t="e">
        <f t="shared" si="20"/>
        <v>#DIV/0!</v>
      </c>
      <c r="AI39" s="360" t="e">
        <f t="shared" si="21"/>
        <v>#DIV/0!</v>
      </c>
      <c r="AJ39" s="360" t="e">
        <f t="shared" si="22"/>
        <v>#DIV/0!</v>
      </c>
      <c r="AK39" s="360" t="e">
        <f t="shared" si="23"/>
        <v>#DIV/0!</v>
      </c>
      <c r="AL39" s="360" t="e">
        <f t="shared" si="24"/>
        <v>#DIV/0!</v>
      </c>
      <c r="AM39" s="360" t="e">
        <f t="shared" si="25"/>
        <v>#DIV/0!</v>
      </c>
      <c r="AN39" s="364" t="e">
        <f t="shared" si="29"/>
        <v>#DIV/0!</v>
      </c>
      <c r="AO39" s="360" t="e">
        <f t="shared" ca="1" si="33"/>
        <v>#DIV/0!</v>
      </c>
      <c r="AP39" s="368" t="e">
        <f t="shared" ca="1" si="34"/>
        <v>#VALUE!</v>
      </c>
      <c r="AQ39" s="357"/>
      <c r="AR39" s="358"/>
      <c r="AS39" s="358"/>
      <c r="AT39" s="304">
        <f t="shared" si="0"/>
        <v>0</v>
      </c>
      <c r="AU39" s="232" t="e">
        <f t="shared" ca="1" si="35"/>
        <v>#VALUE!</v>
      </c>
      <c r="AV39" s="232" t="e">
        <f t="shared" ca="1" si="36"/>
        <v>#VALUE!</v>
      </c>
      <c r="AW39" s="305" t="e">
        <f t="shared" ca="1" si="31"/>
        <v>#DIV/0!</v>
      </c>
      <c r="AX39" s="252" t="e">
        <f ca="1">PI()*((AH50-AG50)/(2*Cover!$G$11*1000*De!AN50*(SQRT(De!$Z$11)-SQRT(De!$Y$11))))</f>
        <v>#DIV/0!</v>
      </c>
      <c r="AY39" s="252" t="str">
        <f ca="1">IF(ISNUMBER((E36calc!$G47/(De!AN50*2653*Cover!$G$11))^2), (E36calc!$G47/(De!AN50*2653*Cover!$G$11))^2,"")</f>
        <v/>
      </c>
      <c r="BC39" s="377"/>
      <c r="BD39" s="377"/>
      <c r="BE39" s="377"/>
      <c r="BF39" s="377"/>
      <c r="BG39" s="377"/>
      <c r="BH39" s="377"/>
      <c r="BI39" s="377"/>
      <c r="BJ39" s="377"/>
      <c r="BK39" s="377"/>
    </row>
    <row r="40" spans="1:63" ht="15" x14ac:dyDescent="0.25">
      <c r="A40" s="360">
        <f>'Measured Cummulative'!A34</f>
        <v>0</v>
      </c>
      <c r="B40" s="363" t="e">
        <f t="shared" si="12"/>
        <v>#DIV/0!</v>
      </c>
      <c r="C40" s="364"/>
      <c r="D40" s="360" t="e">
        <f ca="1">(PI()/4)*(('Measured Cummulative'!E34/$B40)^2)*((Cover!$F$11/Cover!$I$11)^2)*(1/'Measured Cummulative'!E$1)</f>
        <v>#DIV/0!</v>
      </c>
      <c r="E40" s="360" t="e">
        <f ca="1">(PI()/4)*(('Measured Cummulative'!F34/$B40)^2)*((Cover!$F$11/Cover!$I$11)^2)*(1/'Measured Cummulative'!F$1)</f>
        <v>#DIV/0!</v>
      </c>
      <c r="F40" s="360" t="e">
        <f ca="1">(PI()/4)*(('Measured Cummulative'!G34/$B40)^2)*((Cover!$F$11/Cover!$I$11)^2)*(1/'Measured Cummulative'!G$1)</f>
        <v>#DIV/0!</v>
      </c>
      <c r="G40" s="360" t="e">
        <f ca="1">(PI()/4)*(('Measured Cummulative'!H34/$B40)^2)*((Cover!$F$11/Cover!$I$11)^2)*(1/'Measured Cummulative'!H$1)</f>
        <v>#DIV/0!</v>
      </c>
      <c r="H40" s="360" t="e">
        <f ca="1">(PI()/4)*(('Measured Cummulative'!I34/$B40)^2)*((Cover!$F$11/Cover!$I$11)^2)*(1/'Measured Cummulative'!I$1)</f>
        <v>#DIV/0!</v>
      </c>
      <c r="I40" s="360" t="e">
        <f ca="1">(PI()/4)*(('Measured Cummulative'!J34/$B40)^2)*((Cover!$F$11/Cover!$I$11)^2)*(1/'Measured Cummulative'!J$1)</f>
        <v>#DIV/0!</v>
      </c>
      <c r="J40" s="360" t="e">
        <f ca="1">(PI()/4)*(('Measured Cummulative'!K34/$B40)^2)*((Cover!$F$11/Cover!$I$11)^2)*(1/'Measured Cummulative'!K$1)</f>
        <v>#DIV/0!</v>
      </c>
      <c r="K40" s="360" t="e">
        <f ca="1">(PI()/4)*(('Measured Cummulative'!L34/$B40)^2)*((Cover!$F$11/Cover!$I$11)^2)*(1/'Measured Cummulative'!L$1)</f>
        <v>#DIV/0!</v>
      </c>
      <c r="L40" s="360">
        <f>'Measured Cummulative'!A34</f>
        <v>0</v>
      </c>
      <c r="M40" s="364" t="e">
        <f t="shared" si="16"/>
        <v>#DIV/0!</v>
      </c>
      <c r="N40" s="364"/>
      <c r="O40" s="365" t="e">
        <f t="shared" ca="1" si="7"/>
        <v>#DIV/0!</v>
      </c>
      <c r="P40" s="365" t="e">
        <f t="shared" ca="1" si="8"/>
        <v>#DIV/0!</v>
      </c>
      <c r="Q40" s="365" t="e">
        <f t="shared" ca="1" si="13"/>
        <v>#DIV/0!</v>
      </c>
      <c r="R40" s="366"/>
      <c r="S40" s="367"/>
      <c r="T40" s="366">
        <f t="shared" si="17"/>
        <v>0</v>
      </c>
      <c r="U40" s="364" t="e">
        <f>'Source Term'!AI47*$T$9</f>
        <v>#DIV/0!</v>
      </c>
      <c r="V40" s="367"/>
      <c r="W40" s="367">
        <v>1</v>
      </c>
      <c r="X40" s="360" t="e">
        <f>('Analytical Data'!F33*Cover!$H$11)/($U40*(Cover!$B$11/1000))</f>
        <v>#DIV/0!</v>
      </c>
      <c r="Y40" s="360" t="e">
        <f>('Analytical Data'!G33*Cover!$H$11)/($U40*(Cover!$B$11/1000))</f>
        <v>#DIV/0!</v>
      </c>
      <c r="Z40" s="360" t="e">
        <f>('Analytical Data'!H33*Cover!$H$11)/($U40*(Cover!$B$11/1000))</f>
        <v>#DIV/0!</v>
      </c>
      <c r="AA40" s="360" t="e">
        <f>('Analytical Data'!I33*Cover!$H$11)/($U40*(Cover!$B$11/1000))</f>
        <v>#DIV/0!</v>
      </c>
      <c r="AB40" s="360" t="e">
        <f>('Analytical Data'!J33*Cover!$H$11)/($U40*(Cover!$B$11/1000))</f>
        <v>#DIV/0!</v>
      </c>
      <c r="AC40" s="360" t="e">
        <f>('Analytical Data'!K33*Cover!$H$11)/($U40*(Cover!$B$11/1000))</f>
        <v>#DIV/0!</v>
      </c>
      <c r="AD40" s="360" t="e">
        <f>('Analytical Data'!L33*Cover!$H$11)/($U40*(Cover!$B$11/1000))</f>
        <v>#DIV/0!</v>
      </c>
      <c r="AE40" s="360" t="e">
        <f>('Analytical Data'!M33*Cover!$H$11)/($U40*(Cover!$B$11/1000))</f>
        <v>#DIV/0!</v>
      </c>
      <c r="AF40" s="360" t="e">
        <f t="shared" si="18"/>
        <v>#DIV/0!</v>
      </c>
      <c r="AG40" s="360" t="e">
        <f t="shared" si="19"/>
        <v>#DIV/0!</v>
      </c>
      <c r="AH40" s="360" t="e">
        <f t="shared" si="20"/>
        <v>#DIV/0!</v>
      </c>
      <c r="AI40" s="360" t="e">
        <f t="shared" si="21"/>
        <v>#DIV/0!</v>
      </c>
      <c r="AJ40" s="360" t="e">
        <f t="shared" si="22"/>
        <v>#DIV/0!</v>
      </c>
      <c r="AK40" s="360" t="e">
        <f t="shared" si="23"/>
        <v>#DIV/0!</v>
      </c>
      <c r="AL40" s="360" t="e">
        <f t="shared" si="24"/>
        <v>#DIV/0!</v>
      </c>
      <c r="AM40" s="360" t="e">
        <f t="shared" si="25"/>
        <v>#DIV/0!</v>
      </c>
      <c r="AN40" s="364" t="e">
        <f t="shared" si="29"/>
        <v>#DIV/0!</v>
      </c>
      <c r="AO40" s="360" t="e">
        <f t="shared" ca="1" si="33"/>
        <v>#DIV/0!</v>
      </c>
      <c r="AP40" s="368" t="e">
        <f t="shared" ca="1" si="34"/>
        <v>#VALUE!</v>
      </c>
      <c r="AQ40" s="357"/>
      <c r="AR40" s="358"/>
      <c r="AS40" s="358"/>
      <c r="AT40" s="304">
        <f t="shared" si="0"/>
        <v>0</v>
      </c>
      <c r="AU40" s="232" t="e">
        <f t="shared" ca="1" si="35"/>
        <v>#VALUE!</v>
      </c>
      <c r="AV40" s="232" t="e">
        <f t="shared" ca="1" si="36"/>
        <v>#VALUE!</v>
      </c>
      <c r="AW40" s="305" t="e">
        <f t="shared" ca="1" si="31"/>
        <v>#DIV/0!</v>
      </c>
      <c r="AX40" s="252" t="e">
        <f ca="1">PI()*((AH51-AG51)/(2*Cover!$G$11*1000*De!AN51*(SQRT(De!$Z$11)-SQRT(De!$Y$11))))</f>
        <v>#DIV/0!</v>
      </c>
      <c r="AY40" s="252" t="str">
        <f ca="1">IF(ISNUMBER((E36calc!$G48/(De!AN51*2653*Cover!$G$11))^2), (E36calc!$G48/(De!AN51*2653*Cover!$G$11))^2,"")</f>
        <v/>
      </c>
      <c r="BC40" s="293"/>
      <c r="BD40" s="293"/>
      <c r="BE40" s="293"/>
      <c r="BF40" s="293"/>
      <c r="BG40" s="293"/>
      <c r="BH40" s="293"/>
      <c r="BI40" s="293"/>
      <c r="BJ40" s="293"/>
      <c r="BK40" s="293"/>
    </row>
    <row r="41" spans="1:63" ht="15" x14ac:dyDescent="0.25">
      <c r="A41" s="360">
        <f>'Measured Cummulative'!A35</f>
        <v>0</v>
      </c>
      <c r="B41" s="363" t="e">
        <f t="shared" si="12"/>
        <v>#DIV/0!</v>
      </c>
      <c r="C41" s="364"/>
      <c r="D41" s="360" t="e">
        <f ca="1">(PI()/4)*(('Measured Cummulative'!E35/$B41)^2)*((Cover!$F$11/Cover!$I$11)^2)*(1/'Measured Cummulative'!E$1)</f>
        <v>#DIV/0!</v>
      </c>
      <c r="E41" s="360" t="e">
        <f ca="1">(PI()/4)*(('Measured Cummulative'!F35/$B41)^2)*((Cover!$F$11/Cover!$I$11)^2)*(1/'Measured Cummulative'!F$1)</f>
        <v>#DIV/0!</v>
      </c>
      <c r="F41" s="360" t="e">
        <f ca="1">(PI()/4)*(('Measured Cummulative'!G35/$B41)^2)*((Cover!$F$11/Cover!$I$11)^2)*(1/'Measured Cummulative'!G$1)</f>
        <v>#DIV/0!</v>
      </c>
      <c r="G41" s="360" t="e">
        <f ca="1">(PI()/4)*(('Measured Cummulative'!H35/$B41)^2)*((Cover!$F$11/Cover!$I$11)^2)*(1/'Measured Cummulative'!H$1)</f>
        <v>#DIV/0!</v>
      </c>
      <c r="H41" s="360" t="e">
        <f ca="1">(PI()/4)*(('Measured Cummulative'!I35/$B41)^2)*((Cover!$F$11/Cover!$I$11)^2)*(1/'Measured Cummulative'!I$1)</f>
        <v>#DIV/0!</v>
      </c>
      <c r="I41" s="360" t="e">
        <f ca="1">(PI()/4)*(('Measured Cummulative'!J35/$B41)^2)*((Cover!$F$11/Cover!$I$11)^2)*(1/'Measured Cummulative'!J$1)</f>
        <v>#DIV/0!</v>
      </c>
      <c r="J41" s="360" t="e">
        <f ca="1">(PI()/4)*(('Measured Cummulative'!K35/$B41)^2)*((Cover!$F$11/Cover!$I$11)^2)*(1/'Measured Cummulative'!K$1)</f>
        <v>#DIV/0!</v>
      </c>
      <c r="K41" s="360" t="e">
        <f ca="1">(PI()/4)*(('Measured Cummulative'!L35/$B41)^2)*((Cover!$F$11/Cover!$I$11)^2)*(1/'Measured Cummulative'!L$1)</f>
        <v>#DIV/0!</v>
      </c>
      <c r="L41" s="360">
        <f>'Measured Cummulative'!A35</f>
        <v>0</v>
      </c>
      <c r="M41" s="364" t="e">
        <f t="shared" si="16"/>
        <v>#DIV/0!</v>
      </c>
      <c r="N41" s="364"/>
      <c r="O41" s="365" t="e">
        <f t="shared" ca="1" si="7"/>
        <v>#DIV/0!</v>
      </c>
      <c r="P41" s="365" t="e">
        <f t="shared" ca="1" si="8"/>
        <v>#DIV/0!</v>
      </c>
      <c r="Q41" s="365" t="e">
        <f t="shared" ca="1" si="13"/>
        <v>#DIV/0!</v>
      </c>
      <c r="R41" s="366"/>
      <c r="S41" s="367"/>
      <c r="T41" s="366">
        <f t="shared" si="17"/>
        <v>0</v>
      </c>
      <c r="U41" s="364" t="e">
        <f>'Source Term'!AI48*$T$9</f>
        <v>#DIV/0!</v>
      </c>
      <c r="V41" s="367"/>
      <c r="W41" s="367">
        <v>1</v>
      </c>
      <c r="X41" s="360" t="e">
        <f>('Analytical Data'!F34*Cover!$H$11)/($U41*(Cover!$B$11/1000))</f>
        <v>#DIV/0!</v>
      </c>
      <c r="Y41" s="360" t="e">
        <f>('Analytical Data'!G34*Cover!$H$11)/($U41*(Cover!$B$11/1000))</f>
        <v>#DIV/0!</v>
      </c>
      <c r="Z41" s="360" t="e">
        <f>('Analytical Data'!H34*Cover!$H$11)/($U41*(Cover!$B$11/1000))</f>
        <v>#DIV/0!</v>
      </c>
      <c r="AA41" s="360" t="e">
        <f>('Analytical Data'!I34*Cover!$H$11)/($U41*(Cover!$B$11/1000))</f>
        <v>#DIV/0!</v>
      </c>
      <c r="AB41" s="360" t="e">
        <f>('Analytical Data'!J34*Cover!$H$11)/($U41*(Cover!$B$11/1000))</f>
        <v>#DIV/0!</v>
      </c>
      <c r="AC41" s="360" t="e">
        <f>('Analytical Data'!K34*Cover!$H$11)/($U41*(Cover!$B$11/1000))</f>
        <v>#DIV/0!</v>
      </c>
      <c r="AD41" s="360" t="e">
        <f>('Analytical Data'!L34*Cover!$H$11)/($U41*(Cover!$B$11/1000))</f>
        <v>#DIV/0!</v>
      </c>
      <c r="AE41" s="360" t="e">
        <f>('Analytical Data'!M34*Cover!$H$11)/($U41*(Cover!$B$11/1000))</f>
        <v>#DIV/0!</v>
      </c>
      <c r="AF41" s="360" t="e">
        <f t="shared" si="18"/>
        <v>#DIV/0!</v>
      </c>
      <c r="AG41" s="360" t="e">
        <f t="shared" si="19"/>
        <v>#DIV/0!</v>
      </c>
      <c r="AH41" s="360" t="e">
        <f t="shared" si="20"/>
        <v>#DIV/0!</v>
      </c>
      <c r="AI41" s="360" t="e">
        <f t="shared" si="21"/>
        <v>#DIV/0!</v>
      </c>
      <c r="AJ41" s="360" t="e">
        <f t="shared" si="22"/>
        <v>#DIV/0!</v>
      </c>
      <c r="AK41" s="360" t="e">
        <f t="shared" si="23"/>
        <v>#DIV/0!</v>
      </c>
      <c r="AL41" s="360" t="e">
        <f t="shared" si="24"/>
        <v>#DIV/0!</v>
      </c>
      <c r="AM41" s="360" t="e">
        <f t="shared" si="25"/>
        <v>#DIV/0!</v>
      </c>
      <c r="AN41" s="364" t="e">
        <f t="shared" si="29"/>
        <v>#DIV/0!</v>
      </c>
      <c r="AO41" s="360" t="e">
        <f t="shared" ca="1" si="33"/>
        <v>#DIV/0!</v>
      </c>
      <c r="AP41" s="368" t="e">
        <f t="shared" ca="1" si="34"/>
        <v>#VALUE!</v>
      </c>
      <c r="AQ41" s="357"/>
      <c r="AR41" s="358"/>
      <c r="AS41" s="358"/>
      <c r="AT41" s="304">
        <f t="shared" si="0"/>
        <v>0</v>
      </c>
      <c r="AU41" s="232" t="e">
        <f t="shared" ca="1" si="35"/>
        <v>#VALUE!</v>
      </c>
      <c r="AV41" s="232" t="e">
        <f t="shared" ca="1" si="36"/>
        <v>#VALUE!</v>
      </c>
      <c r="AW41" s="305" t="e">
        <f t="shared" ca="1" si="31"/>
        <v>#DIV/0!</v>
      </c>
      <c r="AX41" s="252" t="e">
        <f ca="1">PI()*((AH52-AG52)/(2*Cover!$G$11*1000*De!AN52*(SQRT(De!$Z$11)-SQRT(De!$Y$11))))</f>
        <v>#DIV/0!</v>
      </c>
      <c r="AY41" s="252" t="str">
        <f ca="1">IF(ISNUMBER((E36calc!$G49/(De!AN52*2653*Cover!$G$11))^2), (E36calc!$G49/(De!AN52*2653*Cover!$G$11))^2,"")</f>
        <v/>
      </c>
      <c r="BC41" s="293"/>
      <c r="BD41" s="293"/>
      <c r="BE41" s="293"/>
      <c r="BF41" s="293"/>
      <c r="BG41" s="293"/>
      <c r="BH41" s="293"/>
      <c r="BI41" s="293"/>
      <c r="BJ41" s="293"/>
      <c r="BK41" s="293"/>
    </row>
    <row r="42" spans="1:63" ht="15" x14ac:dyDescent="0.25">
      <c r="A42" s="360">
        <f>'Measured Cummulative'!A36</f>
        <v>0</v>
      </c>
      <c r="B42" s="363" t="e">
        <f t="shared" si="12"/>
        <v>#DIV/0!</v>
      </c>
      <c r="C42" s="364"/>
      <c r="D42" s="360" t="e">
        <f ca="1">(PI()/4)*(('Measured Cummulative'!E36/$B42)^2)*((Cover!$F$11/Cover!$I$11)^2)*(1/'Measured Cummulative'!E$1)</f>
        <v>#DIV/0!</v>
      </c>
      <c r="E42" s="360" t="e">
        <f ca="1">(PI()/4)*(('Measured Cummulative'!F36/$B42)^2)*((Cover!$F$11/Cover!$I$11)^2)*(1/'Measured Cummulative'!F$1)</f>
        <v>#DIV/0!</v>
      </c>
      <c r="F42" s="360" t="e">
        <f ca="1">(PI()/4)*(('Measured Cummulative'!G36/$B42)^2)*((Cover!$F$11/Cover!$I$11)^2)*(1/'Measured Cummulative'!G$1)</f>
        <v>#DIV/0!</v>
      </c>
      <c r="G42" s="360" t="e">
        <f ca="1">(PI()/4)*(('Measured Cummulative'!H36/$B42)^2)*((Cover!$F$11/Cover!$I$11)^2)*(1/'Measured Cummulative'!H$1)</f>
        <v>#DIV/0!</v>
      </c>
      <c r="H42" s="360" t="e">
        <f ca="1">(PI()/4)*(('Measured Cummulative'!I36/$B42)^2)*((Cover!$F$11/Cover!$I$11)^2)*(1/'Measured Cummulative'!I$1)</f>
        <v>#DIV/0!</v>
      </c>
      <c r="I42" s="360" t="e">
        <f ca="1">(PI()/4)*(('Measured Cummulative'!J36/$B42)^2)*((Cover!$F$11/Cover!$I$11)^2)*(1/'Measured Cummulative'!J$1)</f>
        <v>#DIV/0!</v>
      </c>
      <c r="J42" s="360" t="e">
        <f ca="1">(PI()/4)*(('Measured Cummulative'!K36/$B42)^2)*((Cover!$F$11/Cover!$I$11)^2)*(1/'Measured Cummulative'!K$1)</f>
        <v>#DIV/0!</v>
      </c>
      <c r="K42" s="360" t="e">
        <f ca="1">(PI()/4)*(('Measured Cummulative'!L36/$B42)^2)*((Cover!$F$11/Cover!$I$11)^2)*(1/'Measured Cummulative'!L$1)</f>
        <v>#DIV/0!</v>
      </c>
      <c r="L42" s="360">
        <f>'Measured Cummulative'!A36</f>
        <v>0</v>
      </c>
      <c r="M42" s="364" t="e">
        <f t="shared" si="16"/>
        <v>#DIV/0!</v>
      </c>
      <c r="N42" s="364"/>
      <c r="O42" s="365" t="e">
        <f t="shared" ca="1" si="7"/>
        <v>#DIV/0!</v>
      </c>
      <c r="P42" s="365" t="e">
        <f t="shared" ca="1" si="8"/>
        <v>#DIV/0!</v>
      </c>
      <c r="Q42" s="365" t="e">
        <f t="shared" ca="1" si="13"/>
        <v>#DIV/0!</v>
      </c>
      <c r="R42" s="366"/>
      <c r="S42" s="367"/>
      <c r="T42" s="366">
        <f t="shared" si="17"/>
        <v>0</v>
      </c>
      <c r="U42" s="364" t="e">
        <f>'Source Term'!AI49*$T$9</f>
        <v>#DIV/0!</v>
      </c>
      <c r="V42" s="367"/>
      <c r="W42" s="367">
        <v>1</v>
      </c>
      <c r="X42" s="360" t="e">
        <f>('Analytical Data'!F35*Cover!$H$11)/($U42*(Cover!$B$11/1000))</f>
        <v>#DIV/0!</v>
      </c>
      <c r="Y42" s="360" t="e">
        <f>('Analytical Data'!G35*Cover!$H$11)/($U42*(Cover!$B$11/1000))</f>
        <v>#DIV/0!</v>
      </c>
      <c r="Z42" s="360" t="e">
        <f>('Analytical Data'!H35*Cover!$H$11)/($U42*(Cover!$B$11/1000))</f>
        <v>#DIV/0!</v>
      </c>
      <c r="AA42" s="360" t="e">
        <f>('Analytical Data'!I35*Cover!$H$11)/($U42*(Cover!$B$11/1000))</f>
        <v>#DIV/0!</v>
      </c>
      <c r="AB42" s="360" t="e">
        <f>('Analytical Data'!J35*Cover!$H$11)/($U42*(Cover!$B$11/1000))</f>
        <v>#DIV/0!</v>
      </c>
      <c r="AC42" s="360" t="e">
        <f>('Analytical Data'!K35*Cover!$H$11)/($U42*(Cover!$B$11/1000))</f>
        <v>#DIV/0!</v>
      </c>
      <c r="AD42" s="360" t="e">
        <f>('Analytical Data'!L35*Cover!$H$11)/($U42*(Cover!$B$11/1000))</f>
        <v>#DIV/0!</v>
      </c>
      <c r="AE42" s="360" t="e">
        <f>('Analytical Data'!M35*Cover!$H$11)/($U42*(Cover!$B$11/1000))</f>
        <v>#DIV/0!</v>
      </c>
      <c r="AF42" s="360" t="e">
        <f t="shared" si="18"/>
        <v>#DIV/0!</v>
      </c>
      <c r="AG42" s="360" t="e">
        <f t="shared" si="19"/>
        <v>#DIV/0!</v>
      </c>
      <c r="AH42" s="360" t="e">
        <f t="shared" si="20"/>
        <v>#DIV/0!</v>
      </c>
      <c r="AI42" s="360" t="e">
        <f t="shared" si="21"/>
        <v>#DIV/0!</v>
      </c>
      <c r="AJ42" s="360" t="e">
        <f t="shared" si="22"/>
        <v>#DIV/0!</v>
      </c>
      <c r="AK42" s="360" t="e">
        <f t="shared" si="23"/>
        <v>#DIV/0!</v>
      </c>
      <c r="AL42" s="360" t="e">
        <f t="shared" si="24"/>
        <v>#DIV/0!</v>
      </c>
      <c r="AM42" s="360" t="e">
        <f t="shared" si="25"/>
        <v>#DIV/0!</v>
      </c>
      <c r="AN42" s="364" t="e">
        <f t="shared" si="29"/>
        <v>#DIV/0!</v>
      </c>
      <c r="AO42" s="360" t="e">
        <f t="shared" ca="1" si="33"/>
        <v>#DIV/0!</v>
      </c>
      <c r="AP42" s="368" t="e">
        <f t="shared" ca="1" si="34"/>
        <v>#VALUE!</v>
      </c>
      <c r="AQ42" s="357"/>
      <c r="AR42" s="358"/>
      <c r="AS42" s="358"/>
      <c r="AT42" s="304">
        <f t="shared" si="0"/>
        <v>0</v>
      </c>
      <c r="AU42" s="232" t="e">
        <f t="shared" ca="1" si="35"/>
        <v>#VALUE!</v>
      </c>
      <c r="AV42" s="232" t="e">
        <f t="shared" ca="1" si="36"/>
        <v>#VALUE!</v>
      </c>
      <c r="AW42" s="305" t="e">
        <f t="shared" ca="1" si="31"/>
        <v>#DIV/0!</v>
      </c>
      <c r="AX42" s="252" t="e">
        <f ca="1">PI()*((AH53-AG53)/(2*Cover!$G$11*1000*De!AN53*(SQRT(De!$Z$11)-SQRT(De!$Y$11))))</f>
        <v>#DIV/0!</v>
      </c>
      <c r="AY42" s="252" t="str">
        <f ca="1">IF(ISNUMBER((E36calc!$G50/(De!AN53*2653*Cover!$G$11))^2), (E36calc!$G50/(De!AN53*2653*Cover!$G$11))^2,"")</f>
        <v/>
      </c>
      <c r="BC42" s="293"/>
      <c r="BK42" s="293"/>
    </row>
    <row r="43" spans="1:63" ht="15" x14ac:dyDescent="0.25">
      <c r="A43" s="360">
        <f>'Measured Cummulative'!A37</f>
        <v>0</v>
      </c>
      <c r="B43" s="363" t="e">
        <f t="shared" si="12"/>
        <v>#DIV/0!</v>
      </c>
      <c r="C43" s="364"/>
      <c r="D43" s="360" t="e">
        <f ca="1">(PI()/4)*(('Measured Cummulative'!E37/$B43)^2)*((Cover!$F$11/Cover!$I$11)^2)*(1/'Measured Cummulative'!E$1)</f>
        <v>#DIV/0!</v>
      </c>
      <c r="E43" s="360" t="e">
        <f ca="1">(PI()/4)*(('Measured Cummulative'!F37/$B43)^2)*((Cover!$F$11/Cover!$I$11)^2)*(1/'Measured Cummulative'!F$1)</f>
        <v>#DIV/0!</v>
      </c>
      <c r="F43" s="360" t="e">
        <f ca="1">(PI()/4)*(('Measured Cummulative'!G37/$B43)^2)*((Cover!$F$11/Cover!$I$11)^2)*(1/'Measured Cummulative'!G$1)</f>
        <v>#DIV/0!</v>
      </c>
      <c r="G43" s="360" t="e">
        <f ca="1">(PI()/4)*(('Measured Cummulative'!H37/$B43)^2)*((Cover!$F$11/Cover!$I$11)^2)*(1/'Measured Cummulative'!H$1)</f>
        <v>#DIV/0!</v>
      </c>
      <c r="H43" s="360" t="e">
        <f ca="1">(PI()/4)*(('Measured Cummulative'!I37/$B43)^2)*((Cover!$F$11/Cover!$I$11)^2)*(1/'Measured Cummulative'!I$1)</f>
        <v>#DIV/0!</v>
      </c>
      <c r="I43" s="360" t="e">
        <f ca="1">(PI()/4)*(('Measured Cummulative'!J37/$B43)^2)*((Cover!$F$11/Cover!$I$11)^2)*(1/'Measured Cummulative'!J$1)</f>
        <v>#DIV/0!</v>
      </c>
      <c r="J43" s="360" t="e">
        <f ca="1">(PI()/4)*(('Measured Cummulative'!K37/$B43)^2)*((Cover!$F$11/Cover!$I$11)^2)*(1/'Measured Cummulative'!K$1)</f>
        <v>#DIV/0!</v>
      </c>
      <c r="K43" s="360" t="e">
        <f ca="1">(PI()/4)*(('Measured Cummulative'!L37/$B43)^2)*((Cover!$F$11/Cover!$I$11)^2)*(1/'Measured Cummulative'!L$1)</f>
        <v>#DIV/0!</v>
      </c>
      <c r="L43" s="360">
        <f>'Measured Cummulative'!A37</f>
        <v>0</v>
      </c>
      <c r="M43" s="364" t="e">
        <f t="shared" si="16"/>
        <v>#DIV/0!</v>
      </c>
      <c r="N43" s="364"/>
      <c r="O43" s="365" t="e">
        <f t="shared" ca="1" si="7"/>
        <v>#DIV/0!</v>
      </c>
      <c r="P43" s="365" t="e">
        <f t="shared" ca="1" si="8"/>
        <v>#DIV/0!</v>
      </c>
      <c r="Q43" s="365" t="e">
        <f t="shared" ca="1" si="13"/>
        <v>#DIV/0!</v>
      </c>
      <c r="R43" s="366"/>
      <c r="S43" s="367"/>
      <c r="T43" s="366">
        <f t="shared" si="17"/>
        <v>0</v>
      </c>
      <c r="U43" s="364" t="e">
        <f>'Source Term'!AI50*$T$9</f>
        <v>#DIV/0!</v>
      </c>
      <c r="V43" s="367"/>
      <c r="W43" s="367">
        <v>1</v>
      </c>
      <c r="X43" s="360" t="e">
        <f>('Analytical Data'!F36*Cover!$H$11)/($U43*(Cover!$B$11/1000))</f>
        <v>#DIV/0!</v>
      </c>
      <c r="Y43" s="360" t="e">
        <f>('Analytical Data'!G36*Cover!$H$11)/($U43*(Cover!$B$11/1000))</f>
        <v>#DIV/0!</v>
      </c>
      <c r="Z43" s="360" t="e">
        <f>('Analytical Data'!H36*Cover!$H$11)/($U43*(Cover!$B$11/1000))</f>
        <v>#DIV/0!</v>
      </c>
      <c r="AA43" s="360" t="e">
        <f>('Analytical Data'!I36*Cover!$H$11)/($U43*(Cover!$B$11/1000))</f>
        <v>#DIV/0!</v>
      </c>
      <c r="AB43" s="360" t="e">
        <f>('Analytical Data'!J36*Cover!$H$11)/($U43*(Cover!$B$11/1000))</f>
        <v>#DIV/0!</v>
      </c>
      <c r="AC43" s="360" t="e">
        <f>('Analytical Data'!K36*Cover!$H$11)/($U43*(Cover!$B$11/1000))</f>
        <v>#DIV/0!</v>
      </c>
      <c r="AD43" s="360" t="e">
        <f>('Analytical Data'!L36*Cover!$H$11)/($U43*(Cover!$B$11/1000))</f>
        <v>#DIV/0!</v>
      </c>
      <c r="AE43" s="360" t="e">
        <f>('Analytical Data'!M36*Cover!$H$11)/($U43*(Cover!$B$11/1000))</f>
        <v>#DIV/0!</v>
      </c>
      <c r="AF43" s="360" t="e">
        <f t="shared" si="18"/>
        <v>#DIV/0!</v>
      </c>
      <c r="AG43" s="360" t="e">
        <f t="shared" si="19"/>
        <v>#DIV/0!</v>
      </c>
      <c r="AH43" s="360" t="e">
        <f t="shared" si="20"/>
        <v>#DIV/0!</v>
      </c>
      <c r="AI43" s="360" t="e">
        <f t="shared" si="21"/>
        <v>#DIV/0!</v>
      </c>
      <c r="AJ43" s="360" t="e">
        <f t="shared" si="22"/>
        <v>#DIV/0!</v>
      </c>
      <c r="AK43" s="360" t="e">
        <f t="shared" si="23"/>
        <v>#DIV/0!</v>
      </c>
      <c r="AL43" s="360" t="e">
        <f t="shared" si="24"/>
        <v>#DIV/0!</v>
      </c>
      <c r="AM43" s="360" t="e">
        <f t="shared" si="25"/>
        <v>#DIV/0!</v>
      </c>
      <c r="AN43" s="364" t="e">
        <f t="shared" si="29"/>
        <v>#DIV/0!</v>
      </c>
      <c r="AO43" s="360" t="e">
        <f t="shared" ca="1" si="33"/>
        <v>#DIV/0!</v>
      </c>
      <c r="AP43" s="368" t="e">
        <f t="shared" ca="1" si="34"/>
        <v>#VALUE!</v>
      </c>
      <c r="AQ43" s="357"/>
      <c r="AR43" s="358"/>
      <c r="AS43" s="358"/>
      <c r="AT43" s="304">
        <f t="shared" si="0"/>
        <v>0</v>
      </c>
      <c r="AU43" s="232" t="e">
        <f t="shared" ca="1" si="35"/>
        <v>#VALUE!</v>
      </c>
      <c r="AV43" s="232" t="e">
        <f t="shared" ca="1" si="36"/>
        <v>#VALUE!</v>
      </c>
      <c r="AW43" s="305" t="e">
        <f t="shared" ca="1" si="31"/>
        <v>#DIV/0!</v>
      </c>
      <c r="AX43" s="252" t="e">
        <f ca="1">PI()*((AH54-AG54)/(2*Cover!$G$11*1000*De!AN54*(SQRT(De!$Z$11)-SQRT(De!$Y$11))))</f>
        <v>#DIV/0!</v>
      </c>
      <c r="AY43" s="252" t="str">
        <f ca="1">IF(ISNUMBER((E36calc!$G51/(De!AN54*2653*Cover!$G$11))^2), (E36calc!$G51/(De!AN54*2653*Cover!$G$11))^2,"")</f>
        <v/>
      </c>
      <c r="BC43" s="293"/>
      <c r="BK43" s="293"/>
    </row>
    <row r="44" spans="1:63" ht="15" x14ac:dyDescent="0.25">
      <c r="A44" s="360">
        <f>'Measured Cummulative'!A38</f>
        <v>0</v>
      </c>
      <c r="B44" s="363" t="e">
        <f t="shared" si="12"/>
        <v>#DIV/0!</v>
      </c>
      <c r="C44" s="364"/>
      <c r="D44" s="360" t="e">
        <f ca="1">(PI()/4)*(('Measured Cummulative'!E38/$B44)^2)*((Cover!$F$11/Cover!$I$11)^2)*(1/'Measured Cummulative'!E$1)</f>
        <v>#DIV/0!</v>
      </c>
      <c r="E44" s="360" t="e">
        <f ca="1">(PI()/4)*(('Measured Cummulative'!F38/$B44)^2)*((Cover!$F$11/Cover!$I$11)^2)*(1/'Measured Cummulative'!F$1)</f>
        <v>#DIV/0!</v>
      </c>
      <c r="F44" s="360" t="e">
        <f ca="1">(PI()/4)*(('Measured Cummulative'!G38/$B44)^2)*((Cover!$F$11/Cover!$I$11)^2)*(1/'Measured Cummulative'!G$1)</f>
        <v>#DIV/0!</v>
      </c>
      <c r="G44" s="360" t="e">
        <f ca="1">(PI()/4)*(('Measured Cummulative'!H38/$B44)^2)*((Cover!$F$11/Cover!$I$11)^2)*(1/'Measured Cummulative'!H$1)</f>
        <v>#DIV/0!</v>
      </c>
      <c r="H44" s="360" t="e">
        <f ca="1">(PI()/4)*(('Measured Cummulative'!I38/$B44)^2)*((Cover!$F$11/Cover!$I$11)^2)*(1/'Measured Cummulative'!I$1)</f>
        <v>#DIV/0!</v>
      </c>
      <c r="I44" s="360" t="e">
        <f ca="1">(PI()/4)*(('Measured Cummulative'!J38/$B44)^2)*((Cover!$F$11/Cover!$I$11)^2)*(1/'Measured Cummulative'!J$1)</f>
        <v>#DIV/0!</v>
      </c>
      <c r="J44" s="360" t="e">
        <f ca="1">(PI()/4)*(('Measured Cummulative'!K38/$B44)^2)*((Cover!$F$11/Cover!$I$11)^2)*(1/'Measured Cummulative'!K$1)</f>
        <v>#DIV/0!</v>
      </c>
      <c r="K44" s="360" t="e">
        <f ca="1">(PI()/4)*(('Measured Cummulative'!L38/$B44)^2)*((Cover!$F$11/Cover!$I$11)^2)*(1/'Measured Cummulative'!L$1)</f>
        <v>#DIV/0!</v>
      </c>
      <c r="L44" s="360">
        <f>'Measured Cummulative'!A38</f>
        <v>0</v>
      </c>
      <c r="M44" s="364" t="e">
        <f t="shared" si="16"/>
        <v>#DIV/0!</v>
      </c>
      <c r="N44" s="364"/>
      <c r="O44" s="365" t="e">
        <f t="shared" ca="1" si="7"/>
        <v>#DIV/0!</v>
      </c>
      <c r="P44" s="365" t="e">
        <f t="shared" ca="1" si="8"/>
        <v>#DIV/0!</v>
      </c>
      <c r="Q44" s="365" t="e">
        <f t="shared" ca="1" si="13"/>
        <v>#DIV/0!</v>
      </c>
      <c r="R44" s="366"/>
      <c r="S44" s="367"/>
      <c r="T44" s="366">
        <f t="shared" si="17"/>
        <v>0</v>
      </c>
      <c r="U44" s="364" t="e">
        <f>'Source Term'!AI51*$T$9</f>
        <v>#DIV/0!</v>
      </c>
      <c r="V44" s="367"/>
      <c r="W44" s="367">
        <v>1</v>
      </c>
      <c r="X44" s="360" t="e">
        <f>('Analytical Data'!F37*Cover!$H$11)/($U44*(Cover!$B$11/1000))</f>
        <v>#DIV/0!</v>
      </c>
      <c r="Y44" s="360" t="e">
        <f>('Analytical Data'!G37*Cover!$H$11)/($U44*(Cover!$B$11/1000))</f>
        <v>#DIV/0!</v>
      </c>
      <c r="Z44" s="360" t="e">
        <f>('Analytical Data'!H37*Cover!$H$11)/($U44*(Cover!$B$11/1000))</f>
        <v>#DIV/0!</v>
      </c>
      <c r="AA44" s="360" t="e">
        <f>('Analytical Data'!I37*Cover!$H$11)/($U44*(Cover!$B$11/1000))</f>
        <v>#DIV/0!</v>
      </c>
      <c r="AB44" s="360" t="e">
        <f>('Analytical Data'!J37*Cover!$H$11)/($U44*(Cover!$B$11/1000))</f>
        <v>#DIV/0!</v>
      </c>
      <c r="AC44" s="360" t="e">
        <f>('Analytical Data'!K37*Cover!$H$11)/($U44*(Cover!$B$11/1000))</f>
        <v>#DIV/0!</v>
      </c>
      <c r="AD44" s="360" t="e">
        <f>('Analytical Data'!L37*Cover!$H$11)/($U44*(Cover!$B$11/1000))</f>
        <v>#DIV/0!</v>
      </c>
      <c r="AE44" s="360" t="e">
        <f>('Analytical Data'!M37*Cover!$H$11)/($U44*(Cover!$B$11/1000))</f>
        <v>#DIV/0!</v>
      </c>
      <c r="AF44" s="360" t="e">
        <f t="shared" si="18"/>
        <v>#DIV/0!</v>
      </c>
      <c r="AG44" s="360" t="e">
        <f t="shared" si="19"/>
        <v>#DIV/0!</v>
      </c>
      <c r="AH44" s="360" t="e">
        <f t="shared" si="20"/>
        <v>#DIV/0!</v>
      </c>
      <c r="AI44" s="360" t="e">
        <f t="shared" si="21"/>
        <v>#DIV/0!</v>
      </c>
      <c r="AJ44" s="360" t="e">
        <f t="shared" si="22"/>
        <v>#DIV/0!</v>
      </c>
      <c r="AK44" s="360" t="e">
        <f t="shared" si="23"/>
        <v>#DIV/0!</v>
      </c>
      <c r="AL44" s="360" t="e">
        <f t="shared" si="24"/>
        <v>#DIV/0!</v>
      </c>
      <c r="AM44" s="360" t="e">
        <f t="shared" si="25"/>
        <v>#DIV/0!</v>
      </c>
      <c r="AN44" s="364" t="e">
        <f t="shared" si="29"/>
        <v>#DIV/0!</v>
      </c>
      <c r="AO44" s="360" t="e">
        <f t="shared" ca="1" si="33"/>
        <v>#DIV/0!</v>
      </c>
      <c r="AP44" s="368" t="e">
        <f t="shared" ca="1" si="34"/>
        <v>#VALUE!</v>
      </c>
      <c r="AQ44" s="357"/>
      <c r="AR44" s="358"/>
      <c r="AS44" s="358"/>
      <c r="AT44" s="304">
        <f t="shared" si="0"/>
        <v>0</v>
      </c>
      <c r="AU44" s="232" t="e">
        <f t="shared" ref="AU44:AU45" ca="1" si="37">((AP55)^2)*(PI()/4)*((VOL/SA)^2)</f>
        <v>#VALUE!</v>
      </c>
      <c r="AV44" s="232" t="e">
        <f t="shared" ref="AV44:AV45" ca="1" si="38">AU44*10000</f>
        <v>#VALUE!</v>
      </c>
      <c r="AW44" s="305" t="e">
        <f t="shared" ca="1" si="31"/>
        <v>#DIV/0!</v>
      </c>
      <c r="AX44" s="252" t="e">
        <f ca="1">PI()*((AH55-AG55)/(2*Cover!$G$11*1000*De!AN55*(SQRT(De!$Z$11)-SQRT(De!$Y$11))))</f>
        <v>#DIV/0!</v>
      </c>
      <c r="AY44" s="252" t="str">
        <f ca="1">IF(ISNUMBER((E36calc!$G52/(De!AN55*2653*Cover!$G$11))^2), (E36calc!$G52/(De!AN55*2653*Cover!$G$11))^2,"")</f>
        <v/>
      </c>
      <c r="BC44" s="293"/>
      <c r="BD44" s="293"/>
      <c r="BE44" s="293"/>
      <c r="BF44" s="293"/>
      <c r="BG44" s="293"/>
      <c r="BH44" s="293"/>
      <c r="BI44" s="293"/>
      <c r="BJ44" s="293"/>
      <c r="BK44" s="293"/>
    </row>
    <row r="45" spans="1:63" ht="15" x14ac:dyDescent="0.25">
      <c r="A45" s="360">
        <f>'Measured Cummulative'!A39</f>
        <v>0</v>
      </c>
      <c r="B45" s="363" t="e">
        <f t="shared" si="12"/>
        <v>#DIV/0!</v>
      </c>
      <c r="C45" s="364"/>
      <c r="D45" s="360" t="e">
        <f ca="1">(PI()/4)*(('Measured Cummulative'!E39/$B45)^2)*((Cover!$F$11/Cover!$I$11)^2)*(1/'Measured Cummulative'!E$1)</f>
        <v>#DIV/0!</v>
      </c>
      <c r="E45" s="360" t="e">
        <f ca="1">(PI()/4)*(('Measured Cummulative'!F39/$B45)^2)*((Cover!$F$11/Cover!$I$11)^2)*(1/'Measured Cummulative'!F$1)</f>
        <v>#DIV/0!</v>
      </c>
      <c r="F45" s="360" t="e">
        <f ca="1">(PI()/4)*(('Measured Cummulative'!G39/$B45)^2)*((Cover!$F$11/Cover!$I$11)^2)*(1/'Measured Cummulative'!G$1)</f>
        <v>#DIV/0!</v>
      </c>
      <c r="G45" s="360" t="e">
        <f ca="1">(PI()/4)*(('Measured Cummulative'!H39/$B45)^2)*((Cover!$F$11/Cover!$I$11)^2)*(1/'Measured Cummulative'!H$1)</f>
        <v>#DIV/0!</v>
      </c>
      <c r="H45" s="360" t="e">
        <f ca="1">(PI()/4)*(('Measured Cummulative'!I39/$B45)^2)*((Cover!$F$11/Cover!$I$11)^2)*(1/'Measured Cummulative'!I$1)</f>
        <v>#DIV/0!</v>
      </c>
      <c r="I45" s="360" t="e">
        <f ca="1">(PI()/4)*(('Measured Cummulative'!J39/$B45)^2)*((Cover!$F$11/Cover!$I$11)^2)*(1/'Measured Cummulative'!J$1)</f>
        <v>#DIV/0!</v>
      </c>
      <c r="J45" s="360" t="e">
        <f ca="1">(PI()/4)*(('Measured Cummulative'!K39/$B45)^2)*((Cover!$F$11/Cover!$I$11)^2)*(1/'Measured Cummulative'!K$1)</f>
        <v>#DIV/0!</v>
      </c>
      <c r="K45" s="360" t="e">
        <f ca="1">(PI()/4)*(('Measured Cummulative'!L39/$B45)^2)*((Cover!$F$11/Cover!$I$11)^2)*(1/'Measured Cummulative'!L$1)</f>
        <v>#DIV/0!</v>
      </c>
      <c r="L45" s="360">
        <f>'Measured Cummulative'!A39</f>
        <v>0</v>
      </c>
      <c r="M45" s="364" t="e">
        <f t="shared" si="16"/>
        <v>#DIV/0!</v>
      </c>
      <c r="N45" s="364"/>
      <c r="O45" s="365" t="e">
        <f t="shared" ca="1" si="7"/>
        <v>#DIV/0!</v>
      </c>
      <c r="P45" s="365" t="e">
        <f t="shared" ca="1" si="8"/>
        <v>#DIV/0!</v>
      </c>
      <c r="Q45" s="365" t="e">
        <f t="shared" ca="1" si="13"/>
        <v>#DIV/0!</v>
      </c>
      <c r="R45" s="366"/>
      <c r="S45" s="367"/>
      <c r="T45" s="366">
        <f t="shared" si="17"/>
        <v>0</v>
      </c>
      <c r="U45" s="364" t="e">
        <f>'Source Term'!AI52*$T$9</f>
        <v>#DIV/0!</v>
      </c>
      <c r="V45" s="367"/>
      <c r="W45" s="367">
        <v>1</v>
      </c>
      <c r="X45" s="360" t="e">
        <f>('Analytical Data'!F38*Cover!$H$11)/($U45*(Cover!$B$11/1000))</f>
        <v>#DIV/0!</v>
      </c>
      <c r="Y45" s="360" t="e">
        <f>('Analytical Data'!G38*Cover!$H$11)/($U45*(Cover!$B$11/1000))</f>
        <v>#DIV/0!</v>
      </c>
      <c r="Z45" s="360" t="e">
        <f>('Analytical Data'!H38*Cover!$H$11)/($U45*(Cover!$B$11/1000))</f>
        <v>#DIV/0!</v>
      </c>
      <c r="AA45" s="360" t="e">
        <f>('Analytical Data'!I38*Cover!$H$11)/($U45*(Cover!$B$11/1000))</f>
        <v>#DIV/0!</v>
      </c>
      <c r="AB45" s="360" t="e">
        <f>('Analytical Data'!J38*Cover!$H$11)/($U45*(Cover!$B$11/1000))</f>
        <v>#DIV/0!</v>
      </c>
      <c r="AC45" s="360" t="e">
        <f>('Analytical Data'!K38*Cover!$H$11)/($U45*(Cover!$B$11/1000))</f>
        <v>#DIV/0!</v>
      </c>
      <c r="AD45" s="360" t="e">
        <f>('Analytical Data'!L38*Cover!$H$11)/($U45*(Cover!$B$11/1000))</f>
        <v>#DIV/0!</v>
      </c>
      <c r="AE45" s="360" t="e">
        <f>('Analytical Data'!M38*Cover!$H$11)/($U45*(Cover!$B$11/1000))</f>
        <v>#DIV/0!</v>
      </c>
      <c r="AF45" s="360" t="e">
        <f t="shared" si="18"/>
        <v>#DIV/0!</v>
      </c>
      <c r="AG45" s="360" t="e">
        <f t="shared" si="19"/>
        <v>#DIV/0!</v>
      </c>
      <c r="AH45" s="360" t="e">
        <f t="shared" si="20"/>
        <v>#DIV/0!</v>
      </c>
      <c r="AI45" s="360" t="e">
        <f t="shared" si="21"/>
        <v>#DIV/0!</v>
      </c>
      <c r="AJ45" s="360" t="e">
        <f t="shared" si="22"/>
        <v>#DIV/0!</v>
      </c>
      <c r="AK45" s="360" t="e">
        <f t="shared" si="23"/>
        <v>#DIV/0!</v>
      </c>
      <c r="AL45" s="360" t="e">
        <f t="shared" si="24"/>
        <v>#DIV/0!</v>
      </c>
      <c r="AM45" s="360" t="e">
        <f t="shared" si="25"/>
        <v>#DIV/0!</v>
      </c>
      <c r="AN45" s="364" t="e">
        <f t="shared" si="29"/>
        <v>#DIV/0!</v>
      </c>
      <c r="AO45" s="360" t="e">
        <f t="shared" ca="1" si="33"/>
        <v>#DIV/0!</v>
      </c>
      <c r="AP45" s="368" t="e">
        <f t="shared" ca="1" si="34"/>
        <v>#VALUE!</v>
      </c>
      <c r="AQ45" s="357"/>
      <c r="AR45" s="358"/>
      <c r="AS45" s="358"/>
      <c r="AT45" s="304">
        <f t="shared" si="0"/>
        <v>0</v>
      </c>
      <c r="AU45" s="232" t="e">
        <f t="shared" ca="1" si="37"/>
        <v>#VALUE!</v>
      </c>
      <c r="AV45" s="232" t="e">
        <f t="shared" ca="1" si="38"/>
        <v>#VALUE!</v>
      </c>
      <c r="AW45" s="305" t="e">
        <f t="shared" ca="1" si="31"/>
        <v>#DIV/0!</v>
      </c>
      <c r="AX45" s="252" t="e">
        <f ca="1">PI()*((AH56-AG56)/(2*Cover!$G$11*1000*De!AN56*(SQRT(De!$Z$11)-SQRT(De!$Y$11))))</f>
        <v>#DIV/0!</v>
      </c>
      <c r="AY45" s="252" t="str">
        <f ca="1">IF(ISNUMBER((E36calc!$G53/(De!AN56*2653*Cover!$G$11))^2), (E36calc!$G53/(De!AN56*2653*Cover!$G$11))^2,"")</f>
        <v/>
      </c>
      <c r="BC45" s="293"/>
      <c r="BD45" s="370"/>
      <c r="BE45" s="371"/>
      <c r="BF45" s="371"/>
      <c r="BG45" s="371"/>
      <c r="BH45" s="293"/>
      <c r="BI45" s="373"/>
      <c r="BJ45" s="374"/>
      <c r="BK45" s="293"/>
    </row>
    <row r="46" spans="1:63" ht="15" x14ac:dyDescent="0.25">
      <c r="A46" s="360">
        <f>'Measured Cummulative'!A40</f>
        <v>0</v>
      </c>
      <c r="B46" s="363" t="e">
        <f t="shared" si="12"/>
        <v>#DIV/0!</v>
      </c>
      <c r="C46" s="364"/>
      <c r="D46" s="360" t="e">
        <f ca="1">(PI()/4)*(('Measured Cummulative'!E40/$B46)^2)*((Cover!$F$11/Cover!$I$11)^2)*(1/'Measured Cummulative'!E$1)</f>
        <v>#DIV/0!</v>
      </c>
      <c r="E46" s="360" t="e">
        <f ca="1">(PI()/4)*(('Measured Cummulative'!F40/$B46)^2)*((Cover!$F$11/Cover!$I$11)^2)*(1/'Measured Cummulative'!F$1)</f>
        <v>#DIV/0!</v>
      </c>
      <c r="F46" s="360" t="e">
        <f ca="1">(PI()/4)*(('Measured Cummulative'!G40/$B46)^2)*((Cover!$F$11/Cover!$I$11)^2)*(1/'Measured Cummulative'!G$1)</f>
        <v>#DIV/0!</v>
      </c>
      <c r="G46" s="360" t="e">
        <f ca="1">(PI()/4)*(('Measured Cummulative'!H40/$B46)^2)*((Cover!$F$11/Cover!$I$11)^2)*(1/'Measured Cummulative'!H$1)</f>
        <v>#DIV/0!</v>
      </c>
      <c r="H46" s="360" t="e">
        <f ca="1">(PI()/4)*(('Measured Cummulative'!I40/$B46)^2)*((Cover!$F$11/Cover!$I$11)^2)*(1/'Measured Cummulative'!I$1)</f>
        <v>#DIV/0!</v>
      </c>
      <c r="I46" s="360" t="e">
        <f ca="1">(PI()/4)*(('Measured Cummulative'!J40/$B46)^2)*((Cover!$F$11/Cover!$I$11)^2)*(1/'Measured Cummulative'!J$1)</f>
        <v>#DIV/0!</v>
      </c>
      <c r="J46" s="360" t="e">
        <f ca="1">(PI()/4)*(('Measured Cummulative'!K40/$B46)^2)*((Cover!$F$11/Cover!$I$11)^2)*(1/'Measured Cummulative'!K$1)</f>
        <v>#DIV/0!</v>
      </c>
      <c r="K46" s="360" t="e">
        <f ca="1">(PI()/4)*(('Measured Cummulative'!L40/$B46)^2)*((Cover!$F$11/Cover!$I$11)^2)*(1/'Measured Cummulative'!L$1)</f>
        <v>#DIV/0!</v>
      </c>
      <c r="L46" s="360">
        <f>'Measured Cummulative'!A40</f>
        <v>0</v>
      </c>
      <c r="M46" s="364" t="e">
        <f t="shared" si="16"/>
        <v>#DIV/0!</v>
      </c>
      <c r="N46" s="364"/>
      <c r="O46" s="365" t="e">
        <f t="shared" ca="1" si="7"/>
        <v>#DIV/0!</v>
      </c>
      <c r="P46" s="365" t="e">
        <f t="shared" ca="1" si="8"/>
        <v>#DIV/0!</v>
      </c>
      <c r="Q46" s="365" t="e">
        <f t="shared" ca="1" si="13"/>
        <v>#DIV/0!</v>
      </c>
      <c r="R46" s="366"/>
      <c r="S46" s="367"/>
      <c r="T46" s="366">
        <f t="shared" si="17"/>
        <v>0</v>
      </c>
      <c r="U46" s="364" t="e">
        <f>'Source Term'!AI53*$T$9</f>
        <v>#DIV/0!</v>
      </c>
      <c r="V46" s="367"/>
      <c r="W46" s="367">
        <v>1</v>
      </c>
      <c r="X46" s="360" t="e">
        <f>('Analytical Data'!F39*Cover!$H$11)/($U46*(Cover!$B$11/1000))</f>
        <v>#DIV/0!</v>
      </c>
      <c r="Y46" s="360" t="e">
        <f>('Analytical Data'!G39*Cover!$H$11)/($U46*(Cover!$B$11/1000))</f>
        <v>#DIV/0!</v>
      </c>
      <c r="Z46" s="360" t="e">
        <f>('Analytical Data'!H39*Cover!$H$11)/($U46*(Cover!$B$11/1000))</f>
        <v>#DIV/0!</v>
      </c>
      <c r="AA46" s="360" t="e">
        <f>('Analytical Data'!I39*Cover!$H$11)/($U46*(Cover!$B$11/1000))</f>
        <v>#DIV/0!</v>
      </c>
      <c r="AB46" s="360" t="e">
        <f>('Analytical Data'!J39*Cover!$H$11)/($U46*(Cover!$B$11/1000))</f>
        <v>#DIV/0!</v>
      </c>
      <c r="AC46" s="360" t="e">
        <f>('Analytical Data'!K39*Cover!$H$11)/($U46*(Cover!$B$11/1000))</f>
        <v>#DIV/0!</v>
      </c>
      <c r="AD46" s="360" t="e">
        <f>('Analytical Data'!L39*Cover!$H$11)/($U46*(Cover!$B$11/1000))</f>
        <v>#DIV/0!</v>
      </c>
      <c r="AE46" s="360" t="e">
        <f>('Analytical Data'!M39*Cover!$H$11)/($U46*(Cover!$B$11/1000))</f>
        <v>#DIV/0!</v>
      </c>
      <c r="AF46" s="360" t="e">
        <f t="shared" si="18"/>
        <v>#DIV/0!</v>
      </c>
      <c r="AG46" s="360" t="e">
        <f t="shared" si="19"/>
        <v>#DIV/0!</v>
      </c>
      <c r="AH46" s="360" t="e">
        <f t="shared" si="20"/>
        <v>#DIV/0!</v>
      </c>
      <c r="AI46" s="360" t="e">
        <f t="shared" si="21"/>
        <v>#DIV/0!</v>
      </c>
      <c r="AJ46" s="360" t="e">
        <f t="shared" si="22"/>
        <v>#DIV/0!</v>
      </c>
      <c r="AK46" s="360" t="e">
        <f t="shared" si="23"/>
        <v>#DIV/0!</v>
      </c>
      <c r="AL46" s="360" t="e">
        <f t="shared" si="24"/>
        <v>#DIV/0!</v>
      </c>
      <c r="AM46" s="360" t="e">
        <f t="shared" si="25"/>
        <v>#DIV/0!</v>
      </c>
      <c r="AN46" s="364" t="e">
        <f t="shared" si="29"/>
        <v>#DIV/0!</v>
      </c>
      <c r="AO46" s="360" t="e">
        <f t="shared" ca="1" si="33"/>
        <v>#DIV/0!</v>
      </c>
      <c r="AP46" s="368" t="e">
        <f t="shared" ca="1" si="34"/>
        <v>#VALUE!</v>
      </c>
      <c r="AQ46" s="357"/>
      <c r="AR46" s="358"/>
      <c r="AS46" s="358"/>
      <c r="AT46" s="304">
        <f t="shared" si="0"/>
        <v>0</v>
      </c>
      <c r="AU46" s="232" t="e">
        <f t="shared" ca="1" si="32"/>
        <v>#VALUE!</v>
      </c>
      <c r="AV46" s="232" t="e">
        <f t="shared" ca="1" si="30"/>
        <v>#VALUE!</v>
      </c>
      <c r="AW46" s="305" t="e">
        <f t="shared" ca="1" si="31"/>
        <v>#DIV/0!</v>
      </c>
      <c r="AX46" s="252" t="e">
        <f ca="1">PI()*((AH57-AG57)/(2*Cover!$G$11*1000*De!AN57*(SQRT(De!$Z$11)-SQRT(De!$Y$11))))</f>
        <v>#DIV/0!</v>
      </c>
      <c r="AY46" s="252" t="str">
        <f ca="1">IF(ISNUMBER((E36calc!$G54/(De!AN57*2653*Cover!$G$11))^2), (E36calc!$G54/(De!AN57*2653*Cover!$G$11))^2,"")</f>
        <v/>
      </c>
      <c r="BC46" s="293"/>
      <c r="BD46" s="371"/>
      <c r="BE46" s="371"/>
      <c r="BF46" s="371"/>
      <c r="BG46" s="371"/>
      <c r="BH46" s="293"/>
      <c r="BI46" s="374"/>
      <c r="BJ46" s="374"/>
      <c r="BK46" s="293"/>
    </row>
    <row r="47" spans="1:63" ht="15" x14ac:dyDescent="0.25">
      <c r="A47" s="360">
        <f>'Measured Cummulative'!A41</f>
        <v>0</v>
      </c>
      <c r="B47" s="363" t="e">
        <f t="shared" si="12"/>
        <v>#DIV/0!</v>
      </c>
      <c r="C47" s="364"/>
      <c r="D47" s="360" t="e">
        <f ca="1">(PI()/4)*(('Measured Cummulative'!E41/$B47)^2)*((Cover!$F$11/Cover!$I$11)^2)*(1/'Measured Cummulative'!E$1)</f>
        <v>#DIV/0!</v>
      </c>
      <c r="E47" s="360" t="e">
        <f ca="1">(PI()/4)*(('Measured Cummulative'!F41/$B47)^2)*((Cover!$F$11/Cover!$I$11)^2)*(1/'Measured Cummulative'!F$1)</f>
        <v>#DIV/0!</v>
      </c>
      <c r="F47" s="360" t="e">
        <f ca="1">(PI()/4)*(('Measured Cummulative'!G41/$B47)^2)*((Cover!$F$11/Cover!$I$11)^2)*(1/'Measured Cummulative'!G$1)</f>
        <v>#DIV/0!</v>
      </c>
      <c r="G47" s="360" t="e">
        <f ca="1">(PI()/4)*(('Measured Cummulative'!H41/$B47)^2)*((Cover!$F$11/Cover!$I$11)^2)*(1/'Measured Cummulative'!H$1)</f>
        <v>#DIV/0!</v>
      </c>
      <c r="H47" s="360" t="e">
        <f ca="1">(PI()/4)*(('Measured Cummulative'!I41/$B47)^2)*((Cover!$F$11/Cover!$I$11)^2)*(1/'Measured Cummulative'!I$1)</f>
        <v>#DIV/0!</v>
      </c>
      <c r="I47" s="360" t="e">
        <f ca="1">(PI()/4)*(('Measured Cummulative'!J41/$B47)^2)*((Cover!$F$11/Cover!$I$11)^2)*(1/'Measured Cummulative'!J$1)</f>
        <v>#DIV/0!</v>
      </c>
      <c r="J47" s="360" t="e">
        <f ca="1">(PI()/4)*(('Measured Cummulative'!K41/$B47)^2)*((Cover!$F$11/Cover!$I$11)^2)*(1/'Measured Cummulative'!K$1)</f>
        <v>#DIV/0!</v>
      </c>
      <c r="K47" s="360" t="e">
        <f ca="1">(PI()/4)*(('Measured Cummulative'!L41/$B47)^2)*((Cover!$F$11/Cover!$I$11)^2)*(1/'Measured Cummulative'!L$1)</f>
        <v>#DIV/0!</v>
      </c>
      <c r="L47" s="360">
        <f>'Measured Cummulative'!A41</f>
        <v>0</v>
      </c>
      <c r="M47" s="364" t="e">
        <f t="shared" si="16"/>
        <v>#DIV/0!</v>
      </c>
      <c r="N47" s="364"/>
      <c r="O47" s="365" t="e">
        <f t="shared" ca="1" si="7"/>
        <v>#DIV/0!</v>
      </c>
      <c r="P47" s="365" t="e">
        <f t="shared" ca="1" si="8"/>
        <v>#DIV/0!</v>
      </c>
      <c r="Q47" s="365" t="e">
        <f t="shared" ca="1" si="13"/>
        <v>#DIV/0!</v>
      </c>
      <c r="R47" s="366"/>
      <c r="S47" s="367"/>
      <c r="T47" s="366">
        <f t="shared" si="17"/>
        <v>0</v>
      </c>
      <c r="U47" s="364" t="e">
        <f>'Source Term'!AI54*$T$9</f>
        <v>#DIV/0!</v>
      </c>
      <c r="V47" s="367"/>
      <c r="W47" s="367">
        <v>1</v>
      </c>
      <c r="X47" s="360" t="e">
        <f>('Analytical Data'!F40*Cover!$H$11)/($U47*(Cover!$B$11/1000))</f>
        <v>#DIV/0!</v>
      </c>
      <c r="Y47" s="360" t="e">
        <f>('Analytical Data'!G40*Cover!$H$11)/($U47*(Cover!$B$11/1000))</f>
        <v>#DIV/0!</v>
      </c>
      <c r="Z47" s="360" t="e">
        <f>('Analytical Data'!H40*Cover!$H$11)/($U47*(Cover!$B$11/1000))</f>
        <v>#DIV/0!</v>
      </c>
      <c r="AA47" s="360" t="e">
        <f>('Analytical Data'!I40*Cover!$H$11)/($U47*(Cover!$B$11/1000))</f>
        <v>#DIV/0!</v>
      </c>
      <c r="AB47" s="360" t="e">
        <f>('Analytical Data'!J40*Cover!$H$11)/($U47*(Cover!$B$11/1000))</f>
        <v>#DIV/0!</v>
      </c>
      <c r="AC47" s="360" t="e">
        <f>('Analytical Data'!K40*Cover!$H$11)/($U47*(Cover!$B$11/1000))</f>
        <v>#DIV/0!</v>
      </c>
      <c r="AD47" s="360" t="e">
        <f>('Analytical Data'!L40*Cover!$H$11)/($U47*(Cover!$B$11/1000))</f>
        <v>#DIV/0!</v>
      </c>
      <c r="AE47" s="360" t="e">
        <f>('Analytical Data'!M40*Cover!$H$11)/($U47*(Cover!$B$11/1000))</f>
        <v>#DIV/0!</v>
      </c>
      <c r="AF47" s="360" t="e">
        <f t="shared" si="18"/>
        <v>#DIV/0!</v>
      </c>
      <c r="AG47" s="360" t="e">
        <f t="shared" si="19"/>
        <v>#DIV/0!</v>
      </c>
      <c r="AH47" s="360" t="e">
        <f t="shared" si="20"/>
        <v>#DIV/0!</v>
      </c>
      <c r="AI47" s="360" t="e">
        <f t="shared" si="21"/>
        <v>#DIV/0!</v>
      </c>
      <c r="AJ47" s="360" t="e">
        <f t="shared" si="22"/>
        <v>#DIV/0!</v>
      </c>
      <c r="AK47" s="360" t="e">
        <f t="shared" si="23"/>
        <v>#DIV/0!</v>
      </c>
      <c r="AL47" s="360" t="e">
        <f t="shared" si="24"/>
        <v>#DIV/0!</v>
      </c>
      <c r="AM47" s="360" t="e">
        <f t="shared" si="25"/>
        <v>#DIV/0!</v>
      </c>
      <c r="AN47" s="364" t="e">
        <f t="shared" si="29"/>
        <v>#DIV/0!</v>
      </c>
      <c r="AO47" s="360" t="e">
        <f t="shared" ca="1" si="33"/>
        <v>#DIV/0!</v>
      </c>
      <c r="AP47" s="368" t="e">
        <f t="shared" ca="1" si="34"/>
        <v>#VALUE!</v>
      </c>
      <c r="AQ47" s="357"/>
      <c r="AR47" s="358"/>
      <c r="AS47" s="358"/>
      <c r="AT47" s="304">
        <f t="shared" si="0"/>
        <v>0</v>
      </c>
      <c r="AU47" s="232" t="e">
        <f t="shared" ca="1" si="32"/>
        <v>#VALUE!</v>
      </c>
      <c r="AV47" s="232" t="e">
        <f t="shared" ca="1" si="30"/>
        <v>#VALUE!</v>
      </c>
      <c r="AW47" s="305" t="e">
        <f t="shared" ca="1" si="31"/>
        <v>#DIV/0!</v>
      </c>
      <c r="AX47" s="252" t="e">
        <f ca="1">PI()*((AH58-AG58)/(2*Cover!$G$11*1000*De!AN58*(SQRT(De!$Z$11)-SQRT(De!$Y$11))))</f>
        <v>#DIV/0!</v>
      </c>
      <c r="AY47" s="252" t="str">
        <f ca="1">IF(ISNUMBER((E36calc!$G55/(De!AN58*2653*Cover!$G$11))^2), (E36calc!$G55/(De!AN58*2653*Cover!$G$11))^2,"")</f>
        <v/>
      </c>
      <c r="BC47" s="293"/>
      <c r="BD47" s="293"/>
      <c r="BE47" s="293"/>
      <c r="BF47" s="293"/>
      <c r="BG47" s="293"/>
      <c r="BH47" s="293"/>
      <c r="BI47" s="293"/>
      <c r="BJ47" s="293"/>
      <c r="BK47" s="293"/>
    </row>
    <row r="48" spans="1:63" ht="15" x14ac:dyDescent="0.25">
      <c r="A48" s="360">
        <f>'Measured Cummulative'!A42</f>
        <v>0</v>
      </c>
      <c r="B48" s="363" t="e">
        <f t="shared" si="12"/>
        <v>#DIV/0!</v>
      </c>
      <c r="C48" s="364"/>
      <c r="D48" s="360" t="e">
        <f ca="1">(PI()/4)*(('Measured Cummulative'!E42/$B48)^2)*((Cover!$F$11/Cover!$I$11)^2)*(1/'Measured Cummulative'!E$1)</f>
        <v>#DIV/0!</v>
      </c>
      <c r="E48" s="360" t="e">
        <f ca="1">(PI()/4)*(('Measured Cummulative'!F42/$B48)^2)*((Cover!$F$11/Cover!$I$11)^2)*(1/'Measured Cummulative'!F$1)</f>
        <v>#DIV/0!</v>
      </c>
      <c r="F48" s="360" t="e">
        <f ca="1">(PI()/4)*(('Measured Cummulative'!G42/$B48)^2)*((Cover!$F$11/Cover!$I$11)^2)*(1/'Measured Cummulative'!G$1)</f>
        <v>#DIV/0!</v>
      </c>
      <c r="G48" s="360" t="e">
        <f ca="1">(PI()/4)*(('Measured Cummulative'!H42/$B48)^2)*((Cover!$F$11/Cover!$I$11)^2)*(1/'Measured Cummulative'!H$1)</f>
        <v>#DIV/0!</v>
      </c>
      <c r="H48" s="360" t="e">
        <f ca="1">(PI()/4)*(('Measured Cummulative'!I42/$B48)^2)*((Cover!$F$11/Cover!$I$11)^2)*(1/'Measured Cummulative'!I$1)</f>
        <v>#DIV/0!</v>
      </c>
      <c r="I48" s="360" t="e">
        <f ca="1">(PI()/4)*(('Measured Cummulative'!J42/$B48)^2)*((Cover!$F$11/Cover!$I$11)^2)*(1/'Measured Cummulative'!J$1)</f>
        <v>#DIV/0!</v>
      </c>
      <c r="J48" s="360" t="e">
        <f ca="1">(PI()/4)*(('Measured Cummulative'!K42/$B48)^2)*((Cover!$F$11/Cover!$I$11)^2)*(1/'Measured Cummulative'!K$1)</f>
        <v>#DIV/0!</v>
      </c>
      <c r="K48" s="360" t="e">
        <f ca="1">(PI()/4)*(('Measured Cummulative'!L42/$B48)^2)*((Cover!$F$11/Cover!$I$11)^2)*(1/'Measured Cummulative'!L$1)</f>
        <v>#DIV/0!</v>
      </c>
      <c r="L48" s="360">
        <f>'Measured Cummulative'!A42</f>
        <v>0</v>
      </c>
      <c r="M48" s="364" t="e">
        <f t="shared" si="16"/>
        <v>#DIV/0!</v>
      </c>
      <c r="N48" s="364"/>
      <c r="O48" s="365" t="e">
        <f t="shared" ca="1" si="7"/>
        <v>#DIV/0!</v>
      </c>
      <c r="P48" s="365" t="e">
        <f t="shared" ca="1" si="8"/>
        <v>#DIV/0!</v>
      </c>
      <c r="Q48" s="365" t="e">
        <f t="shared" ca="1" si="13"/>
        <v>#DIV/0!</v>
      </c>
      <c r="R48" s="366"/>
      <c r="S48" s="367"/>
      <c r="T48" s="366">
        <f t="shared" si="17"/>
        <v>0</v>
      </c>
      <c r="U48" s="364" t="e">
        <f>'Source Term'!AI55*$T$9</f>
        <v>#DIV/0!</v>
      </c>
      <c r="V48" s="367"/>
      <c r="W48" s="367">
        <v>1</v>
      </c>
      <c r="X48" s="360" t="e">
        <f>('Analytical Data'!F41*Cover!$H$11)/($U48*(Cover!$B$11/1000))</f>
        <v>#DIV/0!</v>
      </c>
      <c r="Y48" s="360" t="e">
        <f>('Analytical Data'!G41*Cover!$H$11)/($U48*(Cover!$B$11/1000))</f>
        <v>#DIV/0!</v>
      </c>
      <c r="Z48" s="360" t="e">
        <f>('Analytical Data'!H41*Cover!$H$11)/($U48*(Cover!$B$11/1000))</f>
        <v>#DIV/0!</v>
      </c>
      <c r="AA48" s="360" t="e">
        <f>('Analytical Data'!I41*Cover!$H$11)/($U48*(Cover!$B$11/1000))</f>
        <v>#DIV/0!</v>
      </c>
      <c r="AB48" s="360" t="e">
        <f>('Analytical Data'!J41*Cover!$H$11)/($U48*(Cover!$B$11/1000))</f>
        <v>#DIV/0!</v>
      </c>
      <c r="AC48" s="360" t="e">
        <f>('Analytical Data'!K41*Cover!$H$11)/($U48*(Cover!$B$11/1000))</f>
        <v>#DIV/0!</v>
      </c>
      <c r="AD48" s="360" t="e">
        <f>('Analytical Data'!L41*Cover!$H$11)/($U48*(Cover!$B$11/1000))</f>
        <v>#DIV/0!</v>
      </c>
      <c r="AE48" s="360" t="e">
        <f>('Analytical Data'!M41*Cover!$H$11)/($U48*(Cover!$B$11/1000))</f>
        <v>#DIV/0!</v>
      </c>
      <c r="AF48" s="360" t="e">
        <f t="shared" si="18"/>
        <v>#DIV/0!</v>
      </c>
      <c r="AG48" s="360" t="e">
        <f t="shared" si="19"/>
        <v>#DIV/0!</v>
      </c>
      <c r="AH48" s="360" t="e">
        <f t="shared" si="20"/>
        <v>#DIV/0!</v>
      </c>
      <c r="AI48" s="360" t="e">
        <f t="shared" si="21"/>
        <v>#DIV/0!</v>
      </c>
      <c r="AJ48" s="360" t="e">
        <f t="shared" si="22"/>
        <v>#DIV/0!</v>
      </c>
      <c r="AK48" s="360" t="e">
        <f t="shared" si="23"/>
        <v>#DIV/0!</v>
      </c>
      <c r="AL48" s="360" t="e">
        <f t="shared" si="24"/>
        <v>#DIV/0!</v>
      </c>
      <c r="AM48" s="360" t="e">
        <f t="shared" si="25"/>
        <v>#DIV/0!</v>
      </c>
      <c r="AN48" s="364" t="e">
        <f t="shared" si="29"/>
        <v>#DIV/0!</v>
      </c>
      <c r="AO48" s="360" t="e">
        <f t="shared" ca="1" si="33"/>
        <v>#DIV/0!</v>
      </c>
      <c r="AP48" s="368" t="e">
        <f t="shared" ca="1" si="34"/>
        <v>#VALUE!</v>
      </c>
      <c r="AQ48" s="357"/>
      <c r="AR48" s="358"/>
      <c r="AS48" s="358"/>
      <c r="AT48" s="304">
        <f t="shared" si="0"/>
        <v>0</v>
      </c>
      <c r="AU48" s="232" t="e">
        <f t="shared" ca="1" si="32"/>
        <v>#VALUE!</v>
      </c>
      <c r="AV48" s="232" t="e">
        <f t="shared" ca="1" si="30"/>
        <v>#VALUE!</v>
      </c>
      <c r="AW48" s="305" t="e">
        <f t="shared" ca="1" si="31"/>
        <v>#DIV/0!</v>
      </c>
      <c r="AX48" s="252" t="e">
        <f ca="1">PI()*((AH59-AG59)/(2*Cover!$G$11*1000*De!AN59*(SQRT(De!$Z$11)-SQRT(De!$Y$11))))</f>
        <v>#DIV/0!</v>
      </c>
      <c r="AY48" s="252" t="str">
        <f ca="1">IF(ISNUMBER((E36calc!$G56/(De!AN59*2653*Cover!$G$11))^2), (E36calc!$G56/(De!AN59*2653*Cover!$G$11))^2,"")</f>
        <v/>
      </c>
      <c r="BC48" s="293"/>
      <c r="BD48" s="293"/>
      <c r="BE48" s="293"/>
      <c r="BF48" s="293"/>
      <c r="BG48" s="293"/>
      <c r="BH48" s="293"/>
      <c r="BI48" s="293"/>
      <c r="BJ48" s="293"/>
      <c r="BK48" s="293"/>
    </row>
    <row r="49" spans="1:51" ht="15" x14ac:dyDescent="0.25">
      <c r="A49" s="360">
        <f>'Measured Cummulative'!A43</f>
        <v>0</v>
      </c>
      <c r="B49" s="363" t="e">
        <f t="shared" si="12"/>
        <v>#DIV/0!</v>
      </c>
      <c r="C49" s="364"/>
      <c r="D49" s="360" t="e">
        <f ca="1">(PI()/4)*(('Measured Cummulative'!E43/$B49)^2)*((Cover!$F$11/Cover!$I$11)^2)*(1/'Measured Cummulative'!E$1)</f>
        <v>#DIV/0!</v>
      </c>
      <c r="E49" s="360" t="e">
        <f ca="1">(PI()/4)*(('Measured Cummulative'!F43/$B49)^2)*((Cover!$F$11/Cover!$I$11)^2)*(1/'Measured Cummulative'!F$1)</f>
        <v>#DIV/0!</v>
      </c>
      <c r="F49" s="360" t="e">
        <f ca="1">(PI()/4)*(('Measured Cummulative'!G43/$B49)^2)*((Cover!$F$11/Cover!$I$11)^2)*(1/'Measured Cummulative'!G$1)</f>
        <v>#DIV/0!</v>
      </c>
      <c r="G49" s="360" t="e">
        <f ca="1">(PI()/4)*(('Measured Cummulative'!H43/$B49)^2)*((Cover!$F$11/Cover!$I$11)^2)*(1/'Measured Cummulative'!H$1)</f>
        <v>#DIV/0!</v>
      </c>
      <c r="H49" s="360" t="e">
        <f ca="1">(PI()/4)*(('Measured Cummulative'!I43/$B49)^2)*((Cover!$F$11/Cover!$I$11)^2)*(1/'Measured Cummulative'!I$1)</f>
        <v>#DIV/0!</v>
      </c>
      <c r="I49" s="360" t="e">
        <f ca="1">(PI()/4)*(('Measured Cummulative'!J43/$B49)^2)*((Cover!$F$11/Cover!$I$11)^2)*(1/'Measured Cummulative'!J$1)</f>
        <v>#DIV/0!</v>
      </c>
      <c r="J49" s="360" t="e">
        <f ca="1">(PI()/4)*(('Measured Cummulative'!K43/$B49)^2)*((Cover!$F$11/Cover!$I$11)^2)*(1/'Measured Cummulative'!K$1)</f>
        <v>#DIV/0!</v>
      </c>
      <c r="K49" s="360" t="e">
        <f ca="1">(PI()/4)*(('Measured Cummulative'!L43/$B49)^2)*((Cover!$F$11/Cover!$I$11)^2)*(1/'Measured Cummulative'!L$1)</f>
        <v>#DIV/0!</v>
      </c>
      <c r="L49" s="360">
        <f>'Measured Cummulative'!A43</f>
        <v>0</v>
      </c>
      <c r="M49" s="364" t="e">
        <f t="shared" si="16"/>
        <v>#DIV/0!</v>
      </c>
      <c r="N49" s="364"/>
      <c r="O49" s="365" t="e">
        <f t="shared" ca="1" si="7"/>
        <v>#DIV/0!</v>
      </c>
      <c r="P49" s="365" t="e">
        <f t="shared" ca="1" si="8"/>
        <v>#DIV/0!</v>
      </c>
      <c r="Q49" s="365" t="e">
        <f t="shared" ca="1" si="13"/>
        <v>#DIV/0!</v>
      </c>
      <c r="R49" s="366"/>
      <c r="S49" s="367"/>
      <c r="T49" s="366">
        <f t="shared" si="17"/>
        <v>0</v>
      </c>
      <c r="U49" s="364" t="e">
        <f>'Source Term'!AI56*$T$9</f>
        <v>#DIV/0!</v>
      </c>
      <c r="V49" s="367"/>
      <c r="W49" s="367">
        <v>1</v>
      </c>
      <c r="X49" s="360" t="e">
        <f>('Analytical Data'!F42*Cover!$H$11)/($U49*(Cover!$B$11/1000))</f>
        <v>#DIV/0!</v>
      </c>
      <c r="Y49" s="360" t="e">
        <f>('Analytical Data'!G42*Cover!$H$11)/($U49*(Cover!$B$11/1000))</f>
        <v>#DIV/0!</v>
      </c>
      <c r="Z49" s="360" t="e">
        <f>('Analytical Data'!H42*Cover!$H$11)/($U49*(Cover!$B$11/1000))</f>
        <v>#DIV/0!</v>
      </c>
      <c r="AA49" s="360" t="e">
        <f>('Analytical Data'!I42*Cover!$H$11)/($U49*(Cover!$B$11/1000))</f>
        <v>#DIV/0!</v>
      </c>
      <c r="AB49" s="360" t="e">
        <f>('Analytical Data'!J42*Cover!$H$11)/($U49*(Cover!$B$11/1000))</f>
        <v>#DIV/0!</v>
      </c>
      <c r="AC49" s="360" t="e">
        <f>('Analytical Data'!K42*Cover!$H$11)/($U49*(Cover!$B$11/1000))</f>
        <v>#DIV/0!</v>
      </c>
      <c r="AD49" s="360" t="e">
        <f>('Analytical Data'!L42*Cover!$H$11)/($U49*(Cover!$B$11/1000))</f>
        <v>#DIV/0!</v>
      </c>
      <c r="AE49" s="360" t="e">
        <f>('Analytical Data'!M42*Cover!$H$11)/($U49*(Cover!$B$11/1000))</f>
        <v>#DIV/0!</v>
      </c>
      <c r="AF49" s="360" t="e">
        <f t="shared" si="18"/>
        <v>#DIV/0!</v>
      </c>
      <c r="AG49" s="360" t="e">
        <f t="shared" si="19"/>
        <v>#DIV/0!</v>
      </c>
      <c r="AH49" s="360" t="e">
        <f t="shared" si="20"/>
        <v>#DIV/0!</v>
      </c>
      <c r="AI49" s="360" t="e">
        <f t="shared" si="21"/>
        <v>#DIV/0!</v>
      </c>
      <c r="AJ49" s="360" t="e">
        <f t="shared" si="22"/>
        <v>#DIV/0!</v>
      </c>
      <c r="AK49" s="360" t="e">
        <f t="shared" si="23"/>
        <v>#DIV/0!</v>
      </c>
      <c r="AL49" s="360" t="e">
        <f t="shared" si="24"/>
        <v>#DIV/0!</v>
      </c>
      <c r="AM49" s="360" t="e">
        <f t="shared" si="25"/>
        <v>#DIV/0!</v>
      </c>
      <c r="AN49" s="364" t="e">
        <f t="shared" si="29"/>
        <v>#DIV/0!</v>
      </c>
      <c r="AO49" s="360" t="e">
        <f t="shared" ca="1" si="33"/>
        <v>#DIV/0!</v>
      </c>
      <c r="AP49" s="368" t="e">
        <f t="shared" ca="1" si="34"/>
        <v>#VALUE!</v>
      </c>
      <c r="AQ49" s="357"/>
      <c r="AR49" s="358"/>
      <c r="AS49" s="358"/>
      <c r="AT49" s="304">
        <f t="shared" si="0"/>
        <v>0</v>
      </c>
      <c r="AU49" s="232" t="e">
        <f t="shared" ca="1" si="32"/>
        <v>#VALUE!</v>
      </c>
      <c r="AV49" s="232" t="e">
        <f t="shared" ca="1" si="30"/>
        <v>#VALUE!</v>
      </c>
      <c r="AW49" s="305" t="e">
        <f t="shared" ca="1" si="31"/>
        <v>#DIV/0!</v>
      </c>
      <c r="AX49" s="252" t="e">
        <f ca="1">PI()*((AH60-AG60)/(2*Cover!$G$11*1000*De!AN60*(SQRT(De!$Z$11)-SQRT(De!$Y$11))))</f>
        <v>#DIV/0!</v>
      </c>
      <c r="AY49" s="252" t="str">
        <f ca="1">IF(ISNUMBER((E36calc!$G57/(De!AN60*2653*Cover!$G$11))^2), (E36calc!$G57/(De!AN60*2653*Cover!$G$11))^2,"")</f>
        <v/>
      </c>
    </row>
    <row r="50" spans="1:51" ht="15" x14ac:dyDescent="0.25">
      <c r="A50" s="360">
        <f>'Measured Cummulative'!A44</f>
        <v>0</v>
      </c>
      <c r="B50" s="363" t="e">
        <f t="shared" si="12"/>
        <v>#DIV/0!</v>
      </c>
      <c r="C50" s="364"/>
      <c r="D50" s="360" t="e">
        <f ca="1">(PI()/4)*(('Measured Cummulative'!E44/$B50)^2)*((Cover!$F$11/Cover!$I$11)^2)*(1/'Measured Cummulative'!E$1)</f>
        <v>#DIV/0!</v>
      </c>
      <c r="E50" s="360" t="e">
        <f ca="1">(PI()/4)*(('Measured Cummulative'!F44/$B50)^2)*((Cover!$F$11/Cover!$I$11)^2)*(1/'Measured Cummulative'!F$1)</f>
        <v>#DIV/0!</v>
      </c>
      <c r="F50" s="360" t="e">
        <f ca="1">(PI()/4)*(('Measured Cummulative'!G44/$B50)^2)*((Cover!$F$11/Cover!$I$11)^2)*(1/'Measured Cummulative'!G$1)</f>
        <v>#DIV/0!</v>
      </c>
      <c r="G50" s="360" t="e">
        <f ca="1">(PI()/4)*(('Measured Cummulative'!H44/$B50)^2)*((Cover!$F$11/Cover!$I$11)^2)*(1/'Measured Cummulative'!H$1)</f>
        <v>#DIV/0!</v>
      </c>
      <c r="H50" s="360" t="e">
        <f ca="1">(PI()/4)*(('Measured Cummulative'!I44/$B50)^2)*((Cover!$F$11/Cover!$I$11)^2)*(1/'Measured Cummulative'!I$1)</f>
        <v>#DIV/0!</v>
      </c>
      <c r="I50" s="360" t="e">
        <f ca="1">(PI()/4)*(('Measured Cummulative'!J44/$B50)^2)*((Cover!$F$11/Cover!$I$11)^2)*(1/'Measured Cummulative'!J$1)</f>
        <v>#DIV/0!</v>
      </c>
      <c r="J50" s="360" t="e">
        <f ca="1">(PI()/4)*(('Measured Cummulative'!K44/$B50)^2)*((Cover!$F$11/Cover!$I$11)^2)*(1/'Measured Cummulative'!K$1)</f>
        <v>#DIV/0!</v>
      </c>
      <c r="K50" s="360" t="e">
        <f ca="1">(PI()/4)*(('Measured Cummulative'!L44/$B50)^2)*((Cover!$F$11/Cover!$I$11)^2)*(1/'Measured Cummulative'!L$1)</f>
        <v>#DIV/0!</v>
      </c>
      <c r="L50" s="360">
        <f>'Measured Cummulative'!A44</f>
        <v>0</v>
      </c>
      <c r="M50" s="364" t="e">
        <f t="shared" si="16"/>
        <v>#DIV/0!</v>
      </c>
      <c r="N50" s="364"/>
      <c r="O50" s="365" t="e">
        <f t="shared" ca="1" si="7"/>
        <v>#DIV/0!</v>
      </c>
      <c r="P50" s="365" t="e">
        <f t="shared" ca="1" si="8"/>
        <v>#DIV/0!</v>
      </c>
      <c r="Q50" s="365" t="e">
        <f t="shared" ca="1" si="13"/>
        <v>#DIV/0!</v>
      </c>
      <c r="R50" s="366"/>
      <c r="S50" s="367"/>
      <c r="T50" s="366">
        <f t="shared" si="17"/>
        <v>0</v>
      </c>
      <c r="U50" s="364" t="e">
        <f>'Source Term'!AI57*$T$9</f>
        <v>#DIV/0!</v>
      </c>
      <c r="V50" s="367"/>
      <c r="W50" s="367">
        <v>1</v>
      </c>
      <c r="X50" s="360" t="e">
        <f>('Analytical Data'!F43*Cover!$H$11)/($U50*(Cover!$B$11/1000))</f>
        <v>#DIV/0!</v>
      </c>
      <c r="Y50" s="360" t="e">
        <f>('Analytical Data'!G43*Cover!$H$11)/($U50*(Cover!$B$11/1000))</f>
        <v>#DIV/0!</v>
      </c>
      <c r="Z50" s="360" t="e">
        <f>('Analytical Data'!H43*Cover!$H$11)/($U50*(Cover!$B$11/1000))</f>
        <v>#DIV/0!</v>
      </c>
      <c r="AA50" s="360" t="e">
        <f>('Analytical Data'!I43*Cover!$H$11)/($U50*(Cover!$B$11/1000))</f>
        <v>#DIV/0!</v>
      </c>
      <c r="AB50" s="360" t="e">
        <f>('Analytical Data'!J43*Cover!$H$11)/($U50*(Cover!$B$11/1000))</f>
        <v>#DIV/0!</v>
      </c>
      <c r="AC50" s="360" t="e">
        <f>('Analytical Data'!K43*Cover!$H$11)/($U50*(Cover!$B$11/1000))</f>
        <v>#DIV/0!</v>
      </c>
      <c r="AD50" s="360" t="e">
        <f>('Analytical Data'!L43*Cover!$H$11)/($U50*(Cover!$B$11/1000))</f>
        <v>#DIV/0!</v>
      </c>
      <c r="AE50" s="360" t="e">
        <f>('Analytical Data'!M43*Cover!$H$11)/($U50*(Cover!$B$11/1000))</f>
        <v>#DIV/0!</v>
      </c>
      <c r="AF50" s="360" t="e">
        <f t="shared" si="18"/>
        <v>#DIV/0!</v>
      </c>
      <c r="AG50" s="360" t="e">
        <f t="shared" si="19"/>
        <v>#DIV/0!</v>
      </c>
      <c r="AH50" s="360" t="e">
        <f t="shared" si="20"/>
        <v>#DIV/0!</v>
      </c>
      <c r="AI50" s="360" t="e">
        <f t="shared" si="21"/>
        <v>#DIV/0!</v>
      </c>
      <c r="AJ50" s="360" t="e">
        <f t="shared" si="22"/>
        <v>#DIV/0!</v>
      </c>
      <c r="AK50" s="360" t="e">
        <f t="shared" si="23"/>
        <v>#DIV/0!</v>
      </c>
      <c r="AL50" s="360" t="e">
        <f t="shared" si="24"/>
        <v>#DIV/0!</v>
      </c>
      <c r="AM50" s="360" t="e">
        <f t="shared" si="25"/>
        <v>#DIV/0!</v>
      </c>
      <c r="AN50" s="364" t="e">
        <f t="shared" si="29"/>
        <v>#DIV/0!</v>
      </c>
      <c r="AO50" s="360" t="e">
        <f t="shared" ca="1" si="33"/>
        <v>#DIV/0!</v>
      </c>
      <c r="AP50" s="368" t="e">
        <f t="shared" ca="1" si="34"/>
        <v>#VALUE!</v>
      </c>
      <c r="AQ50" s="357"/>
      <c r="AR50" s="358"/>
      <c r="AS50" s="358"/>
      <c r="AT50" s="304">
        <f t="shared" si="0"/>
        <v>0</v>
      </c>
      <c r="AU50" s="232" t="e">
        <f t="shared" ca="1" si="32"/>
        <v>#VALUE!</v>
      </c>
      <c r="AV50" s="232" t="e">
        <f t="shared" ca="1" si="30"/>
        <v>#VALUE!</v>
      </c>
      <c r="AW50" s="305" t="e">
        <f t="shared" ca="1" si="31"/>
        <v>#DIV/0!</v>
      </c>
      <c r="AX50" s="252" t="e">
        <f ca="1">PI()*((AH61-AG61)/(2*Cover!$G$11*1000*De!AN61*(SQRT(De!$Z$11)-SQRT(De!$Y$11))))</f>
        <v>#DIV/0!</v>
      </c>
      <c r="AY50" s="252" t="str">
        <f ca="1">IF(ISNUMBER((E36calc!$G58/(De!AN61*2653*Cover!$G$11))^2), (E36calc!$G58/(De!AN61*2653*Cover!$G$11))^2,"")</f>
        <v/>
      </c>
    </row>
    <row r="51" spans="1:51" ht="15" x14ac:dyDescent="0.25">
      <c r="A51" s="360">
        <f>'Measured Cummulative'!A45</f>
        <v>0</v>
      </c>
      <c r="B51" s="363" t="e">
        <f t="shared" si="12"/>
        <v>#DIV/0!</v>
      </c>
      <c r="C51" s="364"/>
      <c r="D51" s="360" t="e">
        <f ca="1">(PI()/4)*(('Measured Cummulative'!E45/$B51)^2)*((Cover!$F$11/Cover!$I$11)^2)*(1/'Measured Cummulative'!E$1)</f>
        <v>#DIV/0!</v>
      </c>
      <c r="E51" s="360" t="e">
        <f ca="1">(PI()/4)*(('Measured Cummulative'!F45/$B51)^2)*((Cover!$F$11/Cover!$I$11)^2)*(1/'Measured Cummulative'!F$1)</f>
        <v>#DIV/0!</v>
      </c>
      <c r="F51" s="360" t="e">
        <f ca="1">(PI()/4)*(('Measured Cummulative'!G45/$B51)^2)*((Cover!$F$11/Cover!$I$11)^2)*(1/'Measured Cummulative'!G$1)</f>
        <v>#DIV/0!</v>
      </c>
      <c r="G51" s="360" t="e">
        <f ca="1">(PI()/4)*(('Measured Cummulative'!H45/$B51)^2)*((Cover!$F$11/Cover!$I$11)^2)*(1/'Measured Cummulative'!H$1)</f>
        <v>#DIV/0!</v>
      </c>
      <c r="H51" s="360" t="e">
        <f ca="1">(PI()/4)*(('Measured Cummulative'!I45/$B51)^2)*((Cover!$F$11/Cover!$I$11)^2)*(1/'Measured Cummulative'!I$1)</f>
        <v>#DIV/0!</v>
      </c>
      <c r="I51" s="360" t="e">
        <f ca="1">(PI()/4)*(('Measured Cummulative'!J45/$B51)^2)*((Cover!$F$11/Cover!$I$11)^2)*(1/'Measured Cummulative'!J$1)</f>
        <v>#DIV/0!</v>
      </c>
      <c r="J51" s="360" t="e">
        <f ca="1">(PI()/4)*(('Measured Cummulative'!K45/$B51)^2)*((Cover!$F$11/Cover!$I$11)^2)*(1/'Measured Cummulative'!K$1)</f>
        <v>#DIV/0!</v>
      </c>
      <c r="K51" s="360" t="e">
        <f ca="1">(PI()/4)*(('Measured Cummulative'!L45/$B51)^2)*((Cover!$F$11/Cover!$I$11)^2)*(1/'Measured Cummulative'!L$1)</f>
        <v>#DIV/0!</v>
      </c>
      <c r="L51" s="360">
        <f>'Measured Cummulative'!A45</f>
        <v>0</v>
      </c>
      <c r="M51" s="364" t="e">
        <f t="shared" si="16"/>
        <v>#DIV/0!</v>
      </c>
      <c r="N51" s="364"/>
      <c r="O51" s="365" t="e">
        <f t="shared" ca="1" si="7"/>
        <v>#DIV/0!</v>
      </c>
      <c r="P51" s="365" t="e">
        <f t="shared" ca="1" si="8"/>
        <v>#DIV/0!</v>
      </c>
      <c r="Q51" s="365" t="e">
        <f t="shared" ca="1" si="13"/>
        <v>#DIV/0!</v>
      </c>
      <c r="R51" s="366"/>
      <c r="S51" s="367"/>
      <c r="T51" s="366">
        <f t="shared" si="17"/>
        <v>0</v>
      </c>
      <c r="U51" s="364" t="e">
        <f>'Source Term'!AI58*$T$9</f>
        <v>#DIV/0!</v>
      </c>
      <c r="V51" s="367"/>
      <c r="W51" s="367">
        <v>1</v>
      </c>
      <c r="X51" s="360" t="e">
        <f>('Analytical Data'!F44*Cover!$H$11)/($U51*(Cover!$B$11/1000))</f>
        <v>#DIV/0!</v>
      </c>
      <c r="Y51" s="360" t="e">
        <f>('Analytical Data'!G44*Cover!$H$11)/($U51*(Cover!$B$11/1000))</f>
        <v>#DIV/0!</v>
      </c>
      <c r="Z51" s="360" t="e">
        <f>('Analytical Data'!H44*Cover!$H$11)/($U51*(Cover!$B$11/1000))</f>
        <v>#DIV/0!</v>
      </c>
      <c r="AA51" s="360" t="e">
        <f>('Analytical Data'!I44*Cover!$H$11)/($U51*(Cover!$B$11/1000))</f>
        <v>#DIV/0!</v>
      </c>
      <c r="AB51" s="360" t="e">
        <f>('Analytical Data'!J44*Cover!$H$11)/($U51*(Cover!$B$11/1000))</f>
        <v>#DIV/0!</v>
      </c>
      <c r="AC51" s="360" t="e">
        <f>('Analytical Data'!K44*Cover!$H$11)/($U51*(Cover!$B$11/1000))</f>
        <v>#DIV/0!</v>
      </c>
      <c r="AD51" s="360" t="e">
        <f>('Analytical Data'!L44*Cover!$H$11)/($U51*(Cover!$B$11/1000))</f>
        <v>#DIV/0!</v>
      </c>
      <c r="AE51" s="360" t="e">
        <f>('Analytical Data'!M44*Cover!$H$11)/($U51*(Cover!$B$11/1000))</f>
        <v>#DIV/0!</v>
      </c>
      <c r="AF51" s="360" t="e">
        <f t="shared" si="18"/>
        <v>#DIV/0!</v>
      </c>
      <c r="AG51" s="360" t="e">
        <f t="shared" si="19"/>
        <v>#DIV/0!</v>
      </c>
      <c r="AH51" s="360" t="e">
        <f t="shared" si="20"/>
        <v>#DIV/0!</v>
      </c>
      <c r="AI51" s="360" t="e">
        <f t="shared" si="21"/>
        <v>#DIV/0!</v>
      </c>
      <c r="AJ51" s="360" t="e">
        <f t="shared" si="22"/>
        <v>#DIV/0!</v>
      </c>
      <c r="AK51" s="360" t="e">
        <f t="shared" si="23"/>
        <v>#DIV/0!</v>
      </c>
      <c r="AL51" s="360" t="e">
        <f t="shared" si="24"/>
        <v>#DIV/0!</v>
      </c>
      <c r="AM51" s="360" t="e">
        <f t="shared" si="25"/>
        <v>#DIV/0!</v>
      </c>
      <c r="AN51" s="364" t="e">
        <f t="shared" si="29"/>
        <v>#DIV/0!</v>
      </c>
      <c r="AO51" s="360" t="e">
        <f t="shared" ca="1" si="33"/>
        <v>#DIV/0!</v>
      </c>
      <c r="AP51" s="368" t="e">
        <f t="shared" ca="1" si="34"/>
        <v>#VALUE!</v>
      </c>
      <c r="AQ51" s="357"/>
      <c r="AR51" s="358"/>
      <c r="AS51" s="358"/>
      <c r="AT51" s="304">
        <f t="shared" si="0"/>
        <v>0</v>
      </c>
      <c r="AU51" s="232" t="e">
        <f t="shared" ca="1" si="32"/>
        <v>#VALUE!</v>
      </c>
      <c r="AV51" s="232" t="e">
        <f t="shared" ca="1" si="30"/>
        <v>#VALUE!</v>
      </c>
      <c r="AW51" s="305" t="e">
        <f t="shared" ca="1" si="31"/>
        <v>#DIV/0!</v>
      </c>
      <c r="AX51" s="252" t="e">
        <f ca="1">PI()*((AH62-AG62)/(2*Cover!$G$11*1000*De!AN62*(SQRT(De!$Z$11)-SQRT(De!$Y$11))))</f>
        <v>#DIV/0!</v>
      </c>
      <c r="AY51" s="252" t="str">
        <f ca="1">IF(ISNUMBER((E36calc!$G59/(De!AN62*2653*Cover!$G$11))^2), (E36calc!$G59/(De!AN62*2653*Cover!$G$11))^2,"")</f>
        <v/>
      </c>
    </row>
    <row r="52" spans="1:51" s="250" customFormat="1" ht="15" x14ac:dyDescent="0.25">
      <c r="A52" s="360">
        <f>'Measured Cummulative'!A46</f>
        <v>0</v>
      </c>
      <c r="B52" s="363" t="e">
        <f t="shared" si="12"/>
        <v>#DIV/0!</v>
      </c>
      <c r="C52" s="364"/>
      <c r="D52" s="360" t="e">
        <f ca="1">(PI()/4)*(('Measured Cummulative'!E46/$B52)^2)*((Cover!$F$11/Cover!$I$11)^2)*(1/'Measured Cummulative'!E$1)</f>
        <v>#DIV/0!</v>
      </c>
      <c r="E52" s="360" t="e">
        <f ca="1">(PI()/4)*(('Measured Cummulative'!F46/$B52)^2)*((Cover!$F$11/Cover!$I$11)^2)*(1/'Measured Cummulative'!F$1)</f>
        <v>#DIV/0!</v>
      </c>
      <c r="F52" s="360" t="e">
        <f ca="1">(PI()/4)*(('Measured Cummulative'!G46/$B52)^2)*((Cover!$F$11/Cover!$I$11)^2)*(1/'Measured Cummulative'!G$1)</f>
        <v>#DIV/0!</v>
      </c>
      <c r="G52" s="360" t="e">
        <f ca="1">(PI()/4)*(('Measured Cummulative'!H46/$B52)^2)*((Cover!$F$11/Cover!$I$11)^2)*(1/'Measured Cummulative'!H$1)</f>
        <v>#DIV/0!</v>
      </c>
      <c r="H52" s="360" t="e">
        <f ca="1">(PI()/4)*(('Measured Cummulative'!I46/$B52)^2)*((Cover!$F$11/Cover!$I$11)^2)*(1/'Measured Cummulative'!I$1)</f>
        <v>#DIV/0!</v>
      </c>
      <c r="I52" s="360" t="e">
        <f ca="1">(PI()/4)*(('Measured Cummulative'!J46/$B52)^2)*((Cover!$F$11/Cover!$I$11)^2)*(1/'Measured Cummulative'!J$1)</f>
        <v>#DIV/0!</v>
      </c>
      <c r="J52" s="360" t="e">
        <f ca="1">(PI()/4)*(('Measured Cummulative'!K46/$B52)^2)*((Cover!$F$11/Cover!$I$11)^2)*(1/'Measured Cummulative'!K$1)</f>
        <v>#DIV/0!</v>
      </c>
      <c r="K52" s="360" t="e">
        <f ca="1">(PI()/4)*(('Measured Cummulative'!L46/$B52)^2)*((Cover!$F$11/Cover!$I$11)^2)*(1/'Measured Cummulative'!L$1)</f>
        <v>#DIV/0!</v>
      </c>
      <c r="L52" s="360">
        <f>'Measured Cummulative'!A46</f>
        <v>0</v>
      </c>
      <c r="M52" s="364" t="e">
        <f t="shared" si="16"/>
        <v>#DIV/0!</v>
      </c>
      <c r="N52" s="364"/>
      <c r="O52" s="365" t="e">
        <f t="shared" ca="1" si="7"/>
        <v>#DIV/0!</v>
      </c>
      <c r="P52" s="365" t="e">
        <f t="shared" ca="1" si="8"/>
        <v>#DIV/0!</v>
      </c>
      <c r="Q52" s="365" t="e">
        <f t="shared" ca="1" si="13"/>
        <v>#DIV/0!</v>
      </c>
      <c r="R52" s="366"/>
      <c r="S52" s="364"/>
      <c r="T52" s="366">
        <f t="shared" si="17"/>
        <v>0</v>
      </c>
      <c r="U52" s="364" t="e">
        <f>'Source Term'!AI59*$T$9</f>
        <v>#DIV/0!</v>
      </c>
      <c r="V52" s="364"/>
      <c r="W52" s="367">
        <v>1</v>
      </c>
      <c r="X52" s="360" t="e">
        <f>('Analytical Data'!F45*Cover!$H$11)/($U52*(Cover!$B$11/1000))</f>
        <v>#DIV/0!</v>
      </c>
      <c r="Y52" s="360" t="e">
        <f>('Analytical Data'!G45*Cover!$H$11)/($U52*(Cover!$B$11/1000))</f>
        <v>#DIV/0!</v>
      </c>
      <c r="Z52" s="360" t="e">
        <f>('Analytical Data'!H45*Cover!$H$11)/($U52*(Cover!$B$11/1000))</f>
        <v>#DIV/0!</v>
      </c>
      <c r="AA52" s="360" t="e">
        <f>('Analytical Data'!I45*Cover!$H$11)/($U52*(Cover!$B$11/1000))</f>
        <v>#DIV/0!</v>
      </c>
      <c r="AB52" s="360" t="e">
        <f>('Analytical Data'!J45*Cover!$H$11)/($U52*(Cover!$B$11/1000))</f>
        <v>#DIV/0!</v>
      </c>
      <c r="AC52" s="360" t="e">
        <f>('Analytical Data'!K45*Cover!$H$11)/($U52*(Cover!$B$11/1000))</f>
        <v>#DIV/0!</v>
      </c>
      <c r="AD52" s="360" t="e">
        <f>('Analytical Data'!L45*Cover!$H$11)/($U52*(Cover!$B$11/1000))</f>
        <v>#DIV/0!</v>
      </c>
      <c r="AE52" s="360" t="e">
        <f>('Analytical Data'!M45*Cover!$H$11)/($U52*(Cover!$B$11/1000))</f>
        <v>#DIV/0!</v>
      </c>
      <c r="AF52" s="360" t="e">
        <f t="shared" si="18"/>
        <v>#DIV/0!</v>
      </c>
      <c r="AG52" s="360" t="e">
        <f t="shared" si="19"/>
        <v>#DIV/0!</v>
      </c>
      <c r="AH52" s="360" t="e">
        <f t="shared" si="20"/>
        <v>#DIV/0!</v>
      </c>
      <c r="AI52" s="360" t="e">
        <f t="shared" si="21"/>
        <v>#DIV/0!</v>
      </c>
      <c r="AJ52" s="360" t="e">
        <f t="shared" si="22"/>
        <v>#DIV/0!</v>
      </c>
      <c r="AK52" s="360" t="e">
        <f t="shared" si="23"/>
        <v>#DIV/0!</v>
      </c>
      <c r="AL52" s="360" t="e">
        <f t="shared" si="24"/>
        <v>#DIV/0!</v>
      </c>
      <c r="AM52" s="360" t="e">
        <f t="shared" si="25"/>
        <v>#DIV/0!</v>
      </c>
      <c r="AN52" s="364" t="e">
        <f t="shared" si="29"/>
        <v>#DIV/0!</v>
      </c>
      <c r="AO52" s="360" t="e">
        <f t="shared" ca="1" si="33"/>
        <v>#DIV/0!</v>
      </c>
      <c r="AP52" s="368" t="e">
        <f t="shared" ca="1" si="34"/>
        <v>#VALUE!</v>
      </c>
      <c r="AQ52" s="357"/>
      <c r="AR52" s="358"/>
      <c r="AS52" s="358"/>
      <c r="AT52" s="304">
        <f t="shared" si="0"/>
        <v>0</v>
      </c>
      <c r="AU52" s="232" t="e">
        <f t="shared" ca="1" si="32"/>
        <v>#VALUE!</v>
      </c>
      <c r="AV52" s="232" t="e">
        <f t="shared" ca="1" si="30"/>
        <v>#VALUE!</v>
      </c>
      <c r="AW52" s="305" t="e">
        <f t="shared" ca="1" si="31"/>
        <v>#DIV/0!</v>
      </c>
      <c r="AX52" s="252" t="e">
        <f ca="1">PI()*((AH63-AG63)/(2*Cover!$G$11*1000*De!AN63*(SQRT(De!$Z$11)-SQRT(De!$Y$11))))</f>
        <v>#DIV/0!</v>
      </c>
      <c r="AY52" s="252" t="str">
        <f ca="1">IF(ISNUMBER((E36calc!$G60/(De!AN63*2653*Cover!$G$11))^2), (E36calc!$G60/(De!AN63*2653*Cover!$G$11))^2,"")</f>
        <v/>
      </c>
    </row>
    <row r="53" spans="1:51" ht="15" x14ac:dyDescent="0.25">
      <c r="A53" s="360">
        <f>'Measured Cummulative'!A47</f>
        <v>0</v>
      </c>
      <c r="B53" s="363" t="e">
        <f t="shared" si="12"/>
        <v>#DIV/0!</v>
      </c>
      <c r="C53" s="364"/>
      <c r="D53" s="360" t="e">
        <f ca="1">(PI()/4)*(('Measured Cummulative'!E47/$B53)^2)*((Cover!$F$11/Cover!$I$11)^2)*(1/'Measured Cummulative'!E$1)</f>
        <v>#DIV/0!</v>
      </c>
      <c r="E53" s="360" t="e">
        <f ca="1">(PI()/4)*(('Measured Cummulative'!F47/$B53)^2)*((Cover!$F$11/Cover!$I$11)^2)*(1/'Measured Cummulative'!F$1)</f>
        <v>#DIV/0!</v>
      </c>
      <c r="F53" s="360" t="e">
        <f ca="1">(PI()/4)*(('Measured Cummulative'!G47/$B53)^2)*((Cover!$F$11/Cover!$I$11)^2)*(1/'Measured Cummulative'!G$1)</f>
        <v>#DIV/0!</v>
      </c>
      <c r="G53" s="360" t="e">
        <f ca="1">(PI()/4)*(('Measured Cummulative'!H47/$B53)^2)*((Cover!$F$11/Cover!$I$11)^2)*(1/'Measured Cummulative'!H$1)</f>
        <v>#DIV/0!</v>
      </c>
      <c r="H53" s="360" t="e">
        <f ca="1">(PI()/4)*(('Measured Cummulative'!I47/$B53)^2)*((Cover!$F$11/Cover!$I$11)^2)*(1/'Measured Cummulative'!I$1)</f>
        <v>#DIV/0!</v>
      </c>
      <c r="I53" s="360" t="e">
        <f ca="1">(PI()/4)*(('Measured Cummulative'!J47/$B53)^2)*((Cover!$F$11/Cover!$I$11)^2)*(1/'Measured Cummulative'!J$1)</f>
        <v>#DIV/0!</v>
      </c>
      <c r="J53" s="360" t="e">
        <f ca="1">(PI()/4)*(('Measured Cummulative'!K47/$B53)^2)*((Cover!$F$11/Cover!$I$11)^2)*(1/'Measured Cummulative'!K$1)</f>
        <v>#DIV/0!</v>
      </c>
      <c r="K53" s="360" t="e">
        <f ca="1">(PI()/4)*(('Measured Cummulative'!L47/$B53)^2)*((Cover!$F$11/Cover!$I$11)^2)*(1/'Measured Cummulative'!L$1)</f>
        <v>#DIV/0!</v>
      </c>
      <c r="L53" s="360">
        <f>'Measured Cummulative'!A47</f>
        <v>0</v>
      </c>
      <c r="M53" s="364" t="e">
        <f t="shared" si="16"/>
        <v>#DIV/0!</v>
      </c>
      <c r="N53" s="364"/>
      <c r="O53" s="365" t="e">
        <f t="shared" ca="1" si="7"/>
        <v>#DIV/0!</v>
      </c>
      <c r="P53" s="365" t="e">
        <f t="shared" ca="1" si="8"/>
        <v>#DIV/0!</v>
      </c>
      <c r="Q53" s="365" t="e">
        <f t="shared" ca="1" si="13"/>
        <v>#DIV/0!</v>
      </c>
      <c r="R53" s="366"/>
      <c r="S53" s="364"/>
      <c r="T53" s="366">
        <f t="shared" si="17"/>
        <v>0</v>
      </c>
      <c r="U53" s="364" t="e">
        <f>'Source Term'!AI60*$T$9</f>
        <v>#DIV/0!</v>
      </c>
      <c r="V53" s="364"/>
      <c r="W53" s="367">
        <v>1</v>
      </c>
      <c r="X53" s="360" t="e">
        <f>('Analytical Data'!F46*Cover!$H$11)/($U53*(Cover!$B$11/1000))</f>
        <v>#DIV/0!</v>
      </c>
      <c r="Y53" s="360" t="e">
        <f>('Analytical Data'!G46*Cover!$H$11)/($U53*(Cover!$B$11/1000))</f>
        <v>#DIV/0!</v>
      </c>
      <c r="Z53" s="360" t="e">
        <f>('Analytical Data'!H46*Cover!$H$11)/($U53*(Cover!$B$11/1000))</f>
        <v>#DIV/0!</v>
      </c>
      <c r="AA53" s="360" t="e">
        <f>('Analytical Data'!I46*Cover!$H$11)/($U53*(Cover!$B$11/1000))</f>
        <v>#DIV/0!</v>
      </c>
      <c r="AB53" s="360" t="e">
        <f>('Analytical Data'!J46*Cover!$H$11)/($U53*(Cover!$B$11/1000))</f>
        <v>#DIV/0!</v>
      </c>
      <c r="AC53" s="360" t="e">
        <f>('Analytical Data'!K46*Cover!$H$11)/($U53*(Cover!$B$11/1000))</f>
        <v>#DIV/0!</v>
      </c>
      <c r="AD53" s="360" t="e">
        <f>('Analytical Data'!L46*Cover!$H$11)/($U53*(Cover!$B$11/1000))</f>
        <v>#DIV/0!</v>
      </c>
      <c r="AE53" s="360" t="e">
        <f>('Analytical Data'!M46*Cover!$H$11)/($U53*(Cover!$B$11/1000))</f>
        <v>#DIV/0!</v>
      </c>
      <c r="AF53" s="360" t="e">
        <f t="shared" si="18"/>
        <v>#DIV/0!</v>
      </c>
      <c r="AG53" s="360" t="e">
        <f t="shared" si="19"/>
        <v>#DIV/0!</v>
      </c>
      <c r="AH53" s="360" t="e">
        <f t="shared" si="20"/>
        <v>#DIV/0!</v>
      </c>
      <c r="AI53" s="360" t="e">
        <f t="shared" si="21"/>
        <v>#DIV/0!</v>
      </c>
      <c r="AJ53" s="360" t="e">
        <f t="shared" si="22"/>
        <v>#DIV/0!</v>
      </c>
      <c r="AK53" s="360" t="e">
        <f t="shared" si="23"/>
        <v>#DIV/0!</v>
      </c>
      <c r="AL53" s="360" t="e">
        <f t="shared" si="24"/>
        <v>#DIV/0!</v>
      </c>
      <c r="AM53" s="360" t="e">
        <f t="shared" si="25"/>
        <v>#DIV/0!</v>
      </c>
      <c r="AN53" s="364" t="e">
        <f t="shared" si="29"/>
        <v>#DIV/0!</v>
      </c>
      <c r="AO53" s="360" t="e">
        <f t="shared" ca="1" si="33"/>
        <v>#DIV/0!</v>
      </c>
      <c r="AP53" s="368" t="e">
        <f t="shared" ca="1" si="34"/>
        <v>#VALUE!</v>
      </c>
      <c r="AQ53" s="357"/>
      <c r="AR53" s="358"/>
      <c r="AS53" s="358"/>
      <c r="AT53" s="304">
        <f t="shared" si="0"/>
        <v>0</v>
      </c>
      <c r="AU53" s="232" t="e">
        <f t="shared" ref="AU53:AU69" ca="1" si="39">((AP64)^2)*(PI()/4)*((VOL/SA)^2)</f>
        <v>#VALUE!</v>
      </c>
      <c r="AV53" s="232" t="e">
        <f t="shared" ref="AV53:AV69" ca="1" si="40">AU53*10000</f>
        <v>#VALUE!</v>
      </c>
      <c r="AW53" s="305" t="e">
        <f t="shared" ca="1" si="31"/>
        <v>#DIV/0!</v>
      </c>
      <c r="AX53" s="252" t="e">
        <f ca="1">PI()*((AH64-AG64)/(2*Cover!$G$11*1000*De!AN64*(SQRT(De!$Z$11)-SQRT(De!$Y$11))))</f>
        <v>#DIV/0!</v>
      </c>
      <c r="AY53" s="252" t="str">
        <f ca="1">IF(ISNUMBER((E36calc!$G61/(De!AN64*2653*Cover!$G$11))^2), (E36calc!$G61/(De!AN64*2653*Cover!$G$11))^2,"")</f>
        <v/>
      </c>
    </row>
    <row r="54" spans="1:51" ht="15" x14ac:dyDescent="0.25">
      <c r="A54" s="360">
        <f>'Measured Cummulative'!A48</f>
        <v>0</v>
      </c>
      <c r="B54" s="363" t="e">
        <f t="shared" si="12"/>
        <v>#DIV/0!</v>
      </c>
      <c r="C54" s="364"/>
      <c r="D54" s="360" t="e">
        <f ca="1">(PI()/4)*(('Measured Cummulative'!E48/$B54)^2)*((Cover!$F$11/Cover!$I$11)^2)*(1/'Measured Cummulative'!E$1)</f>
        <v>#DIV/0!</v>
      </c>
      <c r="E54" s="360" t="e">
        <f ca="1">(PI()/4)*(('Measured Cummulative'!F48/$B54)^2)*((Cover!$F$11/Cover!$I$11)^2)*(1/'Measured Cummulative'!F$1)</f>
        <v>#DIV/0!</v>
      </c>
      <c r="F54" s="360" t="e">
        <f ca="1">(PI()/4)*(('Measured Cummulative'!G48/$B54)^2)*((Cover!$F$11/Cover!$I$11)^2)*(1/'Measured Cummulative'!G$1)</f>
        <v>#DIV/0!</v>
      </c>
      <c r="G54" s="360" t="e">
        <f ca="1">(PI()/4)*(('Measured Cummulative'!H48/$B54)^2)*((Cover!$F$11/Cover!$I$11)^2)*(1/'Measured Cummulative'!H$1)</f>
        <v>#DIV/0!</v>
      </c>
      <c r="H54" s="360" t="e">
        <f ca="1">(PI()/4)*(('Measured Cummulative'!I48/$B54)^2)*((Cover!$F$11/Cover!$I$11)^2)*(1/'Measured Cummulative'!I$1)</f>
        <v>#DIV/0!</v>
      </c>
      <c r="I54" s="360" t="e">
        <f ca="1">(PI()/4)*(('Measured Cummulative'!J48/$B54)^2)*((Cover!$F$11/Cover!$I$11)^2)*(1/'Measured Cummulative'!J$1)</f>
        <v>#DIV/0!</v>
      </c>
      <c r="J54" s="360" t="e">
        <f ca="1">(PI()/4)*(('Measured Cummulative'!K48/$B54)^2)*((Cover!$F$11/Cover!$I$11)^2)*(1/'Measured Cummulative'!K$1)</f>
        <v>#DIV/0!</v>
      </c>
      <c r="K54" s="360" t="e">
        <f ca="1">(PI()/4)*(('Measured Cummulative'!L48/$B54)^2)*((Cover!$F$11/Cover!$I$11)^2)*(1/'Measured Cummulative'!L$1)</f>
        <v>#DIV/0!</v>
      </c>
      <c r="L54" s="360">
        <f>'Measured Cummulative'!A48</f>
        <v>0</v>
      </c>
      <c r="M54" s="364" t="e">
        <f t="shared" si="16"/>
        <v>#DIV/0!</v>
      </c>
      <c r="N54" s="364"/>
      <c r="O54" s="365" t="e">
        <f t="shared" ca="1" si="7"/>
        <v>#DIV/0!</v>
      </c>
      <c r="P54" s="365" t="e">
        <f t="shared" ca="1" si="8"/>
        <v>#DIV/0!</v>
      </c>
      <c r="Q54" s="365" t="e">
        <f t="shared" ca="1" si="13"/>
        <v>#DIV/0!</v>
      </c>
      <c r="R54" s="366"/>
      <c r="S54" s="364"/>
      <c r="T54" s="366">
        <f t="shared" si="17"/>
        <v>0</v>
      </c>
      <c r="U54" s="364" t="e">
        <f>'Source Term'!AI61*$T$9</f>
        <v>#DIV/0!</v>
      </c>
      <c r="V54" s="364"/>
      <c r="W54" s="367">
        <v>1</v>
      </c>
      <c r="X54" s="360" t="e">
        <f>('Analytical Data'!F47*Cover!$H$11)/($U54*(Cover!$B$11/1000))</f>
        <v>#DIV/0!</v>
      </c>
      <c r="Y54" s="360" t="e">
        <f>('Analytical Data'!G47*Cover!$H$11)/($U54*(Cover!$B$11/1000))</f>
        <v>#DIV/0!</v>
      </c>
      <c r="Z54" s="360" t="e">
        <f>('Analytical Data'!H47*Cover!$H$11)/($U54*(Cover!$B$11/1000))</f>
        <v>#DIV/0!</v>
      </c>
      <c r="AA54" s="360" t="e">
        <f>('Analytical Data'!I47*Cover!$H$11)/($U54*(Cover!$B$11/1000))</f>
        <v>#DIV/0!</v>
      </c>
      <c r="AB54" s="360" t="e">
        <f>('Analytical Data'!J47*Cover!$H$11)/($U54*(Cover!$B$11/1000))</f>
        <v>#DIV/0!</v>
      </c>
      <c r="AC54" s="360" t="e">
        <f>('Analytical Data'!K47*Cover!$H$11)/($U54*(Cover!$B$11/1000))</f>
        <v>#DIV/0!</v>
      </c>
      <c r="AD54" s="360" t="e">
        <f>('Analytical Data'!L47*Cover!$H$11)/($U54*(Cover!$B$11/1000))</f>
        <v>#DIV/0!</v>
      </c>
      <c r="AE54" s="360" t="e">
        <f>('Analytical Data'!M47*Cover!$H$11)/($U54*(Cover!$B$11/1000))</f>
        <v>#DIV/0!</v>
      </c>
      <c r="AF54" s="360" t="e">
        <f t="shared" si="18"/>
        <v>#DIV/0!</v>
      </c>
      <c r="AG54" s="360" t="e">
        <f t="shared" si="19"/>
        <v>#DIV/0!</v>
      </c>
      <c r="AH54" s="360" t="e">
        <f t="shared" si="20"/>
        <v>#DIV/0!</v>
      </c>
      <c r="AI54" s="360" t="e">
        <f t="shared" si="21"/>
        <v>#DIV/0!</v>
      </c>
      <c r="AJ54" s="360" t="e">
        <f t="shared" si="22"/>
        <v>#DIV/0!</v>
      </c>
      <c r="AK54" s="360" t="e">
        <f t="shared" si="23"/>
        <v>#DIV/0!</v>
      </c>
      <c r="AL54" s="360" t="e">
        <f t="shared" si="24"/>
        <v>#DIV/0!</v>
      </c>
      <c r="AM54" s="360" t="e">
        <f t="shared" si="25"/>
        <v>#DIV/0!</v>
      </c>
      <c r="AN54" s="364" t="e">
        <f t="shared" si="29"/>
        <v>#DIV/0!</v>
      </c>
      <c r="AO54" s="360" t="e">
        <f t="shared" ca="1" si="33"/>
        <v>#DIV/0!</v>
      </c>
      <c r="AP54" s="368" t="e">
        <f t="shared" ca="1" si="34"/>
        <v>#VALUE!</v>
      </c>
      <c r="AQ54" s="357"/>
      <c r="AR54" s="358"/>
      <c r="AS54" s="358"/>
      <c r="AT54" s="304">
        <f t="shared" si="0"/>
        <v>0</v>
      </c>
      <c r="AU54" s="232" t="e">
        <f t="shared" ca="1" si="39"/>
        <v>#VALUE!</v>
      </c>
      <c r="AV54" s="232" t="e">
        <f t="shared" ca="1" si="40"/>
        <v>#VALUE!</v>
      </c>
      <c r="AW54" s="305" t="e">
        <f t="shared" ca="1" si="31"/>
        <v>#DIV/0!</v>
      </c>
      <c r="AX54" s="252" t="e">
        <f ca="1">PI()*((AH65-AG65)/(2*Cover!$G$11*1000*De!AN65*(SQRT(De!$Z$11)-SQRT(De!$Y$11))))</f>
        <v>#DIV/0!</v>
      </c>
      <c r="AY54" s="252" t="str">
        <f ca="1">IF(ISNUMBER((E36calc!$G62/(De!AN65*2653*Cover!$G$11))^2), (E36calc!$G62/(De!AN65*2653*Cover!$G$11))^2,"")</f>
        <v/>
      </c>
    </row>
    <row r="55" spans="1:51" ht="15" x14ac:dyDescent="0.25">
      <c r="A55" s="360">
        <f>'Measured Cummulative'!A49</f>
        <v>0</v>
      </c>
      <c r="B55" s="363" t="e">
        <f t="shared" si="12"/>
        <v>#DIV/0!</v>
      </c>
      <c r="C55" s="364"/>
      <c r="D55" s="360" t="e">
        <f ca="1">(PI()/4)*(('Measured Cummulative'!E49/$B55)^2)*((Cover!$F$11/Cover!$I$11)^2)*(1/'Measured Cummulative'!E$1)</f>
        <v>#DIV/0!</v>
      </c>
      <c r="E55" s="360" t="e">
        <f ca="1">(PI()/4)*(('Measured Cummulative'!F49/$B55)^2)*((Cover!$F$11/Cover!$I$11)^2)*(1/'Measured Cummulative'!F$1)</f>
        <v>#DIV/0!</v>
      </c>
      <c r="F55" s="360" t="e">
        <f ca="1">(PI()/4)*(('Measured Cummulative'!G49/$B55)^2)*((Cover!$F$11/Cover!$I$11)^2)*(1/'Measured Cummulative'!G$1)</f>
        <v>#DIV/0!</v>
      </c>
      <c r="G55" s="360" t="e">
        <f ca="1">(PI()/4)*(('Measured Cummulative'!H49/$B55)^2)*((Cover!$F$11/Cover!$I$11)^2)*(1/'Measured Cummulative'!H$1)</f>
        <v>#DIV/0!</v>
      </c>
      <c r="H55" s="360" t="e">
        <f ca="1">(PI()/4)*(('Measured Cummulative'!I49/$B55)^2)*((Cover!$F$11/Cover!$I$11)^2)*(1/'Measured Cummulative'!I$1)</f>
        <v>#DIV/0!</v>
      </c>
      <c r="I55" s="360" t="e">
        <f ca="1">(PI()/4)*(('Measured Cummulative'!J49/$B55)^2)*((Cover!$F$11/Cover!$I$11)^2)*(1/'Measured Cummulative'!J$1)</f>
        <v>#DIV/0!</v>
      </c>
      <c r="J55" s="360" t="e">
        <f ca="1">(PI()/4)*(('Measured Cummulative'!K49/$B55)^2)*((Cover!$F$11/Cover!$I$11)^2)*(1/'Measured Cummulative'!K$1)</f>
        <v>#DIV/0!</v>
      </c>
      <c r="K55" s="360" t="e">
        <f ca="1">(PI()/4)*(('Measured Cummulative'!L49/$B55)^2)*((Cover!$F$11/Cover!$I$11)^2)*(1/'Measured Cummulative'!L$1)</f>
        <v>#DIV/0!</v>
      </c>
      <c r="L55" s="360">
        <f>'Measured Cummulative'!A49</f>
        <v>0</v>
      </c>
      <c r="M55" s="364" t="e">
        <f t="shared" si="16"/>
        <v>#DIV/0!</v>
      </c>
      <c r="N55" s="364"/>
      <c r="O55" s="365" t="e">
        <f t="shared" ca="1" si="7"/>
        <v>#DIV/0!</v>
      </c>
      <c r="P55" s="365" t="e">
        <f t="shared" ca="1" si="8"/>
        <v>#DIV/0!</v>
      </c>
      <c r="Q55" s="365" t="e">
        <f t="shared" ca="1" si="13"/>
        <v>#DIV/0!</v>
      </c>
      <c r="R55" s="366"/>
      <c r="S55" s="364"/>
      <c r="T55" s="366">
        <f t="shared" si="17"/>
        <v>0</v>
      </c>
      <c r="U55" s="364" t="e">
        <f>'Source Term'!AI62*$T$9</f>
        <v>#DIV/0!</v>
      </c>
      <c r="V55" s="364"/>
      <c r="W55" s="367">
        <v>1</v>
      </c>
      <c r="X55" s="360" t="e">
        <f>('Analytical Data'!F48*Cover!$H$11)/($U55*(Cover!$B$11/1000))</f>
        <v>#DIV/0!</v>
      </c>
      <c r="Y55" s="360" t="e">
        <f>('Analytical Data'!G48*Cover!$H$11)/($U55*(Cover!$B$11/1000))</f>
        <v>#DIV/0!</v>
      </c>
      <c r="Z55" s="360" t="e">
        <f>('Analytical Data'!H48*Cover!$H$11)/($U55*(Cover!$B$11/1000))</f>
        <v>#DIV/0!</v>
      </c>
      <c r="AA55" s="360" t="e">
        <f>('Analytical Data'!I48*Cover!$H$11)/($U55*(Cover!$B$11/1000))</f>
        <v>#DIV/0!</v>
      </c>
      <c r="AB55" s="360" t="e">
        <f>('Analytical Data'!J48*Cover!$H$11)/($U55*(Cover!$B$11/1000))</f>
        <v>#DIV/0!</v>
      </c>
      <c r="AC55" s="360" t="e">
        <f>('Analytical Data'!K48*Cover!$H$11)/($U55*(Cover!$B$11/1000))</f>
        <v>#DIV/0!</v>
      </c>
      <c r="AD55" s="360" t="e">
        <f>('Analytical Data'!L48*Cover!$H$11)/($U55*(Cover!$B$11/1000))</f>
        <v>#DIV/0!</v>
      </c>
      <c r="AE55" s="360" t="e">
        <f>('Analytical Data'!M48*Cover!$H$11)/($U55*(Cover!$B$11/1000))</f>
        <v>#DIV/0!</v>
      </c>
      <c r="AF55" s="360" t="e">
        <f t="shared" si="18"/>
        <v>#DIV/0!</v>
      </c>
      <c r="AG55" s="360" t="e">
        <f t="shared" si="19"/>
        <v>#DIV/0!</v>
      </c>
      <c r="AH55" s="360" t="e">
        <f t="shared" si="20"/>
        <v>#DIV/0!</v>
      </c>
      <c r="AI55" s="360" t="e">
        <f t="shared" si="21"/>
        <v>#DIV/0!</v>
      </c>
      <c r="AJ55" s="360" t="e">
        <f t="shared" si="22"/>
        <v>#DIV/0!</v>
      </c>
      <c r="AK55" s="360" t="e">
        <f t="shared" si="23"/>
        <v>#DIV/0!</v>
      </c>
      <c r="AL55" s="360" t="e">
        <f t="shared" si="24"/>
        <v>#DIV/0!</v>
      </c>
      <c r="AM55" s="360" t="e">
        <f t="shared" si="25"/>
        <v>#DIV/0!</v>
      </c>
      <c r="AN55" s="364" t="e">
        <f t="shared" si="29"/>
        <v>#DIV/0!</v>
      </c>
      <c r="AO55" s="360" t="e">
        <f t="shared" ca="1" si="33"/>
        <v>#DIV/0!</v>
      </c>
      <c r="AP55" s="368" t="e">
        <f t="shared" ca="1" si="34"/>
        <v>#VALUE!</v>
      </c>
      <c r="AQ55" s="357"/>
      <c r="AR55" s="358"/>
      <c r="AS55" s="358"/>
      <c r="AT55" s="304">
        <f t="shared" si="0"/>
        <v>0</v>
      </c>
      <c r="AU55" s="232" t="e">
        <f t="shared" ca="1" si="39"/>
        <v>#VALUE!</v>
      </c>
      <c r="AV55" s="232" t="e">
        <f t="shared" ca="1" si="40"/>
        <v>#VALUE!</v>
      </c>
      <c r="AW55" s="305" t="e">
        <f t="shared" ca="1" si="31"/>
        <v>#DIV/0!</v>
      </c>
      <c r="AX55" s="252" t="e">
        <f ca="1">PI()*((AH66-AG66)/(2*Cover!$G$11*1000*De!AN66*(SQRT(De!$Z$11)-SQRT(De!$Y$11))))</f>
        <v>#DIV/0!</v>
      </c>
      <c r="AY55" s="252" t="str">
        <f ca="1">IF(ISNUMBER((E36calc!$G63/(De!AN66*2653*Cover!$G$11))^2), (E36calc!$G63/(De!AN66*2653*Cover!$G$11))^2,"")</f>
        <v/>
      </c>
    </row>
    <row r="56" spans="1:51" ht="15" x14ac:dyDescent="0.25">
      <c r="A56" s="360">
        <f>'Measured Cummulative'!A50</f>
        <v>0</v>
      </c>
      <c r="B56" s="363" t="e">
        <f t="shared" si="12"/>
        <v>#DIV/0!</v>
      </c>
      <c r="C56" s="364"/>
      <c r="D56" s="360" t="e">
        <f ca="1">(PI()/4)*(('Measured Cummulative'!E50/$B56)^2)*((Cover!$F$11/Cover!$I$11)^2)*(1/'Measured Cummulative'!E$1)</f>
        <v>#DIV/0!</v>
      </c>
      <c r="E56" s="360" t="e">
        <f ca="1">(PI()/4)*(('Measured Cummulative'!F50/$B56)^2)*((Cover!$F$11/Cover!$I$11)^2)*(1/'Measured Cummulative'!F$1)</f>
        <v>#DIV/0!</v>
      </c>
      <c r="F56" s="360" t="e">
        <f ca="1">(PI()/4)*(('Measured Cummulative'!G50/$B56)^2)*((Cover!$F$11/Cover!$I$11)^2)*(1/'Measured Cummulative'!G$1)</f>
        <v>#DIV/0!</v>
      </c>
      <c r="G56" s="360" t="e">
        <f ca="1">(PI()/4)*(('Measured Cummulative'!H50/$B56)^2)*((Cover!$F$11/Cover!$I$11)^2)*(1/'Measured Cummulative'!H$1)</f>
        <v>#DIV/0!</v>
      </c>
      <c r="H56" s="360" t="e">
        <f ca="1">(PI()/4)*(('Measured Cummulative'!I50/$B56)^2)*((Cover!$F$11/Cover!$I$11)^2)*(1/'Measured Cummulative'!I$1)</f>
        <v>#DIV/0!</v>
      </c>
      <c r="I56" s="360" t="e">
        <f ca="1">(PI()/4)*(('Measured Cummulative'!J50/$B56)^2)*((Cover!$F$11/Cover!$I$11)^2)*(1/'Measured Cummulative'!J$1)</f>
        <v>#DIV/0!</v>
      </c>
      <c r="J56" s="360" t="e">
        <f ca="1">(PI()/4)*(('Measured Cummulative'!K50/$B56)^2)*((Cover!$F$11/Cover!$I$11)^2)*(1/'Measured Cummulative'!K$1)</f>
        <v>#DIV/0!</v>
      </c>
      <c r="K56" s="360" t="e">
        <f ca="1">(PI()/4)*(('Measured Cummulative'!L50/$B56)^2)*((Cover!$F$11/Cover!$I$11)^2)*(1/'Measured Cummulative'!L$1)</f>
        <v>#DIV/0!</v>
      </c>
      <c r="L56" s="360">
        <f>'Measured Cummulative'!A50</f>
        <v>0</v>
      </c>
      <c r="M56" s="364" t="e">
        <f t="shared" si="16"/>
        <v>#DIV/0!</v>
      </c>
      <c r="N56" s="364"/>
      <c r="O56" s="365" t="e">
        <f t="shared" ca="1" si="7"/>
        <v>#DIV/0!</v>
      </c>
      <c r="P56" s="365" t="e">
        <f t="shared" ca="1" si="8"/>
        <v>#DIV/0!</v>
      </c>
      <c r="Q56" s="365" t="e">
        <f t="shared" ca="1" si="13"/>
        <v>#DIV/0!</v>
      </c>
      <c r="R56" s="366"/>
      <c r="S56" s="364"/>
      <c r="T56" s="366">
        <f t="shared" si="17"/>
        <v>0</v>
      </c>
      <c r="U56" s="364" t="e">
        <f>'Source Term'!AI63*$T$9</f>
        <v>#DIV/0!</v>
      </c>
      <c r="V56" s="364"/>
      <c r="W56" s="367">
        <v>1</v>
      </c>
      <c r="X56" s="360" t="e">
        <f>('Analytical Data'!F49*Cover!$H$11)/($U56*(Cover!$B$11/1000))</f>
        <v>#DIV/0!</v>
      </c>
      <c r="Y56" s="360" t="e">
        <f>('Analytical Data'!G49*Cover!$H$11)/($U56*(Cover!$B$11/1000))</f>
        <v>#DIV/0!</v>
      </c>
      <c r="Z56" s="360" t="e">
        <f>('Analytical Data'!H49*Cover!$H$11)/($U56*(Cover!$B$11/1000))</f>
        <v>#DIV/0!</v>
      </c>
      <c r="AA56" s="360" t="e">
        <f>('Analytical Data'!I49*Cover!$H$11)/($U56*(Cover!$B$11/1000))</f>
        <v>#DIV/0!</v>
      </c>
      <c r="AB56" s="360" t="e">
        <f>('Analytical Data'!J49*Cover!$H$11)/($U56*(Cover!$B$11/1000))</f>
        <v>#DIV/0!</v>
      </c>
      <c r="AC56" s="360" t="e">
        <f>('Analytical Data'!K49*Cover!$H$11)/($U56*(Cover!$B$11/1000))</f>
        <v>#DIV/0!</v>
      </c>
      <c r="AD56" s="360" t="e">
        <f>('Analytical Data'!L49*Cover!$H$11)/($U56*(Cover!$B$11/1000))</f>
        <v>#DIV/0!</v>
      </c>
      <c r="AE56" s="360" t="e">
        <f>('Analytical Data'!M49*Cover!$H$11)/($U56*(Cover!$B$11/1000))</f>
        <v>#DIV/0!</v>
      </c>
      <c r="AF56" s="360" t="e">
        <f t="shared" si="18"/>
        <v>#DIV/0!</v>
      </c>
      <c r="AG56" s="360" t="e">
        <f t="shared" si="19"/>
        <v>#DIV/0!</v>
      </c>
      <c r="AH56" s="360" t="e">
        <f t="shared" si="20"/>
        <v>#DIV/0!</v>
      </c>
      <c r="AI56" s="360" t="e">
        <f t="shared" si="21"/>
        <v>#DIV/0!</v>
      </c>
      <c r="AJ56" s="360" t="e">
        <f t="shared" si="22"/>
        <v>#DIV/0!</v>
      </c>
      <c r="AK56" s="360" t="e">
        <f t="shared" si="23"/>
        <v>#DIV/0!</v>
      </c>
      <c r="AL56" s="360" t="e">
        <f t="shared" si="24"/>
        <v>#DIV/0!</v>
      </c>
      <c r="AM56" s="360" t="e">
        <f t="shared" si="25"/>
        <v>#DIV/0!</v>
      </c>
      <c r="AN56" s="364" t="e">
        <f t="shared" si="29"/>
        <v>#DIV/0!</v>
      </c>
      <c r="AO56" s="360" t="e">
        <f t="shared" ca="1" si="33"/>
        <v>#DIV/0!</v>
      </c>
      <c r="AP56" s="368" t="e">
        <f t="shared" ca="1" si="34"/>
        <v>#VALUE!</v>
      </c>
      <c r="AQ56" s="357"/>
      <c r="AR56" s="358"/>
      <c r="AS56" s="358"/>
      <c r="AT56" s="304">
        <f t="shared" si="0"/>
        <v>0</v>
      </c>
      <c r="AU56" s="232" t="e">
        <f t="shared" ca="1" si="39"/>
        <v>#VALUE!</v>
      </c>
      <c r="AV56" s="232" t="e">
        <f t="shared" ca="1" si="40"/>
        <v>#VALUE!</v>
      </c>
      <c r="AW56" s="305" t="e">
        <f t="shared" ca="1" si="31"/>
        <v>#DIV/0!</v>
      </c>
      <c r="AX56" s="252" t="e">
        <f ca="1">PI()*((AH67-AG67)/(2*Cover!$G$11*1000*De!AN67*(SQRT(De!$Z$11)-SQRT(De!$Y$11))))</f>
        <v>#DIV/0!</v>
      </c>
      <c r="AY56" s="252" t="str">
        <f ca="1">IF(ISNUMBER((E36calc!$G64/(De!AN67*2653*Cover!$G$11))^2), (E36calc!$G64/(De!AN67*2653*Cover!$G$11))^2,"")</f>
        <v/>
      </c>
    </row>
    <row r="57" spans="1:51" ht="15" x14ac:dyDescent="0.25">
      <c r="A57" s="360">
        <f>'Measured Cummulative'!A51</f>
        <v>0</v>
      </c>
      <c r="B57" s="363" t="e">
        <f t="shared" si="12"/>
        <v>#DIV/0!</v>
      </c>
      <c r="C57" s="364"/>
      <c r="D57" s="360" t="e">
        <f ca="1">(PI()/4)*(('Measured Cummulative'!E51/$B57)^2)*((Cover!$F$11/Cover!$I$11)^2)*(1/'Measured Cummulative'!E$1)</f>
        <v>#DIV/0!</v>
      </c>
      <c r="E57" s="360" t="e">
        <f ca="1">(PI()/4)*(('Measured Cummulative'!F51/$B57)^2)*((Cover!$F$11/Cover!$I$11)^2)*(1/'Measured Cummulative'!F$1)</f>
        <v>#DIV/0!</v>
      </c>
      <c r="F57" s="360" t="e">
        <f ca="1">(PI()/4)*(('Measured Cummulative'!G51/$B57)^2)*((Cover!$F$11/Cover!$I$11)^2)*(1/'Measured Cummulative'!G$1)</f>
        <v>#DIV/0!</v>
      </c>
      <c r="G57" s="360" t="e">
        <f ca="1">(PI()/4)*(('Measured Cummulative'!H51/$B57)^2)*((Cover!$F$11/Cover!$I$11)^2)*(1/'Measured Cummulative'!H$1)</f>
        <v>#DIV/0!</v>
      </c>
      <c r="H57" s="360" t="e">
        <f ca="1">(PI()/4)*(('Measured Cummulative'!I51/$B57)^2)*((Cover!$F$11/Cover!$I$11)^2)*(1/'Measured Cummulative'!I$1)</f>
        <v>#DIV/0!</v>
      </c>
      <c r="I57" s="360" t="e">
        <f ca="1">(PI()/4)*(('Measured Cummulative'!J51/$B57)^2)*((Cover!$F$11/Cover!$I$11)^2)*(1/'Measured Cummulative'!J$1)</f>
        <v>#DIV/0!</v>
      </c>
      <c r="J57" s="360" t="e">
        <f ca="1">(PI()/4)*(('Measured Cummulative'!K51/$B57)^2)*((Cover!$F$11/Cover!$I$11)^2)*(1/'Measured Cummulative'!K$1)</f>
        <v>#DIV/0!</v>
      </c>
      <c r="K57" s="360" t="e">
        <f ca="1">(PI()/4)*(('Measured Cummulative'!L51/$B57)^2)*((Cover!$F$11/Cover!$I$11)^2)*(1/'Measured Cummulative'!L$1)</f>
        <v>#DIV/0!</v>
      </c>
      <c r="L57" s="360">
        <f>'Measured Cummulative'!A51</f>
        <v>0</v>
      </c>
      <c r="M57" s="364" t="e">
        <f t="shared" si="16"/>
        <v>#DIV/0!</v>
      </c>
      <c r="N57" s="364"/>
      <c r="O57" s="365" t="e">
        <f t="shared" ca="1" si="7"/>
        <v>#DIV/0!</v>
      </c>
      <c r="P57" s="365" t="e">
        <f t="shared" ca="1" si="8"/>
        <v>#DIV/0!</v>
      </c>
      <c r="Q57" s="365" t="e">
        <f t="shared" ca="1" si="13"/>
        <v>#DIV/0!</v>
      </c>
      <c r="R57" s="366"/>
      <c r="S57" s="364"/>
      <c r="T57" s="366">
        <f t="shared" si="17"/>
        <v>0</v>
      </c>
      <c r="U57" s="364" t="e">
        <f>'Source Term'!AI64*$T$9</f>
        <v>#DIV/0!</v>
      </c>
      <c r="V57" s="364"/>
      <c r="W57" s="367">
        <v>1</v>
      </c>
      <c r="X57" s="360" t="e">
        <f>('Analytical Data'!F50*Cover!$H$11)/($U57*(Cover!$B$11/1000))</f>
        <v>#DIV/0!</v>
      </c>
      <c r="Y57" s="360" t="e">
        <f>('Analytical Data'!G50*Cover!$H$11)/($U57*(Cover!$B$11/1000))</f>
        <v>#DIV/0!</v>
      </c>
      <c r="Z57" s="360" t="e">
        <f>('Analytical Data'!H50*Cover!$H$11)/($U57*(Cover!$B$11/1000))</f>
        <v>#DIV/0!</v>
      </c>
      <c r="AA57" s="360" t="e">
        <f>('Analytical Data'!I50*Cover!$H$11)/($U57*(Cover!$B$11/1000))</f>
        <v>#DIV/0!</v>
      </c>
      <c r="AB57" s="360" t="e">
        <f>('Analytical Data'!J50*Cover!$H$11)/($U57*(Cover!$B$11/1000))</f>
        <v>#DIV/0!</v>
      </c>
      <c r="AC57" s="360" t="e">
        <f>('Analytical Data'!K50*Cover!$H$11)/($U57*(Cover!$B$11/1000))</f>
        <v>#DIV/0!</v>
      </c>
      <c r="AD57" s="360" t="e">
        <f>('Analytical Data'!L50*Cover!$H$11)/($U57*(Cover!$B$11/1000))</f>
        <v>#DIV/0!</v>
      </c>
      <c r="AE57" s="360" t="e">
        <f>('Analytical Data'!M50*Cover!$H$11)/($U57*(Cover!$B$11/1000))</f>
        <v>#DIV/0!</v>
      </c>
      <c r="AF57" s="360" t="e">
        <f t="shared" si="18"/>
        <v>#DIV/0!</v>
      </c>
      <c r="AG57" s="360" t="e">
        <f t="shared" si="19"/>
        <v>#DIV/0!</v>
      </c>
      <c r="AH57" s="360" t="e">
        <f t="shared" si="20"/>
        <v>#DIV/0!</v>
      </c>
      <c r="AI57" s="360" t="e">
        <f t="shared" si="21"/>
        <v>#DIV/0!</v>
      </c>
      <c r="AJ57" s="360" t="e">
        <f t="shared" si="22"/>
        <v>#DIV/0!</v>
      </c>
      <c r="AK57" s="360" t="e">
        <f t="shared" si="23"/>
        <v>#DIV/0!</v>
      </c>
      <c r="AL57" s="360" t="e">
        <f t="shared" si="24"/>
        <v>#DIV/0!</v>
      </c>
      <c r="AM57" s="360" t="e">
        <f t="shared" si="25"/>
        <v>#DIV/0!</v>
      </c>
      <c r="AN57" s="364" t="e">
        <f t="shared" si="29"/>
        <v>#DIV/0!</v>
      </c>
      <c r="AO57" s="360" t="e">
        <f t="shared" ca="1" si="33"/>
        <v>#DIV/0!</v>
      </c>
      <c r="AP57" s="368" t="e">
        <f t="shared" ca="1" si="34"/>
        <v>#VALUE!</v>
      </c>
      <c r="AQ57" s="357"/>
      <c r="AR57" s="358"/>
      <c r="AS57" s="358"/>
      <c r="AT57" s="304">
        <f t="shared" si="0"/>
        <v>0</v>
      </c>
      <c r="AU57" s="232" t="e">
        <f t="shared" ca="1" si="39"/>
        <v>#VALUE!</v>
      </c>
      <c r="AV57" s="232" t="e">
        <f t="shared" ca="1" si="40"/>
        <v>#VALUE!</v>
      </c>
      <c r="AW57" s="305" t="e">
        <f t="shared" ca="1" si="31"/>
        <v>#DIV/0!</v>
      </c>
      <c r="AX57" s="252" t="e">
        <f ca="1">PI()*((AH68-AG68)/(2*Cover!$G$11*1000*De!AN68*(SQRT(De!$Z$11)-SQRT(De!$Y$11))))</f>
        <v>#DIV/0!</v>
      </c>
      <c r="AY57" s="252" t="str">
        <f ca="1">IF(ISNUMBER((E36calc!$G65/(De!AN68*2653*Cover!$G$11))^2), (E36calc!$G65/(De!AN68*2653*Cover!$G$11))^2,"")</f>
        <v/>
      </c>
    </row>
    <row r="58" spans="1:51" ht="15" x14ac:dyDescent="0.25">
      <c r="A58" s="360">
        <f>'Measured Cummulative'!A52</f>
        <v>0</v>
      </c>
      <c r="B58" s="363" t="e">
        <f t="shared" si="12"/>
        <v>#DIV/0!</v>
      </c>
      <c r="C58" s="364"/>
      <c r="D58" s="360" t="e">
        <f ca="1">(PI()/4)*(('Measured Cummulative'!E52/$B58)^2)*((Cover!$F$11/Cover!$I$11)^2)*(1/'Measured Cummulative'!E$1)</f>
        <v>#DIV/0!</v>
      </c>
      <c r="E58" s="360" t="e">
        <f ca="1">(PI()/4)*(('Measured Cummulative'!F52/$B58)^2)*((Cover!$F$11/Cover!$I$11)^2)*(1/'Measured Cummulative'!F$1)</f>
        <v>#DIV/0!</v>
      </c>
      <c r="F58" s="360" t="e">
        <f ca="1">(PI()/4)*(('Measured Cummulative'!G52/$B58)^2)*((Cover!$F$11/Cover!$I$11)^2)*(1/'Measured Cummulative'!G$1)</f>
        <v>#DIV/0!</v>
      </c>
      <c r="G58" s="360" t="e">
        <f ca="1">(PI()/4)*(('Measured Cummulative'!H52/$B58)^2)*((Cover!$F$11/Cover!$I$11)^2)*(1/'Measured Cummulative'!H$1)</f>
        <v>#DIV/0!</v>
      </c>
      <c r="H58" s="360" t="e">
        <f ca="1">(PI()/4)*(('Measured Cummulative'!I52/$B58)^2)*((Cover!$F$11/Cover!$I$11)^2)*(1/'Measured Cummulative'!I$1)</f>
        <v>#DIV/0!</v>
      </c>
      <c r="I58" s="360" t="e">
        <f ca="1">(PI()/4)*(('Measured Cummulative'!J52/$B58)^2)*((Cover!$F$11/Cover!$I$11)^2)*(1/'Measured Cummulative'!J$1)</f>
        <v>#DIV/0!</v>
      </c>
      <c r="J58" s="360" t="e">
        <f ca="1">(PI()/4)*(('Measured Cummulative'!K52/$B58)^2)*((Cover!$F$11/Cover!$I$11)^2)*(1/'Measured Cummulative'!K$1)</f>
        <v>#DIV/0!</v>
      </c>
      <c r="K58" s="360" t="e">
        <f ca="1">(PI()/4)*(('Measured Cummulative'!L52/$B58)^2)*((Cover!$F$11/Cover!$I$11)^2)*(1/'Measured Cummulative'!L$1)</f>
        <v>#DIV/0!</v>
      </c>
      <c r="L58" s="360">
        <f>'Measured Cummulative'!A52</f>
        <v>0</v>
      </c>
      <c r="M58" s="364" t="e">
        <f t="shared" si="16"/>
        <v>#DIV/0!</v>
      </c>
      <c r="N58" s="364"/>
      <c r="O58" s="365" t="e">
        <f t="shared" ref="O58:O80" ca="1" si="41">-LOG(MAX(D58:K58))</f>
        <v>#DIV/0!</v>
      </c>
      <c r="P58" s="365" t="e">
        <f t="shared" ref="P58:P80" ca="1" si="42">-LOG(MIN(D58:K58))</f>
        <v>#DIV/0!</v>
      </c>
      <c r="Q58" s="365" t="e">
        <f t="shared" ref="Q58:Q80" ca="1" si="43">-LOG(AVERAGE(D58:K58))</f>
        <v>#DIV/0!</v>
      </c>
      <c r="R58" s="366"/>
      <c r="S58" s="364"/>
      <c r="T58" s="366">
        <f t="shared" si="17"/>
        <v>0</v>
      </c>
      <c r="U58" s="364" t="e">
        <f>'Source Term'!AI65*$T$9</f>
        <v>#DIV/0!</v>
      </c>
      <c r="V58" s="364"/>
      <c r="W58" s="367">
        <v>1</v>
      </c>
      <c r="X58" s="360" t="e">
        <f>('Analytical Data'!F51*Cover!$H$11)/($U58*(Cover!$B$11/1000))</f>
        <v>#DIV/0!</v>
      </c>
      <c r="Y58" s="360" t="e">
        <f>('Analytical Data'!G51*Cover!$H$11)/($U58*(Cover!$B$11/1000))</f>
        <v>#DIV/0!</v>
      </c>
      <c r="Z58" s="360" t="e">
        <f>('Analytical Data'!H51*Cover!$H$11)/($U58*(Cover!$B$11/1000))</f>
        <v>#DIV/0!</v>
      </c>
      <c r="AA58" s="360" t="e">
        <f>('Analytical Data'!I51*Cover!$H$11)/($U58*(Cover!$B$11/1000))</f>
        <v>#DIV/0!</v>
      </c>
      <c r="AB58" s="360" t="e">
        <f>('Analytical Data'!J51*Cover!$H$11)/($U58*(Cover!$B$11/1000))</f>
        <v>#DIV/0!</v>
      </c>
      <c r="AC58" s="360" t="e">
        <f>('Analytical Data'!K51*Cover!$H$11)/($U58*(Cover!$B$11/1000))</f>
        <v>#DIV/0!</v>
      </c>
      <c r="AD58" s="360" t="e">
        <f>('Analytical Data'!L51*Cover!$H$11)/($U58*(Cover!$B$11/1000))</f>
        <v>#DIV/0!</v>
      </c>
      <c r="AE58" s="360" t="e">
        <f>('Analytical Data'!M51*Cover!$H$11)/($U58*(Cover!$B$11/1000))</f>
        <v>#DIV/0!</v>
      </c>
      <c r="AF58" s="360" t="e">
        <f t="shared" si="18"/>
        <v>#DIV/0!</v>
      </c>
      <c r="AG58" s="360" t="e">
        <f t="shared" si="19"/>
        <v>#DIV/0!</v>
      </c>
      <c r="AH58" s="360" t="e">
        <f t="shared" si="20"/>
        <v>#DIV/0!</v>
      </c>
      <c r="AI58" s="360" t="e">
        <f t="shared" si="21"/>
        <v>#DIV/0!</v>
      </c>
      <c r="AJ58" s="360" t="e">
        <f t="shared" si="22"/>
        <v>#DIV/0!</v>
      </c>
      <c r="AK58" s="360" t="e">
        <f t="shared" si="23"/>
        <v>#DIV/0!</v>
      </c>
      <c r="AL58" s="360" t="e">
        <f t="shared" si="24"/>
        <v>#DIV/0!</v>
      </c>
      <c r="AM58" s="360" t="e">
        <f t="shared" si="25"/>
        <v>#DIV/0!</v>
      </c>
      <c r="AN58" s="364" t="e">
        <f t="shared" si="29"/>
        <v>#DIV/0!</v>
      </c>
      <c r="AO58" s="360" t="e">
        <f t="shared" ca="1" si="33"/>
        <v>#DIV/0!</v>
      </c>
      <c r="AP58" s="368" t="e">
        <f t="shared" ca="1" si="34"/>
        <v>#VALUE!</v>
      </c>
      <c r="AQ58" s="357"/>
      <c r="AR58" s="358"/>
      <c r="AS58" s="358"/>
      <c r="AT58" s="304">
        <f t="shared" si="0"/>
        <v>0</v>
      </c>
      <c r="AU58" s="232" t="e">
        <f t="shared" ca="1" si="39"/>
        <v>#VALUE!</v>
      </c>
      <c r="AV58" s="232" t="e">
        <f t="shared" ca="1" si="40"/>
        <v>#VALUE!</v>
      </c>
      <c r="AW58" s="305" t="e">
        <f t="shared" ca="1" si="31"/>
        <v>#DIV/0!</v>
      </c>
      <c r="AX58" s="252" t="e">
        <f ca="1">PI()*((AH69-AG69)/(2*Cover!$G$11*1000*De!AN69*(SQRT(De!$Z$11)-SQRT(De!$Y$11))))</f>
        <v>#DIV/0!</v>
      </c>
      <c r="AY58" s="252" t="str">
        <f ca="1">IF(ISNUMBER((E36calc!$G66/(De!AN69*2653*Cover!$G$11))^2), (E36calc!$G66/(De!AN69*2653*Cover!$G$11))^2,"")</f>
        <v/>
      </c>
    </row>
    <row r="59" spans="1:51" ht="15" x14ac:dyDescent="0.25">
      <c r="A59" s="360">
        <f>'Measured Cummulative'!A53</f>
        <v>0</v>
      </c>
      <c r="B59" s="363" t="e">
        <f t="shared" si="12"/>
        <v>#DIV/0!</v>
      </c>
      <c r="C59" s="364"/>
      <c r="D59" s="360" t="e">
        <f ca="1">(PI()/4)*(('Measured Cummulative'!E53/$B59)^2)*((Cover!$F$11/Cover!$I$11)^2)*(1/'Measured Cummulative'!E$1)</f>
        <v>#DIV/0!</v>
      </c>
      <c r="E59" s="360" t="e">
        <f ca="1">(PI()/4)*(('Measured Cummulative'!F53/$B59)^2)*((Cover!$F$11/Cover!$I$11)^2)*(1/'Measured Cummulative'!F$1)</f>
        <v>#DIV/0!</v>
      </c>
      <c r="F59" s="360" t="e">
        <f ca="1">(PI()/4)*(('Measured Cummulative'!G53/$B59)^2)*((Cover!$F$11/Cover!$I$11)^2)*(1/'Measured Cummulative'!G$1)</f>
        <v>#DIV/0!</v>
      </c>
      <c r="G59" s="360" t="e">
        <f ca="1">(PI()/4)*(('Measured Cummulative'!H53/$B59)^2)*((Cover!$F$11/Cover!$I$11)^2)*(1/'Measured Cummulative'!H$1)</f>
        <v>#DIV/0!</v>
      </c>
      <c r="H59" s="360" t="e">
        <f ca="1">(PI()/4)*(('Measured Cummulative'!I53/$B59)^2)*((Cover!$F$11/Cover!$I$11)^2)*(1/'Measured Cummulative'!I$1)</f>
        <v>#DIV/0!</v>
      </c>
      <c r="I59" s="360" t="e">
        <f ca="1">(PI()/4)*(('Measured Cummulative'!J53/$B59)^2)*((Cover!$F$11/Cover!$I$11)^2)*(1/'Measured Cummulative'!J$1)</f>
        <v>#DIV/0!</v>
      </c>
      <c r="J59" s="360" t="e">
        <f ca="1">(PI()/4)*(('Measured Cummulative'!K53/$B59)^2)*((Cover!$F$11/Cover!$I$11)^2)*(1/'Measured Cummulative'!K$1)</f>
        <v>#DIV/0!</v>
      </c>
      <c r="K59" s="360" t="e">
        <f ca="1">(PI()/4)*(('Measured Cummulative'!L53/$B59)^2)*((Cover!$F$11/Cover!$I$11)^2)*(1/'Measured Cummulative'!L$1)</f>
        <v>#DIV/0!</v>
      </c>
      <c r="L59" s="360">
        <f>'Measured Cummulative'!A53</f>
        <v>0</v>
      </c>
      <c r="M59" s="364" t="e">
        <f t="shared" si="16"/>
        <v>#DIV/0!</v>
      </c>
      <c r="N59" s="364"/>
      <c r="O59" s="365" t="e">
        <f t="shared" ca="1" si="41"/>
        <v>#DIV/0!</v>
      </c>
      <c r="P59" s="365" t="e">
        <f t="shared" ca="1" si="42"/>
        <v>#DIV/0!</v>
      </c>
      <c r="Q59" s="365" t="e">
        <f t="shared" ca="1" si="43"/>
        <v>#DIV/0!</v>
      </c>
      <c r="R59" s="366"/>
      <c r="S59" s="364"/>
      <c r="T59" s="366">
        <f t="shared" si="17"/>
        <v>0</v>
      </c>
      <c r="U59" s="364" t="e">
        <f>'Source Term'!AI66*$T$9</f>
        <v>#DIV/0!</v>
      </c>
      <c r="V59" s="364"/>
      <c r="W59" s="367">
        <v>1</v>
      </c>
      <c r="X59" s="360" t="e">
        <f>('Analytical Data'!F52*Cover!$H$11)/($U59*(Cover!$B$11/1000))</f>
        <v>#DIV/0!</v>
      </c>
      <c r="Y59" s="360" t="e">
        <f>('Analytical Data'!G52*Cover!$H$11)/($U59*(Cover!$B$11/1000))</f>
        <v>#DIV/0!</v>
      </c>
      <c r="Z59" s="360" t="e">
        <f>('Analytical Data'!H52*Cover!$H$11)/($U59*(Cover!$B$11/1000))</f>
        <v>#DIV/0!</v>
      </c>
      <c r="AA59" s="360" t="e">
        <f>('Analytical Data'!I52*Cover!$H$11)/($U59*(Cover!$B$11/1000))</f>
        <v>#DIV/0!</v>
      </c>
      <c r="AB59" s="360" t="e">
        <f>('Analytical Data'!J52*Cover!$H$11)/($U59*(Cover!$B$11/1000))</f>
        <v>#DIV/0!</v>
      </c>
      <c r="AC59" s="360" t="e">
        <f>('Analytical Data'!K52*Cover!$H$11)/($U59*(Cover!$B$11/1000))</f>
        <v>#DIV/0!</v>
      </c>
      <c r="AD59" s="360" t="e">
        <f>('Analytical Data'!L52*Cover!$H$11)/($U59*(Cover!$B$11/1000))</f>
        <v>#DIV/0!</v>
      </c>
      <c r="AE59" s="360" t="e">
        <f>('Analytical Data'!M52*Cover!$H$11)/($U59*(Cover!$B$11/1000))</f>
        <v>#DIV/0!</v>
      </c>
      <c r="AF59" s="360" t="e">
        <f t="shared" si="18"/>
        <v>#DIV/0!</v>
      </c>
      <c r="AG59" s="360" t="e">
        <f t="shared" si="19"/>
        <v>#DIV/0!</v>
      </c>
      <c r="AH59" s="360" t="e">
        <f t="shared" si="20"/>
        <v>#DIV/0!</v>
      </c>
      <c r="AI59" s="360" t="e">
        <f t="shared" si="21"/>
        <v>#DIV/0!</v>
      </c>
      <c r="AJ59" s="360" t="e">
        <f t="shared" si="22"/>
        <v>#DIV/0!</v>
      </c>
      <c r="AK59" s="360" t="e">
        <f t="shared" si="23"/>
        <v>#DIV/0!</v>
      </c>
      <c r="AL59" s="360" t="e">
        <f t="shared" si="24"/>
        <v>#DIV/0!</v>
      </c>
      <c r="AM59" s="360" t="e">
        <f t="shared" si="25"/>
        <v>#DIV/0!</v>
      </c>
      <c r="AN59" s="364" t="e">
        <f t="shared" si="29"/>
        <v>#DIV/0!</v>
      </c>
      <c r="AO59" s="360" t="e">
        <f t="shared" ca="1" si="33"/>
        <v>#DIV/0!</v>
      </c>
      <c r="AP59" s="368" t="e">
        <f t="shared" ca="1" si="34"/>
        <v>#VALUE!</v>
      </c>
      <c r="AQ59" s="357"/>
      <c r="AR59" s="358"/>
      <c r="AS59" s="358"/>
      <c r="AT59" s="304">
        <f t="shared" si="0"/>
        <v>0</v>
      </c>
      <c r="AU59" s="232" t="e">
        <f t="shared" ca="1" si="39"/>
        <v>#VALUE!</v>
      </c>
      <c r="AV59" s="232" t="e">
        <f t="shared" ca="1" si="40"/>
        <v>#VALUE!</v>
      </c>
      <c r="AW59" s="305" t="e">
        <f t="shared" ca="1" si="31"/>
        <v>#DIV/0!</v>
      </c>
      <c r="AX59" s="252" t="e">
        <f ca="1">PI()*((AH70-AG70)/(2*Cover!$G$11*1000*De!AN70*(SQRT(De!$Z$11)-SQRT(De!$Y$11))))</f>
        <v>#DIV/0!</v>
      </c>
      <c r="AY59" s="252" t="str">
        <f ca="1">IF(ISNUMBER((E36calc!$G67/(De!AN70*2653*Cover!$G$11))^2), (E36calc!$G67/(De!AN70*2653*Cover!$G$11))^2,"")</f>
        <v/>
      </c>
    </row>
    <row r="60" spans="1:51" ht="15" x14ac:dyDescent="0.25">
      <c r="A60" s="360">
        <f>'Measured Cummulative'!A54</f>
        <v>0</v>
      </c>
      <c r="B60" s="363" t="e">
        <f t="shared" si="12"/>
        <v>#DIV/0!</v>
      </c>
      <c r="C60" s="364"/>
      <c r="D60" s="360" t="e">
        <f ca="1">(PI()/4)*(('Measured Cummulative'!E54/$B60)^2)*((Cover!$F$11/Cover!$I$11)^2)*(1/'Measured Cummulative'!E$1)</f>
        <v>#DIV/0!</v>
      </c>
      <c r="E60" s="360" t="e">
        <f ca="1">(PI()/4)*(('Measured Cummulative'!F54/$B60)^2)*((Cover!$F$11/Cover!$I$11)^2)*(1/'Measured Cummulative'!F$1)</f>
        <v>#DIV/0!</v>
      </c>
      <c r="F60" s="360" t="e">
        <f ca="1">(PI()/4)*(('Measured Cummulative'!G54/$B60)^2)*((Cover!$F$11/Cover!$I$11)^2)*(1/'Measured Cummulative'!G$1)</f>
        <v>#DIV/0!</v>
      </c>
      <c r="G60" s="360" t="e">
        <f ca="1">(PI()/4)*(('Measured Cummulative'!H54/$B60)^2)*((Cover!$F$11/Cover!$I$11)^2)*(1/'Measured Cummulative'!H$1)</f>
        <v>#DIV/0!</v>
      </c>
      <c r="H60" s="360" t="e">
        <f ca="1">(PI()/4)*(('Measured Cummulative'!I54/$B60)^2)*((Cover!$F$11/Cover!$I$11)^2)*(1/'Measured Cummulative'!I$1)</f>
        <v>#DIV/0!</v>
      </c>
      <c r="I60" s="360" t="e">
        <f ca="1">(PI()/4)*(('Measured Cummulative'!J54/$B60)^2)*((Cover!$F$11/Cover!$I$11)^2)*(1/'Measured Cummulative'!J$1)</f>
        <v>#DIV/0!</v>
      </c>
      <c r="J60" s="360" t="e">
        <f ca="1">(PI()/4)*(('Measured Cummulative'!K54/$B60)^2)*((Cover!$F$11/Cover!$I$11)^2)*(1/'Measured Cummulative'!K$1)</f>
        <v>#DIV/0!</v>
      </c>
      <c r="K60" s="360" t="e">
        <f ca="1">(PI()/4)*(('Measured Cummulative'!L54/$B60)^2)*((Cover!$F$11/Cover!$I$11)^2)*(1/'Measured Cummulative'!L$1)</f>
        <v>#DIV/0!</v>
      </c>
      <c r="L60" s="360">
        <f>'Measured Cummulative'!A54</f>
        <v>0</v>
      </c>
      <c r="M60" s="364" t="e">
        <f t="shared" si="16"/>
        <v>#DIV/0!</v>
      </c>
      <c r="N60" s="364"/>
      <c r="O60" s="365" t="e">
        <f t="shared" ca="1" si="41"/>
        <v>#DIV/0!</v>
      </c>
      <c r="P60" s="365" t="e">
        <f t="shared" ca="1" si="42"/>
        <v>#DIV/0!</v>
      </c>
      <c r="Q60" s="365" t="e">
        <f t="shared" ca="1" si="43"/>
        <v>#DIV/0!</v>
      </c>
      <c r="R60" s="366"/>
      <c r="S60" s="364"/>
      <c r="T60" s="366">
        <f t="shared" si="17"/>
        <v>0</v>
      </c>
      <c r="U60" s="364" t="e">
        <f>'Source Term'!AI67*$T$9</f>
        <v>#DIV/0!</v>
      </c>
      <c r="V60" s="364"/>
      <c r="W60" s="367">
        <v>1</v>
      </c>
      <c r="X60" s="360" t="e">
        <f>('Analytical Data'!F53*Cover!$H$11)/($U60*(Cover!$B$11/1000))</f>
        <v>#DIV/0!</v>
      </c>
      <c r="Y60" s="360" t="e">
        <f>('Analytical Data'!G53*Cover!$H$11)/($U60*(Cover!$B$11/1000))</f>
        <v>#DIV/0!</v>
      </c>
      <c r="Z60" s="360" t="e">
        <f>('Analytical Data'!H53*Cover!$H$11)/($U60*(Cover!$B$11/1000))</f>
        <v>#DIV/0!</v>
      </c>
      <c r="AA60" s="360" t="e">
        <f>('Analytical Data'!I53*Cover!$H$11)/($U60*(Cover!$B$11/1000))</f>
        <v>#DIV/0!</v>
      </c>
      <c r="AB60" s="360" t="e">
        <f>('Analytical Data'!J53*Cover!$H$11)/($U60*(Cover!$B$11/1000))</f>
        <v>#DIV/0!</v>
      </c>
      <c r="AC60" s="360" t="e">
        <f>('Analytical Data'!K53*Cover!$H$11)/($U60*(Cover!$B$11/1000))</f>
        <v>#DIV/0!</v>
      </c>
      <c r="AD60" s="360" t="e">
        <f>('Analytical Data'!L53*Cover!$H$11)/($U60*(Cover!$B$11/1000))</f>
        <v>#DIV/0!</v>
      </c>
      <c r="AE60" s="360" t="e">
        <f>('Analytical Data'!M53*Cover!$H$11)/($U60*(Cover!$B$11/1000))</f>
        <v>#DIV/0!</v>
      </c>
      <c r="AF60" s="360" t="e">
        <f t="shared" si="18"/>
        <v>#DIV/0!</v>
      </c>
      <c r="AG60" s="360" t="e">
        <f t="shared" si="19"/>
        <v>#DIV/0!</v>
      </c>
      <c r="AH60" s="360" t="e">
        <f t="shared" si="20"/>
        <v>#DIV/0!</v>
      </c>
      <c r="AI60" s="360" t="e">
        <f t="shared" si="21"/>
        <v>#DIV/0!</v>
      </c>
      <c r="AJ60" s="360" t="e">
        <f t="shared" si="22"/>
        <v>#DIV/0!</v>
      </c>
      <c r="AK60" s="360" t="e">
        <f t="shared" si="23"/>
        <v>#DIV/0!</v>
      </c>
      <c r="AL60" s="360" t="e">
        <f t="shared" si="24"/>
        <v>#DIV/0!</v>
      </c>
      <c r="AM60" s="360" t="e">
        <f t="shared" si="25"/>
        <v>#DIV/0!</v>
      </c>
      <c r="AN60" s="364" t="e">
        <f t="shared" si="29"/>
        <v>#DIV/0!</v>
      </c>
      <c r="AO60" s="360" t="e">
        <f t="shared" ca="1" si="33"/>
        <v>#DIV/0!</v>
      </c>
      <c r="AP60" s="368" t="e">
        <f t="shared" ca="1" si="34"/>
        <v>#VALUE!</v>
      </c>
      <c r="AQ60" s="357"/>
      <c r="AR60" s="358"/>
      <c r="AS60" s="358"/>
      <c r="AT60" s="304">
        <f t="shared" si="0"/>
        <v>0</v>
      </c>
      <c r="AU60" s="232" t="e">
        <f t="shared" ca="1" si="39"/>
        <v>#VALUE!</v>
      </c>
      <c r="AV60" s="232" t="e">
        <f t="shared" ca="1" si="40"/>
        <v>#VALUE!</v>
      </c>
      <c r="AW60" s="305" t="e">
        <f t="shared" ca="1" si="31"/>
        <v>#DIV/0!</v>
      </c>
      <c r="AX60" s="252" t="e">
        <f ca="1">PI()*((AH71-AG71)/(2*Cover!$G$11*1000*De!AN71*(SQRT(De!$Z$11)-SQRT(De!$Y$11))))</f>
        <v>#DIV/0!</v>
      </c>
      <c r="AY60" s="252" t="str">
        <f ca="1">IF(ISNUMBER((E36calc!$G68/(De!AN71*2653*Cover!$G$11))^2), (E36calc!$G68/(De!AN71*2653*Cover!$G$11))^2,"")</f>
        <v/>
      </c>
    </row>
    <row r="61" spans="1:51" ht="15" x14ac:dyDescent="0.25">
      <c r="A61" s="360">
        <f>'Measured Cummulative'!A55</f>
        <v>0</v>
      </c>
      <c r="B61" s="363" t="e">
        <f t="shared" si="12"/>
        <v>#DIV/0!</v>
      </c>
      <c r="C61" s="364"/>
      <c r="D61" s="360" t="e">
        <f ca="1">(PI()/4)*(('Measured Cummulative'!E55/$B61)^2)*((Cover!$F$11/Cover!$I$11)^2)*(1/'Measured Cummulative'!E$1)</f>
        <v>#DIV/0!</v>
      </c>
      <c r="E61" s="360" t="e">
        <f ca="1">(PI()/4)*(('Measured Cummulative'!F55/$B61)^2)*((Cover!$F$11/Cover!$I$11)^2)*(1/'Measured Cummulative'!F$1)</f>
        <v>#DIV/0!</v>
      </c>
      <c r="F61" s="360" t="e">
        <f ca="1">(PI()/4)*(('Measured Cummulative'!G55/$B61)^2)*((Cover!$F$11/Cover!$I$11)^2)*(1/'Measured Cummulative'!G$1)</f>
        <v>#DIV/0!</v>
      </c>
      <c r="G61" s="360" t="e">
        <f ca="1">(PI()/4)*(('Measured Cummulative'!H55/$B61)^2)*((Cover!$F$11/Cover!$I$11)^2)*(1/'Measured Cummulative'!H$1)</f>
        <v>#DIV/0!</v>
      </c>
      <c r="H61" s="360" t="e">
        <f ca="1">(PI()/4)*(('Measured Cummulative'!I55/$B61)^2)*((Cover!$F$11/Cover!$I$11)^2)*(1/'Measured Cummulative'!I$1)</f>
        <v>#DIV/0!</v>
      </c>
      <c r="I61" s="360" t="e">
        <f ca="1">(PI()/4)*(('Measured Cummulative'!J55/$B61)^2)*((Cover!$F$11/Cover!$I$11)^2)*(1/'Measured Cummulative'!J$1)</f>
        <v>#DIV/0!</v>
      </c>
      <c r="J61" s="360" t="e">
        <f ca="1">(PI()/4)*(('Measured Cummulative'!K55/$B61)^2)*((Cover!$F$11/Cover!$I$11)^2)*(1/'Measured Cummulative'!K$1)</f>
        <v>#DIV/0!</v>
      </c>
      <c r="K61" s="360" t="e">
        <f ca="1">(PI()/4)*(('Measured Cummulative'!L55/$B61)^2)*((Cover!$F$11/Cover!$I$11)^2)*(1/'Measured Cummulative'!L$1)</f>
        <v>#DIV/0!</v>
      </c>
      <c r="L61" s="360">
        <f>'Measured Cummulative'!A55</f>
        <v>0</v>
      </c>
      <c r="M61" s="364" t="e">
        <f t="shared" si="16"/>
        <v>#DIV/0!</v>
      </c>
      <c r="N61" s="364"/>
      <c r="O61" s="365" t="e">
        <f t="shared" ca="1" si="41"/>
        <v>#DIV/0!</v>
      </c>
      <c r="P61" s="365" t="e">
        <f t="shared" ca="1" si="42"/>
        <v>#DIV/0!</v>
      </c>
      <c r="Q61" s="365" t="e">
        <f t="shared" ca="1" si="43"/>
        <v>#DIV/0!</v>
      </c>
      <c r="R61" s="366"/>
      <c r="S61" s="364"/>
      <c r="T61" s="366">
        <f t="shared" si="17"/>
        <v>0</v>
      </c>
      <c r="U61" s="364" t="e">
        <f>'Source Term'!AI68*$T$9</f>
        <v>#DIV/0!</v>
      </c>
      <c r="V61" s="364"/>
      <c r="W61" s="367">
        <v>1</v>
      </c>
      <c r="X61" s="360" t="e">
        <f>('Analytical Data'!F54*Cover!$H$11)/($U61*(Cover!$B$11/1000))</f>
        <v>#DIV/0!</v>
      </c>
      <c r="Y61" s="360" t="e">
        <f>('Analytical Data'!G54*Cover!$H$11)/($U61*(Cover!$B$11/1000))</f>
        <v>#DIV/0!</v>
      </c>
      <c r="Z61" s="360" t="e">
        <f>('Analytical Data'!H54*Cover!$H$11)/($U61*(Cover!$B$11/1000))</f>
        <v>#DIV/0!</v>
      </c>
      <c r="AA61" s="360" t="e">
        <f>('Analytical Data'!I54*Cover!$H$11)/($U61*(Cover!$B$11/1000))</f>
        <v>#DIV/0!</v>
      </c>
      <c r="AB61" s="360" t="e">
        <f>('Analytical Data'!J54*Cover!$H$11)/($U61*(Cover!$B$11/1000))</f>
        <v>#DIV/0!</v>
      </c>
      <c r="AC61" s="360" t="e">
        <f>('Analytical Data'!K54*Cover!$H$11)/($U61*(Cover!$B$11/1000))</f>
        <v>#DIV/0!</v>
      </c>
      <c r="AD61" s="360" t="e">
        <f>('Analytical Data'!L54*Cover!$H$11)/($U61*(Cover!$B$11/1000))</f>
        <v>#DIV/0!</v>
      </c>
      <c r="AE61" s="360" t="e">
        <f>('Analytical Data'!M54*Cover!$H$11)/($U61*(Cover!$B$11/1000))</f>
        <v>#DIV/0!</v>
      </c>
      <c r="AF61" s="360" t="e">
        <f t="shared" si="18"/>
        <v>#DIV/0!</v>
      </c>
      <c r="AG61" s="360" t="e">
        <f t="shared" si="19"/>
        <v>#DIV/0!</v>
      </c>
      <c r="AH61" s="360" t="e">
        <f t="shared" si="20"/>
        <v>#DIV/0!</v>
      </c>
      <c r="AI61" s="360" t="e">
        <f t="shared" si="21"/>
        <v>#DIV/0!</v>
      </c>
      <c r="AJ61" s="360" t="e">
        <f t="shared" si="22"/>
        <v>#DIV/0!</v>
      </c>
      <c r="AK61" s="360" t="e">
        <f t="shared" si="23"/>
        <v>#DIV/0!</v>
      </c>
      <c r="AL61" s="360" t="e">
        <f t="shared" si="24"/>
        <v>#DIV/0!</v>
      </c>
      <c r="AM61" s="360" t="e">
        <f t="shared" si="25"/>
        <v>#DIV/0!</v>
      </c>
      <c r="AN61" s="364" t="e">
        <f t="shared" si="29"/>
        <v>#DIV/0!</v>
      </c>
      <c r="AO61" s="360" t="e">
        <f t="shared" ca="1" si="33"/>
        <v>#DIV/0!</v>
      </c>
      <c r="AP61" s="368" t="e">
        <f t="shared" ca="1" si="34"/>
        <v>#VALUE!</v>
      </c>
      <c r="AQ61" s="357"/>
      <c r="AR61" s="358"/>
      <c r="AS61" s="358"/>
      <c r="AT61" s="304">
        <f t="shared" si="0"/>
        <v>0</v>
      </c>
      <c r="AU61" s="232" t="e">
        <f t="shared" ca="1" si="39"/>
        <v>#VALUE!</v>
      </c>
      <c r="AV61" s="232" t="e">
        <f t="shared" ca="1" si="40"/>
        <v>#VALUE!</v>
      </c>
      <c r="AW61" s="305" t="e">
        <f t="shared" ca="1" si="31"/>
        <v>#DIV/0!</v>
      </c>
      <c r="AX61" s="252" t="e">
        <f ca="1">PI()*((AH72-AG72)/(2*Cover!$G$11*1000*De!AN72*(SQRT(De!$Z$11)-SQRT(De!$Y$11))))</f>
        <v>#DIV/0!</v>
      </c>
      <c r="AY61" s="252" t="str">
        <f ca="1">IF(ISNUMBER((E36calc!$G69/(De!AN72*2653*Cover!$G$11))^2), (E36calc!$G69/(De!AN72*2653*Cover!$G$11))^2,"")</f>
        <v/>
      </c>
    </row>
    <row r="62" spans="1:51" ht="15" x14ac:dyDescent="0.25">
      <c r="A62" s="360">
        <f>'Measured Cummulative'!A56</f>
        <v>0</v>
      </c>
      <c r="B62" s="363" t="e">
        <f t="shared" si="12"/>
        <v>#DIV/0!</v>
      </c>
      <c r="C62" s="364"/>
      <c r="D62" s="360" t="e">
        <f ca="1">(PI()/4)*(('Measured Cummulative'!E56/$B62)^2)*((Cover!$F$11/Cover!$I$11)^2)*(1/'Measured Cummulative'!E$1)</f>
        <v>#DIV/0!</v>
      </c>
      <c r="E62" s="360" t="e">
        <f ca="1">(PI()/4)*(('Measured Cummulative'!F56/$B62)^2)*((Cover!$F$11/Cover!$I$11)^2)*(1/'Measured Cummulative'!F$1)</f>
        <v>#DIV/0!</v>
      </c>
      <c r="F62" s="360" t="e">
        <f ca="1">(PI()/4)*(('Measured Cummulative'!G56/$B62)^2)*((Cover!$F$11/Cover!$I$11)^2)*(1/'Measured Cummulative'!G$1)</f>
        <v>#DIV/0!</v>
      </c>
      <c r="G62" s="360" t="e">
        <f ca="1">(PI()/4)*(('Measured Cummulative'!H56/$B62)^2)*((Cover!$F$11/Cover!$I$11)^2)*(1/'Measured Cummulative'!H$1)</f>
        <v>#DIV/0!</v>
      </c>
      <c r="H62" s="360" t="e">
        <f ca="1">(PI()/4)*(('Measured Cummulative'!I56/$B62)^2)*((Cover!$F$11/Cover!$I$11)^2)*(1/'Measured Cummulative'!I$1)</f>
        <v>#DIV/0!</v>
      </c>
      <c r="I62" s="360" t="e">
        <f ca="1">(PI()/4)*(('Measured Cummulative'!J56/$B62)^2)*((Cover!$F$11/Cover!$I$11)^2)*(1/'Measured Cummulative'!J$1)</f>
        <v>#DIV/0!</v>
      </c>
      <c r="J62" s="360" t="e">
        <f ca="1">(PI()/4)*(('Measured Cummulative'!K56/$B62)^2)*((Cover!$F$11/Cover!$I$11)^2)*(1/'Measured Cummulative'!K$1)</f>
        <v>#DIV/0!</v>
      </c>
      <c r="K62" s="360" t="e">
        <f ca="1">(PI()/4)*(('Measured Cummulative'!L56/$B62)^2)*((Cover!$F$11/Cover!$I$11)^2)*(1/'Measured Cummulative'!L$1)</f>
        <v>#DIV/0!</v>
      </c>
      <c r="L62" s="360">
        <f>'Measured Cummulative'!A56</f>
        <v>0</v>
      </c>
      <c r="M62" s="364" t="e">
        <f t="shared" si="16"/>
        <v>#DIV/0!</v>
      </c>
      <c r="N62" s="364"/>
      <c r="O62" s="365" t="e">
        <f t="shared" ca="1" si="41"/>
        <v>#DIV/0!</v>
      </c>
      <c r="P62" s="365" t="e">
        <f t="shared" ca="1" si="42"/>
        <v>#DIV/0!</v>
      </c>
      <c r="Q62" s="365" t="e">
        <f t="shared" ca="1" si="43"/>
        <v>#DIV/0!</v>
      </c>
      <c r="R62" s="366"/>
      <c r="S62" s="364"/>
      <c r="T62" s="366">
        <f t="shared" si="17"/>
        <v>0</v>
      </c>
      <c r="U62" s="364" t="e">
        <f>'Source Term'!AI69*$T$9</f>
        <v>#DIV/0!</v>
      </c>
      <c r="V62" s="364"/>
      <c r="W62" s="367">
        <v>1</v>
      </c>
      <c r="X62" s="360" t="e">
        <f>('Analytical Data'!F55*Cover!$H$11)/($U62*(Cover!$B$11/1000))</f>
        <v>#DIV/0!</v>
      </c>
      <c r="Y62" s="360" t="e">
        <f>('Analytical Data'!G55*Cover!$H$11)/($U62*(Cover!$B$11/1000))</f>
        <v>#DIV/0!</v>
      </c>
      <c r="Z62" s="360" t="e">
        <f>('Analytical Data'!H55*Cover!$H$11)/($U62*(Cover!$B$11/1000))</f>
        <v>#DIV/0!</v>
      </c>
      <c r="AA62" s="360" t="e">
        <f>('Analytical Data'!I55*Cover!$H$11)/($U62*(Cover!$B$11/1000))</f>
        <v>#DIV/0!</v>
      </c>
      <c r="AB62" s="360" t="e">
        <f>('Analytical Data'!J55*Cover!$H$11)/($U62*(Cover!$B$11/1000))</f>
        <v>#DIV/0!</v>
      </c>
      <c r="AC62" s="360" t="e">
        <f>('Analytical Data'!K55*Cover!$H$11)/($U62*(Cover!$B$11/1000))</f>
        <v>#DIV/0!</v>
      </c>
      <c r="AD62" s="360" t="e">
        <f>('Analytical Data'!L55*Cover!$H$11)/($U62*(Cover!$B$11/1000))</f>
        <v>#DIV/0!</v>
      </c>
      <c r="AE62" s="360" t="e">
        <f>('Analytical Data'!M55*Cover!$H$11)/($U62*(Cover!$B$11/1000))</f>
        <v>#DIV/0!</v>
      </c>
      <c r="AF62" s="360" t="e">
        <f t="shared" si="18"/>
        <v>#DIV/0!</v>
      </c>
      <c r="AG62" s="360" t="e">
        <f t="shared" si="19"/>
        <v>#DIV/0!</v>
      </c>
      <c r="AH62" s="360" t="e">
        <f t="shared" si="20"/>
        <v>#DIV/0!</v>
      </c>
      <c r="AI62" s="360" t="e">
        <f t="shared" si="21"/>
        <v>#DIV/0!</v>
      </c>
      <c r="AJ62" s="360" t="e">
        <f t="shared" si="22"/>
        <v>#DIV/0!</v>
      </c>
      <c r="AK62" s="360" t="e">
        <f t="shared" si="23"/>
        <v>#DIV/0!</v>
      </c>
      <c r="AL62" s="360" t="e">
        <f t="shared" si="24"/>
        <v>#DIV/0!</v>
      </c>
      <c r="AM62" s="360" t="e">
        <f t="shared" si="25"/>
        <v>#DIV/0!</v>
      </c>
      <c r="AN62" s="364" t="e">
        <f t="shared" si="29"/>
        <v>#DIV/0!</v>
      </c>
      <c r="AO62" s="360" t="e">
        <f t="shared" ca="1" si="33"/>
        <v>#DIV/0!</v>
      </c>
      <c r="AP62" s="368" t="e">
        <f t="shared" ca="1" si="34"/>
        <v>#VALUE!</v>
      </c>
      <c r="AQ62" s="357"/>
      <c r="AR62" s="358"/>
      <c r="AS62" s="358"/>
      <c r="AT62" s="304">
        <f t="shared" si="0"/>
        <v>0</v>
      </c>
      <c r="AU62" s="232" t="e">
        <f t="shared" ca="1" si="39"/>
        <v>#VALUE!</v>
      </c>
      <c r="AV62" s="232" t="e">
        <f t="shared" ca="1" si="40"/>
        <v>#VALUE!</v>
      </c>
      <c r="AW62" s="305" t="e">
        <f t="shared" ca="1" si="31"/>
        <v>#DIV/0!</v>
      </c>
      <c r="AX62" s="252" t="e">
        <f ca="1">PI()*((AH73-AG73)/(2*Cover!$G$11*1000*De!AN73*(SQRT(De!$Z$11)-SQRT(De!$Y$11))))</f>
        <v>#DIV/0!</v>
      </c>
      <c r="AY62" s="252" t="str">
        <f ca="1">IF(ISNUMBER((E36calc!$G70/(De!AN73*2653*Cover!$G$11))^2), (E36calc!$G70/(De!AN73*2653*Cover!$G$11))^2,"")</f>
        <v/>
      </c>
    </row>
    <row r="63" spans="1:51" ht="15" x14ac:dyDescent="0.25">
      <c r="A63" s="360">
        <f>'Measured Cummulative'!A57</f>
        <v>0</v>
      </c>
      <c r="B63" s="363" t="e">
        <f t="shared" si="12"/>
        <v>#DIV/0!</v>
      </c>
      <c r="C63" s="364"/>
      <c r="D63" s="360" t="e">
        <f ca="1">(PI()/4)*(('Measured Cummulative'!E57/$B63)^2)*((Cover!$F$11/Cover!$I$11)^2)*(1/'Measured Cummulative'!E$1)</f>
        <v>#DIV/0!</v>
      </c>
      <c r="E63" s="360" t="e">
        <f ca="1">(PI()/4)*(('Measured Cummulative'!F57/$B63)^2)*((Cover!$F$11/Cover!$I$11)^2)*(1/'Measured Cummulative'!F$1)</f>
        <v>#DIV/0!</v>
      </c>
      <c r="F63" s="360" t="e">
        <f ca="1">(PI()/4)*(('Measured Cummulative'!G57/$B63)^2)*((Cover!$F$11/Cover!$I$11)^2)*(1/'Measured Cummulative'!G$1)</f>
        <v>#DIV/0!</v>
      </c>
      <c r="G63" s="360" t="e">
        <f ca="1">(PI()/4)*(('Measured Cummulative'!H57/$B63)^2)*((Cover!$F$11/Cover!$I$11)^2)*(1/'Measured Cummulative'!H$1)</f>
        <v>#DIV/0!</v>
      </c>
      <c r="H63" s="360" t="e">
        <f ca="1">(PI()/4)*(('Measured Cummulative'!I57/$B63)^2)*((Cover!$F$11/Cover!$I$11)^2)*(1/'Measured Cummulative'!I$1)</f>
        <v>#DIV/0!</v>
      </c>
      <c r="I63" s="360" t="e">
        <f ca="1">(PI()/4)*(('Measured Cummulative'!J57/$B63)^2)*((Cover!$F$11/Cover!$I$11)^2)*(1/'Measured Cummulative'!J$1)</f>
        <v>#DIV/0!</v>
      </c>
      <c r="J63" s="360" t="e">
        <f ca="1">(PI()/4)*(('Measured Cummulative'!K57/$B63)^2)*((Cover!$F$11/Cover!$I$11)^2)*(1/'Measured Cummulative'!K$1)</f>
        <v>#DIV/0!</v>
      </c>
      <c r="K63" s="360" t="e">
        <f ca="1">(PI()/4)*(('Measured Cummulative'!L57/$B63)^2)*((Cover!$F$11/Cover!$I$11)^2)*(1/'Measured Cummulative'!L$1)</f>
        <v>#DIV/0!</v>
      </c>
      <c r="L63" s="360">
        <f>'Measured Cummulative'!A57</f>
        <v>0</v>
      </c>
      <c r="M63" s="364" t="e">
        <f t="shared" si="16"/>
        <v>#DIV/0!</v>
      </c>
      <c r="N63" s="364"/>
      <c r="O63" s="365" t="e">
        <f t="shared" ca="1" si="41"/>
        <v>#DIV/0!</v>
      </c>
      <c r="P63" s="365" t="e">
        <f t="shared" ca="1" si="42"/>
        <v>#DIV/0!</v>
      </c>
      <c r="Q63" s="365" t="e">
        <f t="shared" ca="1" si="43"/>
        <v>#DIV/0!</v>
      </c>
      <c r="R63" s="366"/>
      <c r="S63" s="364"/>
      <c r="T63" s="366">
        <f t="shared" si="17"/>
        <v>0</v>
      </c>
      <c r="U63" s="364" t="e">
        <f>'Source Term'!AI70*$T$9</f>
        <v>#DIV/0!</v>
      </c>
      <c r="V63" s="364"/>
      <c r="W63" s="367">
        <v>1</v>
      </c>
      <c r="X63" s="360" t="e">
        <f>('Analytical Data'!F56*Cover!$H$11)/($U63*(Cover!$B$11/1000))</f>
        <v>#DIV/0!</v>
      </c>
      <c r="Y63" s="360" t="e">
        <f>('Analytical Data'!G56*Cover!$H$11)/($U63*(Cover!$B$11/1000))</f>
        <v>#DIV/0!</v>
      </c>
      <c r="Z63" s="360" t="e">
        <f>('Analytical Data'!H56*Cover!$H$11)/($U63*(Cover!$B$11/1000))</f>
        <v>#DIV/0!</v>
      </c>
      <c r="AA63" s="360" t="e">
        <f>('Analytical Data'!I56*Cover!$H$11)/($U63*(Cover!$B$11/1000))</f>
        <v>#DIV/0!</v>
      </c>
      <c r="AB63" s="360" t="e">
        <f>('Analytical Data'!J56*Cover!$H$11)/($U63*(Cover!$B$11/1000))</f>
        <v>#DIV/0!</v>
      </c>
      <c r="AC63" s="360" t="e">
        <f>('Analytical Data'!K56*Cover!$H$11)/($U63*(Cover!$B$11/1000))</f>
        <v>#DIV/0!</v>
      </c>
      <c r="AD63" s="360" t="e">
        <f>('Analytical Data'!L56*Cover!$H$11)/($U63*(Cover!$B$11/1000))</f>
        <v>#DIV/0!</v>
      </c>
      <c r="AE63" s="360" t="e">
        <f>('Analytical Data'!M56*Cover!$H$11)/($U63*(Cover!$B$11/1000))</f>
        <v>#DIV/0!</v>
      </c>
      <c r="AF63" s="360" t="e">
        <f t="shared" si="18"/>
        <v>#DIV/0!</v>
      </c>
      <c r="AG63" s="360" t="e">
        <f t="shared" si="19"/>
        <v>#DIV/0!</v>
      </c>
      <c r="AH63" s="360" t="e">
        <f t="shared" si="20"/>
        <v>#DIV/0!</v>
      </c>
      <c r="AI63" s="360" t="e">
        <f t="shared" si="21"/>
        <v>#DIV/0!</v>
      </c>
      <c r="AJ63" s="360" t="e">
        <f t="shared" si="22"/>
        <v>#DIV/0!</v>
      </c>
      <c r="AK63" s="360" t="e">
        <f t="shared" si="23"/>
        <v>#DIV/0!</v>
      </c>
      <c r="AL63" s="360" t="e">
        <f t="shared" si="24"/>
        <v>#DIV/0!</v>
      </c>
      <c r="AM63" s="360" t="e">
        <f t="shared" si="25"/>
        <v>#DIV/0!</v>
      </c>
      <c r="AN63" s="364" t="e">
        <f t="shared" si="29"/>
        <v>#DIV/0!</v>
      </c>
      <c r="AO63" s="360" t="e">
        <f t="shared" ca="1" si="33"/>
        <v>#DIV/0!</v>
      </c>
      <c r="AP63" s="368" t="e">
        <f t="shared" ca="1" si="34"/>
        <v>#VALUE!</v>
      </c>
      <c r="AQ63" s="357"/>
      <c r="AR63" s="358"/>
      <c r="AS63" s="358"/>
      <c r="AT63" s="304">
        <f t="shared" si="0"/>
        <v>0</v>
      </c>
      <c r="AU63" s="232" t="e">
        <f t="shared" ca="1" si="39"/>
        <v>#VALUE!</v>
      </c>
      <c r="AV63" s="232" t="e">
        <f t="shared" ca="1" si="40"/>
        <v>#VALUE!</v>
      </c>
      <c r="AW63" s="305" t="e">
        <f t="shared" ca="1" si="31"/>
        <v>#DIV/0!</v>
      </c>
      <c r="AX63" s="252" t="e">
        <f ca="1">PI()*((AH74-AG74)/(2*Cover!$G$11*1000*De!AN74*(SQRT(De!$Z$11)-SQRT(De!$Y$11))))</f>
        <v>#DIV/0!</v>
      </c>
      <c r="AY63" s="252" t="str">
        <f ca="1">IF(ISNUMBER((E36calc!$G71/(De!AN74*2653*Cover!$G$11))^2), (E36calc!$G71/(De!AN74*2653*Cover!$G$11))^2,"")</f>
        <v/>
      </c>
    </row>
    <row r="64" spans="1:51" ht="15" x14ac:dyDescent="0.25">
      <c r="A64" s="360">
        <f>'Measured Cummulative'!A58</f>
        <v>0</v>
      </c>
      <c r="B64" s="363" t="e">
        <f t="shared" si="12"/>
        <v>#DIV/0!</v>
      </c>
      <c r="C64" s="364"/>
      <c r="D64" s="360" t="e">
        <f ca="1">(PI()/4)*(('Measured Cummulative'!E58/$B64)^2)*((Cover!$F$11/Cover!$I$11)^2)*(1/'Measured Cummulative'!E$1)</f>
        <v>#DIV/0!</v>
      </c>
      <c r="E64" s="360" t="e">
        <f ca="1">(PI()/4)*(('Measured Cummulative'!F58/$B64)^2)*((Cover!$F$11/Cover!$I$11)^2)*(1/'Measured Cummulative'!F$1)</f>
        <v>#DIV/0!</v>
      </c>
      <c r="F64" s="360" t="e">
        <f ca="1">(PI()/4)*(('Measured Cummulative'!G58/$B64)^2)*((Cover!$F$11/Cover!$I$11)^2)*(1/'Measured Cummulative'!G$1)</f>
        <v>#DIV/0!</v>
      </c>
      <c r="G64" s="360" t="e">
        <f ca="1">(PI()/4)*(('Measured Cummulative'!H58/$B64)^2)*((Cover!$F$11/Cover!$I$11)^2)*(1/'Measured Cummulative'!H$1)</f>
        <v>#DIV/0!</v>
      </c>
      <c r="H64" s="360" t="e">
        <f ca="1">(PI()/4)*(('Measured Cummulative'!I58/$B64)^2)*((Cover!$F$11/Cover!$I$11)^2)*(1/'Measured Cummulative'!I$1)</f>
        <v>#DIV/0!</v>
      </c>
      <c r="I64" s="360" t="e">
        <f ca="1">(PI()/4)*(('Measured Cummulative'!J58/$B64)^2)*((Cover!$F$11/Cover!$I$11)^2)*(1/'Measured Cummulative'!J$1)</f>
        <v>#DIV/0!</v>
      </c>
      <c r="J64" s="360" t="e">
        <f ca="1">(PI()/4)*(('Measured Cummulative'!K58/$B64)^2)*((Cover!$F$11/Cover!$I$11)^2)*(1/'Measured Cummulative'!K$1)</f>
        <v>#DIV/0!</v>
      </c>
      <c r="K64" s="360" t="e">
        <f ca="1">(PI()/4)*(('Measured Cummulative'!L58/$B64)^2)*((Cover!$F$11/Cover!$I$11)^2)*(1/'Measured Cummulative'!L$1)</f>
        <v>#DIV/0!</v>
      </c>
      <c r="L64" s="360">
        <f>'Measured Cummulative'!A58</f>
        <v>0</v>
      </c>
      <c r="M64" s="364" t="e">
        <f t="shared" si="16"/>
        <v>#DIV/0!</v>
      </c>
      <c r="N64" s="364"/>
      <c r="O64" s="365" t="e">
        <f t="shared" ca="1" si="41"/>
        <v>#DIV/0!</v>
      </c>
      <c r="P64" s="365" t="e">
        <f t="shared" ca="1" si="42"/>
        <v>#DIV/0!</v>
      </c>
      <c r="Q64" s="365" t="e">
        <f t="shared" ca="1" si="43"/>
        <v>#DIV/0!</v>
      </c>
      <c r="R64" s="366"/>
      <c r="S64" s="364"/>
      <c r="T64" s="366">
        <f t="shared" si="17"/>
        <v>0</v>
      </c>
      <c r="U64" s="364" t="e">
        <f>'Source Term'!AI71*$T$9</f>
        <v>#DIV/0!</v>
      </c>
      <c r="V64" s="364"/>
      <c r="W64" s="367">
        <v>1</v>
      </c>
      <c r="X64" s="360" t="e">
        <f>('Analytical Data'!F57*Cover!$H$11)/($U64*(Cover!$B$11/1000))</f>
        <v>#DIV/0!</v>
      </c>
      <c r="Y64" s="360" t="e">
        <f>('Analytical Data'!G57*Cover!$H$11)/($U64*(Cover!$B$11/1000))</f>
        <v>#DIV/0!</v>
      </c>
      <c r="Z64" s="360" t="e">
        <f>('Analytical Data'!H57*Cover!$H$11)/($U64*(Cover!$B$11/1000))</f>
        <v>#DIV/0!</v>
      </c>
      <c r="AA64" s="360" t="e">
        <f>('Analytical Data'!I57*Cover!$H$11)/($U64*(Cover!$B$11/1000))</f>
        <v>#DIV/0!</v>
      </c>
      <c r="AB64" s="360" t="e">
        <f>('Analytical Data'!J57*Cover!$H$11)/($U64*(Cover!$B$11/1000))</f>
        <v>#DIV/0!</v>
      </c>
      <c r="AC64" s="360" t="e">
        <f>('Analytical Data'!K57*Cover!$H$11)/($U64*(Cover!$B$11/1000))</f>
        <v>#DIV/0!</v>
      </c>
      <c r="AD64" s="360" t="e">
        <f>('Analytical Data'!L57*Cover!$H$11)/($U64*(Cover!$B$11/1000))</f>
        <v>#DIV/0!</v>
      </c>
      <c r="AE64" s="360" t="e">
        <f>('Analytical Data'!M57*Cover!$H$11)/($U64*(Cover!$B$11/1000))</f>
        <v>#DIV/0!</v>
      </c>
      <c r="AF64" s="360" t="e">
        <f t="shared" si="18"/>
        <v>#DIV/0!</v>
      </c>
      <c r="AG64" s="360" t="e">
        <f t="shared" si="19"/>
        <v>#DIV/0!</v>
      </c>
      <c r="AH64" s="360" t="e">
        <f t="shared" si="20"/>
        <v>#DIV/0!</v>
      </c>
      <c r="AI64" s="360" t="e">
        <f t="shared" si="21"/>
        <v>#DIV/0!</v>
      </c>
      <c r="AJ64" s="360" t="e">
        <f t="shared" si="22"/>
        <v>#DIV/0!</v>
      </c>
      <c r="AK64" s="360" t="e">
        <f t="shared" si="23"/>
        <v>#DIV/0!</v>
      </c>
      <c r="AL64" s="360" t="e">
        <f t="shared" si="24"/>
        <v>#DIV/0!</v>
      </c>
      <c r="AM64" s="360" t="e">
        <f t="shared" si="25"/>
        <v>#DIV/0!</v>
      </c>
      <c r="AN64" s="364" t="e">
        <f t="shared" si="29"/>
        <v>#DIV/0!</v>
      </c>
      <c r="AO64" s="360" t="e">
        <f t="shared" ca="1" si="33"/>
        <v>#DIV/0!</v>
      </c>
      <c r="AP64" s="368" t="e">
        <f t="shared" ca="1" si="34"/>
        <v>#VALUE!</v>
      </c>
      <c r="AQ64" s="357"/>
      <c r="AR64" s="358"/>
      <c r="AS64" s="358"/>
      <c r="AT64" s="304">
        <f t="shared" si="0"/>
        <v>0</v>
      </c>
      <c r="AU64" s="232" t="e">
        <f t="shared" ca="1" si="39"/>
        <v>#VALUE!</v>
      </c>
      <c r="AV64" s="232" t="e">
        <f t="shared" ca="1" si="40"/>
        <v>#VALUE!</v>
      </c>
      <c r="AW64" s="305" t="e">
        <f t="shared" ca="1" si="31"/>
        <v>#DIV/0!</v>
      </c>
      <c r="AX64" s="252" t="e">
        <f ca="1">PI()*((AH75-AG75)/(2*Cover!$G$11*1000*De!AN75*(SQRT(De!$Z$11)-SQRT(De!$Y$11))))</f>
        <v>#DIV/0!</v>
      </c>
      <c r="AY64" s="252" t="str">
        <f ca="1">IF(ISNUMBER((E36calc!$G72/(De!AN75*2653*Cover!$G$11))^2), (E36calc!$G72/(De!AN75*2653*Cover!$G$11))^2,"")</f>
        <v/>
      </c>
    </row>
    <row r="65" spans="1:51" ht="15" x14ac:dyDescent="0.25">
      <c r="A65" s="360">
        <f>'Measured Cummulative'!A59</f>
        <v>0</v>
      </c>
      <c r="B65" s="363" t="e">
        <f t="shared" si="12"/>
        <v>#DIV/0!</v>
      </c>
      <c r="C65" s="364"/>
      <c r="D65" s="360" t="e">
        <f ca="1">(PI()/4)*(('Measured Cummulative'!E59/$B65)^2)*((Cover!$F$11/Cover!$I$11)^2)*(1/'Measured Cummulative'!E$1)</f>
        <v>#DIV/0!</v>
      </c>
      <c r="E65" s="360" t="e">
        <f ca="1">(PI()/4)*(('Measured Cummulative'!F59/$B65)^2)*((Cover!$F$11/Cover!$I$11)^2)*(1/'Measured Cummulative'!F$1)</f>
        <v>#DIV/0!</v>
      </c>
      <c r="F65" s="360" t="e">
        <f ca="1">(PI()/4)*(('Measured Cummulative'!G59/$B65)^2)*((Cover!$F$11/Cover!$I$11)^2)*(1/'Measured Cummulative'!G$1)</f>
        <v>#DIV/0!</v>
      </c>
      <c r="G65" s="360" t="e">
        <f ca="1">(PI()/4)*(('Measured Cummulative'!H59/$B65)^2)*((Cover!$F$11/Cover!$I$11)^2)*(1/'Measured Cummulative'!H$1)</f>
        <v>#DIV/0!</v>
      </c>
      <c r="H65" s="360" t="e">
        <f ca="1">(PI()/4)*(('Measured Cummulative'!I59/$B65)^2)*((Cover!$F$11/Cover!$I$11)^2)*(1/'Measured Cummulative'!I$1)</f>
        <v>#DIV/0!</v>
      </c>
      <c r="I65" s="360" t="e">
        <f ca="1">(PI()/4)*(('Measured Cummulative'!J59/$B65)^2)*((Cover!$F$11/Cover!$I$11)^2)*(1/'Measured Cummulative'!J$1)</f>
        <v>#DIV/0!</v>
      </c>
      <c r="J65" s="360" t="e">
        <f ca="1">(PI()/4)*(('Measured Cummulative'!K59/$B65)^2)*((Cover!$F$11/Cover!$I$11)^2)*(1/'Measured Cummulative'!K$1)</f>
        <v>#DIV/0!</v>
      </c>
      <c r="K65" s="360" t="e">
        <f ca="1">(PI()/4)*(('Measured Cummulative'!L59/$B65)^2)*((Cover!$F$11/Cover!$I$11)^2)*(1/'Measured Cummulative'!L$1)</f>
        <v>#DIV/0!</v>
      </c>
      <c r="L65" s="360">
        <f>'Measured Cummulative'!A59</f>
        <v>0</v>
      </c>
      <c r="M65" s="364" t="e">
        <f t="shared" si="16"/>
        <v>#DIV/0!</v>
      </c>
      <c r="N65" s="364"/>
      <c r="O65" s="365" t="e">
        <f t="shared" ca="1" si="41"/>
        <v>#DIV/0!</v>
      </c>
      <c r="P65" s="365" t="e">
        <f t="shared" ca="1" si="42"/>
        <v>#DIV/0!</v>
      </c>
      <c r="Q65" s="365" t="e">
        <f t="shared" ca="1" si="43"/>
        <v>#DIV/0!</v>
      </c>
      <c r="R65" s="366"/>
      <c r="S65" s="364"/>
      <c r="T65" s="366">
        <f t="shared" si="17"/>
        <v>0</v>
      </c>
      <c r="U65" s="364" t="e">
        <f>'Source Term'!AI72*$T$9</f>
        <v>#DIV/0!</v>
      </c>
      <c r="V65" s="364"/>
      <c r="W65" s="367">
        <v>1</v>
      </c>
      <c r="X65" s="360" t="e">
        <f>('Analytical Data'!F58*Cover!$H$11)/($U65*(Cover!$B$11/1000))</f>
        <v>#DIV/0!</v>
      </c>
      <c r="Y65" s="360" t="e">
        <f>('Analytical Data'!G58*Cover!$H$11)/($U65*(Cover!$B$11/1000))</f>
        <v>#DIV/0!</v>
      </c>
      <c r="Z65" s="360" t="e">
        <f>('Analytical Data'!H58*Cover!$H$11)/($U65*(Cover!$B$11/1000))</f>
        <v>#DIV/0!</v>
      </c>
      <c r="AA65" s="360" t="e">
        <f>('Analytical Data'!I58*Cover!$H$11)/($U65*(Cover!$B$11/1000))</f>
        <v>#DIV/0!</v>
      </c>
      <c r="AB65" s="360" t="e">
        <f>('Analytical Data'!J58*Cover!$H$11)/($U65*(Cover!$B$11/1000))</f>
        <v>#DIV/0!</v>
      </c>
      <c r="AC65" s="360" t="e">
        <f>('Analytical Data'!K58*Cover!$H$11)/($U65*(Cover!$B$11/1000))</f>
        <v>#DIV/0!</v>
      </c>
      <c r="AD65" s="360" t="e">
        <f>('Analytical Data'!L58*Cover!$H$11)/($U65*(Cover!$B$11/1000))</f>
        <v>#DIV/0!</v>
      </c>
      <c r="AE65" s="360" t="e">
        <f>('Analytical Data'!M58*Cover!$H$11)/($U65*(Cover!$B$11/1000))</f>
        <v>#DIV/0!</v>
      </c>
      <c r="AF65" s="360" t="e">
        <f t="shared" si="18"/>
        <v>#DIV/0!</v>
      </c>
      <c r="AG65" s="360" t="e">
        <f t="shared" si="19"/>
        <v>#DIV/0!</v>
      </c>
      <c r="AH65" s="360" t="e">
        <f t="shared" si="20"/>
        <v>#DIV/0!</v>
      </c>
      <c r="AI65" s="360" t="e">
        <f t="shared" si="21"/>
        <v>#DIV/0!</v>
      </c>
      <c r="AJ65" s="360" t="e">
        <f t="shared" si="22"/>
        <v>#DIV/0!</v>
      </c>
      <c r="AK65" s="360" t="e">
        <f t="shared" si="23"/>
        <v>#DIV/0!</v>
      </c>
      <c r="AL65" s="360" t="e">
        <f t="shared" si="24"/>
        <v>#DIV/0!</v>
      </c>
      <c r="AM65" s="360" t="e">
        <f t="shared" si="25"/>
        <v>#DIV/0!</v>
      </c>
      <c r="AN65" s="364" t="e">
        <f t="shared" si="29"/>
        <v>#DIV/0!</v>
      </c>
      <c r="AO65" s="360" t="e">
        <f t="shared" ca="1" si="33"/>
        <v>#DIV/0!</v>
      </c>
      <c r="AP65" s="368" t="e">
        <f t="shared" ca="1" si="34"/>
        <v>#VALUE!</v>
      </c>
      <c r="AQ65" s="357"/>
      <c r="AR65" s="358"/>
      <c r="AS65" s="358"/>
      <c r="AT65" s="304">
        <f t="shared" si="0"/>
        <v>0</v>
      </c>
      <c r="AU65" s="232" t="e">
        <f t="shared" ca="1" si="39"/>
        <v>#VALUE!</v>
      </c>
      <c r="AV65" s="232" t="e">
        <f t="shared" ca="1" si="40"/>
        <v>#VALUE!</v>
      </c>
      <c r="AW65" s="305" t="e">
        <f t="shared" ca="1" si="31"/>
        <v>#DIV/0!</v>
      </c>
      <c r="AX65" s="252" t="e">
        <f ca="1">PI()*((AH76-AG76)/(2*Cover!$G$11*1000*De!AN76*(SQRT(De!$Z$11)-SQRT(De!$Y$11))))</f>
        <v>#DIV/0!</v>
      </c>
      <c r="AY65" s="252" t="str">
        <f ca="1">IF(ISNUMBER((E36calc!$G73/(De!AN76*2653*Cover!$G$11))^2), (E36calc!$G73/(De!AN76*2653*Cover!$G$11))^2,"")</f>
        <v/>
      </c>
    </row>
    <row r="66" spans="1:51" ht="15" x14ac:dyDescent="0.25">
      <c r="A66" s="360">
        <f>'Measured Cummulative'!A60</f>
        <v>0</v>
      </c>
      <c r="B66" s="363" t="e">
        <f t="shared" si="12"/>
        <v>#DIV/0!</v>
      </c>
      <c r="C66" s="364"/>
      <c r="D66" s="360" t="e">
        <f ca="1">(PI()/4)*(('Measured Cummulative'!E60/$B66)^2)*((Cover!$F$11/Cover!$I$11)^2)*(1/'Measured Cummulative'!E$1)</f>
        <v>#DIV/0!</v>
      </c>
      <c r="E66" s="360" t="e">
        <f ca="1">(PI()/4)*(('Measured Cummulative'!F60/$B66)^2)*((Cover!$F$11/Cover!$I$11)^2)*(1/'Measured Cummulative'!F$1)</f>
        <v>#DIV/0!</v>
      </c>
      <c r="F66" s="360" t="e">
        <f ca="1">(PI()/4)*(('Measured Cummulative'!G60/$B66)^2)*((Cover!$F$11/Cover!$I$11)^2)*(1/'Measured Cummulative'!G$1)</f>
        <v>#DIV/0!</v>
      </c>
      <c r="G66" s="360" t="e">
        <f ca="1">(PI()/4)*(('Measured Cummulative'!H60/$B66)^2)*((Cover!$F$11/Cover!$I$11)^2)*(1/'Measured Cummulative'!H$1)</f>
        <v>#DIV/0!</v>
      </c>
      <c r="H66" s="360" t="e">
        <f ca="1">(PI()/4)*(('Measured Cummulative'!I60/$B66)^2)*((Cover!$F$11/Cover!$I$11)^2)*(1/'Measured Cummulative'!I$1)</f>
        <v>#DIV/0!</v>
      </c>
      <c r="I66" s="360" t="e">
        <f ca="1">(PI()/4)*(('Measured Cummulative'!J60/$B66)^2)*((Cover!$F$11/Cover!$I$11)^2)*(1/'Measured Cummulative'!J$1)</f>
        <v>#DIV/0!</v>
      </c>
      <c r="J66" s="360" t="e">
        <f ca="1">(PI()/4)*(('Measured Cummulative'!K60/$B66)^2)*((Cover!$F$11/Cover!$I$11)^2)*(1/'Measured Cummulative'!K$1)</f>
        <v>#DIV/0!</v>
      </c>
      <c r="K66" s="360" t="e">
        <f ca="1">(PI()/4)*(('Measured Cummulative'!L60/$B66)^2)*((Cover!$F$11/Cover!$I$11)^2)*(1/'Measured Cummulative'!L$1)</f>
        <v>#DIV/0!</v>
      </c>
      <c r="L66" s="360">
        <f>'Measured Cummulative'!A60</f>
        <v>0</v>
      </c>
      <c r="M66" s="364" t="e">
        <f t="shared" si="16"/>
        <v>#DIV/0!</v>
      </c>
      <c r="N66" s="364"/>
      <c r="O66" s="365" t="e">
        <f t="shared" ca="1" si="41"/>
        <v>#DIV/0!</v>
      </c>
      <c r="P66" s="365" t="e">
        <f t="shared" ca="1" si="42"/>
        <v>#DIV/0!</v>
      </c>
      <c r="Q66" s="365" t="e">
        <f t="shared" ca="1" si="43"/>
        <v>#DIV/0!</v>
      </c>
      <c r="R66" s="366"/>
      <c r="S66" s="364"/>
      <c r="T66" s="366">
        <f t="shared" si="17"/>
        <v>0</v>
      </c>
      <c r="U66" s="364" t="e">
        <f>'Source Term'!AI73*$T$9</f>
        <v>#DIV/0!</v>
      </c>
      <c r="V66" s="364"/>
      <c r="W66" s="367">
        <v>1</v>
      </c>
      <c r="X66" s="360" t="e">
        <f>('Analytical Data'!F59*Cover!$H$11)/($U66*(Cover!$B$11/1000))</f>
        <v>#DIV/0!</v>
      </c>
      <c r="Y66" s="360" t="e">
        <f>('Analytical Data'!G59*Cover!$H$11)/($U66*(Cover!$B$11/1000))</f>
        <v>#DIV/0!</v>
      </c>
      <c r="Z66" s="360" t="e">
        <f>('Analytical Data'!H59*Cover!$H$11)/($U66*(Cover!$B$11/1000))</f>
        <v>#DIV/0!</v>
      </c>
      <c r="AA66" s="360" t="e">
        <f>('Analytical Data'!I59*Cover!$H$11)/($U66*(Cover!$B$11/1000))</f>
        <v>#DIV/0!</v>
      </c>
      <c r="AB66" s="360" t="e">
        <f>('Analytical Data'!J59*Cover!$H$11)/($U66*(Cover!$B$11/1000))</f>
        <v>#DIV/0!</v>
      </c>
      <c r="AC66" s="360" t="e">
        <f>('Analytical Data'!K59*Cover!$H$11)/($U66*(Cover!$B$11/1000))</f>
        <v>#DIV/0!</v>
      </c>
      <c r="AD66" s="360" t="e">
        <f>('Analytical Data'!L59*Cover!$H$11)/($U66*(Cover!$B$11/1000))</f>
        <v>#DIV/0!</v>
      </c>
      <c r="AE66" s="360" t="e">
        <f>('Analytical Data'!M59*Cover!$H$11)/($U66*(Cover!$B$11/1000))</f>
        <v>#DIV/0!</v>
      </c>
      <c r="AF66" s="360" t="e">
        <f t="shared" si="18"/>
        <v>#DIV/0!</v>
      </c>
      <c r="AG66" s="360" t="e">
        <f t="shared" si="19"/>
        <v>#DIV/0!</v>
      </c>
      <c r="AH66" s="360" t="e">
        <f t="shared" si="20"/>
        <v>#DIV/0!</v>
      </c>
      <c r="AI66" s="360" t="e">
        <f t="shared" si="21"/>
        <v>#DIV/0!</v>
      </c>
      <c r="AJ66" s="360" t="e">
        <f t="shared" si="22"/>
        <v>#DIV/0!</v>
      </c>
      <c r="AK66" s="360" t="e">
        <f t="shared" si="23"/>
        <v>#DIV/0!</v>
      </c>
      <c r="AL66" s="360" t="e">
        <f t="shared" si="24"/>
        <v>#DIV/0!</v>
      </c>
      <c r="AM66" s="360" t="e">
        <f t="shared" si="25"/>
        <v>#DIV/0!</v>
      </c>
      <c r="AN66" s="364" t="e">
        <f t="shared" ref="AN66:AN80" si="44">U66*W66</f>
        <v>#DIV/0!</v>
      </c>
      <c r="AO66" s="360" t="e">
        <f t="shared" ca="1" si="33"/>
        <v>#DIV/0!</v>
      </c>
      <c r="AP66" s="368" t="e">
        <f t="shared" ca="1" si="34"/>
        <v>#VALUE!</v>
      </c>
      <c r="AQ66" s="357"/>
      <c r="AR66" s="358"/>
      <c r="AS66" s="358"/>
      <c r="AT66" s="304">
        <f t="shared" si="0"/>
        <v>0</v>
      </c>
      <c r="AU66" s="232" t="e">
        <f t="shared" ca="1" si="39"/>
        <v>#VALUE!</v>
      </c>
      <c r="AV66" s="232" t="e">
        <f t="shared" ca="1" si="40"/>
        <v>#VALUE!</v>
      </c>
      <c r="AW66" s="305" t="e">
        <f t="shared" ca="1" si="31"/>
        <v>#DIV/0!</v>
      </c>
      <c r="AX66" s="252" t="e">
        <f ca="1">PI()*((AH77-AG77)/(2*Cover!$G$11*1000*De!AN77*(SQRT(De!$Z$11)-SQRT(De!$Y$11))))</f>
        <v>#DIV/0!</v>
      </c>
      <c r="AY66" s="252" t="str">
        <f ca="1">IF(ISNUMBER((E36calc!$G74/(De!AN77*2653*Cover!$G$11))^2), (E36calc!$G74/(De!AN77*2653*Cover!$G$11))^2,"")</f>
        <v/>
      </c>
    </row>
    <row r="67" spans="1:51" ht="15" x14ac:dyDescent="0.25">
      <c r="A67" s="360">
        <f>'Measured Cummulative'!A61</f>
        <v>0</v>
      </c>
      <c r="B67" s="363" t="e">
        <f t="shared" si="12"/>
        <v>#DIV/0!</v>
      </c>
      <c r="C67" s="364"/>
      <c r="D67" s="360" t="e">
        <f ca="1">(PI()/4)*(('Measured Cummulative'!E61/$B67)^2)*((Cover!$F$11/Cover!$I$11)^2)*(1/'Measured Cummulative'!E$1)</f>
        <v>#DIV/0!</v>
      </c>
      <c r="E67" s="360" t="e">
        <f ca="1">(PI()/4)*(('Measured Cummulative'!F61/$B67)^2)*((Cover!$F$11/Cover!$I$11)^2)*(1/'Measured Cummulative'!F$1)</f>
        <v>#DIV/0!</v>
      </c>
      <c r="F67" s="360" t="e">
        <f ca="1">(PI()/4)*(('Measured Cummulative'!G61/$B67)^2)*((Cover!$F$11/Cover!$I$11)^2)*(1/'Measured Cummulative'!G$1)</f>
        <v>#DIV/0!</v>
      </c>
      <c r="G67" s="360" t="e">
        <f ca="1">(PI()/4)*(('Measured Cummulative'!H61/$B67)^2)*((Cover!$F$11/Cover!$I$11)^2)*(1/'Measured Cummulative'!H$1)</f>
        <v>#DIV/0!</v>
      </c>
      <c r="H67" s="360" t="e">
        <f ca="1">(PI()/4)*(('Measured Cummulative'!I61/$B67)^2)*((Cover!$F$11/Cover!$I$11)^2)*(1/'Measured Cummulative'!I$1)</f>
        <v>#DIV/0!</v>
      </c>
      <c r="I67" s="360" t="e">
        <f ca="1">(PI()/4)*(('Measured Cummulative'!J61/$B67)^2)*((Cover!$F$11/Cover!$I$11)^2)*(1/'Measured Cummulative'!J$1)</f>
        <v>#DIV/0!</v>
      </c>
      <c r="J67" s="360" t="e">
        <f ca="1">(PI()/4)*(('Measured Cummulative'!K61/$B67)^2)*((Cover!$F$11/Cover!$I$11)^2)*(1/'Measured Cummulative'!K$1)</f>
        <v>#DIV/0!</v>
      </c>
      <c r="K67" s="360" t="e">
        <f ca="1">(PI()/4)*(('Measured Cummulative'!L61/$B67)^2)*((Cover!$F$11/Cover!$I$11)^2)*(1/'Measured Cummulative'!L$1)</f>
        <v>#DIV/0!</v>
      </c>
      <c r="L67" s="360">
        <f>'Measured Cummulative'!A61</f>
        <v>0</v>
      </c>
      <c r="M67" s="364" t="e">
        <f t="shared" si="16"/>
        <v>#DIV/0!</v>
      </c>
      <c r="N67" s="364"/>
      <c r="O67" s="365" t="e">
        <f t="shared" ca="1" si="41"/>
        <v>#DIV/0!</v>
      </c>
      <c r="P67" s="365" t="e">
        <f t="shared" ca="1" si="42"/>
        <v>#DIV/0!</v>
      </c>
      <c r="Q67" s="365" t="e">
        <f t="shared" ca="1" si="43"/>
        <v>#DIV/0!</v>
      </c>
      <c r="R67" s="366"/>
      <c r="S67" s="364"/>
      <c r="T67" s="366">
        <f t="shared" si="17"/>
        <v>0</v>
      </c>
      <c r="U67" s="364" t="e">
        <f>'Source Term'!AI74*$T$9</f>
        <v>#DIV/0!</v>
      </c>
      <c r="V67" s="364"/>
      <c r="W67" s="367">
        <v>1</v>
      </c>
      <c r="X67" s="360" t="e">
        <f>('Analytical Data'!F60*Cover!$H$11)/($U67*(Cover!$B$11/1000))</f>
        <v>#DIV/0!</v>
      </c>
      <c r="Y67" s="360" t="e">
        <f>('Analytical Data'!G60*Cover!$H$11)/($U67*(Cover!$B$11/1000))</f>
        <v>#DIV/0!</v>
      </c>
      <c r="Z67" s="360" t="e">
        <f>('Analytical Data'!H60*Cover!$H$11)/($U67*(Cover!$B$11/1000))</f>
        <v>#DIV/0!</v>
      </c>
      <c r="AA67" s="360" t="e">
        <f>('Analytical Data'!I60*Cover!$H$11)/($U67*(Cover!$B$11/1000))</f>
        <v>#DIV/0!</v>
      </c>
      <c r="AB67" s="360" t="e">
        <f>('Analytical Data'!J60*Cover!$H$11)/($U67*(Cover!$B$11/1000))</f>
        <v>#DIV/0!</v>
      </c>
      <c r="AC67" s="360" t="e">
        <f>('Analytical Data'!K60*Cover!$H$11)/($U67*(Cover!$B$11/1000))</f>
        <v>#DIV/0!</v>
      </c>
      <c r="AD67" s="360" t="e">
        <f>('Analytical Data'!L60*Cover!$H$11)/($U67*(Cover!$B$11/1000))</f>
        <v>#DIV/0!</v>
      </c>
      <c r="AE67" s="360" t="e">
        <f>('Analytical Data'!M60*Cover!$H$11)/($U67*(Cover!$B$11/1000))</f>
        <v>#DIV/0!</v>
      </c>
      <c r="AF67" s="360" t="e">
        <f t="shared" si="18"/>
        <v>#DIV/0!</v>
      </c>
      <c r="AG67" s="360" t="e">
        <f t="shared" si="19"/>
        <v>#DIV/0!</v>
      </c>
      <c r="AH67" s="360" t="e">
        <f t="shared" si="20"/>
        <v>#DIV/0!</v>
      </c>
      <c r="AI67" s="360" t="e">
        <f t="shared" si="21"/>
        <v>#DIV/0!</v>
      </c>
      <c r="AJ67" s="360" t="e">
        <f t="shared" si="22"/>
        <v>#DIV/0!</v>
      </c>
      <c r="AK67" s="360" t="e">
        <f t="shared" si="23"/>
        <v>#DIV/0!</v>
      </c>
      <c r="AL67" s="360" t="e">
        <f t="shared" si="24"/>
        <v>#DIV/0!</v>
      </c>
      <c r="AM67" s="360" t="e">
        <f t="shared" si="25"/>
        <v>#DIV/0!</v>
      </c>
      <c r="AN67" s="364" t="e">
        <f t="shared" si="44"/>
        <v>#DIV/0!</v>
      </c>
      <c r="AO67" s="360" t="e">
        <f t="shared" ca="1" si="33"/>
        <v>#DIV/0!</v>
      </c>
      <c r="AP67" s="368" t="e">
        <f t="shared" ca="1" si="34"/>
        <v>#VALUE!</v>
      </c>
      <c r="AQ67" s="357"/>
      <c r="AR67" s="358"/>
      <c r="AS67" s="358"/>
      <c r="AT67" s="304">
        <f t="shared" si="0"/>
        <v>0</v>
      </c>
      <c r="AU67" s="232" t="e">
        <f t="shared" ca="1" si="39"/>
        <v>#VALUE!</v>
      </c>
      <c r="AV67" s="232" t="e">
        <f t="shared" ca="1" si="40"/>
        <v>#VALUE!</v>
      </c>
      <c r="AW67" s="305" t="e">
        <f t="shared" ca="1" si="31"/>
        <v>#DIV/0!</v>
      </c>
      <c r="AX67" s="252" t="e">
        <f ca="1">PI()*((AH78-AG78)/(2*Cover!$G$11*1000*De!AN78*(SQRT(De!$Z$11)-SQRT(De!$Y$11))))</f>
        <v>#DIV/0!</v>
      </c>
      <c r="AY67" s="252" t="str">
        <f ca="1">IF(ISNUMBER((E36calc!$G75/(De!AN78*2653*Cover!$G$11))^2), (E36calc!$G75/(De!AN78*2653*Cover!$G$11))^2,"")</f>
        <v/>
      </c>
    </row>
    <row r="68" spans="1:51" ht="15" x14ac:dyDescent="0.25">
      <c r="A68" s="360">
        <f>'Measured Cummulative'!A62</f>
        <v>0</v>
      </c>
      <c r="B68" s="363" t="e">
        <f t="shared" si="12"/>
        <v>#DIV/0!</v>
      </c>
      <c r="C68" s="364"/>
      <c r="D68" s="360" t="e">
        <f ca="1">(PI()/4)*(('Measured Cummulative'!E62/$B68)^2)*((Cover!$F$11/Cover!$I$11)^2)*(1/'Measured Cummulative'!E$1)</f>
        <v>#DIV/0!</v>
      </c>
      <c r="E68" s="360" t="e">
        <f ca="1">(PI()/4)*(('Measured Cummulative'!F62/$B68)^2)*((Cover!$F$11/Cover!$I$11)^2)*(1/'Measured Cummulative'!F$1)</f>
        <v>#DIV/0!</v>
      </c>
      <c r="F68" s="360" t="e">
        <f ca="1">(PI()/4)*(('Measured Cummulative'!G62/$B68)^2)*((Cover!$F$11/Cover!$I$11)^2)*(1/'Measured Cummulative'!G$1)</f>
        <v>#DIV/0!</v>
      </c>
      <c r="G68" s="360" t="e">
        <f ca="1">(PI()/4)*(('Measured Cummulative'!H62/$B68)^2)*((Cover!$F$11/Cover!$I$11)^2)*(1/'Measured Cummulative'!H$1)</f>
        <v>#DIV/0!</v>
      </c>
      <c r="H68" s="360" t="e">
        <f ca="1">(PI()/4)*(('Measured Cummulative'!I62/$B68)^2)*((Cover!$F$11/Cover!$I$11)^2)*(1/'Measured Cummulative'!I$1)</f>
        <v>#DIV/0!</v>
      </c>
      <c r="I68" s="360" t="e">
        <f ca="1">(PI()/4)*(('Measured Cummulative'!J62/$B68)^2)*((Cover!$F$11/Cover!$I$11)^2)*(1/'Measured Cummulative'!J$1)</f>
        <v>#DIV/0!</v>
      </c>
      <c r="J68" s="360" t="e">
        <f ca="1">(PI()/4)*(('Measured Cummulative'!K62/$B68)^2)*((Cover!$F$11/Cover!$I$11)^2)*(1/'Measured Cummulative'!K$1)</f>
        <v>#DIV/0!</v>
      </c>
      <c r="K68" s="360" t="e">
        <f ca="1">(PI()/4)*(('Measured Cummulative'!L62/$B68)^2)*((Cover!$F$11/Cover!$I$11)^2)*(1/'Measured Cummulative'!L$1)</f>
        <v>#DIV/0!</v>
      </c>
      <c r="L68" s="360">
        <f>'Measured Cummulative'!A62</f>
        <v>0</v>
      </c>
      <c r="M68" s="364" t="e">
        <f t="shared" si="16"/>
        <v>#DIV/0!</v>
      </c>
      <c r="N68" s="364"/>
      <c r="O68" s="365" t="e">
        <f t="shared" ca="1" si="41"/>
        <v>#DIV/0!</v>
      </c>
      <c r="P68" s="365" t="e">
        <f t="shared" ca="1" si="42"/>
        <v>#DIV/0!</v>
      </c>
      <c r="Q68" s="365" t="e">
        <f t="shared" ca="1" si="43"/>
        <v>#DIV/0!</v>
      </c>
      <c r="R68" s="366"/>
      <c r="S68" s="364"/>
      <c r="T68" s="366">
        <f t="shared" si="17"/>
        <v>0</v>
      </c>
      <c r="U68" s="364" t="e">
        <f>'Source Term'!AI75*$T$9</f>
        <v>#DIV/0!</v>
      </c>
      <c r="V68" s="364"/>
      <c r="W68" s="367">
        <v>1</v>
      </c>
      <c r="X68" s="360" t="e">
        <f>('Analytical Data'!F61*Cover!$H$11)/($U68*(Cover!$B$11/1000))</f>
        <v>#DIV/0!</v>
      </c>
      <c r="Y68" s="360" t="e">
        <f>('Analytical Data'!G61*Cover!$H$11)/($U68*(Cover!$B$11/1000))</f>
        <v>#DIV/0!</v>
      </c>
      <c r="Z68" s="360" t="e">
        <f>('Analytical Data'!H61*Cover!$H$11)/($U68*(Cover!$B$11/1000))</f>
        <v>#DIV/0!</v>
      </c>
      <c r="AA68" s="360" t="e">
        <f>('Analytical Data'!I61*Cover!$H$11)/($U68*(Cover!$B$11/1000))</f>
        <v>#DIV/0!</v>
      </c>
      <c r="AB68" s="360" t="e">
        <f>('Analytical Data'!J61*Cover!$H$11)/($U68*(Cover!$B$11/1000))</f>
        <v>#DIV/0!</v>
      </c>
      <c r="AC68" s="360" t="e">
        <f>('Analytical Data'!K61*Cover!$H$11)/($U68*(Cover!$B$11/1000))</f>
        <v>#DIV/0!</v>
      </c>
      <c r="AD68" s="360" t="e">
        <f>('Analytical Data'!L61*Cover!$H$11)/($U68*(Cover!$B$11/1000))</f>
        <v>#DIV/0!</v>
      </c>
      <c r="AE68" s="360" t="e">
        <f>('Analytical Data'!M61*Cover!$H$11)/($U68*(Cover!$B$11/1000))</f>
        <v>#DIV/0!</v>
      </c>
      <c r="AF68" s="360" t="e">
        <f t="shared" si="18"/>
        <v>#DIV/0!</v>
      </c>
      <c r="AG68" s="360" t="e">
        <f t="shared" si="19"/>
        <v>#DIV/0!</v>
      </c>
      <c r="AH68" s="360" t="e">
        <f t="shared" si="20"/>
        <v>#DIV/0!</v>
      </c>
      <c r="AI68" s="360" t="e">
        <f t="shared" si="21"/>
        <v>#DIV/0!</v>
      </c>
      <c r="AJ68" s="360" t="e">
        <f t="shared" si="22"/>
        <v>#DIV/0!</v>
      </c>
      <c r="AK68" s="360" t="e">
        <f t="shared" si="23"/>
        <v>#DIV/0!</v>
      </c>
      <c r="AL68" s="360" t="e">
        <f t="shared" si="24"/>
        <v>#DIV/0!</v>
      </c>
      <c r="AM68" s="360" t="e">
        <f t="shared" si="25"/>
        <v>#DIV/0!</v>
      </c>
      <c r="AN68" s="364" t="e">
        <f t="shared" si="44"/>
        <v>#DIV/0!</v>
      </c>
      <c r="AO68" s="360" t="e">
        <f t="shared" ca="1" si="33"/>
        <v>#DIV/0!</v>
      </c>
      <c r="AP68" s="368" t="e">
        <f t="shared" ca="1" si="34"/>
        <v>#VALUE!</v>
      </c>
      <c r="AQ68" s="357"/>
      <c r="AR68" s="358"/>
      <c r="AS68" s="358"/>
      <c r="AT68" s="304">
        <f t="shared" ref="AT68:AT72" si="45">T79</f>
        <v>0</v>
      </c>
      <c r="AU68" s="232" t="e">
        <f t="shared" ca="1" si="39"/>
        <v>#VALUE!</v>
      </c>
      <c r="AV68" s="232" t="e">
        <f t="shared" ca="1" si="40"/>
        <v>#VALUE!</v>
      </c>
      <c r="AW68" s="305" t="e">
        <f t="shared" ca="1" si="31"/>
        <v>#DIV/0!</v>
      </c>
      <c r="AX68" s="252" t="e">
        <f ca="1">PI()*((AH79-AG79)/(2*Cover!$G$11*1000*De!AN79*(SQRT(De!$Z$11)-SQRT(De!$Y$11))))</f>
        <v>#DIV/0!</v>
      </c>
      <c r="AY68" s="252" t="str">
        <f ca="1">IF(ISNUMBER((E36calc!$G76/(De!AN79*2653*Cover!$G$11))^2), (E36calc!$G76/(De!AN79*2653*Cover!$G$11))^2,"")</f>
        <v/>
      </c>
    </row>
    <row r="69" spans="1:51" ht="15" x14ac:dyDescent="0.25">
      <c r="A69" s="360">
        <f>'Measured Cummulative'!A63</f>
        <v>0</v>
      </c>
      <c r="B69" s="363" t="e">
        <f t="shared" si="12"/>
        <v>#DIV/0!</v>
      </c>
      <c r="C69" s="364"/>
      <c r="D69" s="360" t="e">
        <f ca="1">(PI()/4)*(('Measured Cummulative'!E63/$B69)^2)*((Cover!$F$11/Cover!$I$11)^2)*(1/'Measured Cummulative'!E$1)</f>
        <v>#DIV/0!</v>
      </c>
      <c r="E69" s="360" t="e">
        <f ca="1">(PI()/4)*(('Measured Cummulative'!F63/$B69)^2)*((Cover!$F$11/Cover!$I$11)^2)*(1/'Measured Cummulative'!F$1)</f>
        <v>#DIV/0!</v>
      </c>
      <c r="F69" s="360" t="e">
        <f ca="1">(PI()/4)*(('Measured Cummulative'!G63/$B69)^2)*((Cover!$F$11/Cover!$I$11)^2)*(1/'Measured Cummulative'!G$1)</f>
        <v>#DIV/0!</v>
      </c>
      <c r="G69" s="360" t="e">
        <f ca="1">(PI()/4)*(('Measured Cummulative'!H63/$B69)^2)*((Cover!$F$11/Cover!$I$11)^2)*(1/'Measured Cummulative'!H$1)</f>
        <v>#DIV/0!</v>
      </c>
      <c r="H69" s="360" t="e">
        <f ca="1">(PI()/4)*(('Measured Cummulative'!I63/$B69)^2)*((Cover!$F$11/Cover!$I$11)^2)*(1/'Measured Cummulative'!I$1)</f>
        <v>#DIV/0!</v>
      </c>
      <c r="I69" s="360" t="e">
        <f ca="1">(PI()/4)*(('Measured Cummulative'!J63/$B69)^2)*((Cover!$F$11/Cover!$I$11)^2)*(1/'Measured Cummulative'!J$1)</f>
        <v>#DIV/0!</v>
      </c>
      <c r="J69" s="360" t="e">
        <f ca="1">(PI()/4)*(('Measured Cummulative'!K63/$B69)^2)*((Cover!$F$11/Cover!$I$11)^2)*(1/'Measured Cummulative'!K$1)</f>
        <v>#DIV/0!</v>
      </c>
      <c r="K69" s="360" t="e">
        <f ca="1">(PI()/4)*(('Measured Cummulative'!L63/$B69)^2)*((Cover!$F$11/Cover!$I$11)^2)*(1/'Measured Cummulative'!L$1)</f>
        <v>#DIV/0!</v>
      </c>
      <c r="L69" s="360">
        <f>'Measured Cummulative'!A63</f>
        <v>0</v>
      </c>
      <c r="M69" s="364" t="e">
        <f t="shared" si="16"/>
        <v>#DIV/0!</v>
      </c>
      <c r="N69" s="364"/>
      <c r="O69" s="365" t="e">
        <f t="shared" ca="1" si="41"/>
        <v>#DIV/0!</v>
      </c>
      <c r="P69" s="365" t="e">
        <f t="shared" ca="1" si="42"/>
        <v>#DIV/0!</v>
      </c>
      <c r="Q69" s="365" t="e">
        <f t="shared" ca="1" si="43"/>
        <v>#DIV/0!</v>
      </c>
      <c r="R69" s="366"/>
      <c r="S69" s="364"/>
      <c r="T69" s="366">
        <f t="shared" si="17"/>
        <v>0</v>
      </c>
      <c r="U69" s="364" t="e">
        <f>'Source Term'!AI76*$T$9</f>
        <v>#DIV/0!</v>
      </c>
      <c r="V69" s="364"/>
      <c r="W69" s="367">
        <v>1</v>
      </c>
      <c r="X69" s="360" t="e">
        <f>('Analytical Data'!F62*Cover!$H$11)/($U69*(Cover!$B$11/1000))</f>
        <v>#DIV/0!</v>
      </c>
      <c r="Y69" s="360" t="e">
        <f>('Analytical Data'!G62*Cover!$H$11)/($U69*(Cover!$B$11/1000))</f>
        <v>#DIV/0!</v>
      </c>
      <c r="Z69" s="360" t="e">
        <f>('Analytical Data'!H62*Cover!$H$11)/($U69*(Cover!$B$11/1000))</f>
        <v>#DIV/0!</v>
      </c>
      <c r="AA69" s="360" t="e">
        <f>('Analytical Data'!I62*Cover!$H$11)/($U69*(Cover!$B$11/1000))</f>
        <v>#DIV/0!</v>
      </c>
      <c r="AB69" s="360" t="e">
        <f>('Analytical Data'!J62*Cover!$H$11)/($U69*(Cover!$B$11/1000))</f>
        <v>#DIV/0!</v>
      </c>
      <c r="AC69" s="360" t="e">
        <f>('Analytical Data'!K62*Cover!$H$11)/($U69*(Cover!$B$11/1000))</f>
        <v>#DIV/0!</v>
      </c>
      <c r="AD69" s="360" t="e">
        <f>('Analytical Data'!L62*Cover!$H$11)/($U69*(Cover!$B$11/1000))</f>
        <v>#DIV/0!</v>
      </c>
      <c r="AE69" s="360" t="e">
        <f>('Analytical Data'!M62*Cover!$H$11)/($U69*(Cover!$B$11/1000))</f>
        <v>#DIV/0!</v>
      </c>
      <c r="AF69" s="360" t="e">
        <f t="shared" si="18"/>
        <v>#DIV/0!</v>
      </c>
      <c r="AG69" s="360" t="e">
        <f t="shared" si="19"/>
        <v>#DIV/0!</v>
      </c>
      <c r="AH69" s="360" t="e">
        <f t="shared" si="20"/>
        <v>#DIV/0!</v>
      </c>
      <c r="AI69" s="360" t="e">
        <f t="shared" si="21"/>
        <v>#DIV/0!</v>
      </c>
      <c r="AJ69" s="360" t="e">
        <f t="shared" si="22"/>
        <v>#DIV/0!</v>
      </c>
      <c r="AK69" s="360" t="e">
        <f t="shared" si="23"/>
        <v>#DIV/0!</v>
      </c>
      <c r="AL69" s="360" t="e">
        <f t="shared" si="24"/>
        <v>#DIV/0!</v>
      </c>
      <c r="AM69" s="360" t="e">
        <f t="shared" si="25"/>
        <v>#DIV/0!</v>
      </c>
      <c r="AN69" s="364" t="e">
        <f t="shared" si="44"/>
        <v>#DIV/0!</v>
      </c>
      <c r="AO69" s="360" t="e">
        <f t="shared" ca="1" si="33"/>
        <v>#DIV/0!</v>
      </c>
      <c r="AP69" s="368" t="e">
        <f t="shared" ca="1" si="34"/>
        <v>#VALUE!</v>
      </c>
      <c r="AQ69" s="357"/>
      <c r="AR69" s="358"/>
      <c r="AS69" s="358"/>
      <c r="AT69" s="304">
        <f t="shared" si="45"/>
        <v>0</v>
      </c>
      <c r="AU69" s="232" t="e">
        <f t="shared" ca="1" si="39"/>
        <v>#VALUE!</v>
      </c>
      <c r="AV69" s="232" t="e">
        <f t="shared" ca="1" si="40"/>
        <v>#VALUE!</v>
      </c>
      <c r="AW69" s="305" t="e">
        <f t="shared" ca="1" si="31"/>
        <v>#DIV/0!</v>
      </c>
      <c r="AX69" s="252" t="e">
        <f ca="1">PI()*((AH80-AG80)/(2*Cover!$G$11*1000*De!AN80*(SQRT(De!$Z$11)-SQRT(De!$Y$11))))</f>
        <v>#DIV/0!</v>
      </c>
      <c r="AY69" s="252" t="str">
        <f ca="1">IF(ISNUMBER((E36calc!$G77/(De!AN80*2653*Cover!$G$11))^2), (E36calc!$G77/(De!AN80*2653*Cover!$G$11))^2,"")</f>
        <v/>
      </c>
    </row>
    <row r="70" spans="1:51" ht="15" x14ac:dyDescent="0.25">
      <c r="A70" s="360">
        <f>'Measured Cummulative'!A64</f>
        <v>0</v>
      </c>
      <c r="B70" s="363" t="e">
        <f t="shared" si="12"/>
        <v>#DIV/0!</v>
      </c>
      <c r="C70" s="364"/>
      <c r="D70" s="360" t="e">
        <f ca="1">(PI()/4)*(('Measured Cummulative'!E64/$B70)^2)*((Cover!$F$11/Cover!$I$11)^2)*(1/'Measured Cummulative'!E$1)</f>
        <v>#DIV/0!</v>
      </c>
      <c r="E70" s="360" t="e">
        <f ca="1">(PI()/4)*(('Measured Cummulative'!F64/$B70)^2)*((Cover!$F$11/Cover!$I$11)^2)*(1/'Measured Cummulative'!F$1)</f>
        <v>#DIV/0!</v>
      </c>
      <c r="F70" s="360" t="e">
        <f ca="1">(PI()/4)*(('Measured Cummulative'!G64/$B70)^2)*((Cover!$F$11/Cover!$I$11)^2)*(1/'Measured Cummulative'!G$1)</f>
        <v>#DIV/0!</v>
      </c>
      <c r="G70" s="360" t="e">
        <f ca="1">(PI()/4)*(('Measured Cummulative'!H64/$B70)^2)*((Cover!$F$11/Cover!$I$11)^2)*(1/'Measured Cummulative'!H$1)</f>
        <v>#DIV/0!</v>
      </c>
      <c r="H70" s="360" t="e">
        <f ca="1">(PI()/4)*(('Measured Cummulative'!I64/$B70)^2)*((Cover!$F$11/Cover!$I$11)^2)*(1/'Measured Cummulative'!I$1)</f>
        <v>#DIV/0!</v>
      </c>
      <c r="I70" s="360" t="e">
        <f ca="1">(PI()/4)*(('Measured Cummulative'!J64/$B70)^2)*((Cover!$F$11/Cover!$I$11)^2)*(1/'Measured Cummulative'!J$1)</f>
        <v>#DIV/0!</v>
      </c>
      <c r="J70" s="360" t="e">
        <f ca="1">(PI()/4)*(('Measured Cummulative'!K64/$B70)^2)*((Cover!$F$11/Cover!$I$11)^2)*(1/'Measured Cummulative'!K$1)</f>
        <v>#DIV/0!</v>
      </c>
      <c r="K70" s="360" t="e">
        <f ca="1">(PI()/4)*(('Measured Cummulative'!L64/$B70)^2)*((Cover!$F$11/Cover!$I$11)^2)*(1/'Measured Cummulative'!L$1)</f>
        <v>#DIV/0!</v>
      </c>
      <c r="L70" s="360">
        <f>'Measured Cummulative'!A64</f>
        <v>0</v>
      </c>
      <c r="M70" s="364" t="e">
        <f t="shared" si="16"/>
        <v>#DIV/0!</v>
      </c>
      <c r="N70" s="364"/>
      <c r="O70" s="365" t="e">
        <f t="shared" ca="1" si="41"/>
        <v>#DIV/0!</v>
      </c>
      <c r="P70" s="365" t="e">
        <f t="shared" ca="1" si="42"/>
        <v>#DIV/0!</v>
      </c>
      <c r="Q70" s="365" t="e">
        <f t="shared" ca="1" si="43"/>
        <v>#DIV/0!</v>
      </c>
      <c r="R70" s="366"/>
      <c r="S70" s="364"/>
      <c r="T70" s="366">
        <f t="shared" si="17"/>
        <v>0</v>
      </c>
      <c r="U70" s="364" t="e">
        <f>'Source Term'!AI77*$T$9</f>
        <v>#DIV/0!</v>
      </c>
      <c r="V70" s="364"/>
      <c r="W70" s="367">
        <v>1</v>
      </c>
      <c r="X70" s="360" t="e">
        <f>('Analytical Data'!F63*Cover!$H$11)/($U70*(Cover!$B$11/1000))</f>
        <v>#DIV/0!</v>
      </c>
      <c r="Y70" s="360" t="e">
        <f>('Analytical Data'!G63*Cover!$H$11)/($U70*(Cover!$B$11/1000))</f>
        <v>#DIV/0!</v>
      </c>
      <c r="Z70" s="360" t="e">
        <f>('Analytical Data'!H63*Cover!$H$11)/($U70*(Cover!$B$11/1000))</f>
        <v>#DIV/0!</v>
      </c>
      <c r="AA70" s="360" t="e">
        <f>('Analytical Data'!I63*Cover!$H$11)/($U70*(Cover!$B$11/1000))</f>
        <v>#DIV/0!</v>
      </c>
      <c r="AB70" s="360" t="e">
        <f>('Analytical Data'!J63*Cover!$H$11)/($U70*(Cover!$B$11/1000))</f>
        <v>#DIV/0!</v>
      </c>
      <c r="AC70" s="360" t="e">
        <f>('Analytical Data'!K63*Cover!$H$11)/($U70*(Cover!$B$11/1000))</f>
        <v>#DIV/0!</v>
      </c>
      <c r="AD70" s="360" t="e">
        <f>('Analytical Data'!L63*Cover!$H$11)/($U70*(Cover!$B$11/1000))</f>
        <v>#DIV/0!</v>
      </c>
      <c r="AE70" s="360" t="e">
        <f>('Analytical Data'!M63*Cover!$H$11)/($U70*(Cover!$B$11/1000))</f>
        <v>#DIV/0!</v>
      </c>
      <c r="AF70" s="360" t="e">
        <f t="shared" si="18"/>
        <v>#DIV/0!</v>
      </c>
      <c r="AG70" s="360" t="e">
        <f t="shared" si="19"/>
        <v>#DIV/0!</v>
      </c>
      <c r="AH70" s="360" t="e">
        <f t="shared" si="20"/>
        <v>#DIV/0!</v>
      </c>
      <c r="AI70" s="360" t="e">
        <f t="shared" si="21"/>
        <v>#DIV/0!</v>
      </c>
      <c r="AJ70" s="360" t="e">
        <f t="shared" si="22"/>
        <v>#DIV/0!</v>
      </c>
      <c r="AK70" s="360" t="e">
        <f t="shared" si="23"/>
        <v>#DIV/0!</v>
      </c>
      <c r="AL70" s="360" t="e">
        <f t="shared" si="24"/>
        <v>#DIV/0!</v>
      </c>
      <c r="AM70" s="360" t="e">
        <f t="shared" si="25"/>
        <v>#DIV/0!</v>
      </c>
      <c r="AN70" s="364" t="e">
        <f t="shared" si="44"/>
        <v>#DIV/0!</v>
      </c>
      <c r="AO70" s="360" t="e">
        <f t="shared" ca="1" si="33"/>
        <v>#DIV/0!</v>
      </c>
      <c r="AP70" s="368" t="e">
        <f t="shared" ca="1" si="34"/>
        <v>#VALUE!</v>
      </c>
      <c r="AQ70" s="357"/>
      <c r="AR70" s="358"/>
      <c r="AS70" s="358"/>
      <c r="AT70" s="304">
        <f t="shared" si="45"/>
        <v>0</v>
      </c>
      <c r="AU70" s="232" t="e">
        <f t="shared" ref="AU70:AU72" ca="1" si="46">((AP81)^2)*(PI()/4)*((VOL/SA)^2)</f>
        <v>#VALUE!</v>
      </c>
      <c r="AV70" s="232" t="e">
        <f t="shared" ref="AV70:AV72" ca="1" si="47">AU70*10000</f>
        <v>#VALUE!</v>
      </c>
      <c r="AW70" s="305" t="e">
        <f t="shared" ca="1" si="31"/>
        <v>#DIV/0!</v>
      </c>
    </row>
    <row r="71" spans="1:51" ht="15" x14ac:dyDescent="0.25">
      <c r="A71" s="360">
        <f>'Measured Cummulative'!A65</f>
        <v>0</v>
      </c>
      <c r="B71" s="363" t="e">
        <f t="shared" si="12"/>
        <v>#DIV/0!</v>
      </c>
      <c r="C71" s="364"/>
      <c r="D71" s="360" t="e">
        <f ca="1">(PI()/4)*(('Measured Cummulative'!E65/$B71)^2)*((Cover!$F$11/Cover!$I$11)^2)*(1/'Measured Cummulative'!E$1)</f>
        <v>#DIV/0!</v>
      </c>
      <c r="E71" s="360" t="e">
        <f ca="1">(PI()/4)*(('Measured Cummulative'!F65/$B71)^2)*((Cover!$F$11/Cover!$I$11)^2)*(1/'Measured Cummulative'!F$1)</f>
        <v>#DIV/0!</v>
      </c>
      <c r="F71" s="360" t="e">
        <f ca="1">(PI()/4)*(('Measured Cummulative'!G65/$B71)^2)*((Cover!$F$11/Cover!$I$11)^2)*(1/'Measured Cummulative'!G$1)</f>
        <v>#DIV/0!</v>
      </c>
      <c r="G71" s="360" t="e">
        <f ca="1">(PI()/4)*(('Measured Cummulative'!H65/$B71)^2)*((Cover!$F$11/Cover!$I$11)^2)*(1/'Measured Cummulative'!H$1)</f>
        <v>#DIV/0!</v>
      </c>
      <c r="H71" s="360" t="e">
        <f ca="1">(PI()/4)*(('Measured Cummulative'!I65/$B71)^2)*((Cover!$F$11/Cover!$I$11)^2)*(1/'Measured Cummulative'!I$1)</f>
        <v>#DIV/0!</v>
      </c>
      <c r="I71" s="360" t="e">
        <f ca="1">(PI()/4)*(('Measured Cummulative'!J65/$B71)^2)*((Cover!$F$11/Cover!$I$11)^2)*(1/'Measured Cummulative'!J$1)</f>
        <v>#DIV/0!</v>
      </c>
      <c r="J71" s="360" t="e">
        <f ca="1">(PI()/4)*(('Measured Cummulative'!K65/$B71)^2)*((Cover!$F$11/Cover!$I$11)^2)*(1/'Measured Cummulative'!K$1)</f>
        <v>#DIV/0!</v>
      </c>
      <c r="K71" s="360" t="e">
        <f ca="1">(PI()/4)*(('Measured Cummulative'!L65/$B71)^2)*((Cover!$F$11/Cover!$I$11)^2)*(1/'Measured Cummulative'!L$1)</f>
        <v>#DIV/0!</v>
      </c>
      <c r="L71" s="360">
        <f>'Measured Cummulative'!A65</f>
        <v>0</v>
      </c>
      <c r="M71" s="364" t="e">
        <f t="shared" si="16"/>
        <v>#DIV/0!</v>
      </c>
      <c r="N71" s="364"/>
      <c r="O71" s="365" t="e">
        <f t="shared" ca="1" si="41"/>
        <v>#DIV/0!</v>
      </c>
      <c r="P71" s="365" t="e">
        <f t="shared" ca="1" si="42"/>
        <v>#DIV/0!</v>
      </c>
      <c r="Q71" s="365" t="e">
        <f t="shared" ca="1" si="43"/>
        <v>#DIV/0!</v>
      </c>
      <c r="R71" s="366"/>
      <c r="S71" s="364"/>
      <c r="T71" s="366">
        <f t="shared" si="17"/>
        <v>0</v>
      </c>
      <c r="U71" s="364" t="e">
        <f>'Source Term'!AI78*$T$9</f>
        <v>#DIV/0!</v>
      </c>
      <c r="V71" s="364"/>
      <c r="W71" s="367">
        <v>1</v>
      </c>
      <c r="X71" s="360" t="e">
        <f>('Analytical Data'!F64*Cover!$H$11)/($U71*(Cover!$B$11/1000))</f>
        <v>#DIV/0!</v>
      </c>
      <c r="Y71" s="360" t="e">
        <f>('Analytical Data'!G64*Cover!$H$11)/($U71*(Cover!$B$11/1000))</f>
        <v>#DIV/0!</v>
      </c>
      <c r="Z71" s="360" t="e">
        <f>('Analytical Data'!H64*Cover!$H$11)/($U71*(Cover!$B$11/1000))</f>
        <v>#DIV/0!</v>
      </c>
      <c r="AA71" s="360" t="e">
        <f>('Analytical Data'!I64*Cover!$H$11)/($U71*(Cover!$B$11/1000))</f>
        <v>#DIV/0!</v>
      </c>
      <c r="AB71" s="360" t="e">
        <f>('Analytical Data'!J64*Cover!$H$11)/($U71*(Cover!$B$11/1000))</f>
        <v>#DIV/0!</v>
      </c>
      <c r="AC71" s="360" t="e">
        <f>('Analytical Data'!K64*Cover!$H$11)/($U71*(Cover!$B$11/1000))</f>
        <v>#DIV/0!</v>
      </c>
      <c r="AD71" s="360" t="e">
        <f>('Analytical Data'!L64*Cover!$H$11)/($U71*(Cover!$B$11/1000))</f>
        <v>#DIV/0!</v>
      </c>
      <c r="AE71" s="360" t="e">
        <f>('Analytical Data'!M64*Cover!$H$11)/($U71*(Cover!$B$11/1000))</f>
        <v>#DIV/0!</v>
      </c>
      <c r="AF71" s="360" t="e">
        <f t="shared" si="18"/>
        <v>#DIV/0!</v>
      </c>
      <c r="AG71" s="360" t="e">
        <f t="shared" si="19"/>
        <v>#DIV/0!</v>
      </c>
      <c r="AH71" s="360" t="e">
        <f t="shared" si="20"/>
        <v>#DIV/0!</v>
      </c>
      <c r="AI71" s="360" t="e">
        <f t="shared" si="21"/>
        <v>#DIV/0!</v>
      </c>
      <c r="AJ71" s="360" t="e">
        <f t="shared" si="22"/>
        <v>#DIV/0!</v>
      </c>
      <c r="AK71" s="360" t="e">
        <f t="shared" si="23"/>
        <v>#DIV/0!</v>
      </c>
      <c r="AL71" s="360" t="e">
        <f t="shared" si="24"/>
        <v>#DIV/0!</v>
      </c>
      <c r="AM71" s="360" t="e">
        <f t="shared" si="25"/>
        <v>#DIV/0!</v>
      </c>
      <c r="AN71" s="364" t="e">
        <f t="shared" si="44"/>
        <v>#DIV/0!</v>
      </c>
      <c r="AO71" s="360" t="e">
        <f t="shared" ca="1" si="33"/>
        <v>#DIV/0!</v>
      </c>
      <c r="AP71" s="368" t="e">
        <f t="shared" ca="1" si="34"/>
        <v>#VALUE!</v>
      </c>
      <c r="AQ71" s="357"/>
      <c r="AR71" s="358"/>
      <c r="AS71" s="358"/>
      <c r="AT71" s="304">
        <f t="shared" si="45"/>
        <v>0</v>
      </c>
      <c r="AU71" s="232" t="e">
        <f t="shared" ca="1" si="46"/>
        <v>#VALUE!</v>
      </c>
      <c r="AV71" s="232" t="e">
        <f t="shared" ca="1" si="47"/>
        <v>#VALUE!</v>
      </c>
      <c r="AW71" s="305" t="e">
        <f t="shared" ca="1" si="31"/>
        <v>#DIV/0!</v>
      </c>
    </row>
    <row r="72" spans="1:51" ht="15.75" thickBot="1" x14ac:dyDescent="0.3">
      <c r="A72" s="360">
        <f>'Measured Cummulative'!A66</f>
        <v>0</v>
      </c>
      <c r="B72" s="363" t="e">
        <f t="shared" si="12"/>
        <v>#DIV/0!</v>
      </c>
      <c r="C72" s="364"/>
      <c r="D72" s="360" t="e">
        <f ca="1">(PI()/4)*(('Measured Cummulative'!E66/$B72)^2)*((Cover!$F$11/Cover!$I$11)^2)*(1/'Measured Cummulative'!E$1)</f>
        <v>#DIV/0!</v>
      </c>
      <c r="E72" s="360" t="e">
        <f ca="1">(PI()/4)*(('Measured Cummulative'!F66/$B72)^2)*((Cover!$F$11/Cover!$I$11)^2)*(1/'Measured Cummulative'!F$1)</f>
        <v>#DIV/0!</v>
      </c>
      <c r="F72" s="360" t="e">
        <f ca="1">(PI()/4)*(('Measured Cummulative'!G66/$B72)^2)*((Cover!$F$11/Cover!$I$11)^2)*(1/'Measured Cummulative'!G$1)</f>
        <v>#DIV/0!</v>
      </c>
      <c r="G72" s="360" t="e">
        <f ca="1">(PI()/4)*(('Measured Cummulative'!H66/$B72)^2)*((Cover!$F$11/Cover!$I$11)^2)*(1/'Measured Cummulative'!H$1)</f>
        <v>#DIV/0!</v>
      </c>
      <c r="H72" s="360" t="e">
        <f ca="1">(PI()/4)*(('Measured Cummulative'!I66/$B72)^2)*((Cover!$F$11/Cover!$I$11)^2)*(1/'Measured Cummulative'!I$1)</f>
        <v>#DIV/0!</v>
      </c>
      <c r="I72" s="360" t="e">
        <f ca="1">(PI()/4)*(('Measured Cummulative'!J66/$B72)^2)*((Cover!$F$11/Cover!$I$11)^2)*(1/'Measured Cummulative'!J$1)</f>
        <v>#DIV/0!</v>
      </c>
      <c r="J72" s="360" t="e">
        <f ca="1">(PI()/4)*(('Measured Cummulative'!K66/$B72)^2)*((Cover!$F$11/Cover!$I$11)^2)*(1/'Measured Cummulative'!K$1)</f>
        <v>#DIV/0!</v>
      </c>
      <c r="K72" s="360" t="e">
        <f ca="1">(PI()/4)*(('Measured Cummulative'!L66/$B72)^2)*((Cover!$F$11/Cover!$I$11)^2)*(1/'Measured Cummulative'!L$1)</f>
        <v>#DIV/0!</v>
      </c>
      <c r="L72" s="360">
        <f>'Measured Cummulative'!A66</f>
        <v>0</v>
      </c>
      <c r="M72" s="364" t="e">
        <f t="shared" si="16"/>
        <v>#DIV/0!</v>
      </c>
      <c r="N72" s="364"/>
      <c r="O72" s="365" t="e">
        <f t="shared" ca="1" si="41"/>
        <v>#DIV/0!</v>
      </c>
      <c r="P72" s="365" t="e">
        <f t="shared" ca="1" si="42"/>
        <v>#DIV/0!</v>
      </c>
      <c r="Q72" s="365" t="e">
        <f t="shared" ca="1" si="43"/>
        <v>#DIV/0!</v>
      </c>
      <c r="R72" s="366"/>
      <c r="S72" s="364"/>
      <c r="T72" s="366">
        <f t="shared" si="17"/>
        <v>0</v>
      </c>
      <c r="U72" s="364" t="e">
        <f>'Source Term'!AI79*$T$9</f>
        <v>#DIV/0!</v>
      </c>
      <c r="V72" s="364"/>
      <c r="W72" s="367">
        <v>1</v>
      </c>
      <c r="X72" s="360" t="e">
        <f>('Analytical Data'!F65*Cover!$H$11)/($U72*(Cover!$B$11/1000))</f>
        <v>#DIV/0!</v>
      </c>
      <c r="Y72" s="360" t="e">
        <f>('Analytical Data'!G65*Cover!$H$11)/($U72*(Cover!$B$11/1000))</f>
        <v>#DIV/0!</v>
      </c>
      <c r="Z72" s="360" t="e">
        <f>('Analytical Data'!H65*Cover!$H$11)/($U72*(Cover!$B$11/1000))</f>
        <v>#DIV/0!</v>
      </c>
      <c r="AA72" s="360" t="e">
        <f>('Analytical Data'!I65*Cover!$H$11)/($U72*(Cover!$B$11/1000))</f>
        <v>#DIV/0!</v>
      </c>
      <c r="AB72" s="360" t="e">
        <f>('Analytical Data'!J65*Cover!$H$11)/($U72*(Cover!$B$11/1000))</f>
        <v>#DIV/0!</v>
      </c>
      <c r="AC72" s="360" t="e">
        <f>('Analytical Data'!K65*Cover!$H$11)/($U72*(Cover!$B$11/1000))</f>
        <v>#DIV/0!</v>
      </c>
      <c r="AD72" s="360" t="e">
        <f>('Analytical Data'!L65*Cover!$H$11)/($U72*(Cover!$B$11/1000))</f>
        <v>#DIV/0!</v>
      </c>
      <c r="AE72" s="360" t="e">
        <f>('Analytical Data'!M65*Cover!$H$11)/($U72*(Cover!$B$11/1000))</f>
        <v>#DIV/0!</v>
      </c>
      <c r="AF72" s="360" t="e">
        <f t="shared" si="18"/>
        <v>#DIV/0!</v>
      </c>
      <c r="AG72" s="360" t="e">
        <f t="shared" si="19"/>
        <v>#DIV/0!</v>
      </c>
      <c r="AH72" s="360" t="e">
        <f t="shared" si="20"/>
        <v>#DIV/0!</v>
      </c>
      <c r="AI72" s="360" t="e">
        <f t="shared" si="21"/>
        <v>#DIV/0!</v>
      </c>
      <c r="AJ72" s="360" t="e">
        <f t="shared" si="22"/>
        <v>#DIV/0!</v>
      </c>
      <c r="AK72" s="360" t="e">
        <f t="shared" si="23"/>
        <v>#DIV/0!</v>
      </c>
      <c r="AL72" s="360" t="e">
        <f t="shared" si="24"/>
        <v>#DIV/0!</v>
      </c>
      <c r="AM72" s="360" t="e">
        <f t="shared" si="25"/>
        <v>#DIV/0!</v>
      </c>
      <c r="AN72" s="364" t="e">
        <f t="shared" si="44"/>
        <v>#DIV/0!</v>
      </c>
      <c r="AO72" s="360" t="e">
        <f t="shared" ca="1" si="33"/>
        <v>#DIV/0!</v>
      </c>
      <c r="AP72" s="368" t="e">
        <f t="shared" ca="1" si="34"/>
        <v>#VALUE!</v>
      </c>
      <c r="AQ72" s="357"/>
      <c r="AR72" s="358"/>
      <c r="AS72" s="358"/>
      <c r="AT72" s="306">
        <f t="shared" si="45"/>
        <v>0</v>
      </c>
      <c r="AU72" s="307" t="e">
        <f t="shared" ca="1" si="46"/>
        <v>#VALUE!</v>
      </c>
      <c r="AV72" s="307" t="e">
        <f t="shared" ca="1" si="47"/>
        <v>#VALUE!</v>
      </c>
      <c r="AW72" s="308" t="e">
        <f t="shared" ca="1" si="31"/>
        <v>#DIV/0!</v>
      </c>
    </row>
    <row r="73" spans="1:51" ht="15" x14ac:dyDescent="0.25">
      <c r="A73" s="360">
        <f>'Measured Cummulative'!A67</f>
        <v>0</v>
      </c>
      <c r="B73" s="363" t="e">
        <f t="shared" si="12"/>
        <v>#DIV/0!</v>
      </c>
      <c r="C73" s="364"/>
      <c r="D73" s="360" t="e">
        <f ca="1">(PI()/4)*(('Measured Cummulative'!E67/$B73)^2)*((Cover!$F$11/Cover!$I$11)^2)*(1/'Measured Cummulative'!E$1)</f>
        <v>#DIV/0!</v>
      </c>
      <c r="E73" s="360" t="e">
        <f ca="1">(PI()/4)*(('Measured Cummulative'!F67/$B73)^2)*((Cover!$F$11/Cover!$I$11)^2)*(1/'Measured Cummulative'!F$1)</f>
        <v>#DIV/0!</v>
      </c>
      <c r="F73" s="360" t="e">
        <f ca="1">(PI()/4)*(('Measured Cummulative'!G67/$B73)^2)*((Cover!$F$11/Cover!$I$11)^2)*(1/'Measured Cummulative'!G$1)</f>
        <v>#DIV/0!</v>
      </c>
      <c r="G73" s="360" t="e">
        <f ca="1">(PI()/4)*(('Measured Cummulative'!H67/$B73)^2)*((Cover!$F$11/Cover!$I$11)^2)*(1/'Measured Cummulative'!H$1)</f>
        <v>#DIV/0!</v>
      </c>
      <c r="H73" s="360" t="e">
        <f ca="1">(PI()/4)*(('Measured Cummulative'!I67/$B73)^2)*((Cover!$F$11/Cover!$I$11)^2)*(1/'Measured Cummulative'!I$1)</f>
        <v>#DIV/0!</v>
      </c>
      <c r="I73" s="360" t="e">
        <f ca="1">(PI()/4)*(('Measured Cummulative'!J67/$B73)^2)*((Cover!$F$11/Cover!$I$11)^2)*(1/'Measured Cummulative'!J$1)</f>
        <v>#DIV/0!</v>
      </c>
      <c r="J73" s="360" t="e">
        <f ca="1">(PI()/4)*(('Measured Cummulative'!K67/$B73)^2)*((Cover!$F$11/Cover!$I$11)^2)*(1/'Measured Cummulative'!K$1)</f>
        <v>#DIV/0!</v>
      </c>
      <c r="K73" s="360" t="e">
        <f ca="1">(PI()/4)*(('Measured Cummulative'!L67/$B73)^2)*((Cover!$F$11/Cover!$I$11)^2)*(1/'Measured Cummulative'!L$1)</f>
        <v>#DIV/0!</v>
      </c>
      <c r="L73" s="360">
        <f>'Measured Cummulative'!A67</f>
        <v>0</v>
      </c>
      <c r="M73" s="364" t="e">
        <f t="shared" si="16"/>
        <v>#DIV/0!</v>
      </c>
      <c r="N73" s="364"/>
      <c r="O73" s="365" t="e">
        <f t="shared" ca="1" si="41"/>
        <v>#DIV/0!</v>
      </c>
      <c r="P73" s="365" t="e">
        <f t="shared" ca="1" si="42"/>
        <v>#DIV/0!</v>
      </c>
      <c r="Q73" s="365" t="e">
        <f t="shared" ca="1" si="43"/>
        <v>#DIV/0!</v>
      </c>
      <c r="R73" s="366"/>
      <c r="S73" s="364"/>
      <c r="T73" s="366">
        <f t="shared" si="17"/>
        <v>0</v>
      </c>
      <c r="U73" s="364" t="e">
        <f>'Source Term'!AI80*$T$9</f>
        <v>#DIV/0!</v>
      </c>
      <c r="V73" s="364"/>
      <c r="W73" s="367">
        <v>1</v>
      </c>
      <c r="X73" s="360" t="e">
        <f>('Analytical Data'!F66*Cover!$H$11)/($U73*(Cover!$B$11/1000))</f>
        <v>#DIV/0!</v>
      </c>
      <c r="Y73" s="360" t="e">
        <f>('Analytical Data'!G66*Cover!$H$11)/($U73*(Cover!$B$11/1000))</f>
        <v>#DIV/0!</v>
      </c>
      <c r="Z73" s="360" t="e">
        <f>('Analytical Data'!H66*Cover!$H$11)/($U73*(Cover!$B$11/1000))</f>
        <v>#DIV/0!</v>
      </c>
      <c r="AA73" s="360" t="e">
        <f>('Analytical Data'!I66*Cover!$H$11)/($U73*(Cover!$B$11/1000))</f>
        <v>#DIV/0!</v>
      </c>
      <c r="AB73" s="360" t="e">
        <f>('Analytical Data'!J66*Cover!$H$11)/($U73*(Cover!$B$11/1000))</f>
        <v>#DIV/0!</v>
      </c>
      <c r="AC73" s="360" t="e">
        <f>('Analytical Data'!K66*Cover!$H$11)/($U73*(Cover!$B$11/1000))</f>
        <v>#DIV/0!</v>
      </c>
      <c r="AD73" s="360" t="e">
        <f>('Analytical Data'!L66*Cover!$H$11)/($U73*(Cover!$B$11/1000))</f>
        <v>#DIV/0!</v>
      </c>
      <c r="AE73" s="360" t="e">
        <f>('Analytical Data'!M66*Cover!$H$11)/($U73*(Cover!$B$11/1000))</f>
        <v>#DIV/0!</v>
      </c>
      <c r="AF73" s="360" t="e">
        <f t="shared" si="18"/>
        <v>#DIV/0!</v>
      </c>
      <c r="AG73" s="360" t="e">
        <f t="shared" si="19"/>
        <v>#DIV/0!</v>
      </c>
      <c r="AH73" s="360" t="e">
        <f t="shared" si="20"/>
        <v>#DIV/0!</v>
      </c>
      <c r="AI73" s="360" t="e">
        <f t="shared" si="21"/>
        <v>#DIV/0!</v>
      </c>
      <c r="AJ73" s="360" t="e">
        <f t="shared" si="22"/>
        <v>#DIV/0!</v>
      </c>
      <c r="AK73" s="360" t="e">
        <f t="shared" si="23"/>
        <v>#DIV/0!</v>
      </c>
      <c r="AL73" s="360" t="e">
        <f t="shared" si="24"/>
        <v>#DIV/0!</v>
      </c>
      <c r="AM73" s="360" t="e">
        <f t="shared" si="25"/>
        <v>#DIV/0!</v>
      </c>
      <c r="AN73" s="364" t="e">
        <f t="shared" si="44"/>
        <v>#DIV/0!</v>
      </c>
      <c r="AO73" s="360" t="e">
        <f t="shared" ca="1" si="33"/>
        <v>#DIV/0!</v>
      </c>
      <c r="AP73" s="368" t="e">
        <f t="shared" ca="1" si="34"/>
        <v>#VALUE!</v>
      </c>
      <c r="AQ73" s="357"/>
      <c r="AR73" s="358"/>
      <c r="AS73" s="358"/>
    </row>
    <row r="74" spans="1:51" ht="15" x14ac:dyDescent="0.25">
      <c r="A74" s="360">
        <f>'Measured Cummulative'!A68</f>
        <v>0</v>
      </c>
      <c r="B74" s="363" t="e">
        <f t="shared" si="12"/>
        <v>#DIV/0!</v>
      </c>
      <c r="C74" s="364"/>
      <c r="D74" s="360" t="e">
        <f ca="1">(PI()/4)*(('Measured Cummulative'!E68/$B74)^2)*((Cover!$F$11/Cover!$I$11)^2)*(1/'Measured Cummulative'!E$1)</f>
        <v>#DIV/0!</v>
      </c>
      <c r="E74" s="360" t="e">
        <f ca="1">(PI()/4)*(('Measured Cummulative'!F68/$B74)^2)*((Cover!$F$11/Cover!$I$11)^2)*(1/'Measured Cummulative'!F$1)</f>
        <v>#DIV/0!</v>
      </c>
      <c r="F74" s="360" t="e">
        <f ca="1">(PI()/4)*(('Measured Cummulative'!G68/$B74)^2)*((Cover!$F$11/Cover!$I$11)^2)*(1/'Measured Cummulative'!G$1)</f>
        <v>#DIV/0!</v>
      </c>
      <c r="G74" s="360" t="e">
        <f ca="1">(PI()/4)*(('Measured Cummulative'!H68/$B74)^2)*((Cover!$F$11/Cover!$I$11)^2)*(1/'Measured Cummulative'!H$1)</f>
        <v>#DIV/0!</v>
      </c>
      <c r="H74" s="360" t="e">
        <f ca="1">(PI()/4)*(('Measured Cummulative'!I68/$B74)^2)*((Cover!$F$11/Cover!$I$11)^2)*(1/'Measured Cummulative'!I$1)</f>
        <v>#DIV/0!</v>
      </c>
      <c r="I74" s="360" t="e">
        <f ca="1">(PI()/4)*(('Measured Cummulative'!J68/$B74)^2)*((Cover!$F$11/Cover!$I$11)^2)*(1/'Measured Cummulative'!J$1)</f>
        <v>#DIV/0!</v>
      </c>
      <c r="J74" s="360" t="e">
        <f ca="1">(PI()/4)*(('Measured Cummulative'!K68/$B74)^2)*((Cover!$F$11/Cover!$I$11)^2)*(1/'Measured Cummulative'!K$1)</f>
        <v>#DIV/0!</v>
      </c>
      <c r="K74" s="360" t="e">
        <f ca="1">(PI()/4)*(('Measured Cummulative'!L68/$B74)^2)*((Cover!$F$11/Cover!$I$11)^2)*(1/'Measured Cummulative'!L$1)</f>
        <v>#DIV/0!</v>
      </c>
      <c r="L74" s="360">
        <f>'Measured Cummulative'!A68</f>
        <v>0</v>
      </c>
      <c r="M74" s="364" t="e">
        <f t="shared" si="16"/>
        <v>#DIV/0!</v>
      </c>
      <c r="N74" s="364"/>
      <c r="O74" s="365" t="e">
        <f t="shared" ca="1" si="41"/>
        <v>#DIV/0!</v>
      </c>
      <c r="P74" s="365" t="e">
        <f t="shared" ca="1" si="42"/>
        <v>#DIV/0!</v>
      </c>
      <c r="Q74" s="365" t="e">
        <f t="shared" ca="1" si="43"/>
        <v>#DIV/0!</v>
      </c>
      <c r="R74" s="366"/>
      <c r="S74" s="364"/>
      <c r="T74" s="366">
        <f t="shared" si="17"/>
        <v>0</v>
      </c>
      <c r="U74" s="364" t="e">
        <f>'Source Term'!AI81*$T$9</f>
        <v>#DIV/0!</v>
      </c>
      <c r="V74" s="364"/>
      <c r="W74" s="367">
        <v>1</v>
      </c>
      <c r="X74" s="360" t="e">
        <f>('Analytical Data'!F67*Cover!$H$11)/($U74*(Cover!$B$11/1000))</f>
        <v>#DIV/0!</v>
      </c>
      <c r="Y74" s="360" t="e">
        <f>('Analytical Data'!G67*Cover!$H$11)/($U74*(Cover!$B$11/1000))</f>
        <v>#DIV/0!</v>
      </c>
      <c r="Z74" s="360" t="e">
        <f>('Analytical Data'!H67*Cover!$H$11)/($U74*(Cover!$B$11/1000))</f>
        <v>#DIV/0!</v>
      </c>
      <c r="AA74" s="360" t="e">
        <f>('Analytical Data'!I67*Cover!$H$11)/($U74*(Cover!$B$11/1000))</f>
        <v>#DIV/0!</v>
      </c>
      <c r="AB74" s="360" t="e">
        <f>('Analytical Data'!J67*Cover!$H$11)/($U74*(Cover!$B$11/1000))</f>
        <v>#DIV/0!</v>
      </c>
      <c r="AC74" s="360" t="e">
        <f>('Analytical Data'!K67*Cover!$H$11)/($U74*(Cover!$B$11/1000))</f>
        <v>#DIV/0!</v>
      </c>
      <c r="AD74" s="360" t="e">
        <f>('Analytical Data'!L67*Cover!$H$11)/($U74*(Cover!$B$11/1000))</f>
        <v>#DIV/0!</v>
      </c>
      <c r="AE74" s="360" t="e">
        <f>('Analytical Data'!M67*Cover!$H$11)/($U74*(Cover!$B$11/1000))</f>
        <v>#DIV/0!</v>
      </c>
      <c r="AF74" s="360" t="e">
        <f t="shared" si="18"/>
        <v>#DIV/0!</v>
      </c>
      <c r="AG74" s="360" t="e">
        <f t="shared" si="19"/>
        <v>#DIV/0!</v>
      </c>
      <c r="AH74" s="360" t="e">
        <f t="shared" si="20"/>
        <v>#DIV/0!</v>
      </c>
      <c r="AI74" s="360" t="e">
        <f t="shared" si="21"/>
        <v>#DIV/0!</v>
      </c>
      <c r="AJ74" s="360" t="e">
        <f t="shared" si="22"/>
        <v>#DIV/0!</v>
      </c>
      <c r="AK74" s="360" t="e">
        <f t="shared" si="23"/>
        <v>#DIV/0!</v>
      </c>
      <c r="AL74" s="360" t="e">
        <f t="shared" si="24"/>
        <v>#DIV/0!</v>
      </c>
      <c r="AM74" s="360" t="e">
        <f t="shared" si="25"/>
        <v>#DIV/0!</v>
      </c>
      <c r="AN74" s="364" t="e">
        <f t="shared" si="44"/>
        <v>#DIV/0!</v>
      </c>
      <c r="AO74" s="360" t="e">
        <f t="shared" ca="1" si="33"/>
        <v>#DIV/0!</v>
      </c>
      <c r="AP74" s="368" t="e">
        <f t="shared" ca="1" si="34"/>
        <v>#VALUE!</v>
      </c>
      <c r="AQ74" s="357"/>
      <c r="AR74" s="358"/>
      <c r="AS74" s="358"/>
    </row>
    <row r="75" spans="1:51" ht="15" x14ac:dyDescent="0.25">
      <c r="A75" s="360">
        <f>'Measured Cummulative'!A69</f>
        <v>0</v>
      </c>
      <c r="B75" s="363" t="e">
        <f t="shared" si="12"/>
        <v>#DIV/0!</v>
      </c>
      <c r="C75" s="364"/>
      <c r="D75" s="360" t="e">
        <f ca="1">(PI()/4)*(('Measured Cummulative'!E69/$B75)^2)*((Cover!$F$11/Cover!$I$11)^2)*(1/'Measured Cummulative'!E$1)</f>
        <v>#DIV/0!</v>
      </c>
      <c r="E75" s="360" t="e">
        <f ca="1">(PI()/4)*(('Measured Cummulative'!F69/$B75)^2)*((Cover!$F$11/Cover!$I$11)^2)*(1/'Measured Cummulative'!F$1)</f>
        <v>#DIV/0!</v>
      </c>
      <c r="F75" s="360" t="e">
        <f ca="1">(PI()/4)*(('Measured Cummulative'!G69/$B75)^2)*((Cover!$F$11/Cover!$I$11)^2)*(1/'Measured Cummulative'!G$1)</f>
        <v>#DIV/0!</v>
      </c>
      <c r="G75" s="360" t="e">
        <f ca="1">(PI()/4)*(('Measured Cummulative'!H69/$B75)^2)*((Cover!$F$11/Cover!$I$11)^2)*(1/'Measured Cummulative'!H$1)</f>
        <v>#DIV/0!</v>
      </c>
      <c r="H75" s="360" t="e">
        <f ca="1">(PI()/4)*(('Measured Cummulative'!I69/$B75)^2)*((Cover!$F$11/Cover!$I$11)^2)*(1/'Measured Cummulative'!I$1)</f>
        <v>#DIV/0!</v>
      </c>
      <c r="I75" s="360" t="e">
        <f ca="1">(PI()/4)*(('Measured Cummulative'!J69/$B75)^2)*((Cover!$F$11/Cover!$I$11)^2)*(1/'Measured Cummulative'!J$1)</f>
        <v>#DIV/0!</v>
      </c>
      <c r="J75" s="360" t="e">
        <f ca="1">(PI()/4)*(('Measured Cummulative'!K69/$B75)^2)*((Cover!$F$11/Cover!$I$11)^2)*(1/'Measured Cummulative'!K$1)</f>
        <v>#DIV/0!</v>
      </c>
      <c r="K75" s="360" t="e">
        <f ca="1">(PI()/4)*(('Measured Cummulative'!L69/$B75)^2)*((Cover!$F$11/Cover!$I$11)^2)*(1/'Measured Cummulative'!L$1)</f>
        <v>#DIV/0!</v>
      </c>
      <c r="L75" s="360">
        <f>'Measured Cummulative'!A69</f>
        <v>0</v>
      </c>
      <c r="M75" s="364" t="e">
        <f t="shared" si="16"/>
        <v>#DIV/0!</v>
      </c>
      <c r="N75" s="364"/>
      <c r="O75" s="365" t="e">
        <f t="shared" ca="1" si="41"/>
        <v>#DIV/0!</v>
      </c>
      <c r="P75" s="365" t="e">
        <f t="shared" ca="1" si="42"/>
        <v>#DIV/0!</v>
      </c>
      <c r="Q75" s="365" t="e">
        <f t="shared" ca="1" si="43"/>
        <v>#DIV/0!</v>
      </c>
      <c r="R75" s="366"/>
      <c r="S75" s="364"/>
      <c r="T75" s="366">
        <f t="shared" si="17"/>
        <v>0</v>
      </c>
      <c r="U75" s="364" t="e">
        <f>'Source Term'!AI82*$T$9</f>
        <v>#DIV/0!</v>
      </c>
      <c r="V75" s="364"/>
      <c r="W75" s="367">
        <v>1</v>
      </c>
      <c r="X75" s="360" t="e">
        <f>('Analytical Data'!F68*Cover!$H$11)/($U75*(Cover!$B$11/1000))</f>
        <v>#DIV/0!</v>
      </c>
      <c r="Y75" s="360" t="e">
        <f>('Analytical Data'!G68*Cover!$H$11)/($U75*(Cover!$B$11/1000))</f>
        <v>#DIV/0!</v>
      </c>
      <c r="Z75" s="360" t="e">
        <f>('Analytical Data'!H68*Cover!$H$11)/($U75*(Cover!$B$11/1000))</f>
        <v>#DIV/0!</v>
      </c>
      <c r="AA75" s="360" t="e">
        <f>('Analytical Data'!I68*Cover!$H$11)/($U75*(Cover!$B$11/1000))</f>
        <v>#DIV/0!</v>
      </c>
      <c r="AB75" s="360" t="e">
        <f>('Analytical Data'!J68*Cover!$H$11)/($U75*(Cover!$B$11/1000))</f>
        <v>#DIV/0!</v>
      </c>
      <c r="AC75" s="360" t="e">
        <f>('Analytical Data'!K68*Cover!$H$11)/($U75*(Cover!$B$11/1000))</f>
        <v>#DIV/0!</v>
      </c>
      <c r="AD75" s="360" t="e">
        <f>('Analytical Data'!L68*Cover!$H$11)/($U75*(Cover!$B$11/1000))</f>
        <v>#DIV/0!</v>
      </c>
      <c r="AE75" s="360" t="e">
        <f>('Analytical Data'!M68*Cover!$H$11)/($U75*(Cover!$B$11/1000))</f>
        <v>#DIV/0!</v>
      </c>
      <c r="AF75" s="360" t="e">
        <f t="shared" si="18"/>
        <v>#DIV/0!</v>
      </c>
      <c r="AG75" s="360" t="e">
        <f t="shared" si="19"/>
        <v>#DIV/0!</v>
      </c>
      <c r="AH75" s="360" t="e">
        <f t="shared" si="20"/>
        <v>#DIV/0!</v>
      </c>
      <c r="AI75" s="360" t="e">
        <f t="shared" si="21"/>
        <v>#DIV/0!</v>
      </c>
      <c r="AJ75" s="360" t="e">
        <f t="shared" si="22"/>
        <v>#DIV/0!</v>
      </c>
      <c r="AK75" s="360" t="e">
        <f t="shared" si="23"/>
        <v>#DIV/0!</v>
      </c>
      <c r="AL75" s="360" t="e">
        <f t="shared" si="24"/>
        <v>#DIV/0!</v>
      </c>
      <c r="AM75" s="360" t="e">
        <f t="shared" si="25"/>
        <v>#DIV/0!</v>
      </c>
      <c r="AN75" s="364" t="e">
        <f t="shared" si="44"/>
        <v>#DIV/0!</v>
      </c>
      <c r="AO75" s="360" t="e">
        <f t="shared" ca="1" si="33"/>
        <v>#DIV/0!</v>
      </c>
      <c r="AP75" s="368" t="e">
        <f t="shared" ca="1" si="34"/>
        <v>#VALUE!</v>
      </c>
      <c r="AQ75" s="357"/>
      <c r="AR75" s="358"/>
      <c r="AS75" s="358"/>
    </row>
    <row r="76" spans="1:51" ht="15" x14ac:dyDescent="0.25">
      <c r="A76" s="360">
        <f>'Measured Cummulative'!A70</f>
        <v>0</v>
      </c>
      <c r="B76" s="363" t="e">
        <f>M76</f>
        <v>#DIV/0!</v>
      </c>
      <c r="C76" s="364"/>
      <c r="D76" s="360" t="e">
        <f ca="1">(PI()/4)*(('Measured Cummulative'!E70/$B76)^2)*((Cover!$F$11/Cover!$I$11)^2)*(1/'Measured Cummulative'!E$1)</f>
        <v>#DIV/0!</v>
      </c>
      <c r="E76" s="360" t="e">
        <f ca="1">(PI()/4)*(('Measured Cummulative'!F70/$B76)^2)*((Cover!$F$11/Cover!$I$11)^2)*(1/'Measured Cummulative'!F$1)</f>
        <v>#DIV/0!</v>
      </c>
      <c r="F76" s="360" t="e">
        <f ca="1">(PI()/4)*(('Measured Cummulative'!G70/$B76)^2)*((Cover!$F$11/Cover!$I$11)^2)*(1/'Measured Cummulative'!G$1)</f>
        <v>#DIV/0!</v>
      </c>
      <c r="G76" s="360" t="e">
        <f ca="1">(PI()/4)*(('Measured Cummulative'!H70/$B76)^2)*((Cover!$F$11/Cover!$I$11)^2)*(1/'Measured Cummulative'!H$1)</f>
        <v>#DIV/0!</v>
      </c>
      <c r="H76" s="360" t="e">
        <f ca="1">(PI()/4)*(('Measured Cummulative'!I70/$B76)^2)*((Cover!$F$11/Cover!$I$11)^2)*(1/'Measured Cummulative'!I$1)</f>
        <v>#DIV/0!</v>
      </c>
      <c r="I76" s="360" t="e">
        <f ca="1">(PI()/4)*(('Measured Cummulative'!J70/$B76)^2)*((Cover!$F$11/Cover!$I$11)^2)*(1/'Measured Cummulative'!J$1)</f>
        <v>#DIV/0!</v>
      </c>
      <c r="J76" s="360" t="e">
        <f ca="1">(PI()/4)*(('Measured Cummulative'!K70/$B76)^2)*((Cover!$F$11/Cover!$I$11)^2)*(1/'Measured Cummulative'!K$1)</f>
        <v>#DIV/0!</v>
      </c>
      <c r="K76" s="360" t="e">
        <f ca="1">(PI()/4)*(('Measured Cummulative'!L70/$B76)^2)*((Cover!$F$11/Cover!$I$11)^2)*(1/'Measured Cummulative'!L$1)</f>
        <v>#DIV/0!</v>
      </c>
      <c r="L76" s="360">
        <f>'Measured Cummulative'!A70</f>
        <v>0</v>
      </c>
      <c r="M76" s="364" t="e">
        <f t="shared" si="16"/>
        <v>#DIV/0!</v>
      </c>
      <c r="N76" s="364"/>
      <c r="O76" s="365" t="e">
        <f t="shared" ca="1" si="41"/>
        <v>#DIV/0!</v>
      </c>
      <c r="P76" s="365" t="e">
        <f t="shared" ca="1" si="42"/>
        <v>#DIV/0!</v>
      </c>
      <c r="Q76" s="365" t="e">
        <f t="shared" ca="1" si="43"/>
        <v>#DIV/0!</v>
      </c>
      <c r="R76" s="366"/>
      <c r="S76" s="364"/>
      <c r="T76" s="366">
        <f t="shared" si="17"/>
        <v>0</v>
      </c>
      <c r="U76" s="364" t="e">
        <f>'Source Term'!AI83*$T$9</f>
        <v>#DIV/0!</v>
      </c>
      <c r="V76" s="364"/>
      <c r="W76" s="367">
        <v>1</v>
      </c>
      <c r="X76" s="360" t="e">
        <f>('Analytical Data'!F69*Cover!$H$11)/($U76*(Cover!$B$11/1000))</f>
        <v>#DIV/0!</v>
      </c>
      <c r="Y76" s="360" t="e">
        <f>('Analytical Data'!G69*Cover!$H$11)/($U76*(Cover!$B$11/1000))</f>
        <v>#DIV/0!</v>
      </c>
      <c r="Z76" s="360" t="e">
        <f>('Analytical Data'!H69*Cover!$H$11)/($U76*(Cover!$B$11/1000))</f>
        <v>#DIV/0!</v>
      </c>
      <c r="AA76" s="360" t="e">
        <f>('Analytical Data'!I69*Cover!$H$11)/($U76*(Cover!$B$11/1000))</f>
        <v>#DIV/0!</v>
      </c>
      <c r="AB76" s="360" t="e">
        <f>('Analytical Data'!J69*Cover!$H$11)/($U76*(Cover!$B$11/1000))</f>
        <v>#DIV/0!</v>
      </c>
      <c r="AC76" s="360" t="e">
        <f>('Analytical Data'!K69*Cover!$H$11)/($U76*(Cover!$B$11/1000))</f>
        <v>#DIV/0!</v>
      </c>
      <c r="AD76" s="360" t="e">
        <f>('Analytical Data'!L69*Cover!$H$11)/($U76*(Cover!$B$11/1000))</f>
        <v>#DIV/0!</v>
      </c>
      <c r="AE76" s="360" t="e">
        <f>('Analytical Data'!M69*Cover!$H$11)/($U76*(Cover!$B$11/1000))</f>
        <v>#DIV/0!</v>
      </c>
      <c r="AF76" s="360" t="e">
        <f t="shared" si="18"/>
        <v>#DIV/0!</v>
      </c>
      <c r="AG76" s="360" t="e">
        <f t="shared" si="19"/>
        <v>#DIV/0!</v>
      </c>
      <c r="AH76" s="360" t="e">
        <f t="shared" si="20"/>
        <v>#DIV/0!</v>
      </c>
      <c r="AI76" s="360" t="e">
        <f t="shared" si="21"/>
        <v>#DIV/0!</v>
      </c>
      <c r="AJ76" s="360" t="e">
        <f t="shared" si="22"/>
        <v>#DIV/0!</v>
      </c>
      <c r="AK76" s="360" t="e">
        <f t="shared" si="23"/>
        <v>#DIV/0!</v>
      </c>
      <c r="AL76" s="360" t="e">
        <f t="shared" si="24"/>
        <v>#DIV/0!</v>
      </c>
      <c r="AM76" s="360" t="e">
        <f t="shared" si="25"/>
        <v>#DIV/0!</v>
      </c>
      <c r="AN76" s="364" t="e">
        <f t="shared" si="44"/>
        <v>#DIV/0!</v>
      </c>
      <c r="AO76" s="360" t="e">
        <f t="shared" ca="1" si="33"/>
        <v>#DIV/0!</v>
      </c>
      <c r="AP76" s="368" t="e">
        <f t="shared" ca="1" si="34"/>
        <v>#VALUE!</v>
      </c>
      <c r="AQ76" s="357"/>
      <c r="AR76" s="358"/>
      <c r="AS76" s="358"/>
    </row>
    <row r="77" spans="1:51" ht="15" x14ac:dyDescent="0.25">
      <c r="A77" s="360">
        <f>'Measured Cummulative'!A71</f>
        <v>0</v>
      </c>
      <c r="B77" s="363" t="e">
        <f>M77</f>
        <v>#DIV/0!</v>
      </c>
      <c r="C77" s="364"/>
      <c r="D77" s="360" t="e">
        <f ca="1">(PI()/4)*(('Measured Cummulative'!E71/$B77)^2)*((Cover!$F$11/Cover!$I$11)^2)*(1/'Measured Cummulative'!E$1)</f>
        <v>#DIV/0!</v>
      </c>
      <c r="E77" s="360" t="e">
        <f ca="1">(PI()/4)*(('Measured Cummulative'!F71/$B77)^2)*((Cover!$F$11/Cover!$I$11)^2)*(1/'Measured Cummulative'!F$1)</f>
        <v>#DIV/0!</v>
      </c>
      <c r="F77" s="360" t="e">
        <f ca="1">(PI()/4)*(('Measured Cummulative'!G71/$B77)^2)*((Cover!$F$11/Cover!$I$11)^2)*(1/'Measured Cummulative'!G$1)</f>
        <v>#DIV/0!</v>
      </c>
      <c r="G77" s="360" t="e">
        <f ca="1">(PI()/4)*(('Measured Cummulative'!H71/$B77)^2)*((Cover!$F$11/Cover!$I$11)^2)*(1/'Measured Cummulative'!H$1)</f>
        <v>#DIV/0!</v>
      </c>
      <c r="H77" s="360" t="e">
        <f ca="1">(PI()/4)*(('Measured Cummulative'!I71/$B77)^2)*((Cover!$F$11/Cover!$I$11)^2)*(1/'Measured Cummulative'!I$1)</f>
        <v>#DIV/0!</v>
      </c>
      <c r="I77" s="360" t="e">
        <f ca="1">(PI()/4)*(('Measured Cummulative'!J71/$B77)^2)*((Cover!$F$11/Cover!$I$11)^2)*(1/'Measured Cummulative'!J$1)</f>
        <v>#DIV/0!</v>
      </c>
      <c r="J77" s="360" t="e">
        <f ca="1">(PI()/4)*(('Measured Cummulative'!K71/$B77)^2)*((Cover!$F$11/Cover!$I$11)^2)*(1/'Measured Cummulative'!K$1)</f>
        <v>#DIV/0!</v>
      </c>
      <c r="K77" s="360" t="e">
        <f ca="1">(PI()/4)*(('Measured Cummulative'!L71/$B77)^2)*((Cover!$F$11/Cover!$I$11)^2)*(1/'Measured Cummulative'!L$1)</f>
        <v>#DIV/0!</v>
      </c>
      <c r="L77" s="360">
        <f>'Measured Cummulative'!A71</f>
        <v>0</v>
      </c>
      <c r="M77" s="364" t="e">
        <f t="shared" si="16"/>
        <v>#DIV/0!</v>
      </c>
      <c r="N77" s="364"/>
      <c r="O77" s="365" t="e">
        <f t="shared" ca="1" si="41"/>
        <v>#DIV/0!</v>
      </c>
      <c r="P77" s="365" t="e">
        <f t="shared" ca="1" si="42"/>
        <v>#DIV/0!</v>
      </c>
      <c r="Q77" s="365" t="e">
        <f t="shared" ca="1" si="43"/>
        <v>#DIV/0!</v>
      </c>
      <c r="R77" s="366"/>
      <c r="S77" s="364"/>
      <c r="T77" s="366">
        <f t="shared" ref="T77:T78" si="48">L77</f>
        <v>0</v>
      </c>
      <c r="U77" s="364" t="e">
        <f>'Source Term'!AI84*$T$9</f>
        <v>#DIV/0!</v>
      </c>
      <c r="V77" s="364"/>
      <c r="W77" s="367">
        <v>1</v>
      </c>
      <c r="X77" s="360" t="e">
        <f>('Analytical Data'!F70*Cover!$H$11)/($U77*(Cover!$B$11/1000))</f>
        <v>#DIV/0!</v>
      </c>
      <c r="Y77" s="360" t="e">
        <f>('Analytical Data'!G70*Cover!$H$11)/($U77*(Cover!$B$11/1000))</f>
        <v>#DIV/0!</v>
      </c>
      <c r="Z77" s="360" t="e">
        <f>('Analytical Data'!H70*Cover!$H$11)/($U77*(Cover!$B$11/1000))</f>
        <v>#DIV/0!</v>
      </c>
      <c r="AA77" s="360" t="e">
        <f>('Analytical Data'!I70*Cover!$H$11)/($U77*(Cover!$B$11/1000))</f>
        <v>#DIV/0!</v>
      </c>
      <c r="AB77" s="360" t="e">
        <f>('Analytical Data'!J70*Cover!$H$11)/($U77*(Cover!$B$11/1000))</f>
        <v>#DIV/0!</v>
      </c>
      <c r="AC77" s="360" t="e">
        <f>('Analytical Data'!K70*Cover!$H$11)/($U77*(Cover!$B$11/1000))</f>
        <v>#DIV/0!</v>
      </c>
      <c r="AD77" s="360" t="e">
        <f>('Analytical Data'!L70*Cover!$H$11)/($U77*(Cover!$B$11/1000))</f>
        <v>#DIV/0!</v>
      </c>
      <c r="AE77" s="360" t="e">
        <f>('Analytical Data'!M70*Cover!$H$11)/($U77*(Cover!$B$11/1000))</f>
        <v>#DIV/0!</v>
      </c>
      <c r="AF77" s="360" t="e">
        <f t="shared" si="18"/>
        <v>#DIV/0!</v>
      </c>
      <c r="AG77" s="360" t="e">
        <f t="shared" si="19"/>
        <v>#DIV/0!</v>
      </c>
      <c r="AH77" s="360" t="e">
        <f t="shared" si="20"/>
        <v>#DIV/0!</v>
      </c>
      <c r="AI77" s="360" t="e">
        <f t="shared" si="21"/>
        <v>#DIV/0!</v>
      </c>
      <c r="AJ77" s="360" t="e">
        <f t="shared" si="22"/>
        <v>#DIV/0!</v>
      </c>
      <c r="AK77" s="360" t="e">
        <f t="shared" si="23"/>
        <v>#DIV/0!</v>
      </c>
      <c r="AL77" s="360" t="e">
        <f t="shared" si="24"/>
        <v>#DIV/0!</v>
      </c>
      <c r="AM77" s="360" t="e">
        <f t="shared" si="25"/>
        <v>#DIV/0!</v>
      </c>
      <c r="AN77" s="364" t="e">
        <f t="shared" si="44"/>
        <v>#DIV/0!</v>
      </c>
      <c r="AO77" s="360" t="e">
        <f t="shared" ca="1" si="33"/>
        <v>#DIV/0!</v>
      </c>
      <c r="AP77" s="368" t="e">
        <f t="shared" ca="1" si="34"/>
        <v>#VALUE!</v>
      </c>
      <c r="AQ77" s="357"/>
      <c r="AR77" s="358"/>
      <c r="AS77" s="358"/>
    </row>
    <row r="78" spans="1:51" ht="15" x14ac:dyDescent="0.25">
      <c r="A78" s="360">
        <f>'Measured Cummulative'!A72</f>
        <v>0</v>
      </c>
      <c r="B78" s="363" t="e">
        <f>M78</f>
        <v>#DIV/0!</v>
      </c>
      <c r="C78" s="364"/>
      <c r="D78" s="360" t="e">
        <f ca="1">(PI()/4)*(('Measured Cummulative'!E72/$B78)^2)*((Cover!$F$11/Cover!$I$11)^2)*(1/'Measured Cummulative'!E$1)</f>
        <v>#DIV/0!</v>
      </c>
      <c r="E78" s="360" t="e">
        <f ca="1">(PI()/4)*(('Measured Cummulative'!F72/$B78)^2)*((Cover!$F$11/Cover!$I$11)^2)*(1/'Measured Cummulative'!F$1)</f>
        <v>#DIV/0!</v>
      </c>
      <c r="F78" s="360" t="e">
        <f ca="1">(PI()/4)*(('Measured Cummulative'!G72/$B78)^2)*((Cover!$F$11/Cover!$I$11)^2)*(1/'Measured Cummulative'!G$1)</f>
        <v>#DIV/0!</v>
      </c>
      <c r="G78" s="360" t="e">
        <f ca="1">(PI()/4)*(('Measured Cummulative'!H72/$B78)^2)*((Cover!$F$11/Cover!$I$11)^2)*(1/'Measured Cummulative'!H$1)</f>
        <v>#DIV/0!</v>
      </c>
      <c r="H78" s="360" t="e">
        <f ca="1">(PI()/4)*(('Measured Cummulative'!I72/$B78)^2)*((Cover!$F$11/Cover!$I$11)^2)*(1/'Measured Cummulative'!I$1)</f>
        <v>#DIV/0!</v>
      </c>
      <c r="I78" s="360" t="e">
        <f ca="1">(PI()/4)*(('Measured Cummulative'!J72/$B78)^2)*((Cover!$F$11/Cover!$I$11)^2)*(1/'Measured Cummulative'!J$1)</f>
        <v>#DIV/0!</v>
      </c>
      <c r="J78" s="360" t="e">
        <f ca="1">(PI()/4)*(('Measured Cummulative'!K72/$B78)^2)*((Cover!$F$11/Cover!$I$11)^2)*(1/'Measured Cummulative'!K$1)</f>
        <v>#DIV/0!</v>
      </c>
      <c r="K78" s="360" t="e">
        <f ca="1">(PI()/4)*(('Measured Cummulative'!L72/$B78)^2)*((Cover!$F$11/Cover!$I$11)^2)*(1/'Measured Cummulative'!L$1)</f>
        <v>#DIV/0!</v>
      </c>
      <c r="L78" s="360">
        <f>'Measured Cummulative'!A72</f>
        <v>0</v>
      </c>
      <c r="M78" s="364" t="e">
        <f t="shared" si="16"/>
        <v>#DIV/0!</v>
      </c>
      <c r="N78" s="364"/>
      <c r="O78" s="365" t="e">
        <f t="shared" ca="1" si="41"/>
        <v>#DIV/0!</v>
      </c>
      <c r="P78" s="365" t="e">
        <f t="shared" ca="1" si="42"/>
        <v>#DIV/0!</v>
      </c>
      <c r="Q78" s="365" t="e">
        <f t="shared" ca="1" si="43"/>
        <v>#DIV/0!</v>
      </c>
      <c r="R78" s="366"/>
      <c r="S78" s="364"/>
      <c r="T78" s="366">
        <f t="shared" si="48"/>
        <v>0</v>
      </c>
      <c r="U78" s="364" t="e">
        <f>'Source Term'!AI85*$T$9</f>
        <v>#DIV/0!</v>
      </c>
      <c r="V78" s="364"/>
      <c r="W78" s="367">
        <v>1</v>
      </c>
      <c r="X78" s="360" t="e">
        <f>('Analytical Data'!F71*Cover!$H$11)/($U78*(Cover!$B$11/1000))</f>
        <v>#DIV/0!</v>
      </c>
      <c r="Y78" s="360" t="e">
        <f>('Analytical Data'!G71*Cover!$H$11)/($U78*(Cover!$B$11/1000))</f>
        <v>#DIV/0!</v>
      </c>
      <c r="Z78" s="360" t="e">
        <f>('Analytical Data'!H71*Cover!$H$11)/($U78*(Cover!$B$11/1000))</f>
        <v>#DIV/0!</v>
      </c>
      <c r="AA78" s="360" t="e">
        <f>('Analytical Data'!I71*Cover!$H$11)/($U78*(Cover!$B$11/1000))</f>
        <v>#DIV/0!</v>
      </c>
      <c r="AB78" s="360" t="e">
        <f>('Analytical Data'!J71*Cover!$H$11)/($U78*(Cover!$B$11/1000))</f>
        <v>#DIV/0!</v>
      </c>
      <c r="AC78" s="360" t="e">
        <f>('Analytical Data'!K71*Cover!$H$11)/($U78*(Cover!$B$11/1000))</f>
        <v>#DIV/0!</v>
      </c>
      <c r="AD78" s="360" t="e">
        <f>('Analytical Data'!L71*Cover!$H$11)/($U78*(Cover!$B$11/1000))</f>
        <v>#DIV/0!</v>
      </c>
      <c r="AE78" s="360" t="e">
        <f>('Analytical Data'!M71*Cover!$H$11)/($U78*(Cover!$B$11/1000))</f>
        <v>#DIV/0!</v>
      </c>
      <c r="AF78" s="360" t="e">
        <f t="shared" si="18"/>
        <v>#DIV/0!</v>
      </c>
      <c r="AG78" s="360" t="e">
        <f t="shared" si="19"/>
        <v>#DIV/0!</v>
      </c>
      <c r="AH78" s="360" t="e">
        <f t="shared" si="20"/>
        <v>#DIV/0!</v>
      </c>
      <c r="AI78" s="360" t="e">
        <f t="shared" si="21"/>
        <v>#DIV/0!</v>
      </c>
      <c r="AJ78" s="360" t="e">
        <f t="shared" si="22"/>
        <v>#DIV/0!</v>
      </c>
      <c r="AK78" s="360" t="e">
        <f t="shared" si="23"/>
        <v>#DIV/0!</v>
      </c>
      <c r="AL78" s="360" t="e">
        <f t="shared" si="24"/>
        <v>#DIV/0!</v>
      </c>
      <c r="AM78" s="360" t="e">
        <f t="shared" si="25"/>
        <v>#DIV/0!</v>
      </c>
      <c r="AN78" s="364" t="e">
        <f t="shared" si="44"/>
        <v>#DIV/0!</v>
      </c>
      <c r="AO78" s="360" t="e">
        <f t="shared" ca="1" si="33"/>
        <v>#DIV/0!</v>
      </c>
      <c r="AP78" s="368" t="e">
        <f t="shared" ca="1" si="34"/>
        <v>#VALUE!</v>
      </c>
      <c r="AQ78" s="357"/>
      <c r="AR78" s="358"/>
      <c r="AS78" s="358"/>
    </row>
    <row r="79" spans="1:51" ht="15" x14ac:dyDescent="0.25">
      <c r="A79" s="360">
        <f>'Measured Cummulative'!A73</f>
        <v>0</v>
      </c>
      <c r="B79" s="363" t="e">
        <f>M79</f>
        <v>#DIV/0!</v>
      </c>
      <c r="C79" s="364"/>
      <c r="D79" s="360" t="e">
        <f ca="1">(PI()/4)*(('Measured Cummulative'!E73/$B79)^2)*((Cover!$F$11/Cover!$I$11)^2)*(1/'Measured Cummulative'!E$1)</f>
        <v>#DIV/0!</v>
      </c>
      <c r="E79" s="360" t="e">
        <f ca="1">(PI()/4)*(('Measured Cummulative'!F73/$B79)^2)*((Cover!$F$11/Cover!$I$11)^2)*(1/'Measured Cummulative'!F$1)</f>
        <v>#DIV/0!</v>
      </c>
      <c r="F79" s="360" t="e">
        <f ca="1">(PI()/4)*(('Measured Cummulative'!G73/$B79)^2)*((Cover!$F$11/Cover!$I$11)^2)*(1/'Measured Cummulative'!G$1)</f>
        <v>#DIV/0!</v>
      </c>
      <c r="G79" s="360" t="e">
        <f ca="1">(PI()/4)*(('Measured Cummulative'!H73/$B79)^2)*((Cover!$F$11/Cover!$I$11)^2)*(1/'Measured Cummulative'!H$1)</f>
        <v>#DIV/0!</v>
      </c>
      <c r="H79" s="360" t="e">
        <f ca="1">(PI()/4)*(('Measured Cummulative'!I73/$B79)^2)*((Cover!$F$11/Cover!$I$11)^2)*(1/'Measured Cummulative'!I$1)</f>
        <v>#DIV/0!</v>
      </c>
      <c r="I79" s="360" t="e">
        <f ca="1">(PI()/4)*(('Measured Cummulative'!J73/$B79)^2)*((Cover!$F$11/Cover!$I$11)^2)*(1/'Measured Cummulative'!J$1)</f>
        <v>#DIV/0!</v>
      </c>
      <c r="J79" s="360" t="e">
        <f ca="1">(PI()/4)*(('Measured Cummulative'!K73/$B79)^2)*((Cover!$F$11/Cover!$I$11)^2)*(1/'Measured Cummulative'!K$1)</f>
        <v>#DIV/0!</v>
      </c>
      <c r="K79" s="360" t="e">
        <f ca="1">(PI()/4)*(('Measured Cummulative'!L73/$B79)^2)*((Cover!$F$11/Cover!$I$11)^2)*(1/'Measured Cummulative'!L$1)</f>
        <v>#DIV/0!</v>
      </c>
      <c r="L79" s="360">
        <f>'Measured Cummulative'!A73</f>
        <v>0</v>
      </c>
      <c r="M79" s="364" t="e">
        <f t="shared" ref="M79:M83" si="49">U80</f>
        <v>#DIV/0!</v>
      </c>
      <c r="N79" s="364"/>
      <c r="O79" s="365" t="e">
        <f t="shared" ca="1" si="41"/>
        <v>#DIV/0!</v>
      </c>
      <c r="P79" s="365" t="e">
        <f t="shared" ca="1" si="42"/>
        <v>#DIV/0!</v>
      </c>
      <c r="Q79" s="365" t="e">
        <f t="shared" ca="1" si="43"/>
        <v>#DIV/0!</v>
      </c>
      <c r="R79" s="366"/>
      <c r="S79" s="364"/>
      <c r="T79" s="366">
        <f>L79</f>
        <v>0</v>
      </c>
      <c r="U79" s="364" t="e">
        <f>'Source Term'!AI86*$T$9</f>
        <v>#DIV/0!</v>
      </c>
      <c r="V79" s="364"/>
      <c r="W79" s="367">
        <v>1</v>
      </c>
      <c r="X79" s="360" t="e">
        <f>('Analytical Data'!F72*Cover!$H$11)/($U79*(Cover!$B$11/1000))</f>
        <v>#DIV/0!</v>
      </c>
      <c r="Y79" s="360" t="e">
        <f>('Analytical Data'!G72*Cover!$H$11)/($U79*(Cover!$B$11/1000))</f>
        <v>#DIV/0!</v>
      </c>
      <c r="Z79" s="360" t="e">
        <f>('Analytical Data'!H72*Cover!$H$11)/($U79*(Cover!$B$11/1000))</f>
        <v>#DIV/0!</v>
      </c>
      <c r="AA79" s="360" t="e">
        <f>('Analytical Data'!I72*Cover!$H$11)/($U79*(Cover!$B$11/1000))</f>
        <v>#DIV/0!</v>
      </c>
      <c r="AB79" s="360" t="e">
        <f>('Analytical Data'!J72*Cover!$H$11)/($U79*(Cover!$B$11/1000))</f>
        <v>#DIV/0!</v>
      </c>
      <c r="AC79" s="360" t="e">
        <f>('Analytical Data'!K72*Cover!$H$11)/($U79*(Cover!$B$11/1000))</f>
        <v>#DIV/0!</v>
      </c>
      <c r="AD79" s="360" t="e">
        <f>('Analytical Data'!L72*Cover!$H$11)/($U79*(Cover!$B$11/1000))</f>
        <v>#DIV/0!</v>
      </c>
      <c r="AE79" s="360" t="e">
        <f>('Analytical Data'!M72*Cover!$H$11)/($U79*(Cover!$B$11/1000))</f>
        <v>#DIV/0!</v>
      </c>
      <c r="AF79" s="360" t="e">
        <f t="shared" ref="AF79:AF80" si="50">X79</f>
        <v>#DIV/0!</v>
      </c>
      <c r="AG79" s="360" t="e">
        <f t="shared" ref="AG79:AG80" si="51">SUM(X79:Y79)</f>
        <v>#DIV/0!</v>
      </c>
      <c r="AH79" s="360" t="e">
        <f t="shared" ref="AH79:AH80" si="52">SUM(X79:Z79)</f>
        <v>#DIV/0!</v>
      </c>
      <c r="AI79" s="360" t="e">
        <f t="shared" ref="AI79:AI80" si="53">SUM(X79:AA79)</f>
        <v>#DIV/0!</v>
      </c>
      <c r="AJ79" s="360" t="e">
        <f t="shared" ref="AJ79:AJ80" si="54">SUM(X79:AB79)</f>
        <v>#DIV/0!</v>
      </c>
      <c r="AK79" s="360" t="e">
        <f t="shared" ref="AK79:AK80" si="55">SUM(X79:AC79)</f>
        <v>#DIV/0!</v>
      </c>
      <c r="AL79" s="360" t="e">
        <f t="shared" ref="AL79:AL80" si="56">SUM(X79:AD79)</f>
        <v>#DIV/0!</v>
      </c>
      <c r="AM79" s="360" t="e">
        <f t="shared" ref="AM79:AM80" si="57">SUM(X79:AE79)</f>
        <v>#DIV/0!</v>
      </c>
      <c r="AN79" s="364" t="e">
        <f t="shared" si="44"/>
        <v>#DIV/0!</v>
      </c>
      <c r="AO79" s="360" t="e">
        <f ca="1">INTERCEPT(AG79:AM79,$Y$11:$AE$11)</f>
        <v>#DIV/0!</v>
      </c>
      <c r="AP79" s="368" t="e">
        <f ca="1">LINEST(AG79:AM79,$Y$11:$AE$11,AO79)</f>
        <v>#VALUE!</v>
      </c>
      <c r="AQ79" s="357"/>
      <c r="AR79" s="358"/>
      <c r="AS79" s="358"/>
    </row>
    <row r="80" spans="1:51" ht="15" x14ac:dyDescent="0.25">
      <c r="A80" s="360">
        <f>'Measured Cummulative'!A74</f>
        <v>0</v>
      </c>
      <c r="B80" s="363" t="e">
        <f>M80</f>
        <v>#DIV/0!</v>
      </c>
      <c r="C80" s="364"/>
      <c r="D80" s="360" t="e">
        <f ca="1">(PI()/4)*(('Measured Cummulative'!E74/$B80)^2)*((Cover!$F$11/Cover!$I$11)^2)*(1/'Measured Cummulative'!E$1)</f>
        <v>#DIV/0!</v>
      </c>
      <c r="E80" s="360" t="e">
        <f ca="1">(PI()/4)*(('Measured Cummulative'!F74/$B80)^2)*((Cover!$F$11/Cover!$I$11)^2)*(1/'Measured Cummulative'!F$1)</f>
        <v>#DIV/0!</v>
      </c>
      <c r="F80" s="360" t="e">
        <f ca="1">(PI()/4)*(('Measured Cummulative'!G74/$B80)^2)*((Cover!$F$11/Cover!$I$11)^2)*(1/'Measured Cummulative'!G$1)</f>
        <v>#DIV/0!</v>
      </c>
      <c r="G80" s="360" t="e">
        <f ca="1">(PI()/4)*(('Measured Cummulative'!H74/$B80)^2)*((Cover!$F$11/Cover!$I$11)^2)*(1/'Measured Cummulative'!H$1)</f>
        <v>#DIV/0!</v>
      </c>
      <c r="H80" s="360" t="e">
        <f ca="1">(PI()/4)*(('Measured Cummulative'!I74/$B80)^2)*((Cover!$F$11/Cover!$I$11)^2)*(1/'Measured Cummulative'!I$1)</f>
        <v>#DIV/0!</v>
      </c>
      <c r="I80" s="360" t="e">
        <f ca="1">(PI()/4)*(('Measured Cummulative'!J74/$B80)^2)*((Cover!$F$11/Cover!$I$11)^2)*(1/'Measured Cummulative'!J$1)</f>
        <v>#DIV/0!</v>
      </c>
      <c r="J80" s="360" t="e">
        <f ca="1">(PI()/4)*(('Measured Cummulative'!K74/$B80)^2)*((Cover!$F$11/Cover!$I$11)^2)*(1/'Measured Cummulative'!K$1)</f>
        <v>#DIV/0!</v>
      </c>
      <c r="K80" s="360" t="e">
        <f ca="1">(PI()/4)*(('Measured Cummulative'!L74/$B80)^2)*((Cover!$F$11/Cover!$I$11)^2)*(1/'Measured Cummulative'!L$1)</f>
        <v>#DIV/0!</v>
      </c>
      <c r="L80" s="360">
        <f>'Measured Cummulative'!A74</f>
        <v>0</v>
      </c>
      <c r="M80" s="364" t="e">
        <f t="shared" si="49"/>
        <v>#DIV/0!</v>
      </c>
      <c r="N80" s="364"/>
      <c r="O80" s="365" t="e">
        <f t="shared" ca="1" si="41"/>
        <v>#DIV/0!</v>
      </c>
      <c r="P80" s="365" t="e">
        <f t="shared" ca="1" si="42"/>
        <v>#DIV/0!</v>
      </c>
      <c r="Q80" s="365" t="e">
        <f t="shared" ca="1" si="43"/>
        <v>#DIV/0!</v>
      </c>
      <c r="R80" s="366"/>
      <c r="S80" s="364"/>
      <c r="T80" s="366">
        <f>L80</f>
        <v>0</v>
      </c>
      <c r="U80" s="364" t="e">
        <f>'Source Term'!AI87*$T$9</f>
        <v>#DIV/0!</v>
      </c>
      <c r="V80" s="364"/>
      <c r="W80" s="367">
        <v>1</v>
      </c>
      <c r="X80" s="360" t="e">
        <f>('Analytical Data'!F73*Cover!$H$11)/($U80*(Cover!$B$11/1000))</f>
        <v>#DIV/0!</v>
      </c>
      <c r="Y80" s="360" t="e">
        <f>('Analytical Data'!G73*Cover!$H$11)/($U80*(Cover!$B$11/1000))</f>
        <v>#DIV/0!</v>
      </c>
      <c r="Z80" s="360" t="e">
        <f>('Analytical Data'!H73*Cover!$H$11)/($U80*(Cover!$B$11/1000))</f>
        <v>#DIV/0!</v>
      </c>
      <c r="AA80" s="360" t="e">
        <f>('Analytical Data'!I73*Cover!$H$11)/($U80*(Cover!$B$11/1000))</f>
        <v>#DIV/0!</v>
      </c>
      <c r="AB80" s="360" t="e">
        <f>('Analytical Data'!J73*Cover!$H$11)/($U80*(Cover!$B$11/1000))</f>
        <v>#DIV/0!</v>
      </c>
      <c r="AC80" s="360" t="e">
        <f>('Analytical Data'!K73*Cover!$H$11)/($U80*(Cover!$B$11/1000))</f>
        <v>#DIV/0!</v>
      </c>
      <c r="AD80" s="360" t="e">
        <f>('Analytical Data'!L73*Cover!$H$11)/($U80*(Cover!$B$11/1000))</f>
        <v>#DIV/0!</v>
      </c>
      <c r="AE80" s="360" t="e">
        <f>('Analytical Data'!M73*Cover!$H$11)/($U80*(Cover!$B$11/1000))</f>
        <v>#DIV/0!</v>
      </c>
      <c r="AF80" s="360" t="e">
        <f t="shared" si="50"/>
        <v>#DIV/0!</v>
      </c>
      <c r="AG80" s="360" t="e">
        <f t="shared" si="51"/>
        <v>#DIV/0!</v>
      </c>
      <c r="AH80" s="360" t="e">
        <f t="shared" si="52"/>
        <v>#DIV/0!</v>
      </c>
      <c r="AI80" s="360" t="e">
        <f t="shared" si="53"/>
        <v>#DIV/0!</v>
      </c>
      <c r="AJ80" s="360" t="e">
        <f t="shared" si="54"/>
        <v>#DIV/0!</v>
      </c>
      <c r="AK80" s="360" t="e">
        <f t="shared" si="55"/>
        <v>#DIV/0!</v>
      </c>
      <c r="AL80" s="360" t="e">
        <f t="shared" si="56"/>
        <v>#DIV/0!</v>
      </c>
      <c r="AM80" s="360" t="e">
        <f t="shared" si="57"/>
        <v>#DIV/0!</v>
      </c>
      <c r="AN80" s="364" t="e">
        <f t="shared" si="44"/>
        <v>#DIV/0!</v>
      </c>
      <c r="AO80" s="360" t="e">
        <f ca="1">INTERCEPT(AG80:AM80,$Y$11:$AE$11)</f>
        <v>#DIV/0!</v>
      </c>
      <c r="AP80" s="368" t="e">
        <f ca="1">LINEST(AG80:AM80,$Y$11:$AE$11,AO80)</f>
        <v>#VALUE!</v>
      </c>
      <c r="AQ80" s="357"/>
      <c r="AR80" s="358"/>
      <c r="AS80" s="358"/>
    </row>
    <row r="81" spans="1:42" ht="15" x14ac:dyDescent="0.25">
      <c r="A81" s="360">
        <f>'Measured Cummulative'!A75</f>
        <v>0</v>
      </c>
      <c r="B81" s="363" t="e">
        <f t="shared" ref="B81:B82" si="58">M81</f>
        <v>#DIV/0!</v>
      </c>
      <c r="C81" s="364"/>
      <c r="D81" s="360" t="e">
        <f ca="1">(PI()/4)*(('Measured Cummulative'!E75/$B81)^2)*((Cover!$F$11/Cover!$I$11)^2)*(1/'Measured Cummulative'!E$1)</f>
        <v>#DIV/0!</v>
      </c>
      <c r="E81" s="360" t="e">
        <f ca="1">(PI()/4)*(('Measured Cummulative'!F75/$B81)^2)*((Cover!$F$11/Cover!$I$11)^2)*(1/'Measured Cummulative'!F$1)</f>
        <v>#DIV/0!</v>
      </c>
      <c r="F81" s="360" t="e">
        <f ca="1">(PI()/4)*(('Measured Cummulative'!G75/$B81)^2)*((Cover!$F$11/Cover!$I$11)^2)*(1/'Measured Cummulative'!G$1)</f>
        <v>#DIV/0!</v>
      </c>
      <c r="G81" s="360" t="e">
        <f ca="1">(PI()/4)*(('Measured Cummulative'!H75/$B81)^2)*((Cover!$F$11/Cover!$I$11)^2)*(1/'Measured Cummulative'!H$1)</f>
        <v>#DIV/0!</v>
      </c>
      <c r="H81" s="360" t="e">
        <f ca="1">(PI()/4)*(('Measured Cummulative'!I75/$B81)^2)*((Cover!$F$11/Cover!$I$11)^2)*(1/'Measured Cummulative'!I$1)</f>
        <v>#DIV/0!</v>
      </c>
      <c r="I81" s="360" t="e">
        <f ca="1">(PI()/4)*(('Measured Cummulative'!J75/$B81)^2)*((Cover!$F$11/Cover!$I$11)^2)*(1/'Measured Cummulative'!J$1)</f>
        <v>#DIV/0!</v>
      </c>
      <c r="J81" s="360" t="e">
        <f ca="1">(PI()/4)*(('Measured Cummulative'!K75/$B81)^2)*((Cover!$F$11/Cover!$I$11)^2)*(1/'Measured Cummulative'!K$1)</f>
        <v>#DIV/0!</v>
      </c>
      <c r="K81" s="360" t="e">
        <f ca="1">(PI()/4)*(('Measured Cummulative'!L75/$B81)^2)*((Cover!$F$11/Cover!$I$11)^2)*(1/'Measured Cummulative'!L$1)</f>
        <v>#DIV/0!</v>
      </c>
      <c r="L81" s="360">
        <f>'Measured Cummulative'!A75</f>
        <v>0</v>
      </c>
      <c r="M81" s="364" t="e">
        <f t="shared" si="49"/>
        <v>#DIV/0!</v>
      </c>
      <c r="N81" s="364"/>
      <c r="O81" s="365" t="e">
        <f t="shared" ref="O81:O83" ca="1" si="59">-LOG(MAX(D81:K81))</f>
        <v>#DIV/0!</v>
      </c>
      <c r="P81" s="365" t="e">
        <f t="shared" ref="P81:P83" ca="1" si="60">-LOG(MIN(D81:K81))</f>
        <v>#DIV/0!</v>
      </c>
      <c r="Q81" s="365" t="e">
        <f t="shared" ref="Q81:Q83" ca="1" si="61">-LOG(AVERAGE(D81:K81))</f>
        <v>#DIV/0!</v>
      </c>
      <c r="T81" s="366">
        <f t="shared" ref="T81:T83" si="62">L81</f>
        <v>0</v>
      </c>
      <c r="U81" s="364" t="e">
        <f>'Source Term'!AI88*$T$9</f>
        <v>#DIV/0!</v>
      </c>
      <c r="W81" s="367">
        <v>2</v>
      </c>
      <c r="X81" s="360" t="e">
        <f>('Analytical Data'!F74*Cover!$H$11)/($U81*(Cover!$B$11/1000))</f>
        <v>#DIV/0!</v>
      </c>
      <c r="Y81" s="360" t="e">
        <f>('Analytical Data'!G74*Cover!$H$11)/($U81*(Cover!$B$11/1000))</f>
        <v>#DIV/0!</v>
      </c>
      <c r="Z81" s="360" t="e">
        <f>('Analytical Data'!H74*Cover!$H$11)/($U81*(Cover!$B$11/1000))</f>
        <v>#DIV/0!</v>
      </c>
      <c r="AA81" s="360" t="e">
        <f>('Analytical Data'!I74*Cover!$H$11)/($U81*(Cover!$B$11/1000))</f>
        <v>#DIV/0!</v>
      </c>
      <c r="AB81" s="360" t="e">
        <f>('Analytical Data'!J74*Cover!$H$11)/($U81*(Cover!$B$11/1000))</f>
        <v>#DIV/0!</v>
      </c>
      <c r="AC81" s="360" t="e">
        <f>('Analytical Data'!K74*Cover!$H$11)/($U81*(Cover!$B$11/1000))</f>
        <v>#DIV/0!</v>
      </c>
      <c r="AD81" s="360" t="e">
        <f>('Analytical Data'!L74*Cover!$H$11)/($U81*(Cover!$B$11/1000))</f>
        <v>#DIV/0!</v>
      </c>
      <c r="AE81" s="360" t="e">
        <f>('Analytical Data'!M74*Cover!$H$11)/($U81*(Cover!$B$11/1000))</f>
        <v>#DIV/0!</v>
      </c>
      <c r="AF81" s="360" t="e">
        <f t="shared" ref="AF81:AF83" si="63">X81</f>
        <v>#DIV/0!</v>
      </c>
      <c r="AG81" s="360" t="e">
        <f t="shared" ref="AG81:AG83" si="64">SUM(X81:Y81)</f>
        <v>#DIV/0!</v>
      </c>
      <c r="AH81" s="360" t="e">
        <f t="shared" ref="AH81:AH83" si="65">SUM(X81:Z81)</f>
        <v>#DIV/0!</v>
      </c>
      <c r="AI81" s="360" t="e">
        <f t="shared" ref="AI81:AI83" si="66">SUM(X81:AA81)</f>
        <v>#DIV/0!</v>
      </c>
      <c r="AJ81" s="360" t="e">
        <f t="shared" ref="AJ81:AJ83" si="67">SUM(X81:AB81)</f>
        <v>#DIV/0!</v>
      </c>
      <c r="AK81" s="360" t="e">
        <f t="shared" ref="AK81:AK83" si="68">SUM(X81:AC81)</f>
        <v>#DIV/0!</v>
      </c>
      <c r="AL81" s="360" t="e">
        <f t="shared" ref="AL81:AL83" si="69">SUM(X81:AD81)</f>
        <v>#DIV/0!</v>
      </c>
      <c r="AM81" s="360" t="e">
        <f t="shared" ref="AM81:AM83" si="70">SUM(X81:AE81)</f>
        <v>#DIV/0!</v>
      </c>
      <c r="AN81" s="364" t="e">
        <f t="shared" ref="AN81:AN83" si="71">U81*W81</f>
        <v>#DIV/0!</v>
      </c>
      <c r="AO81" s="360" t="e">
        <f t="shared" ref="AO81:AO82" ca="1" si="72">INTERCEPT(AG81:AM81,$Y$11:$AE$11)</f>
        <v>#DIV/0!</v>
      </c>
      <c r="AP81" s="368" t="e">
        <f t="shared" ref="AP81:AP82" ca="1" si="73">LINEST(AG81:AM81,$Y$11:$AE$11,AO81)</f>
        <v>#VALUE!</v>
      </c>
    </row>
    <row r="82" spans="1:42" ht="15" x14ac:dyDescent="0.25">
      <c r="A82" s="360">
        <f>'Measured Cummulative'!A76</f>
        <v>0</v>
      </c>
      <c r="B82" s="363" t="e">
        <f t="shared" si="58"/>
        <v>#DIV/0!</v>
      </c>
      <c r="C82" s="364"/>
      <c r="D82" s="360" t="e">
        <f ca="1">(PI()/4)*(('Measured Cummulative'!E76/$B82)^2)*((Cover!$F$11/Cover!$I$11)^2)*(1/'Measured Cummulative'!E$1)</f>
        <v>#DIV/0!</v>
      </c>
      <c r="E82" s="360" t="e">
        <f ca="1">(PI()/4)*(('Measured Cummulative'!F76/$B82)^2)*((Cover!$F$11/Cover!$I$11)^2)*(1/'Measured Cummulative'!F$1)</f>
        <v>#DIV/0!</v>
      </c>
      <c r="F82" s="360" t="e">
        <f ca="1">(PI()/4)*(('Measured Cummulative'!G76/$B82)^2)*((Cover!$F$11/Cover!$I$11)^2)*(1/'Measured Cummulative'!G$1)</f>
        <v>#DIV/0!</v>
      </c>
      <c r="G82" s="360" t="e">
        <f ca="1">(PI()/4)*(('Measured Cummulative'!H76/$B82)^2)*((Cover!$F$11/Cover!$I$11)^2)*(1/'Measured Cummulative'!H$1)</f>
        <v>#DIV/0!</v>
      </c>
      <c r="H82" s="360" t="e">
        <f ca="1">(PI()/4)*(('Measured Cummulative'!I76/$B82)^2)*((Cover!$F$11/Cover!$I$11)^2)*(1/'Measured Cummulative'!I$1)</f>
        <v>#DIV/0!</v>
      </c>
      <c r="I82" s="360" t="e">
        <f ca="1">(PI()/4)*(('Measured Cummulative'!J76/$B82)^2)*((Cover!$F$11/Cover!$I$11)^2)*(1/'Measured Cummulative'!J$1)</f>
        <v>#DIV/0!</v>
      </c>
      <c r="J82" s="360" t="e">
        <f ca="1">(PI()/4)*(('Measured Cummulative'!K76/$B82)^2)*((Cover!$F$11/Cover!$I$11)^2)*(1/'Measured Cummulative'!K$1)</f>
        <v>#DIV/0!</v>
      </c>
      <c r="K82" s="360" t="e">
        <f ca="1">(PI()/4)*(('Measured Cummulative'!L76/$B82)^2)*((Cover!$F$11/Cover!$I$11)^2)*(1/'Measured Cummulative'!L$1)</f>
        <v>#DIV/0!</v>
      </c>
      <c r="L82" s="360">
        <f>'Measured Cummulative'!A76</f>
        <v>0</v>
      </c>
      <c r="M82" s="364" t="e">
        <f t="shared" si="49"/>
        <v>#DIV/0!</v>
      </c>
      <c r="N82" s="364"/>
      <c r="O82" s="365" t="e">
        <f t="shared" ca="1" si="59"/>
        <v>#DIV/0!</v>
      </c>
      <c r="P82" s="365" t="e">
        <f t="shared" ca="1" si="60"/>
        <v>#DIV/0!</v>
      </c>
      <c r="Q82" s="365" t="e">
        <f t="shared" ca="1" si="61"/>
        <v>#DIV/0!</v>
      </c>
      <c r="T82" s="366">
        <f t="shared" si="62"/>
        <v>0</v>
      </c>
      <c r="U82" s="364" t="e">
        <f>'Source Term'!AI89*$T$9</f>
        <v>#DIV/0!</v>
      </c>
      <c r="W82" s="367">
        <v>3</v>
      </c>
      <c r="X82" s="360" t="e">
        <f>('Analytical Data'!F75*Cover!$H$11)/($U82*(Cover!$B$11/1000))</f>
        <v>#DIV/0!</v>
      </c>
      <c r="Y82" s="360" t="e">
        <f>('Analytical Data'!G75*Cover!$H$11)/($U82*(Cover!$B$11/1000))</f>
        <v>#DIV/0!</v>
      </c>
      <c r="Z82" s="360" t="e">
        <f>('Analytical Data'!H75*Cover!$H$11)/($U82*(Cover!$B$11/1000))</f>
        <v>#DIV/0!</v>
      </c>
      <c r="AA82" s="360" t="e">
        <f>('Analytical Data'!I75*Cover!$H$11)/($U82*(Cover!$B$11/1000))</f>
        <v>#DIV/0!</v>
      </c>
      <c r="AB82" s="360" t="e">
        <f>('Analytical Data'!J75*Cover!$H$11)/($U82*(Cover!$B$11/1000))</f>
        <v>#DIV/0!</v>
      </c>
      <c r="AC82" s="360" t="e">
        <f>('Analytical Data'!K75*Cover!$H$11)/($U82*(Cover!$B$11/1000))</f>
        <v>#DIV/0!</v>
      </c>
      <c r="AD82" s="360" t="e">
        <f>('Analytical Data'!L75*Cover!$H$11)/($U82*(Cover!$B$11/1000))</f>
        <v>#DIV/0!</v>
      </c>
      <c r="AE82" s="360" t="e">
        <f>('Analytical Data'!M75*Cover!$H$11)/($U82*(Cover!$B$11/1000))</f>
        <v>#DIV/0!</v>
      </c>
      <c r="AF82" s="360" t="e">
        <f t="shared" si="63"/>
        <v>#DIV/0!</v>
      </c>
      <c r="AG82" s="360" t="e">
        <f t="shared" si="64"/>
        <v>#DIV/0!</v>
      </c>
      <c r="AH82" s="360" t="e">
        <f t="shared" si="65"/>
        <v>#DIV/0!</v>
      </c>
      <c r="AI82" s="360" t="e">
        <f t="shared" si="66"/>
        <v>#DIV/0!</v>
      </c>
      <c r="AJ82" s="360" t="e">
        <f t="shared" si="67"/>
        <v>#DIV/0!</v>
      </c>
      <c r="AK82" s="360" t="e">
        <f t="shared" si="68"/>
        <v>#DIV/0!</v>
      </c>
      <c r="AL82" s="360" t="e">
        <f t="shared" si="69"/>
        <v>#DIV/0!</v>
      </c>
      <c r="AM82" s="360" t="e">
        <f t="shared" si="70"/>
        <v>#DIV/0!</v>
      </c>
      <c r="AN82" s="364" t="e">
        <f t="shared" si="71"/>
        <v>#DIV/0!</v>
      </c>
      <c r="AO82" s="360" t="e">
        <f t="shared" ca="1" si="72"/>
        <v>#DIV/0!</v>
      </c>
      <c r="AP82" s="368" t="e">
        <f t="shared" ca="1" si="73"/>
        <v>#VALUE!</v>
      </c>
    </row>
    <row r="83" spans="1:42" x14ac:dyDescent="0.2">
      <c r="L83" s="360">
        <f>'Measured Cummulative'!A77</f>
        <v>0</v>
      </c>
      <c r="M83" s="364">
        <f t="shared" si="49"/>
        <v>0</v>
      </c>
      <c r="N83" s="364"/>
      <c r="O83" s="365" t="e">
        <f t="shared" si="59"/>
        <v>#NUM!</v>
      </c>
      <c r="P83" s="365" t="e">
        <f t="shared" si="60"/>
        <v>#NUM!</v>
      </c>
      <c r="Q83" s="365" t="e">
        <f t="shared" si="61"/>
        <v>#DIV/0!</v>
      </c>
      <c r="T83" s="366">
        <f t="shared" si="62"/>
        <v>0</v>
      </c>
      <c r="U83" s="364" t="e">
        <f>'Source Term'!AI90*$T$9</f>
        <v>#DIV/0!</v>
      </c>
      <c r="W83" s="367">
        <v>4</v>
      </c>
      <c r="X83" s="360" t="e">
        <f>('Analytical Data'!F76*Cover!$H$11)/($U83*(Cover!$B$11/1000))</f>
        <v>#DIV/0!</v>
      </c>
      <c r="Y83" s="360" t="e">
        <f>('Analytical Data'!G76*Cover!$H$11)/($U83*(Cover!$B$11/1000))</f>
        <v>#DIV/0!</v>
      </c>
      <c r="Z83" s="360" t="e">
        <f>('Analytical Data'!H76*Cover!$H$11)/($U83*(Cover!$B$11/1000))</f>
        <v>#DIV/0!</v>
      </c>
      <c r="AA83" s="360" t="e">
        <f>('Analytical Data'!I76*Cover!$H$11)/($U83*(Cover!$B$11/1000))</f>
        <v>#DIV/0!</v>
      </c>
      <c r="AB83" s="360" t="e">
        <f>('Analytical Data'!J76*Cover!$H$11)/($U83*(Cover!$B$11/1000))</f>
        <v>#DIV/0!</v>
      </c>
      <c r="AC83" s="360" t="e">
        <f>('Analytical Data'!K76*Cover!$H$11)/($U83*(Cover!$B$11/1000))</f>
        <v>#DIV/0!</v>
      </c>
      <c r="AD83" s="360" t="e">
        <f>('Analytical Data'!L76*Cover!$H$11)/($U83*(Cover!$B$11/1000))</f>
        <v>#DIV/0!</v>
      </c>
      <c r="AE83" s="360" t="e">
        <f>('Analytical Data'!M76*Cover!$H$11)/($U83*(Cover!$B$11/1000))</f>
        <v>#DIV/0!</v>
      </c>
      <c r="AF83" s="360" t="e">
        <f t="shared" si="63"/>
        <v>#DIV/0!</v>
      </c>
      <c r="AG83" s="360" t="e">
        <f t="shared" si="64"/>
        <v>#DIV/0!</v>
      </c>
      <c r="AH83" s="360" t="e">
        <f t="shared" si="65"/>
        <v>#DIV/0!</v>
      </c>
      <c r="AI83" s="360" t="e">
        <f t="shared" si="66"/>
        <v>#DIV/0!</v>
      </c>
      <c r="AJ83" s="360" t="e">
        <f t="shared" si="67"/>
        <v>#DIV/0!</v>
      </c>
      <c r="AK83" s="360" t="e">
        <f t="shared" si="68"/>
        <v>#DIV/0!</v>
      </c>
      <c r="AL83" s="360" t="e">
        <f t="shared" si="69"/>
        <v>#DIV/0!</v>
      </c>
      <c r="AM83" s="360" t="e">
        <f t="shared" si="70"/>
        <v>#DIV/0!</v>
      </c>
      <c r="AN83" s="364" t="e">
        <f t="shared" si="71"/>
        <v>#DIV/0!</v>
      </c>
      <c r="AO83" s="360" t="e">
        <f ca="1">INTERCEPT(AG83:AM83,$Y$11:$AE$11)</f>
        <v>#DIV/0!</v>
      </c>
      <c r="AP83" s="368" t="e">
        <f ca="1">LINEST(AG83:AM83,$Y$11:$AE$11,AO83)</f>
        <v>#VALUE!</v>
      </c>
    </row>
  </sheetData>
  <mergeCells count="12">
    <mergeCell ref="BA12:BA35"/>
    <mergeCell ref="BC37:BK39"/>
    <mergeCell ref="BD5:BJ9"/>
    <mergeCell ref="AT2:AT3"/>
    <mergeCell ref="AU2:AU3"/>
    <mergeCell ref="AV2:AV3"/>
    <mergeCell ref="AW2:AW3"/>
    <mergeCell ref="BL11:BN11"/>
    <mergeCell ref="BO17:BR18"/>
    <mergeCell ref="BP20:BQ21"/>
    <mergeCell ref="BD45:BG46"/>
    <mergeCell ref="BI45:BJ46"/>
  </mergeCells>
  <phoneticPr fontId="15" type="noConversion"/>
  <conditionalFormatting sqref="M11:M13 B11:B82">
    <cfRule type="cellIs" dxfId="75" priority="2" stopIfTrue="1" operator="equal">
      <formula>$E11</formula>
    </cfRule>
  </conditionalFormatting>
  <conditionalFormatting sqref="V14:V15">
    <cfRule type="cellIs" dxfId="74" priority="3" stopIfTrue="1" operator="equal">
      <formula>$A1048562</formula>
    </cfRule>
  </conditionalFormatting>
  <conditionalFormatting sqref="V16:V22 U14:U83">
    <cfRule type="cellIs" dxfId="73" priority="4" stopIfTrue="1" operator="equal">
      <formula>#REF!</formula>
    </cfRule>
  </conditionalFormatting>
  <conditionalFormatting sqref="O14:Q83">
    <cfRule type="cellIs" dxfId="72" priority="5" stopIfTrue="1" operator="greaterThan">
      <formula>12.5</formula>
    </cfRule>
    <cfRule type="cellIs" dxfId="71" priority="6" stopIfTrue="1" operator="between">
      <formula>12.5</formula>
      <formula>11.5</formula>
    </cfRule>
    <cfRule type="cellIs" dxfId="70" priority="7" stopIfTrue="1" operator="lessThan">
      <formula>11.5</formula>
    </cfRule>
  </conditionalFormatting>
  <conditionalFormatting sqref="V29">
    <cfRule type="cellIs" dxfId="69" priority="8" stopIfTrue="1" operator="equal">
      <formula>#REF!</formula>
    </cfRule>
  </conditionalFormatting>
  <conditionalFormatting sqref="V28">
    <cfRule type="cellIs" dxfId="68" priority="9" stopIfTrue="1" operator="equal">
      <formula>#REF!</formula>
    </cfRule>
  </conditionalFormatting>
  <conditionalFormatting sqref="V27">
    <cfRule type="cellIs" dxfId="67" priority="10" stopIfTrue="1" operator="equal">
      <formula>#REF!</formula>
    </cfRule>
  </conditionalFormatting>
  <conditionalFormatting sqref="V26">
    <cfRule type="cellIs" dxfId="66" priority="11" stopIfTrue="1" operator="equal">
      <formula>#REF!</formula>
    </cfRule>
  </conditionalFormatting>
  <conditionalFormatting sqref="V25">
    <cfRule type="cellIs" dxfId="65" priority="12" stopIfTrue="1" operator="equal">
      <formula>#REF!</formula>
    </cfRule>
  </conditionalFormatting>
  <conditionalFormatting sqref="V24">
    <cfRule type="cellIs" dxfId="64" priority="13" stopIfTrue="1" operator="equal">
      <formula>#REF!</formula>
    </cfRule>
  </conditionalFormatting>
  <conditionalFormatting sqref="V23">
    <cfRule type="cellIs" dxfId="63" priority="14" stopIfTrue="1" operator="equal">
      <formula>#REF!</formula>
    </cfRule>
  </conditionalFormatting>
  <conditionalFormatting sqref="V80">
    <cfRule type="cellIs" dxfId="62" priority="15" stopIfTrue="1" operator="equal">
      <formula>#REF!</formula>
    </cfRule>
  </conditionalFormatting>
  <conditionalFormatting sqref="V79">
    <cfRule type="cellIs" dxfId="61" priority="16" stopIfTrue="1" operator="equal">
      <formula>#REF!</formula>
    </cfRule>
  </conditionalFormatting>
  <conditionalFormatting sqref="V78">
    <cfRule type="cellIs" dxfId="60" priority="17" stopIfTrue="1" operator="equal">
      <formula>#REF!</formula>
    </cfRule>
  </conditionalFormatting>
  <conditionalFormatting sqref="V77">
    <cfRule type="cellIs" dxfId="59" priority="18" stopIfTrue="1" operator="equal">
      <formula>#REF!</formula>
    </cfRule>
  </conditionalFormatting>
  <conditionalFormatting sqref="V76">
    <cfRule type="cellIs" dxfId="58" priority="19" stopIfTrue="1" operator="equal">
      <formula>#REF!</formula>
    </cfRule>
  </conditionalFormatting>
  <conditionalFormatting sqref="V75">
    <cfRule type="cellIs" dxfId="57" priority="20" stopIfTrue="1" operator="equal">
      <formula>#REF!</formula>
    </cfRule>
  </conditionalFormatting>
  <conditionalFormatting sqref="V74">
    <cfRule type="cellIs" dxfId="56" priority="21" stopIfTrue="1" operator="equal">
      <formula>#REF!</formula>
    </cfRule>
  </conditionalFormatting>
  <conditionalFormatting sqref="V73">
    <cfRule type="cellIs" dxfId="55" priority="22" stopIfTrue="1" operator="equal">
      <formula>#REF!</formula>
    </cfRule>
  </conditionalFormatting>
  <conditionalFormatting sqref="V72">
    <cfRule type="cellIs" dxfId="54" priority="23" stopIfTrue="1" operator="equal">
      <formula>#REF!</formula>
    </cfRule>
  </conditionalFormatting>
  <conditionalFormatting sqref="V71">
    <cfRule type="cellIs" dxfId="53" priority="24" stopIfTrue="1" operator="equal">
      <formula>#REF!</formula>
    </cfRule>
  </conditionalFormatting>
  <conditionalFormatting sqref="V70">
    <cfRule type="cellIs" dxfId="52" priority="25" stopIfTrue="1" operator="equal">
      <formula>#REF!</formula>
    </cfRule>
  </conditionalFormatting>
  <conditionalFormatting sqref="V69">
    <cfRule type="cellIs" dxfId="51" priority="26" stopIfTrue="1" operator="equal">
      <formula>#REF!</formula>
    </cfRule>
  </conditionalFormatting>
  <conditionalFormatting sqref="V68">
    <cfRule type="cellIs" dxfId="50" priority="27" stopIfTrue="1" operator="equal">
      <formula>#REF!</formula>
    </cfRule>
  </conditionalFormatting>
  <conditionalFormatting sqref="V67">
    <cfRule type="cellIs" dxfId="49" priority="28" stopIfTrue="1" operator="equal">
      <formula>#REF!</formula>
    </cfRule>
  </conditionalFormatting>
  <conditionalFormatting sqref="V66">
    <cfRule type="cellIs" dxfId="48" priority="29" stopIfTrue="1" operator="equal">
      <formula>#REF!</formula>
    </cfRule>
  </conditionalFormatting>
  <conditionalFormatting sqref="V65">
    <cfRule type="cellIs" dxfId="47" priority="30" stopIfTrue="1" operator="equal">
      <formula>#REF!</formula>
    </cfRule>
  </conditionalFormatting>
  <conditionalFormatting sqref="V64">
    <cfRule type="cellIs" dxfId="46" priority="31" stopIfTrue="1" operator="equal">
      <formula>#REF!</formula>
    </cfRule>
  </conditionalFormatting>
  <conditionalFormatting sqref="V63">
    <cfRule type="cellIs" dxfId="45" priority="32" stopIfTrue="1" operator="equal">
      <formula>#REF!</formula>
    </cfRule>
  </conditionalFormatting>
  <conditionalFormatting sqref="V62">
    <cfRule type="cellIs" dxfId="44" priority="33" stopIfTrue="1" operator="equal">
      <formula>#REF!</formula>
    </cfRule>
  </conditionalFormatting>
  <conditionalFormatting sqref="V61">
    <cfRule type="cellIs" dxfId="43" priority="34" stopIfTrue="1" operator="equal">
      <formula>#REF!</formula>
    </cfRule>
  </conditionalFormatting>
  <conditionalFormatting sqref="V60">
    <cfRule type="cellIs" dxfId="42" priority="35" stopIfTrue="1" operator="equal">
      <formula>#REF!</formula>
    </cfRule>
  </conditionalFormatting>
  <conditionalFormatting sqref="V59">
    <cfRule type="cellIs" dxfId="41" priority="36" stopIfTrue="1" operator="equal">
      <formula>#REF!</formula>
    </cfRule>
  </conditionalFormatting>
  <conditionalFormatting sqref="V58">
    <cfRule type="cellIs" dxfId="40" priority="37" stopIfTrue="1" operator="equal">
      <formula>#REF!</formula>
    </cfRule>
  </conditionalFormatting>
  <conditionalFormatting sqref="V57">
    <cfRule type="cellIs" dxfId="39" priority="38" stopIfTrue="1" operator="equal">
      <formula>#REF!</formula>
    </cfRule>
  </conditionalFormatting>
  <conditionalFormatting sqref="V56">
    <cfRule type="cellIs" dxfId="38" priority="39" stopIfTrue="1" operator="equal">
      <formula>#REF!</formula>
    </cfRule>
  </conditionalFormatting>
  <conditionalFormatting sqref="V55">
    <cfRule type="cellIs" dxfId="37" priority="40" stopIfTrue="1" operator="equal">
      <formula>#REF!</formula>
    </cfRule>
  </conditionalFormatting>
  <conditionalFormatting sqref="V54">
    <cfRule type="cellIs" dxfId="36" priority="41" stopIfTrue="1" operator="equal">
      <formula>#REF!</formula>
    </cfRule>
  </conditionalFormatting>
  <conditionalFormatting sqref="V53">
    <cfRule type="cellIs" dxfId="35" priority="42" stopIfTrue="1" operator="equal">
      <formula>#REF!</formula>
    </cfRule>
  </conditionalFormatting>
  <conditionalFormatting sqref="V52">
    <cfRule type="cellIs" dxfId="34" priority="43" stopIfTrue="1" operator="equal">
      <formula>#REF!</formula>
    </cfRule>
  </conditionalFormatting>
  <conditionalFormatting sqref="V51">
    <cfRule type="cellIs" dxfId="33" priority="44" stopIfTrue="1" operator="equal">
      <formula>#REF!</formula>
    </cfRule>
  </conditionalFormatting>
  <conditionalFormatting sqref="V50">
    <cfRule type="cellIs" dxfId="32" priority="45" stopIfTrue="1" operator="equal">
      <formula>#REF!</formula>
    </cfRule>
  </conditionalFormatting>
  <conditionalFormatting sqref="V49">
    <cfRule type="cellIs" dxfId="31" priority="46" stopIfTrue="1" operator="equal">
      <formula>#REF!</formula>
    </cfRule>
  </conditionalFormatting>
  <conditionalFormatting sqref="V48">
    <cfRule type="cellIs" dxfId="30" priority="47" stopIfTrue="1" operator="equal">
      <formula>#REF!</formula>
    </cfRule>
  </conditionalFormatting>
  <conditionalFormatting sqref="V47">
    <cfRule type="cellIs" dxfId="29" priority="48" stopIfTrue="1" operator="equal">
      <formula>#REF!</formula>
    </cfRule>
  </conditionalFormatting>
  <conditionalFormatting sqref="V46">
    <cfRule type="cellIs" dxfId="28" priority="49" stopIfTrue="1" operator="equal">
      <formula>#REF!</formula>
    </cfRule>
  </conditionalFormatting>
  <conditionalFormatting sqref="V45">
    <cfRule type="cellIs" dxfId="27" priority="50" stopIfTrue="1" operator="equal">
      <formula>#REF!</formula>
    </cfRule>
  </conditionalFormatting>
  <conditionalFormatting sqref="V44">
    <cfRule type="cellIs" dxfId="26" priority="51" stopIfTrue="1" operator="equal">
      <formula>#REF!</formula>
    </cfRule>
  </conditionalFormatting>
  <conditionalFormatting sqref="V43">
    <cfRule type="cellIs" dxfId="25" priority="52" stopIfTrue="1" operator="equal">
      <formula>#REF!</formula>
    </cfRule>
  </conditionalFormatting>
  <conditionalFormatting sqref="V42">
    <cfRule type="cellIs" dxfId="24" priority="53" stopIfTrue="1" operator="equal">
      <formula>#REF!</formula>
    </cfRule>
  </conditionalFormatting>
  <conditionalFormatting sqref="V41">
    <cfRule type="cellIs" dxfId="23" priority="54" stopIfTrue="1" operator="equal">
      <formula>#REF!</formula>
    </cfRule>
  </conditionalFormatting>
  <conditionalFormatting sqref="V40">
    <cfRule type="cellIs" dxfId="22" priority="55" stopIfTrue="1" operator="equal">
      <formula>#REF!</formula>
    </cfRule>
  </conditionalFormatting>
  <conditionalFormatting sqref="V39">
    <cfRule type="cellIs" dxfId="21" priority="56" stopIfTrue="1" operator="equal">
      <formula>#REF!</formula>
    </cfRule>
  </conditionalFormatting>
  <conditionalFormatting sqref="V38">
    <cfRule type="cellIs" dxfId="20" priority="57" stopIfTrue="1" operator="equal">
      <formula>#REF!</formula>
    </cfRule>
  </conditionalFormatting>
  <conditionalFormatting sqref="V37">
    <cfRule type="cellIs" dxfId="19" priority="58" stopIfTrue="1" operator="equal">
      <formula>#REF!</formula>
    </cfRule>
  </conditionalFormatting>
  <conditionalFormatting sqref="V36">
    <cfRule type="cellIs" dxfId="18" priority="59" stopIfTrue="1" operator="equal">
      <formula>#REF!</formula>
    </cfRule>
  </conditionalFormatting>
  <conditionalFormatting sqref="V35">
    <cfRule type="cellIs" dxfId="17" priority="60" stopIfTrue="1" operator="equal">
      <formula>#REF!</formula>
    </cfRule>
  </conditionalFormatting>
  <conditionalFormatting sqref="V34">
    <cfRule type="cellIs" dxfId="16" priority="61" stopIfTrue="1" operator="equal">
      <formula>#REF!</formula>
    </cfRule>
  </conditionalFormatting>
  <conditionalFormatting sqref="V33">
    <cfRule type="cellIs" dxfId="15" priority="62" stopIfTrue="1" operator="equal">
      <formula>#REF!</formula>
    </cfRule>
  </conditionalFormatting>
  <conditionalFormatting sqref="V30:V31">
    <cfRule type="cellIs" dxfId="14" priority="63" stopIfTrue="1" operator="equal">
      <formula>#REF!</formula>
    </cfRule>
  </conditionalFormatting>
  <conditionalFormatting sqref="V32">
    <cfRule type="cellIs" dxfId="13" priority="64" stopIfTrue="1" operator="equal">
      <formula>#REF!</formula>
    </cfRule>
  </conditionalFormatting>
  <conditionalFormatting sqref="AU21:AV25 AT4:AT72 AU26:AW72">
    <cfRule type="cellIs" dxfId="12" priority="65" stopIfTrue="1" operator="equal">
      <formula>0</formula>
    </cfRule>
  </conditionalFormatting>
  <conditionalFormatting sqref="AU4:AW72">
    <cfRule type="expression" dxfId="11" priority="1" stopIfTrue="1">
      <formula>ISERROR(AU4)</formula>
    </cfRule>
  </conditionalFormatting>
  <pageMargins left="0.74803149606299213" right="0.74803149606299213" top="0.98425196850393704" bottom="0.98425196850393704" header="0.51181102362204722" footer="0.51181102362204722"/>
  <pageSetup paperSize="9" scale="36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  <ignoredErrors>
    <ignoredError sqref="AU11:AW15 AU17:AW18 AV16:AW16 AU46:AW52 AU20:AW37 AU19:AV19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List Box 2">
              <controlPr defaultSize="0" autoLine="0" autoPict="0">
                <anchor moveWithCells="1">
                  <from>
                    <xdr:col>63</xdr:col>
                    <xdr:colOff>104775</xdr:colOff>
                    <xdr:row>11</xdr:row>
                    <xdr:rowOff>104775</xdr:rowOff>
                  </from>
                  <to>
                    <xdr:col>65</xdr:col>
                    <xdr:colOff>514350</xdr:colOff>
                    <xdr:row>33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2"/>
  <dimension ref="A1:AA85"/>
  <sheetViews>
    <sheetView workbookViewId="0">
      <selection activeCell="B84" sqref="B84"/>
    </sheetView>
  </sheetViews>
  <sheetFormatPr defaultRowHeight="12.75" x14ac:dyDescent="0.2"/>
  <cols>
    <col min="1" max="1" width="39.85546875" customWidth="1"/>
    <col min="2" max="2" width="19" customWidth="1"/>
    <col min="3" max="3" width="20.5703125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20.42578125" customWidth="1"/>
    <col min="12" max="12" width="25.7109375" customWidth="1"/>
    <col min="13" max="13" width="14.5703125" customWidth="1"/>
    <col min="15" max="16" width="13.42578125" bestFit="1" customWidth="1"/>
    <col min="17" max="17" width="16.85546875" bestFit="1" customWidth="1"/>
    <col min="18" max="20" width="13.42578125" bestFit="1" customWidth="1"/>
    <col min="22" max="22" width="20.85546875" bestFit="1" customWidth="1"/>
    <col min="24" max="24" width="12.28515625" bestFit="1" customWidth="1"/>
    <col min="25" max="25" width="13.28515625" bestFit="1" customWidth="1"/>
    <col min="26" max="26" width="16.140625" bestFit="1" customWidth="1"/>
    <col min="27" max="27" width="13.28515625" bestFit="1" customWidth="1"/>
  </cols>
  <sheetData>
    <row r="1" spans="1:27" s="2" customFormat="1" x14ac:dyDescent="0.2"/>
    <row r="2" spans="1:27" ht="15" x14ac:dyDescent="0.25">
      <c r="A2" s="25" t="s">
        <v>104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</row>
    <row r="3" spans="1:27" ht="15" x14ac:dyDescent="0.25">
      <c r="A3" s="25"/>
      <c r="B3" s="22"/>
      <c r="C3" s="22"/>
      <c r="D3" s="22">
        <f>D7*24*60*60</f>
        <v>86400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</row>
    <row r="4" spans="1:27" ht="15.75" thickBot="1" x14ac:dyDescent="0.3">
      <c r="A4" s="83" t="s">
        <v>81</v>
      </c>
      <c r="B4" s="36"/>
      <c r="C4" s="36"/>
      <c r="D4" s="22">
        <f>D8*24*60*60</f>
        <v>3110400</v>
      </c>
      <c r="E4" s="36"/>
      <c r="F4" s="36"/>
      <c r="G4" s="36"/>
      <c r="H4" s="36"/>
      <c r="I4" s="36"/>
      <c r="J4" s="22">
        <f>SQRT(1)</f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</row>
    <row r="5" spans="1:27" ht="15" x14ac:dyDescent="0.25">
      <c r="A5" s="27" t="s">
        <v>82</v>
      </c>
      <c r="B5" s="31"/>
      <c r="C5" s="34"/>
      <c r="D5" s="84">
        <v>2</v>
      </c>
      <c r="E5" s="85">
        <v>5</v>
      </c>
      <c r="F5" s="85">
        <v>4</v>
      </c>
      <c r="G5" s="85">
        <v>3</v>
      </c>
      <c r="H5" s="85">
        <v>2</v>
      </c>
      <c r="I5" s="87">
        <v>1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</row>
    <row r="6" spans="1:27" ht="15" x14ac:dyDescent="0.25">
      <c r="A6" s="88" t="s">
        <v>83</v>
      </c>
      <c r="B6" s="36"/>
      <c r="C6" s="89"/>
      <c r="D6" s="90">
        <v>7</v>
      </c>
      <c r="E6" s="48">
        <v>8</v>
      </c>
      <c r="F6" s="48">
        <v>7</v>
      </c>
      <c r="G6" s="48">
        <v>6</v>
      </c>
      <c r="H6" s="48">
        <v>5</v>
      </c>
      <c r="I6" s="91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</row>
    <row r="7" spans="1:27" ht="15" x14ac:dyDescent="0.25">
      <c r="A7" s="88" t="s">
        <v>84</v>
      </c>
      <c r="B7" s="36"/>
      <c r="C7" s="89"/>
      <c r="D7" s="92">
        <v>1</v>
      </c>
      <c r="E7" s="40">
        <v>9</v>
      </c>
      <c r="F7" s="40">
        <v>4</v>
      </c>
      <c r="G7" s="40">
        <v>2.25</v>
      </c>
      <c r="H7" s="40">
        <v>1</v>
      </c>
      <c r="I7" s="93">
        <v>0.25</v>
      </c>
      <c r="J7" s="22"/>
      <c r="K7" s="22"/>
      <c r="L7" s="22"/>
      <c r="M7" s="94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7" ht="15.75" thickBot="1" x14ac:dyDescent="0.3">
      <c r="A8" s="28" t="s">
        <v>85</v>
      </c>
      <c r="B8" s="38"/>
      <c r="C8" s="95"/>
      <c r="D8" s="92">
        <v>36</v>
      </c>
      <c r="E8" s="40">
        <v>64</v>
      </c>
      <c r="F8" s="40">
        <v>36</v>
      </c>
      <c r="G8" s="40">
        <v>16</v>
      </c>
      <c r="H8" s="40">
        <v>9</v>
      </c>
      <c r="I8" s="93">
        <v>4</v>
      </c>
      <c r="J8" s="22"/>
      <c r="K8" s="22"/>
      <c r="L8" s="22"/>
      <c r="M8" s="46" t="s">
        <v>8</v>
      </c>
      <c r="N8" s="46" t="s">
        <v>8</v>
      </c>
      <c r="O8" s="46" t="s">
        <v>8</v>
      </c>
      <c r="P8" s="46" t="s">
        <v>8</v>
      </c>
      <c r="Q8" s="46" t="s">
        <v>8</v>
      </c>
      <c r="R8" s="46" t="s">
        <v>8</v>
      </c>
      <c r="S8" s="46" t="s">
        <v>9</v>
      </c>
      <c r="T8" s="46" t="s">
        <v>9</v>
      </c>
      <c r="U8" s="46" t="s">
        <v>9</v>
      </c>
      <c r="V8" s="46" t="s">
        <v>9</v>
      </c>
      <c r="W8" s="46" t="s">
        <v>9</v>
      </c>
      <c r="X8" s="46" t="s">
        <v>9</v>
      </c>
      <c r="Y8" s="22" t="s">
        <v>86</v>
      </c>
      <c r="Z8" s="22" t="s">
        <v>87</v>
      </c>
      <c r="AA8" s="22"/>
    </row>
    <row r="9" spans="1:27" ht="15" thickBot="1" x14ac:dyDescent="0.25">
      <c r="A9" s="47" t="str">
        <f>'Analytical Data'!A5</f>
        <v>pH</v>
      </c>
      <c r="B9" s="36"/>
      <c r="C9" s="36"/>
      <c r="D9" s="114" t="str">
        <f ca="1">IF('Leaching Mechanism'!B4="Diffusion",PRODUCT(Uxy!$E6,Uxy!$F6,Uxy!$G6,Uxy!$H6,Uxy!$I6,Uxy!$J6)^(1/(D$6-D$5+1)),"")</f>
        <v/>
      </c>
      <c r="E9" s="114" t="str">
        <f ca="1">IF('Leaching Mechanism'!C4="Diffusion",PRODUCT(Uxy!$H6,Uxy!$I6,Uxy!$J6,Uxy!$K6)^(1/(1+E$6-E$5)),"")</f>
        <v/>
      </c>
      <c r="F9" s="114">
        <f ca="1">IF('Leaching Mechanism'!D4="Diffusion",PRODUCT(Uxy!$G6,Uxy!$H6,Uxy!$I6,Uxy!$J6)^(1/(1+F$6-F$5)),"")</f>
        <v>709.52567289024046</v>
      </c>
      <c r="G9" s="114">
        <f ca="1">IF('Leaching Mechanism'!E4="Diffusion",PRODUCT(Uxy!$F6,Uxy!$G6,Uxy!$H6,Uxy!$I6)^(1/(1+G$6-G$5)),"")</f>
        <v>933.27924820054216</v>
      </c>
      <c r="H9" s="114" t="str">
        <f ca="1">IF('Leaching Mechanism'!F4="Diffusion",PRODUCT(Uxy!$E6,Uxy!$F6,Uxy!$G6,Uxy!$H6)^(1/(1+H$6-H$5)),"")</f>
        <v/>
      </c>
      <c r="I9" s="114" t="str">
        <f ca="1">IF('Leaching Mechanism'!G4="Diffusion",PRODUCT(Uxy!$D6,Uxy!$E6,Uxy!$F6,Uxy!$G6)^(1/(1+I$6-I$5)),"")</f>
        <v/>
      </c>
      <c r="J9" s="22"/>
      <c r="K9" s="22"/>
      <c r="L9" s="22"/>
      <c r="M9" s="46" t="str">
        <f t="shared" ref="M9:M33" ca="1" si="0">IF(ISNUMBER(D9),D$400,"")</f>
        <v/>
      </c>
      <c r="N9" s="46" t="str">
        <f t="shared" ref="N9:N33" ca="1" si="1">IF(ISNUMBER(M9),0,IF(ISNUMBER(E9),E$400,""))</f>
        <v/>
      </c>
      <c r="O9" s="46">
        <f t="shared" ref="O9:O33" ca="1" si="2">IF(ISNUMBER(N9),0,IF(ISNUMBER(F9),F$400,""))</f>
        <v>0</v>
      </c>
      <c r="P9" s="46">
        <f t="shared" ref="P9:P33" ca="1" si="3">IF(ISNUMBER(O9),0,IF(ISNUMBER(G9),G$400,""))</f>
        <v>0</v>
      </c>
      <c r="Q9" s="46">
        <f t="shared" ref="Q9:Q33" ca="1" si="4">IF(ISNUMBER(P9),0,IF(ISNUMBER(H9),H$400,""))</f>
        <v>0</v>
      </c>
      <c r="R9" s="46">
        <f t="shared" ref="R9:R33" ca="1" si="5">IF(ISNUMBER(Q9),0,IF(ISNUMBER(I9),I$400,""))</f>
        <v>0</v>
      </c>
      <c r="S9" s="46" t="str">
        <f t="shared" ref="S9:S33" ca="1" si="6">IF(ISNUMBER(D9),D$401,"")</f>
        <v/>
      </c>
      <c r="T9" s="46" t="str">
        <f t="shared" ref="T9:T33" ca="1" si="7">IF(ISNUMBER(S9),0,IF(ISNUMBER(E9),E$401,""))</f>
        <v/>
      </c>
      <c r="U9" s="46">
        <f t="shared" ref="U9:U33" ca="1" si="8">IF(ISNUMBER(T9),0,IF(ISNUMBER(F9),F$401,""))</f>
        <v>0</v>
      </c>
      <c r="V9" s="46">
        <f t="shared" ref="V9:V33" ca="1" si="9">IF(ISNUMBER(U9),0,IF(ISNUMBER(G9),G$401,""))</f>
        <v>0</v>
      </c>
      <c r="W9" s="46">
        <f t="shared" ref="W9:W33" ca="1" si="10">IF(ISNUMBER(V9),0,IF(ISNUMBER(H9),H$401,""))</f>
        <v>0</v>
      </c>
      <c r="X9" s="46">
        <f t="shared" ref="X9:X33" ca="1" si="11">IF(ISNUMBER(W9),0,IF(ISNUMBER(I9),I$401,""))</f>
        <v>0</v>
      </c>
      <c r="Y9" s="22">
        <f t="shared" ref="Y9:Y33" ca="1" si="12">SUM(M9:R9)</f>
        <v>0</v>
      </c>
      <c r="Z9" s="22">
        <f t="shared" ref="Z9:Z33" ca="1" si="13">SUM(S9:X9)</f>
        <v>0</v>
      </c>
      <c r="AA9" s="22"/>
    </row>
    <row r="10" spans="1:27" ht="15" thickBot="1" x14ac:dyDescent="0.25">
      <c r="A10" s="47" t="str">
        <f>'Analytical Data'!A6</f>
        <v>Electrical Conductivity</v>
      </c>
      <c r="B10" s="36"/>
      <c r="C10" s="36"/>
      <c r="D10" s="114" t="str">
        <f ca="1">IF('Leaching Mechanism'!B5="Diffusion",PRODUCT(Uxy!$E7,Uxy!$F7,Uxy!$G7,Uxy!$H7,Uxy!$I7,Uxy!$J7)^(1/(D$6-D$5+1)),"")</f>
        <v/>
      </c>
      <c r="E10" s="114">
        <f ca="1">IF('Leaching Mechanism'!C5="Diffusion",PRODUCT(Uxy!$H7,Uxy!$I7,Uxy!$J7,Uxy!$K7)^(1/(1+E$6-E$5)),"")</f>
        <v>268660.98383939208</v>
      </c>
      <c r="F10" s="114" t="str">
        <f ca="1">IF('Leaching Mechanism'!D5="Diffusion",PRODUCT(Uxy!$G7,Uxy!$H7,Uxy!$I7,Uxy!$J7)^(1/(1+F$6-F$5)),"")</f>
        <v/>
      </c>
      <c r="G10" s="114" t="str">
        <f ca="1">IF('Leaching Mechanism'!E5="Diffusion",PRODUCT(Uxy!$F7,Uxy!$G7,Uxy!$H7,Uxy!$I7)^(1/(1+G$6-G$5)),"")</f>
        <v/>
      </c>
      <c r="H10" s="114" t="str">
        <f ca="1">IF('Leaching Mechanism'!F5="Diffusion",PRODUCT(Uxy!$E7,Uxy!$F7,Uxy!$G7,Uxy!$H7)^(1/(1+H$6-H$5)),"")</f>
        <v/>
      </c>
      <c r="I10" s="114" t="str">
        <f ca="1">IF('Leaching Mechanism'!G5="Diffusion",PRODUCT(Uxy!$D7,Uxy!$E7,Uxy!$F7,Uxy!$G7)^(1/(1+I$6-I$5)),"")</f>
        <v/>
      </c>
      <c r="J10" s="22"/>
      <c r="K10" s="22"/>
      <c r="L10" s="22"/>
      <c r="M10" s="46" t="str">
        <f t="shared" ca="1" si="0"/>
        <v/>
      </c>
      <c r="N10" s="46">
        <f t="shared" ca="1" si="1"/>
        <v>0</v>
      </c>
      <c r="O10" s="46">
        <f t="shared" ca="1" si="2"/>
        <v>0</v>
      </c>
      <c r="P10" s="46">
        <f t="shared" ca="1" si="3"/>
        <v>0</v>
      </c>
      <c r="Q10" s="46">
        <f t="shared" ca="1" si="4"/>
        <v>0</v>
      </c>
      <c r="R10" s="46">
        <f t="shared" ca="1" si="5"/>
        <v>0</v>
      </c>
      <c r="S10" s="46" t="str">
        <f t="shared" ca="1" si="6"/>
        <v/>
      </c>
      <c r="T10" s="46">
        <f t="shared" ca="1" si="7"/>
        <v>0</v>
      </c>
      <c r="U10" s="46">
        <f t="shared" ca="1" si="8"/>
        <v>0</v>
      </c>
      <c r="V10" s="46">
        <f t="shared" ca="1" si="9"/>
        <v>0</v>
      </c>
      <c r="W10" s="46">
        <f t="shared" ca="1" si="10"/>
        <v>0</v>
      </c>
      <c r="X10" s="46">
        <f t="shared" ca="1" si="11"/>
        <v>0</v>
      </c>
      <c r="Y10" s="22">
        <f t="shared" ca="1" si="12"/>
        <v>0</v>
      </c>
      <c r="Z10" s="22">
        <f t="shared" ca="1" si="13"/>
        <v>0</v>
      </c>
      <c r="AA10" s="22"/>
    </row>
    <row r="11" spans="1:27" ht="15" thickBot="1" x14ac:dyDescent="0.25">
      <c r="A11" s="47" t="str">
        <f>'Analytical Data'!A7</f>
        <v>Redox potential</v>
      </c>
      <c r="B11" s="36"/>
      <c r="C11" s="36"/>
      <c r="D11" s="114" t="e">
        <f ca="1">IF('Leaching Mechanism'!B6="Diffusion",PRODUCT(Uxy!$E8,Uxy!$F8,Uxy!$G8,Uxy!$H8,Uxy!$I8,Uxy!$J8)^(1/(D$6-D$5+1)),"")</f>
        <v>#DIV/0!</v>
      </c>
      <c r="E11" s="114" t="e">
        <f ca="1">IF('Leaching Mechanism'!C6="Diffusion",PRODUCT(Uxy!$H8,Uxy!$I8,Uxy!$J8,Uxy!$K8)^(1/(1+E$6-E$5)),"")</f>
        <v>#DIV/0!</v>
      </c>
      <c r="F11" s="114" t="e">
        <f ca="1">IF('Leaching Mechanism'!D6="Diffusion",PRODUCT(Uxy!$G8,Uxy!$H8,Uxy!$I8,Uxy!$J8)^(1/(1+F$6-F$5)),"")</f>
        <v>#DIV/0!</v>
      </c>
      <c r="G11" s="114" t="e">
        <f ca="1">IF('Leaching Mechanism'!E6="Diffusion",PRODUCT(Uxy!$F8,Uxy!$G8,Uxy!$H8,Uxy!$I8)^(1/(1+G$6-G$5)),"")</f>
        <v>#DIV/0!</v>
      </c>
      <c r="H11" s="114" t="e">
        <f ca="1">IF('Leaching Mechanism'!F6="Diffusion",PRODUCT(Uxy!$E8,Uxy!$F8,Uxy!$G8,Uxy!$H8)^(1/(1+H$6-H$5)),"")</f>
        <v>#DIV/0!</v>
      </c>
      <c r="I11" s="114" t="e">
        <f ca="1">IF('Leaching Mechanism'!G6="Diffusion",PRODUCT(Uxy!$D8,Uxy!$E8,Uxy!$F8,Uxy!$G8)^(1/(1+I$6-I$5)),"")</f>
        <v>#DIV/0!</v>
      </c>
      <c r="J11" s="22"/>
      <c r="K11" s="22"/>
      <c r="L11" s="22"/>
      <c r="M11" s="46" t="str">
        <f t="shared" ca="1" si="0"/>
        <v/>
      </c>
      <c r="N11" s="46" t="str">
        <f t="shared" ca="1" si="1"/>
        <v/>
      </c>
      <c r="O11" s="46" t="str">
        <f t="shared" ca="1" si="2"/>
        <v/>
      </c>
      <c r="P11" s="46" t="str">
        <f t="shared" ca="1" si="3"/>
        <v/>
      </c>
      <c r="Q11" s="46" t="str">
        <f t="shared" ca="1" si="4"/>
        <v/>
      </c>
      <c r="R11" s="46" t="str">
        <f t="shared" ca="1" si="5"/>
        <v/>
      </c>
      <c r="S11" s="46" t="str">
        <f t="shared" ca="1" si="6"/>
        <v/>
      </c>
      <c r="T11" s="46" t="str">
        <f t="shared" ca="1" si="7"/>
        <v/>
      </c>
      <c r="U11" s="46" t="str">
        <f t="shared" ca="1" si="8"/>
        <v/>
      </c>
      <c r="V11" s="46" t="str">
        <f t="shared" ca="1" si="9"/>
        <v/>
      </c>
      <c r="W11" s="46" t="str">
        <f t="shared" ca="1" si="10"/>
        <v/>
      </c>
      <c r="X11" s="46" t="str">
        <f t="shared" ca="1" si="11"/>
        <v/>
      </c>
      <c r="Y11" s="22">
        <f t="shared" ca="1" si="12"/>
        <v>0</v>
      </c>
      <c r="Z11" s="22">
        <f t="shared" ca="1" si="13"/>
        <v>0</v>
      </c>
      <c r="AA11" s="22"/>
    </row>
    <row r="12" spans="1:27" ht="15" thickBot="1" x14ac:dyDescent="0.25">
      <c r="A12" s="47" t="str">
        <f>'Analytical Data'!A8</f>
        <v>Chloride</v>
      </c>
      <c r="B12" s="36"/>
      <c r="C12" s="36"/>
      <c r="D12" s="114" t="str">
        <f ca="1">IF('Leaching Mechanism'!B7="Diffusion",PRODUCT(Uxy!$E9,Uxy!$F9,Uxy!$G9,Uxy!$H9,Uxy!$I9,Uxy!$J9)^(1/(D$6-D$5+1)),"")</f>
        <v/>
      </c>
      <c r="E12" s="114" t="str">
        <f ca="1">IF('Leaching Mechanism'!C7="Diffusion",PRODUCT(Uxy!$H9,Uxy!$I9,Uxy!$J9,Uxy!$K9)^(1/(1+E$6-E$5)),"")</f>
        <v/>
      </c>
      <c r="F12" s="114" t="str">
        <f ca="1">IF('Leaching Mechanism'!D7="Diffusion",PRODUCT(Uxy!$G9,Uxy!$H9,Uxy!$I9,Uxy!$J9)^(1/(1+F$6-F$5)),"")</f>
        <v/>
      </c>
      <c r="G12" s="114" t="str">
        <f ca="1">IF('Leaching Mechanism'!E7="Diffusion",PRODUCT(Uxy!$F9,Uxy!$G9,Uxy!$H9,Uxy!$I9)^(1/(1+G$6-G$5)),"")</f>
        <v/>
      </c>
      <c r="H12" s="114" t="str">
        <f ca="1">IF('Leaching Mechanism'!F7="Diffusion",PRODUCT(Uxy!$E9,Uxy!$F9,Uxy!$G9,Uxy!$H9)^(1/(1+H$6-H$5)),"")</f>
        <v/>
      </c>
      <c r="I12" s="114" t="str">
        <f ca="1">IF('Leaching Mechanism'!G7="Diffusion",PRODUCT(Uxy!$D9,Uxy!$E9,Uxy!$F9,Uxy!$G9)^(1/(1+I$6-I$5)),"")</f>
        <v/>
      </c>
      <c r="J12" s="22"/>
      <c r="K12" s="22"/>
      <c r="L12" s="22"/>
      <c r="M12" s="46" t="str">
        <f t="shared" ca="1" si="0"/>
        <v/>
      </c>
      <c r="N12" s="46" t="str">
        <f t="shared" ca="1" si="1"/>
        <v/>
      </c>
      <c r="O12" s="46" t="str">
        <f t="shared" ca="1" si="2"/>
        <v/>
      </c>
      <c r="P12" s="46" t="str">
        <f t="shared" ca="1" si="3"/>
        <v/>
      </c>
      <c r="Q12" s="46" t="str">
        <f t="shared" ca="1" si="4"/>
        <v/>
      </c>
      <c r="R12" s="46" t="str">
        <f t="shared" ca="1" si="5"/>
        <v/>
      </c>
      <c r="S12" s="46" t="str">
        <f t="shared" ca="1" si="6"/>
        <v/>
      </c>
      <c r="T12" s="46" t="str">
        <f t="shared" ca="1" si="7"/>
        <v/>
      </c>
      <c r="U12" s="46" t="str">
        <f t="shared" ca="1" si="8"/>
        <v/>
      </c>
      <c r="V12" s="46" t="str">
        <f t="shared" ca="1" si="9"/>
        <v/>
      </c>
      <c r="W12" s="46" t="str">
        <f t="shared" ca="1" si="10"/>
        <v/>
      </c>
      <c r="X12" s="46" t="str">
        <f t="shared" ca="1" si="11"/>
        <v/>
      </c>
      <c r="Y12" s="22">
        <f t="shared" ca="1" si="12"/>
        <v>0</v>
      </c>
      <c r="Z12" s="22">
        <f t="shared" ca="1" si="13"/>
        <v>0</v>
      </c>
      <c r="AA12" s="22"/>
    </row>
    <row r="13" spans="1:27" ht="15" thickBot="1" x14ac:dyDescent="0.25">
      <c r="A13" s="47" t="str">
        <f>'Analytical Data'!A9</f>
        <v>Sodium</v>
      </c>
      <c r="B13" s="36"/>
      <c r="C13" s="36"/>
      <c r="D13" s="114" t="str">
        <f ca="1">IF('Leaching Mechanism'!B8="Diffusion",PRODUCT(Uxy!$E10,Uxy!$F10,Uxy!$G10,Uxy!$H10,Uxy!$I10,Uxy!$J10)^(1/(D$6-D$5+1)),"")</f>
        <v/>
      </c>
      <c r="E13" s="114">
        <f ca="1">IF('Leaching Mechanism'!C8="Diffusion",PRODUCT(Uxy!$H10,Uxy!$I10,Uxy!$J10,Uxy!$K10)^(1/(1+E$6-E$5)),"")</f>
        <v>34780.325822484796</v>
      </c>
      <c r="F13" s="114" t="str">
        <f ca="1">IF('Leaching Mechanism'!D8="Diffusion",PRODUCT(Uxy!$G10,Uxy!$H10,Uxy!$I10,Uxy!$J10)^(1/(1+F$6-F$5)),"")</f>
        <v/>
      </c>
      <c r="G13" s="114" t="str">
        <f ca="1">IF('Leaching Mechanism'!E8="Diffusion",PRODUCT(Uxy!$F10,Uxy!$G10,Uxy!$H10,Uxy!$I10)^(1/(1+G$6-G$5)),"")</f>
        <v/>
      </c>
      <c r="H13" s="114" t="str">
        <f ca="1">IF('Leaching Mechanism'!F8="Diffusion",PRODUCT(Uxy!$E10,Uxy!$F10,Uxy!$G10,Uxy!$H10)^(1/(1+H$6-H$5)),"")</f>
        <v/>
      </c>
      <c r="I13" s="114" t="str">
        <f ca="1">IF('Leaching Mechanism'!G8="Diffusion",PRODUCT(Uxy!$D10,Uxy!$E10,Uxy!$F10,Uxy!$G10)^(1/(1+I$6-I$5)),"")</f>
        <v/>
      </c>
      <c r="J13" s="22"/>
      <c r="K13" s="22"/>
      <c r="L13" s="22"/>
      <c r="M13" s="46" t="str">
        <f t="shared" ca="1" si="0"/>
        <v/>
      </c>
      <c r="N13" s="46">
        <f t="shared" ca="1" si="1"/>
        <v>0</v>
      </c>
      <c r="O13" s="46">
        <f t="shared" ca="1" si="2"/>
        <v>0</v>
      </c>
      <c r="P13" s="46">
        <f t="shared" ca="1" si="3"/>
        <v>0</v>
      </c>
      <c r="Q13" s="46">
        <f t="shared" ca="1" si="4"/>
        <v>0</v>
      </c>
      <c r="R13" s="46">
        <f t="shared" ca="1" si="5"/>
        <v>0</v>
      </c>
      <c r="S13" s="46" t="str">
        <f t="shared" ca="1" si="6"/>
        <v/>
      </c>
      <c r="T13" s="46">
        <f t="shared" ca="1" si="7"/>
        <v>0</v>
      </c>
      <c r="U13" s="46">
        <f t="shared" ca="1" si="8"/>
        <v>0</v>
      </c>
      <c r="V13" s="46">
        <f t="shared" ca="1" si="9"/>
        <v>0</v>
      </c>
      <c r="W13" s="46">
        <f t="shared" ca="1" si="10"/>
        <v>0</v>
      </c>
      <c r="X13" s="46">
        <f t="shared" ca="1" si="11"/>
        <v>0</v>
      </c>
      <c r="Y13" s="22">
        <f t="shared" ca="1" si="12"/>
        <v>0</v>
      </c>
      <c r="Z13" s="22">
        <f t="shared" ca="1" si="13"/>
        <v>0</v>
      </c>
      <c r="AA13" s="22"/>
    </row>
    <row r="14" spans="1:27" ht="15" thickBot="1" x14ac:dyDescent="0.25">
      <c r="A14" s="47">
        <f>'Analytical Data'!A10</f>
        <v>0</v>
      </c>
      <c r="B14" s="36"/>
      <c r="C14" s="36"/>
      <c r="D14" s="114" t="e">
        <f ca="1">IF('Leaching Mechanism'!B9="Diffusion",PRODUCT(Uxy!$E11,Uxy!$F11,Uxy!$G11,Uxy!$H11,Uxy!$I11,Uxy!$J11)^(1/(D$6-D$5+1)),"")</f>
        <v>#DIV/0!</v>
      </c>
      <c r="E14" s="114" t="e">
        <f ca="1">IF('Leaching Mechanism'!C9="Diffusion",PRODUCT(Uxy!$H11,Uxy!$I11,Uxy!$J11,Uxy!$K11)^(1/(1+E$6-E$5)),"")</f>
        <v>#DIV/0!</v>
      </c>
      <c r="F14" s="114" t="e">
        <f ca="1">IF('Leaching Mechanism'!D9="Diffusion",PRODUCT(Uxy!$G11,Uxy!$H11,Uxy!$I11,Uxy!$J11)^(1/(1+F$6-F$5)),"")</f>
        <v>#DIV/0!</v>
      </c>
      <c r="G14" s="114" t="e">
        <f ca="1">IF('Leaching Mechanism'!E9="Diffusion",PRODUCT(Uxy!$F11,Uxy!$G11,Uxy!$H11,Uxy!$I11)^(1/(1+G$6-G$5)),"")</f>
        <v>#DIV/0!</v>
      </c>
      <c r="H14" s="114" t="e">
        <f ca="1">IF('Leaching Mechanism'!F9="Diffusion",PRODUCT(Uxy!$E11,Uxy!$F11,Uxy!$G11,Uxy!$H11)^(1/(1+H$6-H$5)),"")</f>
        <v>#DIV/0!</v>
      </c>
      <c r="I14" s="114" t="e">
        <f ca="1">IF('Leaching Mechanism'!G9="Diffusion",PRODUCT(Uxy!$D11,Uxy!$E11,Uxy!$F11,Uxy!$G11)^(1/(1+I$6-I$5)),"")</f>
        <v>#DIV/0!</v>
      </c>
      <c r="J14" s="22"/>
      <c r="K14" s="22"/>
      <c r="L14" s="22"/>
      <c r="M14" s="46" t="str">
        <f t="shared" ca="1" si="0"/>
        <v/>
      </c>
      <c r="N14" s="46" t="str">
        <f t="shared" ca="1" si="1"/>
        <v/>
      </c>
      <c r="O14" s="46" t="str">
        <f t="shared" ca="1" si="2"/>
        <v/>
      </c>
      <c r="P14" s="46" t="str">
        <f t="shared" ca="1" si="3"/>
        <v/>
      </c>
      <c r="Q14" s="46" t="str">
        <f t="shared" ca="1" si="4"/>
        <v/>
      </c>
      <c r="R14" s="46" t="str">
        <f t="shared" ca="1" si="5"/>
        <v/>
      </c>
      <c r="S14" s="46" t="str">
        <f t="shared" ca="1" si="6"/>
        <v/>
      </c>
      <c r="T14" s="46" t="str">
        <f t="shared" ca="1" si="7"/>
        <v/>
      </c>
      <c r="U14" s="46" t="str">
        <f t="shared" ca="1" si="8"/>
        <v/>
      </c>
      <c r="V14" s="46" t="str">
        <f t="shared" ca="1" si="9"/>
        <v/>
      </c>
      <c r="W14" s="46" t="str">
        <f t="shared" ca="1" si="10"/>
        <v/>
      </c>
      <c r="X14" s="46" t="str">
        <f t="shared" ca="1" si="11"/>
        <v/>
      </c>
      <c r="Y14" s="22">
        <f t="shared" ca="1" si="12"/>
        <v>0</v>
      </c>
      <c r="Z14" s="22">
        <f t="shared" ca="1" si="13"/>
        <v>0</v>
      </c>
      <c r="AA14" s="22"/>
    </row>
    <row r="15" spans="1:27" ht="15" thickBot="1" x14ac:dyDescent="0.25">
      <c r="A15" s="47">
        <f>'Analytical Data'!A11</f>
        <v>0</v>
      </c>
      <c r="B15" s="36"/>
      <c r="C15" s="36"/>
      <c r="D15" s="114" t="e">
        <f ca="1">IF('Leaching Mechanism'!B10="Diffusion",PRODUCT(Uxy!$E12,Uxy!$F12,Uxy!$G12,Uxy!$H12,Uxy!$I12,Uxy!$J12)^(1/(D$6-D$5+1)),"")</f>
        <v>#DIV/0!</v>
      </c>
      <c r="E15" s="114" t="e">
        <f ca="1">IF('Leaching Mechanism'!C10="Diffusion",PRODUCT(Uxy!$H12,Uxy!$I12,Uxy!$J12,Uxy!$K12)^(1/(1+E$6-E$5)),"")</f>
        <v>#DIV/0!</v>
      </c>
      <c r="F15" s="114" t="e">
        <f ca="1">IF('Leaching Mechanism'!D10="Diffusion",PRODUCT(Uxy!$G12,Uxy!$H12,Uxy!$I12,Uxy!$J12)^(1/(1+F$6-F$5)),"")</f>
        <v>#DIV/0!</v>
      </c>
      <c r="G15" s="114" t="e">
        <f ca="1">IF('Leaching Mechanism'!E10="Diffusion",PRODUCT(Uxy!$F12,Uxy!$G12,Uxy!$H12,Uxy!$I12)^(1/(1+G$6-G$5)),"")</f>
        <v>#DIV/0!</v>
      </c>
      <c r="H15" s="114" t="e">
        <f ca="1">IF('Leaching Mechanism'!F10="Diffusion",PRODUCT(Uxy!$E12,Uxy!$F12,Uxy!$G12,Uxy!$H12)^(1/(1+H$6-H$5)),"")</f>
        <v>#DIV/0!</v>
      </c>
      <c r="I15" s="114" t="e">
        <f ca="1">IF('Leaching Mechanism'!G10="Diffusion",PRODUCT(Uxy!$D12,Uxy!$E12,Uxy!$F12,Uxy!$G12)^(1/(1+I$6-I$5)),"")</f>
        <v>#DIV/0!</v>
      </c>
      <c r="J15" s="22"/>
      <c r="K15" s="22"/>
      <c r="L15" s="22"/>
      <c r="M15" s="46" t="str">
        <f t="shared" ca="1" si="0"/>
        <v/>
      </c>
      <c r="N15" s="46" t="str">
        <f t="shared" ca="1" si="1"/>
        <v/>
      </c>
      <c r="O15" s="46" t="str">
        <f t="shared" ca="1" si="2"/>
        <v/>
      </c>
      <c r="P15" s="46" t="str">
        <f t="shared" ca="1" si="3"/>
        <v/>
      </c>
      <c r="Q15" s="46" t="str">
        <f t="shared" ca="1" si="4"/>
        <v/>
      </c>
      <c r="R15" s="46" t="str">
        <f t="shared" ca="1" si="5"/>
        <v/>
      </c>
      <c r="S15" s="46" t="str">
        <f t="shared" ca="1" si="6"/>
        <v/>
      </c>
      <c r="T15" s="46" t="str">
        <f t="shared" ca="1" si="7"/>
        <v/>
      </c>
      <c r="U15" s="46" t="str">
        <f t="shared" ca="1" si="8"/>
        <v/>
      </c>
      <c r="V15" s="46" t="str">
        <f t="shared" ca="1" si="9"/>
        <v/>
      </c>
      <c r="W15" s="46" t="str">
        <f t="shared" ca="1" si="10"/>
        <v/>
      </c>
      <c r="X15" s="46" t="str">
        <f t="shared" ca="1" si="11"/>
        <v/>
      </c>
      <c r="Y15" s="22">
        <f t="shared" ca="1" si="12"/>
        <v>0</v>
      </c>
      <c r="Z15" s="22">
        <f t="shared" ca="1" si="13"/>
        <v>0</v>
      </c>
      <c r="AA15" s="22"/>
    </row>
    <row r="16" spans="1:27" ht="15" thickBot="1" x14ac:dyDescent="0.25">
      <c r="A16" s="47">
        <f>'Analytical Data'!A12</f>
        <v>0</v>
      </c>
      <c r="B16" s="36"/>
      <c r="C16" s="36"/>
      <c r="D16" s="114" t="e">
        <f ca="1">IF('Leaching Mechanism'!B11="Diffusion",PRODUCT(Uxy!$E13,Uxy!$F13,Uxy!$G13,Uxy!$H13,Uxy!$I13,Uxy!$J13)^(1/(D$6-D$5+1)),"")</f>
        <v>#DIV/0!</v>
      </c>
      <c r="E16" s="114" t="e">
        <f ca="1">IF('Leaching Mechanism'!C11="Diffusion",PRODUCT(Uxy!$H13,Uxy!$I13,Uxy!$J13,Uxy!$K13)^(1/(1+E$6-E$5)),"")</f>
        <v>#DIV/0!</v>
      </c>
      <c r="F16" s="114" t="e">
        <f ca="1">IF('Leaching Mechanism'!D11="Diffusion",PRODUCT(Uxy!$G13,Uxy!$H13,Uxy!$I13,Uxy!$J13)^(1/(1+F$6-F$5)),"")</f>
        <v>#DIV/0!</v>
      </c>
      <c r="G16" s="114" t="e">
        <f ca="1">IF('Leaching Mechanism'!E11="Diffusion",PRODUCT(Uxy!$F13,Uxy!$G13,Uxy!$H13,Uxy!$I13)^(1/(1+G$6-G$5)),"")</f>
        <v>#DIV/0!</v>
      </c>
      <c r="H16" s="114" t="e">
        <f ca="1">IF('Leaching Mechanism'!F11="Diffusion",PRODUCT(Uxy!$E13,Uxy!$F13,Uxy!$G13,Uxy!$H13)^(1/(1+H$6-H$5)),"")</f>
        <v>#DIV/0!</v>
      </c>
      <c r="I16" s="114" t="e">
        <f ca="1">IF('Leaching Mechanism'!G11="Diffusion",PRODUCT(Uxy!$D13,Uxy!$E13,Uxy!$F13,Uxy!$G13)^(1/(1+I$6-I$5)),"")</f>
        <v>#DIV/0!</v>
      </c>
      <c r="J16" s="22"/>
      <c r="K16" s="22"/>
      <c r="L16" s="22"/>
      <c r="M16" s="46" t="str">
        <f t="shared" ca="1" si="0"/>
        <v/>
      </c>
      <c r="N16" s="46" t="str">
        <f t="shared" ca="1" si="1"/>
        <v/>
      </c>
      <c r="O16" s="46" t="str">
        <f t="shared" ca="1" si="2"/>
        <v/>
      </c>
      <c r="P16" s="46" t="str">
        <f t="shared" ca="1" si="3"/>
        <v/>
      </c>
      <c r="Q16" s="46" t="str">
        <f t="shared" ca="1" si="4"/>
        <v/>
      </c>
      <c r="R16" s="46" t="str">
        <f t="shared" ca="1" si="5"/>
        <v/>
      </c>
      <c r="S16" s="46" t="str">
        <f t="shared" ca="1" si="6"/>
        <v/>
      </c>
      <c r="T16" s="46" t="str">
        <f t="shared" ca="1" si="7"/>
        <v/>
      </c>
      <c r="U16" s="46" t="str">
        <f t="shared" ca="1" si="8"/>
        <v/>
      </c>
      <c r="V16" s="46" t="str">
        <f t="shared" ca="1" si="9"/>
        <v/>
      </c>
      <c r="W16" s="46" t="str">
        <f t="shared" ca="1" si="10"/>
        <v/>
      </c>
      <c r="X16" s="46" t="str">
        <f t="shared" ca="1" si="11"/>
        <v/>
      </c>
      <c r="Y16" s="22">
        <f t="shared" ca="1" si="12"/>
        <v>0</v>
      </c>
      <c r="Z16" s="22">
        <f t="shared" ca="1" si="13"/>
        <v>0</v>
      </c>
      <c r="AA16" s="22"/>
    </row>
    <row r="17" spans="1:27" ht="15" thickBot="1" x14ac:dyDescent="0.25">
      <c r="A17" s="47">
        <f>'Analytical Data'!A13</f>
        <v>0</v>
      </c>
      <c r="B17" s="36"/>
      <c r="C17" s="36"/>
      <c r="D17" s="114" t="e">
        <f ca="1">IF('Leaching Mechanism'!B12="Diffusion",PRODUCT(Uxy!$E14,Uxy!$F14,Uxy!$G14,Uxy!$H14,Uxy!$I14,Uxy!$J14)^(1/(D$6-D$5+1)),"")</f>
        <v>#DIV/0!</v>
      </c>
      <c r="E17" s="114" t="e">
        <f ca="1">IF('Leaching Mechanism'!C12="Diffusion",PRODUCT(Uxy!$H14,Uxy!$I14,Uxy!$J14,Uxy!$K14)^(1/(1+E$6-E$5)),"")</f>
        <v>#DIV/0!</v>
      </c>
      <c r="F17" s="114" t="e">
        <f ca="1">IF('Leaching Mechanism'!D12="Diffusion",PRODUCT(Uxy!$G14,Uxy!$H14,Uxy!$I14,Uxy!$J14)^(1/(1+F$6-F$5)),"")</f>
        <v>#DIV/0!</v>
      </c>
      <c r="G17" s="114" t="e">
        <f ca="1">IF('Leaching Mechanism'!E12="Diffusion",PRODUCT(Uxy!$F14,Uxy!$G14,Uxy!$H14,Uxy!$I14)^(1/(1+G$6-G$5)),"")</f>
        <v>#DIV/0!</v>
      </c>
      <c r="H17" s="114" t="e">
        <f ca="1">IF('Leaching Mechanism'!F12="Diffusion",PRODUCT(Uxy!$E14,Uxy!$F14,Uxy!$G14,Uxy!$H14)^(1/(1+H$6-H$5)),"")</f>
        <v>#DIV/0!</v>
      </c>
      <c r="I17" s="114" t="e">
        <f ca="1">IF('Leaching Mechanism'!G12="Diffusion",PRODUCT(Uxy!$D14,Uxy!$E14,Uxy!$F14,Uxy!$G14)^(1/(1+I$6-I$5)),"")</f>
        <v>#DIV/0!</v>
      </c>
      <c r="J17" s="22"/>
      <c r="K17" s="22"/>
      <c r="L17" s="22"/>
      <c r="M17" s="46" t="str">
        <f t="shared" ca="1" si="0"/>
        <v/>
      </c>
      <c r="N17" s="46" t="str">
        <f t="shared" ca="1" si="1"/>
        <v/>
      </c>
      <c r="O17" s="46" t="str">
        <f t="shared" ca="1" si="2"/>
        <v/>
      </c>
      <c r="P17" s="46" t="str">
        <f t="shared" ca="1" si="3"/>
        <v/>
      </c>
      <c r="Q17" s="46" t="str">
        <f t="shared" ca="1" si="4"/>
        <v/>
      </c>
      <c r="R17" s="46" t="str">
        <f t="shared" ca="1" si="5"/>
        <v/>
      </c>
      <c r="S17" s="46" t="str">
        <f t="shared" ca="1" si="6"/>
        <v/>
      </c>
      <c r="T17" s="46" t="str">
        <f t="shared" ca="1" si="7"/>
        <v/>
      </c>
      <c r="U17" s="46" t="str">
        <f t="shared" ca="1" si="8"/>
        <v/>
      </c>
      <c r="V17" s="46" t="str">
        <f t="shared" ca="1" si="9"/>
        <v/>
      </c>
      <c r="W17" s="46" t="str">
        <f t="shared" ca="1" si="10"/>
        <v/>
      </c>
      <c r="X17" s="46" t="str">
        <f t="shared" ca="1" si="11"/>
        <v/>
      </c>
      <c r="Y17" s="22">
        <f t="shared" ca="1" si="12"/>
        <v>0</v>
      </c>
      <c r="Z17" s="22">
        <f t="shared" ca="1" si="13"/>
        <v>0</v>
      </c>
      <c r="AA17" s="22"/>
    </row>
    <row r="18" spans="1:27" ht="15" thickBot="1" x14ac:dyDescent="0.25">
      <c r="A18" s="47">
        <f>'Analytical Data'!A14</f>
        <v>0</v>
      </c>
      <c r="B18" s="36"/>
      <c r="C18" s="36"/>
      <c r="D18" s="114" t="e">
        <f ca="1">IF('Leaching Mechanism'!B13="Diffusion",PRODUCT(Uxy!$E15,Uxy!$F15,Uxy!$G15,Uxy!$H15,Uxy!$I15,Uxy!$J15)^(1/(D$6-D$5+1)),"")</f>
        <v>#DIV/0!</v>
      </c>
      <c r="E18" s="114" t="e">
        <f ca="1">IF('Leaching Mechanism'!C13="Diffusion",PRODUCT(Uxy!$H15,Uxy!$I15,Uxy!$J15,Uxy!$K15)^(1/(1+E$6-E$5)),"")</f>
        <v>#DIV/0!</v>
      </c>
      <c r="F18" s="114" t="e">
        <f ca="1">IF('Leaching Mechanism'!D13="Diffusion",PRODUCT(Uxy!$G15,Uxy!$H15,Uxy!$I15,Uxy!$J15)^(1/(1+F$6-F$5)),"")</f>
        <v>#DIV/0!</v>
      </c>
      <c r="G18" s="114" t="e">
        <f ca="1">IF('Leaching Mechanism'!E13="Diffusion",PRODUCT(Uxy!$F15,Uxy!$G15,Uxy!$H15,Uxy!$I15)^(1/(1+G$6-G$5)),"")</f>
        <v>#DIV/0!</v>
      </c>
      <c r="H18" s="114" t="e">
        <f ca="1">IF('Leaching Mechanism'!F13="Diffusion",PRODUCT(Uxy!$E15,Uxy!$F15,Uxy!$G15,Uxy!$H15)^(1/(1+H$6-H$5)),"")</f>
        <v>#DIV/0!</v>
      </c>
      <c r="I18" s="114" t="e">
        <f ca="1">IF('Leaching Mechanism'!G13="Diffusion",PRODUCT(Uxy!$D15,Uxy!$E15,Uxy!$F15,Uxy!$G15)^(1/(1+I$6-I$5)),"")</f>
        <v>#DIV/0!</v>
      </c>
      <c r="J18" s="22"/>
      <c r="K18" s="22"/>
      <c r="L18" s="22"/>
      <c r="M18" s="46" t="str">
        <f t="shared" ca="1" si="0"/>
        <v/>
      </c>
      <c r="N18" s="46" t="str">
        <f t="shared" ca="1" si="1"/>
        <v/>
      </c>
      <c r="O18" s="46" t="str">
        <f t="shared" ca="1" si="2"/>
        <v/>
      </c>
      <c r="P18" s="46" t="str">
        <f t="shared" ca="1" si="3"/>
        <v/>
      </c>
      <c r="Q18" s="46" t="str">
        <f t="shared" ca="1" si="4"/>
        <v/>
      </c>
      <c r="R18" s="46" t="str">
        <f t="shared" ca="1" si="5"/>
        <v/>
      </c>
      <c r="S18" s="46" t="str">
        <f t="shared" ca="1" si="6"/>
        <v/>
      </c>
      <c r="T18" s="46" t="str">
        <f t="shared" ca="1" si="7"/>
        <v/>
      </c>
      <c r="U18" s="46" t="str">
        <f t="shared" ca="1" si="8"/>
        <v/>
      </c>
      <c r="V18" s="46" t="str">
        <f t="shared" ca="1" si="9"/>
        <v/>
      </c>
      <c r="W18" s="46" t="str">
        <f t="shared" ca="1" si="10"/>
        <v/>
      </c>
      <c r="X18" s="46" t="str">
        <f t="shared" ca="1" si="11"/>
        <v/>
      </c>
      <c r="Y18" s="22">
        <f t="shared" ca="1" si="12"/>
        <v>0</v>
      </c>
      <c r="Z18" s="22">
        <f t="shared" ca="1" si="13"/>
        <v>0</v>
      </c>
      <c r="AA18" s="22"/>
    </row>
    <row r="19" spans="1:27" ht="15" thickBot="1" x14ac:dyDescent="0.25">
      <c r="A19" s="47">
        <f>'Analytical Data'!A15</f>
        <v>0</v>
      </c>
      <c r="B19" s="36"/>
      <c r="C19" s="36"/>
      <c r="D19" s="114" t="e">
        <f ca="1">IF('Leaching Mechanism'!B14="Diffusion",PRODUCT(Uxy!$E16,Uxy!$F16,Uxy!$G16,Uxy!$H16,Uxy!$I16,Uxy!$J16)^(1/(D$6-D$5+1)),"")</f>
        <v>#DIV/0!</v>
      </c>
      <c r="E19" s="114" t="e">
        <f ca="1">IF('Leaching Mechanism'!C14="Diffusion",PRODUCT(Uxy!$H16,Uxy!$I16,Uxy!$J16,Uxy!$K16)^(1/(1+E$6-E$5)),"")</f>
        <v>#DIV/0!</v>
      </c>
      <c r="F19" s="114" t="e">
        <f ca="1">IF('Leaching Mechanism'!D14="Diffusion",PRODUCT(Uxy!$G16,Uxy!$H16,Uxy!$I16,Uxy!$J16)^(1/(1+F$6-F$5)),"")</f>
        <v>#DIV/0!</v>
      </c>
      <c r="G19" s="114" t="e">
        <f ca="1">IF('Leaching Mechanism'!E14="Diffusion",PRODUCT(Uxy!$F16,Uxy!$G16,Uxy!$H16,Uxy!$I16)^(1/(1+G$6-G$5)),"")</f>
        <v>#DIV/0!</v>
      </c>
      <c r="H19" s="114" t="e">
        <f ca="1">IF('Leaching Mechanism'!F14="Diffusion",PRODUCT(Uxy!$E16,Uxy!$F16,Uxy!$G16,Uxy!$H16)^(1/(1+H$6-H$5)),"")</f>
        <v>#DIV/0!</v>
      </c>
      <c r="I19" s="114" t="e">
        <f ca="1">IF('Leaching Mechanism'!G14="Diffusion",PRODUCT(Uxy!$D16,Uxy!$E16,Uxy!$F16,Uxy!$G16)^(1/(1+I$6-I$5)),"")</f>
        <v>#DIV/0!</v>
      </c>
      <c r="J19" s="22"/>
      <c r="K19" s="22"/>
      <c r="L19" s="22"/>
      <c r="M19" s="46" t="str">
        <f t="shared" ca="1" si="0"/>
        <v/>
      </c>
      <c r="N19" s="46" t="str">
        <f t="shared" ca="1" si="1"/>
        <v/>
      </c>
      <c r="O19" s="46" t="str">
        <f t="shared" ca="1" si="2"/>
        <v/>
      </c>
      <c r="P19" s="46" t="str">
        <f t="shared" ca="1" si="3"/>
        <v/>
      </c>
      <c r="Q19" s="46" t="str">
        <f t="shared" ca="1" si="4"/>
        <v/>
      </c>
      <c r="R19" s="46" t="str">
        <f t="shared" ca="1" si="5"/>
        <v/>
      </c>
      <c r="S19" s="46" t="str">
        <f t="shared" ca="1" si="6"/>
        <v/>
      </c>
      <c r="T19" s="46" t="str">
        <f t="shared" ca="1" si="7"/>
        <v/>
      </c>
      <c r="U19" s="46" t="str">
        <f t="shared" ca="1" si="8"/>
        <v/>
      </c>
      <c r="V19" s="46" t="str">
        <f t="shared" ca="1" si="9"/>
        <v/>
      </c>
      <c r="W19" s="46" t="str">
        <f t="shared" ca="1" si="10"/>
        <v/>
      </c>
      <c r="X19" s="46" t="str">
        <f t="shared" ca="1" si="11"/>
        <v/>
      </c>
      <c r="Y19" s="22">
        <f t="shared" ca="1" si="12"/>
        <v>0</v>
      </c>
      <c r="Z19" s="22">
        <f t="shared" ca="1" si="13"/>
        <v>0</v>
      </c>
      <c r="AA19" s="22"/>
    </row>
    <row r="20" spans="1:27" ht="15" thickBot="1" x14ac:dyDescent="0.25">
      <c r="A20" s="47">
        <f>'Analytical Data'!A16</f>
        <v>0</v>
      </c>
      <c r="B20" s="36"/>
      <c r="C20" s="36"/>
      <c r="D20" s="114" t="e">
        <f ca="1">IF('Leaching Mechanism'!B15="Diffusion",PRODUCT(Uxy!$E17,Uxy!$F17,Uxy!$G17,Uxy!$H17,Uxy!$I17,Uxy!$J17)^(1/(D$6-D$5+1)),"")</f>
        <v>#DIV/0!</v>
      </c>
      <c r="E20" s="114" t="e">
        <f ca="1">IF('Leaching Mechanism'!C15="Diffusion",PRODUCT(Uxy!$H17,Uxy!$I17,Uxy!$J17,Uxy!$K17)^(1/(1+E$6-E$5)),"")</f>
        <v>#DIV/0!</v>
      </c>
      <c r="F20" s="114" t="e">
        <f ca="1">IF('Leaching Mechanism'!D15="Diffusion",PRODUCT(Uxy!$G17,Uxy!$H17,Uxy!$I17,Uxy!$J17)^(1/(1+F$6-F$5)),"")</f>
        <v>#DIV/0!</v>
      </c>
      <c r="G20" s="114" t="e">
        <f ca="1">IF('Leaching Mechanism'!E15="Diffusion",PRODUCT(Uxy!$F17,Uxy!$G17,Uxy!$H17,Uxy!$I17)^(1/(1+G$6-G$5)),"")</f>
        <v>#DIV/0!</v>
      </c>
      <c r="H20" s="114" t="e">
        <f ca="1">IF('Leaching Mechanism'!F15="Diffusion",PRODUCT(Uxy!$E17,Uxy!$F17,Uxy!$G17,Uxy!$H17)^(1/(1+H$6-H$5)),"")</f>
        <v>#DIV/0!</v>
      </c>
      <c r="I20" s="114" t="e">
        <f ca="1">IF('Leaching Mechanism'!G15="Diffusion",PRODUCT(Uxy!$D17,Uxy!$E17,Uxy!$F17,Uxy!$G17)^(1/(1+I$6-I$5)),"")</f>
        <v>#DIV/0!</v>
      </c>
      <c r="J20" s="22"/>
      <c r="K20" s="22"/>
      <c r="L20" s="22"/>
      <c r="M20" s="46" t="str">
        <f t="shared" ca="1" si="0"/>
        <v/>
      </c>
      <c r="N20" s="46" t="str">
        <f t="shared" ca="1" si="1"/>
        <v/>
      </c>
      <c r="O20" s="46" t="str">
        <f t="shared" ca="1" si="2"/>
        <v/>
      </c>
      <c r="P20" s="46" t="str">
        <f t="shared" ca="1" si="3"/>
        <v/>
      </c>
      <c r="Q20" s="46" t="str">
        <f t="shared" ca="1" si="4"/>
        <v/>
      </c>
      <c r="R20" s="46" t="str">
        <f t="shared" ca="1" si="5"/>
        <v/>
      </c>
      <c r="S20" s="46" t="str">
        <f t="shared" ca="1" si="6"/>
        <v/>
      </c>
      <c r="T20" s="46" t="str">
        <f t="shared" ca="1" si="7"/>
        <v/>
      </c>
      <c r="U20" s="46" t="str">
        <f t="shared" ca="1" si="8"/>
        <v/>
      </c>
      <c r="V20" s="46" t="str">
        <f t="shared" ca="1" si="9"/>
        <v/>
      </c>
      <c r="W20" s="46" t="str">
        <f t="shared" ca="1" si="10"/>
        <v/>
      </c>
      <c r="X20" s="46" t="str">
        <f t="shared" ca="1" si="11"/>
        <v/>
      </c>
      <c r="Y20" s="22">
        <f t="shared" ca="1" si="12"/>
        <v>0</v>
      </c>
      <c r="Z20" s="22">
        <f t="shared" ca="1" si="13"/>
        <v>0</v>
      </c>
      <c r="AA20" s="22"/>
    </row>
    <row r="21" spans="1:27" ht="15" thickBot="1" x14ac:dyDescent="0.25">
      <c r="A21" s="47">
        <f>'Analytical Data'!A17</f>
        <v>0</v>
      </c>
      <c r="B21" s="36"/>
      <c r="C21" s="36"/>
      <c r="D21" s="114" t="e">
        <f ca="1">IF('Leaching Mechanism'!B16="Diffusion",PRODUCT(Uxy!$E18,Uxy!$F18,Uxy!$G18,Uxy!$H18,Uxy!$I18,Uxy!$J18)^(1/(D$6-D$5+1)),"")</f>
        <v>#DIV/0!</v>
      </c>
      <c r="E21" s="114" t="e">
        <f ca="1">IF('Leaching Mechanism'!C16="Diffusion",PRODUCT(Uxy!$H18,Uxy!$I18,Uxy!$J18,Uxy!$K18)^(1/(1+E$6-E$5)),"")</f>
        <v>#DIV/0!</v>
      </c>
      <c r="F21" s="114" t="e">
        <f ca="1">IF('Leaching Mechanism'!D16="Diffusion",PRODUCT(Uxy!$G18,Uxy!$H18,Uxy!$I18,Uxy!$J18)^(1/(1+F$6-F$5)),"")</f>
        <v>#DIV/0!</v>
      </c>
      <c r="G21" s="114" t="e">
        <f ca="1">IF('Leaching Mechanism'!E16="Diffusion",PRODUCT(Uxy!$F18,Uxy!$G18,Uxy!$H18,Uxy!$I18)^(1/(1+G$6-G$5)),"")</f>
        <v>#DIV/0!</v>
      </c>
      <c r="H21" s="114" t="e">
        <f ca="1">IF('Leaching Mechanism'!F16="Diffusion",PRODUCT(Uxy!$E18,Uxy!$F18,Uxy!$G18,Uxy!$H18)^(1/(1+H$6-H$5)),"")</f>
        <v>#DIV/0!</v>
      </c>
      <c r="I21" s="114" t="e">
        <f ca="1">IF('Leaching Mechanism'!G16="Diffusion",PRODUCT(Uxy!$D18,Uxy!$E18,Uxy!$F18,Uxy!$G18)^(1/(1+I$6-I$5)),"")</f>
        <v>#DIV/0!</v>
      </c>
      <c r="J21" s="22"/>
      <c r="K21" s="22"/>
      <c r="L21" s="22"/>
      <c r="M21" s="46" t="str">
        <f t="shared" ca="1" si="0"/>
        <v/>
      </c>
      <c r="N21" s="46" t="str">
        <f t="shared" ca="1" si="1"/>
        <v/>
      </c>
      <c r="O21" s="46" t="str">
        <f t="shared" ca="1" si="2"/>
        <v/>
      </c>
      <c r="P21" s="46" t="str">
        <f t="shared" ca="1" si="3"/>
        <v/>
      </c>
      <c r="Q21" s="46" t="str">
        <f t="shared" ca="1" si="4"/>
        <v/>
      </c>
      <c r="R21" s="46" t="str">
        <f t="shared" ca="1" si="5"/>
        <v/>
      </c>
      <c r="S21" s="46" t="str">
        <f t="shared" ca="1" si="6"/>
        <v/>
      </c>
      <c r="T21" s="46" t="str">
        <f t="shared" ca="1" si="7"/>
        <v/>
      </c>
      <c r="U21" s="46" t="str">
        <f t="shared" ca="1" si="8"/>
        <v/>
      </c>
      <c r="V21" s="46" t="str">
        <f t="shared" ca="1" si="9"/>
        <v/>
      </c>
      <c r="W21" s="46" t="str">
        <f t="shared" ca="1" si="10"/>
        <v/>
      </c>
      <c r="X21" s="46" t="str">
        <f t="shared" ca="1" si="11"/>
        <v/>
      </c>
      <c r="Y21" s="22">
        <f t="shared" ca="1" si="12"/>
        <v>0</v>
      </c>
      <c r="Z21" s="22">
        <f t="shared" ca="1" si="13"/>
        <v>0</v>
      </c>
      <c r="AA21" s="22"/>
    </row>
    <row r="22" spans="1:27" ht="15" thickBot="1" x14ac:dyDescent="0.25">
      <c r="A22" s="47">
        <f>'Analytical Data'!A18</f>
        <v>0</v>
      </c>
      <c r="B22" s="36"/>
      <c r="C22" s="36"/>
      <c r="D22" s="114" t="e">
        <f ca="1">IF('Leaching Mechanism'!B17="Diffusion",PRODUCT(Uxy!$E19,Uxy!$F19,Uxy!$G19,Uxy!$H19,Uxy!$I19,Uxy!$J19)^(1/(D$6-D$5+1)),"")</f>
        <v>#DIV/0!</v>
      </c>
      <c r="E22" s="114" t="e">
        <f ca="1">IF('Leaching Mechanism'!C17="Diffusion",PRODUCT(Uxy!$H19,Uxy!$I19,Uxy!$J19,Uxy!$K19)^(1/(1+E$6-E$5)),"")</f>
        <v>#DIV/0!</v>
      </c>
      <c r="F22" s="114" t="e">
        <f ca="1">IF('Leaching Mechanism'!D17="Diffusion",PRODUCT(Uxy!$G19,Uxy!$H19,Uxy!$I19,Uxy!$J19)^(1/(1+F$6-F$5)),"")</f>
        <v>#DIV/0!</v>
      </c>
      <c r="G22" s="114" t="e">
        <f ca="1">IF('Leaching Mechanism'!E17="Diffusion",PRODUCT(Uxy!$F19,Uxy!$G19,Uxy!$H19,Uxy!$I19)^(1/(1+G$6-G$5)),"")</f>
        <v>#DIV/0!</v>
      </c>
      <c r="H22" s="114" t="e">
        <f ca="1">IF('Leaching Mechanism'!F17="Diffusion",PRODUCT(Uxy!$E19,Uxy!$F19,Uxy!$G19,Uxy!$H19)^(1/(1+H$6-H$5)),"")</f>
        <v>#DIV/0!</v>
      </c>
      <c r="I22" s="114" t="e">
        <f ca="1">IF('Leaching Mechanism'!G17="Diffusion",PRODUCT(Uxy!$D19,Uxy!$E19,Uxy!$F19,Uxy!$G19)^(1/(1+I$6-I$5)),"")</f>
        <v>#DIV/0!</v>
      </c>
      <c r="J22" s="22"/>
      <c r="K22" s="22"/>
      <c r="L22" s="22"/>
      <c r="M22" s="46" t="str">
        <f t="shared" ca="1" si="0"/>
        <v/>
      </c>
      <c r="N22" s="46" t="str">
        <f t="shared" ca="1" si="1"/>
        <v/>
      </c>
      <c r="O22" s="46" t="str">
        <f t="shared" ca="1" si="2"/>
        <v/>
      </c>
      <c r="P22" s="46" t="str">
        <f t="shared" ca="1" si="3"/>
        <v/>
      </c>
      <c r="Q22" s="46" t="str">
        <f t="shared" ca="1" si="4"/>
        <v/>
      </c>
      <c r="R22" s="46" t="str">
        <f t="shared" ca="1" si="5"/>
        <v/>
      </c>
      <c r="S22" s="46" t="str">
        <f t="shared" ca="1" si="6"/>
        <v/>
      </c>
      <c r="T22" s="46" t="str">
        <f t="shared" ca="1" si="7"/>
        <v/>
      </c>
      <c r="U22" s="46" t="str">
        <f t="shared" ca="1" si="8"/>
        <v/>
      </c>
      <c r="V22" s="46" t="str">
        <f t="shared" ca="1" si="9"/>
        <v/>
      </c>
      <c r="W22" s="46" t="str">
        <f t="shared" ca="1" si="10"/>
        <v/>
      </c>
      <c r="X22" s="46" t="str">
        <f t="shared" ca="1" si="11"/>
        <v/>
      </c>
      <c r="Y22" s="22">
        <f t="shared" ca="1" si="12"/>
        <v>0</v>
      </c>
      <c r="Z22" s="22">
        <f t="shared" ca="1" si="13"/>
        <v>0</v>
      </c>
      <c r="AA22" s="22"/>
    </row>
    <row r="23" spans="1:27" ht="15" thickBot="1" x14ac:dyDescent="0.25">
      <c r="A23" s="47">
        <f>'Analytical Data'!A19</f>
        <v>0</v>
      </c>
      <c r="B23" s="36"/>
      <c r="C23" s="36"/>
      <c r="D23" s="114" t="e">
        <f ca="1">IF('Leaching Mechanism'!B18="Diffusion",PRODUCT(Uxy!$E20,Uxy!$F20,Uxy!$G20,Uxy!$H20,Uxy!$I20,Uxy!$J20)^(1/(D$6-D$5+1)),"")</f>
        <v>#DIV/0!</v>
      </c>
      <c r="E23" s="114" t="e">
        <f ca="1">IF('Leaching Mechanism'!C18="Diffusion",PRODUCT(Uxy!$H20,Uxy!$I20,Uxy!$J20,Uxy!$K20)^(1/(1+E$6-E$5)),"")</f>
        <v>#DIV/0!</v>
      </c>
      <c r="F23" s="114" t="e">
        <f ca="1">IF('Leaching Mechanism'!D18="Diffusion",PRODUCT(Uxy!$G20,Uxy!$H20,Uxy!$I20,Uxy!$J20)^(1/(1+F$6-F$5)),"")</f>
        <v>#DIV/0!</v>
      </c>
      <c r="G23" s="114" t="e">
        <f ca="1">IF('Leaching Mechanism'!E18="Diffusion",PRODUCT(Uxy!$F20,Uxy!$G20,Uxy!$H20,Uxy!$I20)^(1/(1+G$6-G$5)),"")</f>
        <v>#DIV/0!</v>
      </c>
      <c r="H23" s="114" t="e">
        <f ca="1">IF('Leaching Mechanism'!F18="Diffusion",PRODUCT(Uxy!$E20,Uxy!$F20,Uxy!$G20,Uxy!$H20)^(1/(1+H$6-H$5)),"")</f>
        <v>#DIV/0!</v>
      </c>
      <c r="I23" s="114" t="e">
        <f ca="1">IF('Leaching Mechanism'!G18="Diffusion",PRODUCT(Uxy!$D20,Uxy!$E20,Uxy!$F20,Uxy!$G20)^(1/(1+I$6-I$5)),"")</f>
        <v>#DIV/0!</v>
      </c>
      <c r="J23" s="22"/>
      <c r="K23" s="22"/>
      <c r="L23" s="22"/>
      <c r="M23" s="46" t="str">
        <f t="shared" ca="1" si="0"/>
        <v/>
      </c>
      <c r="N23" s="46" t="str">
        <f t="shared" ca="1" si="1"/>
        <v/>
      </c>
      <c r="O23" s="46" t="str">
        <f t="shared" ca="1" si="2"/>
        <v/>
      </c>
      <c r="P23" s="46" t="str">
        <f t="shared" ca="1" si="3"/>
        <v/>
      </c>
      <c r="Q23" s="46" t="str">
        <f t="shared" ca="1" si="4"/>
        <v/>
      </c>
      <c r="R23" s="46" t="str">
        <f t="shared" ca="1" si="5"/>
        <v/>
      </c>
      <c r="S23" s="46" t="str">
        <f t="shared" ca="1" si="6"/>
        <v/>
      </c>
      <c r="T23" s="46" t="str">
        <f t="shared" ca="1" si="7"/>
        <v/>
      </c>
      <c r="U23" s="46" t="str">
        <f t="shared" ca="1" si="8"/>
        <v/>
      </c>
      <c r="V23" s="46" t="str">
        <f t="shared" ca="1" si="9"/>
        <v/>
      </c>
      <c r="W23" s="46" t="str">
        <f t="shared" ca="1" si="10"/>
        <v/>
      </c>
      <c r="X23" s="46" t="str">
        <f t="shared" ca="1" si="11"/>
        <v/>
      </c>
      <c r="Y23" s="22">
        <f t="shared" ca="1" si="12"/>
        <v>0</v>
      </c>
      <c r="Z23" s="22">
        <f t="shared" ca="1" si="13"/>
        <v>0</v>
      </c>
      <c r="AA23" s="22"/>
    </row>
    <row r="24" spans="1:27" ht="15" thickBot="1" x14ac:dyDescent="0.25">
      <c r="A24" s="47">
        <f>'Analytical Data'!A20</f>
        <v>0</v>
      </c>
      <c r="B24" s="36"/>
      <c r="C24" s="36"/>
      <c r="D24" s="114" t="e">
        <f ca="1">IF('Leaching Mechanism'!B19="Diffusion",PRODUCT(Uxy!$E21,Uxy!$F21,Uxy!$G21,Uxy!$H21,Uxy!$I21,Uxy!$J21)^(1/(D$6-D$5+1)),"")</f>
        <v>#DIV/0!</v>
      </c>
      <c r="E24" s="114" t="e">
        <f ca="1">IF('Leaching Mechanism'!C19="Diffusion",PRODUCT(Uxy!$H21,Uxy!$I21,Uxy!$J21,Uxy!$K21)^(1/(1+E$6-E$5)),"")</f>
        <v>#DIV/0!</v>
      </c>
      <c r="F24" s="114" t="e">
        <f ca="1">IF('Leaching Mechanism'!D19="Diffusion",PRODUCT(Uxy!$G21,Uxy!$H21,Uxy!$I21,Uxy!$J21)^(1/(1+F$6-F$5)),"")</f>
        <v>#DIV/0!</v>
      </c>
      <c r="G24" s="114" t="e">
        <f ca="1">IF('Leaching Mechanism'!E19="Diffusion",PRODUCT(Uxy!$F21,Uxy!$G21,Uxy!$H21,Uxy!$I21)^(1/(1+G$6-G$5)),"")</f>
        <v>#DIV/0!</v>
      </c>
      <c r="H24" s="114" t="e">
        <f ca="1">IF('Leaching Mechanism'!F19="Diffusion",PRODUCT(Uxy!$E21,Uxy!$F21,Uxy!$G21,Uxy!$H21)^(1/(1+H$6-H$5)),"")</f>
        <v>#DIV/0!</v>
      </c>
      <c r="I24" s="114" t="e">
        <f ca="1">IF('Leaching Mechanism'!G19="Diffusion",PRODUCT(Uxy!$D21,Uxy!$E21,Uxy!$F21,Uxy!$G21)^(1/(1+I$6-I$5)),"")</f>
        <v>#DIV/0!</v>
      </c>
      <c r="J24" s="22"/>
      <c r="K24" s="22"/>
      <c r="L24" s="22"/>
      <c r="M24" s="46" t="str">
        <f t="shared" ca="1" si="0"/>
        <v/>
      </c>
      <c r="N24" s="46" t="str">
        <f t="shared" ca="1" si="1"/>
        <v/>
      </c>
      <c r="O24" s="46" t="str">
        <f t="shared" ca="1" si="2"/>
        <v/>
      </c>
      <c r="P24" s="46" t="str">
        <f t="shared" ca="1" si="3"/>
        <v/>
      </c>
      <c r="Q24" s="46" t="str">
        <f t="shared" ca="1" si="4"/>
        <v/>
      </c>
      <c r="R24" s="46" t="str">
        <f t="shared" ca="1" si="5"/>
        <v/>
      </c>
      <c r="S24" s="46" t="str">
        <f t="shared" ca="1" si="6"/>
        <v/>
      </c>
      <c r="T24" s="46" t="str">
        <f t="shared" ca="1" si="7"/>
        <v/>
      </c>
      <c r="U24" s="46" t="str">
        <f t="shared" ca="1" si="8"/>
        <v/>
      </c>
      <c r="V24" s="46" t="str">
        <f t="shared" ca="1" si="9"/>
        <v/>
      </c>
      <c r="W24" s="46" t="str">
        <f t="shared" ca="1" si="10"/>
        <v/>
      </c>
      <c r="X24" s="46" t="str">
        <f t="shared" ca="1" si="11"/>
        <v/>
      </c>
      <c r="Y24" s="22">
        <f t="shared" ca="1" si="12"/>
        <v>0</v>
      </c>
      <c r="Z24" s="22">
        <f t="shared" ca="1" si="13"/>
        <v>0</v>
      </c>
      <c r="AA24" s="22"/>
    </row>
    <row r="25" spans="1:27" ht="15" thickBot="1" x14ac:dyDescent="0.25">
      <c r="A25" s="47">
        <f>'Analytical Data'!A21</f>
        <v>0</v>
      </c>
      <c r="B25" s="36"/>
      <c r="C25" s="36"/>
      <c r="D25" s="114" t="e">
        <f ca="1">IF('Leaching Mechanism'!B20="Diffusion",PRODUCT(Uxy!$E22,Uxy!$F22,Uxy!$G22,Uxy!$H22,Uxy!$I22,Uxy!$J22)^(1/(D$6-D$5+1)),"")</f>
        <v>#DIV/0!</v>
      </c>
      <c r="E25" s="114" t="e">
        <f ca="1">IF('Leaching Mechanism'!C20="Diffusion",PRODUCT(Uxy!$H22,Uxy!$I22,Uxy!$J22,Uxy!$K22)^(1/(1+E$6-E$5)),"")</f>
        <v>#DIV/0!</v>
      </c>
      <c r="F25" s="114" t="e">
        <f ca="1">IF('Leaching Mechanism'!D20="Diffusion",PRODUCT(Uxy!$G22,Uxy!$H22,Uxy!$I22,Uxy!$J22)^(1/(1+F$6-F$5)),"")</f>
        <v>#DIV/0!</v>
      </c>
      <c r="G25" s="114" t="e">
        <f ca="1">IF('Leaching Mechanism'!E20="Diffusion",PRODUCT(Uxy!$F22,Uxy!$G22,Uxy!$H22,Uxy!$I22)^(1/(1+G$6-G$5)),"")</f>
        <v>#DIV/0!</v>
      </c>
      <c r="H25" s="114" t="e">
        <f ca="1">IF('Leaching Mechanism'!F20="Diffusion",PRODUCT(Uxy!$E22,Uxy!$F22,Uxy!$G22,Uxy!$H22)^(1/(1+H$6-H$5)),"")</f>
        <v>#DIV/0!</v>
      </c>
      <c r="I25" s="114" t="e">
        <f ca="1">IF('Leaching Mechanism'!G20="Diffusion",PRODUCT(Uxy!$D22,Uxy!$E22,Uxy!$F22,Uxy!$G22)^(1/(1+I$6-I$5)),"")</f>
        <v>#DIV/0!</v>
      </c>
      <c r="J25" s="22"/>
      <c r="K25" s="22"/>
      <c r="L25" s="22"/>
      <c r="M25" s="46" t="str">
        <f t="shared" ca="1" si="0"/>
        <v/>
      </c>
      <c r="N25" s="46" t="str">
        <f t="shared" ca="1" si="1"/>
        <v/>
      </c>
      <c r="O25" s="46" t="str">
        <f t="shared" ca="1" si="2"/>
        <v/>
      </c>
      <c r="P25" s="46" t="str">
        <f t="shared" ca="1" si="3"/>
        <v/>
      </c>
      <c r="Q25" s="46" t="str">
        <f t="shared" ca="1" si="4"/>
        <v/>
      </c>
      <c r="R25" s="46" t="str">
        <f t="shared" ca="1" si="5"/>
        <v/>
      </c>
      <c r="S25" s="46" t="str">
        <f t="shared" ca="1" si="6"/>
        <v/>
      </c>
      <c r="T25" s="46" t="str">
        <f t="shared" ca="1" si="7"/>
        <v/>
      </c>
      <c r="U25" s="46" t="str">
        <f t="shared" ca="1" si="8"/>
        <v/>
      </c>
      <c r="V25" s="46" t="str">
        <f t="shared" ca="1" si="9"/>
        <v/>
      </c>
      <c r="W25" s="46" t="str">
        <f t="shared" ca="1" si="10"/>
        <v/>
      </c>
      <c r="X25" s="46" t="str">
        <f t="shared" ca="1" si="11"/>
        <v/>
      </c>
      <c r="Y25" s="22">
        <f t="shared" ca="1" si="12"/>
        <v>0</v>
      </c>
      <c r="Z25" s="22">
        <f t="shared" ca="1" si="13"/>
        <v>0</v>
      </c>
      <c r="AA25" s="22"/>
    </row>
    <row r="26" spans="1:27" ht="15" thickBot="1" x14ac:dyDescent="0.25">
      <c r="A26" s="47">
        <f>'Analytical Data'!A22</f>
        <v>0</v>
      </c>
      <c r="B26" s="36"/>
      <c r="C26" s="36"/>
      <c r="D26" s="114" t="e">
        <f ca="1">IF('Leaching Mechanism'!B21="Diffusion",PRODUCT(Uxy!$E23,Uxy!$F23,Uxy!$G23,Uxy!$H23,Uxy!$I23,Uxy!$J23)^(1/(D$6-D$5+1)),"")</f>
        <v>#DIV/0!</v>
      </c>
      <c r="E26" s="114" t="e">
        <f ca="1">IF('Leaching Mechanism'!C21="Diffusion",PRODUCT(Uxy!$H23,Uxy!$I23,Uxy!$J23,Uxy!$K23)^(1/(1+E$6-E$5)),"")</f>
        <v>#DIV/0!</v>
      </c>
      <c r="F26" s="114" t="e">
        <f ca="1">IF('Leaching Mechanism'!D21="Diffusion",PRODUCT(Uxy!$G23,Uxy!$H23,Uxy!$I23,Uxy!$J23)^(1/(1+F$6-F$5)),"")</f>
        <v>#DIV/0!</v>
      </c>
      <c r="G26" s="114" t="e">
        <f ca="1">IF('Leaching Mechanism'!E21="Diffusion",PRODUCT(Uxy!$F23,Uxy!$G23,Uxy!$H23,Uxy!$I23)^(1/(1+G$6-G$5)),"")</f>
        <v>#DIV/0!</v>
      </c>
      <c r="H26" s="114" t="e">
        <f ca="1">IF('Leaching Mechanism'!F21="Diffusion",PRODUCT(Uxy!$E23,Uxy!$F23,Uxy!$G23,Uxy!$H23)^(1/(1+H$6-H$5)),"")</f>
        <v>#DIV/0!</v>
      </c>
      <c r="I26" s="114" t="e">
        <f ca="1">IF('Leaching Mechanism'!G21="Diffusion",PRODUCT(Uxy!$D23,Uxy!$E23,Uxy!$F23,Uxy!$G23)^(1/(1+I$6-I$5)),"")</f>
        <v>#DIV/0!</v>
      </c>
      <c r="J26" s="22"/>
      <c r="K26" s="22"/>
      <c r="L26" s="22"/>
      <c r="M26" s="46" t="str">
        <f t="shared" ca="1" si="0"/>
        <v/>
      </c>
      <c r="N26" s="46" t="str">
        <f t="shared" ca="1" si="1"/>
        <v/>
      </c>
      <c r="O26" s="46" t="str">
        <f t="shared" ca="1" si="2"/>
        <v/>
      </c>
      <c r="P26" s="46" t="str">
        <f t="shared" ca="1" si="3"/>
        <v/>
      </c>
      <c r="Q26" s="46" t="str">
        <f t="shared" ca="1" si="4"/>
        <v/>
      </c>
      <c r="R26" s="46" t="str">
        <f t="shared" ca="1" si="5"/>
        <v/>
      </c>
      <c r="S26" s="46" t="str">
        <f t="shared" ca="1" si="6"/>
        <v/>
      </c>
      <c r="T26" s="46" t="str">
        <f t="shared" ca="1" si="7"/>
        <v/>
      </c>
      <c r="U26" s="46" t="str">
        <f t="shared" ca="1" si="8"/>
        <v/>
      </c>
      <c r="V26" s="46" t="str">
        <f t="shared" ca="1" si="9"/>
        <v/>
      </c>
      <c r="W26" s="46" t="str">
        <f t="shared" ca="1" si="10"/>
        <v/>
      </c>
      <c r="X26" s="46" t="str">
        <f t="shared" ca="1" si="11"/>
        <v/>
      </c>
      <c r="Y26" s="22">
        <f t="shared" ca="1" si="12"/>
        <v>0</v>
      </c>
      <c r="Z26" s="22">
        <f t="shared" ca="1" si="13"/>
        <v>0</v>
      </c>
      <c r="AA26" s="22"/>
    </row>
    <row r="27" spans="1:27" ht="15" thickBot="1" x14ac:dyDescent="0.25">
      <c r="A27" s="47">
        <f>'Analytical Data'!A23</f>
        <v>0</v>
      </c>
      <c r="B27" s="36"/>
      <c r="C27" s="36"/>
      <c r="D27" s="114" t="e">
        <f ca="1">IF('Leaching Mechanism'!B22="Diffusion",PRODUCT(Uxy!$E24,Uxy!$F24,Uxy!$G24,Uxy!$H24,Uxy!$I24,Uxy!$J24)^(1/(D$6-D$5+1)),"")</f>
        <v>#DIV/0!</v>
      </c>
      <c r="E27" s="114" t="e">
        <f ca="1">IF('Leaching Mechanism'!C22="Diffusion",PRODUCT(Uxy!$H24,Uxy!$I24,Uxy!$J24,Uxy!$K24)^(1/(1+E$6-E$5)),"")</f>
        <v>#DIV/0!</v>
      </c>
      <c r="F27" s="114" t="e">
        <f ca="1">IF('Leaching Mechanism'!D22="Diffusion",PRODUCT(Uxy!$G24,Uxy!$H24,Uxy!$I24,Uxy!$J24)^(1/(1+F$6-F$5)),"")</f>
        <v>#DIV/0!</v>
      </c>
      <c r="G27" s="114" t="e">
        <f ca="1">IF('Leaching Mechanism'!E22="Diffusion",PRODUCT(Uxy!$F24,Uxy!$G24,Uxy!$H24,Uxy!$I24)^(1/(1+G$6-G$5)),"")</f>
        <v>#DIV/0!</v>
      </c>
      <c r="H27" s="114" t="e">
        <f ca="1">IF('Leaching Mechanism'!F22="Diffusion",PRODUCT(Uxy!$E24,Uxy!$F24,Uxy!$G24,Uxy!$H24)^(1/(1+H$6-H$5)),"")</f>
        <v>#DIV/0!</v>
      </c>
      <c r="I27" s="114" t="e">
        <f ca="1">IF('Leaching Mechanism'!G22="Diffusion",PRODUCT(Uxy!$D24,Uxy!$E24,Uxy!$F24,Uxy!$G24)^(1/(1+I$6-I$5)),"")</f>
        <v>#DIV/0!</v>
      </c>
      <c r="J27" s="22"/>
      <c r="K27" s="22"/>
      <c r="L27" s="22"/>
      <c r="M27" s="46" t="str">
        <f t="shared" ca="1" si="0"/>
        <v/>
      </c>
      <c r="N27" s="46" t="str">
        <f t="shared" ca="1" si="1"/>
        <v/>
      </c>
      <c r="O27" s="46" t="str">
        <f t="shared" ca="1" si="2"/>
        <v/>
      </c>
      <c r="P27" s="46" t="str">
        <f t="shared" ca="1" si="3"/>
        <v/>
      </c>
      <c r="Q27" s="46" t="str">
        <f t="shared" ca="1" si="4"/>
        <v/>
      </c>
      <c r="R27" s="46" t="str">
        <f t="shared" ca="1" si="5"/>
        <v/>
      </c>
      <c r="S27" s="46" t="str">
        <f t="shared" ca="1" si="6"/>
        <v/>
      </c>
      <c r="T27" s="46" t="str">
        <f t="shared" ca="1" si="7"/>
        <v/>
      </c>
      <c r="U27" s="46" t="str">
        <f t="shared" ca="1" si="8"/>
        <v/>
      </c>
      <c r="V27" s="46" t="str">
        <f t="shared" ca="1" si="9"/>
        <v/>
      </c>
      <c r="W27" s="46" t="str">
        <f t="shared" ca="1" si="10"/>
        <v/>
      </c>
      <c r="X27" s="46" t="str">
        <f t="shared" ca="1" si="11"/>
        <v/>
      </c>
      <c r="Y27" s="22">
        <f t="shared" ca="1" si="12"/>
        <v>0</v>
      </c>
      <c r="Z27" s="22">
        <f t="shared" ca="1" si="13"/>
        <v>0</v>
      </c>
      <c r="AA27" s="22"/>
    </row>
    <row r="28" spans="1:27" ht="15" thickBot="1" x14ac:dyDescent="0.25">
      <c r="A28" s="47">
        <f>'Analytical Data'!A24</f>
        <v>0</v>
      </c>
      <c r="B28" s="36"/>
      <c r="C28" s="36"/>
      <c r="D28" s="114" t="e">
        <f ca="1">IF('Leaching Mechanism'!B23="Diffusion",PRODUCT(Uxy!$E25,Uxy!$F25,Uxy!$G25,Uxy!$H25,Uxy!$I25,Uxy!$J25)^(1/(D$6-D$5+1)),"")</f>
        <v>#DIV/0!</v>
      </c>
      <c r="E28" s="114" t="e">
        <f ca="1">IF('Leaching Mechanism'!C23="Diffusion",PRODUCT(Uxy!$H25,Uxy!$I25,Uxy!$J25,Uxy!$K25)^(1/(1+E$6-E$5)),"")</f>
        <v>#DIV/0!</v>
      </c>
      <c r="F28" s="114" t="e">
        <f ca="1">IF('Leaching Mechanism'!D23="Diffusion",PRODUCT(Uxy!$G25,Uxy!$H25,Uxy!$I25,Uxy!$J25)^(1/(1+F$6-F$5)),"")</f>
        <v>#DIV/0!</v>
      </c>
      <c r="G28" s="114" t="e">
        <f ca="1">IF('Leaching Mechanism'!E23="Diffusion",PRODUCT(Uxy!$F25,Uxy!$G25,Uxy!$H25,Uxy!$I25)^(1/(1+G$6-G$5)),"")</f>
        <v>#DIV/0!</v>
      </c>
      <c r="H28" s="114" t="e">
        <f ca="1">IF('Leaching Mechanism'!F23="Diffusion",PRODUCT(Uxy!$E25,Uxy!$F25,Uxy!$G25,Uxy!$H25)^(1/(1+H$6-H$5)),"")</f>
        <v>#DIV/0!</v>
      </c>
      <c r="I28" s="114" t="e">
        <f ca="1">IF('Leaching Mechanism'!G23="Diffusion",PRODUCT(Uxy!$D25,Uxy!$E25,Uxy!$F25,Uxy!$G25)^(1/(1+I$6-I$5)),"")</f>
        <v>#DIV/0!</v>
      </c>
      <c r="J28" s="22"/>
      <c r="K28" s="22"/>
      <c r="L28" s="22"/>
      <c r="M28" s="46" t="str">
        <f t="shared" ca="1" si="0"/>
        <v/>
      </c>
      <c r="N28" s="46" t="str">
        <f t="shared" ca="1" si="1"/>
        <v/>
      </c>
      <c r="O28" s="46" t="str">
        <f t="shared" ca="1" si="2"/>
        <v/>
      </c>
      <c r="P28" s="46" t="str">
        <f t="shared" ca="1" si="3"/>
        <v/>
      </c>
      <c r="Q28" s="46" t="str">
        <f t="shared" ca="1" si="4"/>
        <v/>
      </c>
      <c r="R28" s="46" t="str">
        <f t="shared" ca="1" si="5"/>
        <v/>
      </c>
      <c r="S28" s="46" t="str">
        <f t="shared" ca="1" si="6"/>
        <v/>
      </c>
      <c r="T28" s="46" t="str">
        <f t="shared" ca="1" si="7"/>
        <v/>
      </c>
      <c r="U28" s="46" t="str">
        <f t="shared" ca="1" si="8"/>
        <v/>
      </c>
      <c r="V28" s="46" t="str">
        <f t="shared" ca="1" si="9"/>
        <v/>
      </c>
      <c r="W28" s="46" t="str">
        <f t="shared" ca="1" si="10"/>
        <v/>
      </c>
      <c r="X28" s="46" t="str">
        <f t="shared" ca="1" si="11"/>
        <v/>
      </c>
      <c r="Y28" s="22">
        <f t="shared" ca="1" si="12"/>
        <v>0</v>
      </c>
      <c r="Z28" s="22">
        <f t="shared" ca="1" si="13"/>
        <v>0</v>
      </c>
      <c r="AA28" s="22"/>
    </row>
    <row r="29" spans="1:27" ht="15" thickBot="1" x14ac:dyDescent="0.25">
      <c r="A29" s="47">
        <f>'Analytical Data'!A25</f>
        <v>0</v>
      </c>
      <c r="B29" s="36"/>
      <c r="C29" s="36"/>
      <c r="D29" s="114" t="e">
        <f ca="1">IF('Leaching Mechanism'!B24="Diffusion",PRODUCT(Uxy!$E26,Uxy!$F26,Uxy!$G26,Uxy!$H26,Uxy!$I26,Uxy!$J26)^(1/(D$6-D$5+1)),"")</f>
        <v>#DIV/0!</v>
      </c>
      <c r="E29" s="114" t="e">
        <f ca="1">IF('Leaching Mechanism'!C24="Diffusion",PRODUCT(Uxy!$H26,Uxy!$I26,Uxy!$J26,Uxy!$K26)^(1/(1+E$6-E$5)),"")</f>
        <v>#DIV/0!</v>
      </c>
      <c r="F29" s="114" t="e">
        <f ca="1">IF('Leaching Mechanism'!D24="Diffusion",PRODUCT(Uxy!$G26,Uxy!$H26,Uxy!$I26,Uxy!$J26)^(1/(1+F$6-F$5)),"")</f>
        <v>#DIV/0!</v>
      </c>
      <c r="G29" s="114" t="e">
        <f ca="1">IF('Leaching Mechanism'!E24="Diffusion",PRODUCT(Uxy!$F26,Uxy!$G26,Uxy!$H26,Uxy!$I26)^(1/(1+G$6-G$5)),"")</f>
        <v>#DIV/0!</v>
      </c>
      <c r="H29" s="114" t="e">
        <f ca="1">IF('Leaching Mechanism'!F24="Diffusion",PRODUCT(Uxy!$E26,Uxy!$F26,Uxy!$G26,Uxy!$H26)^(1/(1+H$6-H$5)),"")</f>
        <v>#DIV/0!</v>
      </c>
      <c r="I29" s="114" t="e">
        <f ca="1">IF('Leaching Mechanism'!G24="Diffusion",PRODUCT(Uxy!$D26,Uxy!$E26,Uxy!$F26,Uxy!$G26)^(1/(1+I$6-I$5)),"")</f>
        <v>#DIV/0!</v>
      </c>
      <c r="J29" s="22"/>
      <c r="K29" s="22"/>
      <c r="L29" s="22"/>
      <c r="M29" s="46" t="str">
        <f t="shared" ca="1" si="0"/>
        <v/>
      </c>
      <c r="N29" s="46" t="str">
        <f t="shared" ca="1" si="1"/>
        <v/>
      </c>
      <c r="O29" s="46" t="str">
        <f t="shared" ca="1" si="2"/>
        <v/>
      </c>
      <c r="P29" s="46" t="str">
        <f t="shared" ca="1" si="3"/>
        <v/>
      </c>
      <c r="Q29" s="46" t="str">
        <f t="shared" ca="1" si="4"/>
        <v/>
      </c>
      <c r="R29" s="46" t="str">
        <f t="shared" ca="1" si="5"/>
        <v/>
      </c>
      <c r="S29" s="46" t="str">
        <f t="shared" ca="1" si="6"/>
        <v/>
      </c>
      <c r="T29" s="46" t="str">
        <f t="shared" ca="1" si="7"/>
        <v/>
      </c>
      <c r="U29" s="46" t="str">
        <f t="shared" ca="1" si="8"/>
        <v/>
      </c>
      <c r="V29" s="46" t="str">
        <f t="shared" ca="1" si="9"/>
        <v/>
      </c>
      <c r="W29" s="46" t="str">
        <f t="shared" ca="1" si="10"/>
        <v/>
      </c>
      <c r="X29" s="46" t="str">
        <f t="shared" ca="1" si="11"/>
        <v/>
      </c>
      <c r="Y29" s="22">
        <f t="shared" ca="1" si="12"/>
        <v>0</v>
      </c>
      <c r="Z29" s="22">
        <f t="shared" ca="1" si="13"/>
        <v>0</v>
      </c>
      <c r="AA29" s="22"/>
    </row>
    <row r="30" spans="1:27" ht="15" thickBot="1" x14ac:dyDescent="0.25">
      <c r="A30" s="47">
        <f>'Analytical Data'!A26</f>
        <v>0</v>
      </c>
      <c r="B30" s="36"/>
      <c r="C30" s="36"/>
      <c r="D30" s="114" t="e">
        <f ca="1">IF('Leaching Mechanism'!B25="Diffusion",PRODUCT(Uxy!$E27,Uxy!$F27,Uxy!$G27,Uxy!$H27,Uxy!$I27,Uxy!$J27)^(1/(D$6-D$5+1)),"")</f>
        <v>#DIV/0!</v>
      </c>
      <c r="E30" s="114" t="e">
        <f ca="1">IF('Leaching Mechanism'!C25="Diffusion",PRODUCT(Uxy!$H27,Uxy!$I27,Uxy!$J27,Uxy!$K27)^(1/(1+E$6-E$5)),"")</f>
        <v>#DIV/0!</v>
      </c>
      <c r="F30" s="114" t="e">
        <f ca="1">IF('Leaching Mechanism'!D25="Diffusion",PRODUCT(Uxy!$G27,Uxy!$H27,Uxy!$I27,Uxy!$J27)^(1/(1+F$6-F$5)),"")</f>
        <v>#DIV/0!</v>
      </c>
      <c r="G30" s="114" t="e">
        <f ca="1">IF('Leaching Mechanism'!E25="Diffusion",PRODUCT(Uxy!$F27,Uxy!$G27,Uxy!$H27,Uxy!$I27)^(1/(1+G$6-G$5)),"")</f>
        <v>#DIV/0!</v>
      </c>
      <c r="H30" s="114" t="e">
        <f ca="1">IF('Leaching Mechanism'!F25="Diffusion",PRODUCT(Uxy!$E27,Uxy!$F27,Uxy!$G27,Uxy!$H27)^(1/(1+H$6-H$5)),"")</f>
        <v>#DIV/0!</v>
      </c>
      <c r="I30" s="114" t="e">
        <f ca="1">IF('Leaching Mechanism'!G25="Diffusion",PRODUCT(Uxy!$D27,Uxy!$E27,Uxy!$F27,Uxy!$G27)^(1/(1+I$6-I$5)),"")</f>
        <v>#DIV/0!</v>
      </c>
      <c r="J30" s="22"/>
      <c r="K30" s="22"/>
      <c r="L30" s="22"/>
      <c r="M30" s="46" t="str">
        <f t="shared" ca="1" si="0"/>
        <v/>
      </c>
      <c r="N30" s="46" t="str">
        <f t="shared" ca="1" si="1"/>
        <v/>
      </c>
      <c r="O30" s="46" t="str">
        <f t="shared" ca="1" si="2"/>
        <v/>
      </c>
      <c r="P30" s="46" t="str">
        <f t="shared" ca="1" si="3"/>
        <v/>
      </c>
      <c r="Q30" s="46" t="str">
        <f t="shared" ca="1" si="4"/>
        <v/>
      </c>
      <c r="R30" s="46" t="str">
        <f t="shared" ca="1" si="5"/>
        <v/>
      </c>
      <c r="S30" s="46" t="str">
        <f t="shared" ca="1" si="6"/>
        <v/>
      </c>
      <c r="T30" s="46" t="str">
        <f t="shared" ca="1" si="7"/>
        <v/>
      </c>
      <c r="U30" s="46" t="str">
        <f t="shared" ca="1" si="8"/>
        <v/>
      </c>
      <c r="V30" s="46" t="str">
        <f t="shared" ca="1" si="9"/>
        <v/>
      </c>
      <c r="W30" s="46" t="str">
        <f t="shared" ca="1" si="10"/>
        <v/>
      </c>
      <c r="X30" s="46" t="str">
        <f t="shared" ca="1" si="11"/>
        <v/>
      </c>
      <c r="Y30" s="22">
        <f t="shared" ca="1" si="12"/>
        <v>0</v>
      </c>
      <c r="Z30" s="22">
        <f t="shared" ca="1" si="13"/>
        <v>0</v>
      </c>
      <c r="AA30" s="22"/>
    </row>
    <row r="31" spans="1:27" ht="15" thickBot="1" x14ac:dyDescent="0.25">
      <c r="A31" s="47">
        <f>'Analytical Data'!A27</f>
        <v>0</v>
      </c>
      <c r="B31" s="36"/>
      <c r="C31" s="36"/>
      <c r="D31" s="114" t="e">
        <f ca="1">IF('Leaching Mechanism'!B26="Diffusion",PRODUCT(Uxy!$E28,Uxy!$F28,Uxy!$G28,Uxy!$H28,Uxy!$I28,Uxy!$J28)^(1/(D$6-D$5+1)),"")</f>
        <v>#DIV/0!</v>
      </c>
      <c r="E31" s="114" t="e">
        <f ca="1">IF('Leaching Mechanism'!C26="Diffusion",PRODUCT(Uxy!$H28,Uxy!$I28,Uxy!$J28,Uxy!$K28)^(1/(1+E$6-E$5)),"")</f>
        <v>#DIV/0!</v>
      </c>
      <c r="F31" s="114" t="e">
        <f ca="1">IF('Leaching Mechanism'!D26="Diffusion",PRODUCT(Uxy!$G28,Uxy!$H28,Uxy!$I28,Uxy!$J28)^(1/(1+F$6-F$5)),"")</f>
        <v>#DIV/0!</v>
      </c>
      <c r="G31" s="114" t="e">
        <f ca="1">IF('Leaching Mechanism'!E26="Diffusion",PRODUCT(Uxy!$F28,Uxy!$G28,Uxy!$H28,Uxy!$I28)^(1/(1+G$6-G$5)),"")</f>
        <v>#DIV/0!</v>
      </c>
      <c r="H31" s="114" t="e">
        <f ca="1">IF('Leaching Mechanism'!F26="Diffusion",PRODUCT(Uxy!$E28,Uxy!$F28,Uxy!$G28,Uxy!$H28)^(1/(1+H$6-H$5)),"")</f>
        <v>#DIV/0!</v>
      </c>
      <c r="I31" s="114" t="e">
        <f ca="1">IF('Leaching Mechanism'!G26="Diffusion",PRODUCT(Uxy!$D28,Uxy!$E28,Uxy!$F28,Uxy!$G28)^(1/(1+I$6-I$5)),"")</f>
        <v>#DIV/0!</v>
      </c>
      <c r="J31" s="22"/>
      <c r="K31" s="22"/>
      <c r="L31" s="22"/>
      <c r="M31" s="46" t="str">
        <f t="shared" ca="1" si="0"/>
        <v/>
      </c>
      <c r="N31" s="46" t="str">
        <f t="shared" ca="1" si="1"/>
        <v/>
      </c>
      <c r="O31" s="46" t="str">
        <f t="shared" ca="1" si="2"/>
        <v/>
      </c>
      <c r="P31" s="46" t="str">
        <f t="shared" ca="1" si="3"/>
        <v/>
      </c>
      <c r="Q31" s="46" t="str">
        <f t="shared" ca="1" si="4"/>
        <v/>
      </c>
      <c r="R31" s="46" t="str">
        <f t="shared" ca="1" si="5"/>
        <v/>
      </c>
      <c r="S31" s="46" t="str">
        <f t="shared" ca="1" si="6"/>
        <v/>
      </c>
      <c r="T31" s="46" t="str">
        <f t="shared" ca="1" si="7"/>
        <v/>
      </c>
      <c r="U31" s="46" t="str">
        <f t="shared" ca="1" si="8"/>
        <v/>
      </c>
      <c r="V31" s="46" t="str">
        <f t="shared" ca="1" si="9"/>
        <v/>
      </c>
      <c r="W31" s="46" t="str">
        <f t="shared" ca="1" si="10"/>
        <v/>
      </c>
      <c r="X31" s="46" t="str">
        <f t="shared" ca="1" si="11"/>
        <v/>
      </c>
      <c r="Y31" s="22">
        <f t="shared" ca="1" si="12"/>
        <v>0</v>
      </c>
      <c r="Z31" s="22">
        <f t="shared" ca="1" si="13"/>
        <v>0</v>
      </c>
      <c r="AA31" s="22"/>
    </row>
    <row r="32" spans="1:27" ht="15" thickBot="1" x14ac:dyDescent="0.25">
      <c r="A32" s="47">
        <f>'Analytical Data'!A28</f>
        <v>0</v>
      </c>
      <c r="B32" s="36"/>
      <c r="C32" s="36"/>
      <c r="D32" s="114" t="e">
        <f ca="1">IF('Leaching Mechanism'!B27="Diffusion",PRODUCT(Uxy!$E29,Uxy!$F29,Uxy!$G29,Uxy!$H29,Uxy!$I29,Uxy!$J29)^(1/(D$6-D$5+1)),"")</f>
        <v>#DIV/0!</v>
      </c>
      <c r="E32" s="114" t="e">
        <f ca="1">IF('Leaching Mechanism'!C27="Diffusion",PRODUCT(Uxy!$H29,Uxy!$I29,Uxy!$J29,Uxy!$K29)^(1/(1+E$6-E$5)),"")</f>
        <v>#DIV/0!</v>
      </c>
      <c r="F32" s="114" t="e">
        <f ca="1">IF('Leaching Mechanism'!D27="Diffusion",PRODUCT(Uxy!$G29,Uxy!$H29,Uxy!$I29,Uxy!$J29)^(1/(1+F$6-F$5)),"")</f>
        <v>#DIV/0!</v>
      </c>
      <c r="G32" s="114" t="e">
        <f ca="1">IF('Leaching Mechanism'!E27="Diffusion",PRODUCT(Uxy!$F29,Uxy!$G29,Uxy!$H29,Uxy!$I29)^(1/(1+G$6-G$5)),"")</f>
        <v>#DIV/0!</v>
      </c>
      <c r="H32" s="114" t="e">
        <f ca="1">IF('Leaching Mechanism'!F27="Diffusion",PRODUCT(Uxy!$E29,Uxy!$F29,Uxy!$G29,Uxy!$H29)^(1/(1+H$6-H$5)),"")</f>
        <v>#DIV/0!</v>
      </c>
      <c r="I32" s="114" t="e">
        <f ca="1">IF('Leaching Mechanism'!G27="Diffusion",PRODUCT(Uxy!$D29,Uxy!$E29,Uxy!$F29,Uxy!$G29)^(1/(1+I$6-I$5)),"")</f>
        <v>#DIV/0!</v>
      </c>
      <c r="J32" s="22"/>
      <c r="K32" s="22"/>
      <c r="L32" s="22"/>
      <c r="M32" s="46" t="str">
        <f t="shared" ca="1" si="0"/>
        <v/>
      </c>
      <c r="N32" s="46" t="str">
        <f t="shared" ca="1" si="1"/>
        <v/>
      </c>
      <c r="O32" s="46" t="str">
        <f t="shared" ca="1" si="2"/>
        <v/>
      </c>
      <c r="P32" s="46" t="str">
        <f t="shared" ca="1" si="3"/>
        <v/>
      </c>
      <c r="Q32" s="46" t="str">
        <f t="shared" ca="1" si="4"/>
        <v/>
      </c>
      <c r="R32" s="46" t="str">
        <f t="shared" ca="1" si="5"/>
        <v/>
      </c>
      <c r="S32" s="46" t="str">
        <f t="shared" ca="1" si="6"/>
        <v/>
      </c>
      <c r="T32" s="46" t="str">
        <f t="shared" ca="1" si="7"/>
        <v/>
      </c>
      <c r="U32" s="46" t="str">
        <f t="shared" ca="1" si="8"/>
        <v/>
      </c>
      <c r="V32" s="46" t="str">
        <f t="shared" ca="1" si="9"/>
        <v/>
      </c>
      <c r="W32" s="46" t="str">
        <f t="shared" ca="1" si="10"/>
        <v/>
      </c>
      <c r="X32" s="46" t="str">
        <f t="shared" ca="1" si="11"/>
        <v/>
      </c>
      <c r="Y32" s="22">
        <f t="shared" ca="1" si="12"/>
        <v>0</v>
      </c>
      <c r="Z32" s="22">
        <f t="shared" ca="1" si="13"/>
        <v>0</v>
      </c>
      <c r="AA32" s="22"/>
    </row>
    <row r="33" spans="1:27" ht="15" thickBot="1" x14ac:dyDescent="0.25">
      <c r="A33" s="47">
        <f>'Analytical Data'!A29</f>
        <v>0</v>
      </c>
      <c r="B33" s="38"/>
      <c r="C33" s="38"/>
      <c r="D33" s="114" t="e">
        <f ca="1">IF('Leaching Mechanism'!B28="Diffusion",PRODUCT(Uxy!$E30,Uxy!$F30,Uxy!$G30,Uxy!$H30,Uxy!$I30,Uxy!$J30)^(1/(D$6-D$5+1)),"")</f>
        <v>#DIV/0!</v>
      </c>
      <c r="E33" s="114" t="e">
        <f ca="1">IF('Leaching Mechanism'!C28="Diffusion",PRODUCT(Uxy!$H30,Uxy!$I30,Uxy!$J30,Uxy!$K30)^(1/(1+E$6-E$5)),"")</f>
        <v>#DIV/0!</v>
      </c>
      <c r="F33" s="114" t="e">
        <f ca="1">IF('Leaching Mechanism'!D28="Diffusion",PRODUCT(Uxy!$G30,Uxy!$H30,Uxy!$I30,Uxy!$J30)^(1/(1+F$6-F$5)),"")</f>
        <v>#DIV/0!</v>
      </c>
      <c r="G33" s="114" t="e">
        <f ca="1">IF('Leaching Mechanism'!E28="Diffusion",PRODUCT(Uxy!$F30,Uxy!$G30,Uxy!$H30,Uxy!$I30)^(1/(1+G$6-G$5)),"")</f>
        <v>#DIV/0!</v>
      </c>
      <c r="H33" s="114" t="e">
        <f ca="1">IF('Leaching Mechanism'!F28="Diffusion",PRODUCT(Uxy!$E30,Uxy!$F30,Uxy!$G30,Uxy!$H30)^(1/(1+H$6-H$5)),"")</f>
        <v>#DIV/0!</v>
      </c>
      <c r="I33" s="114" t="e">
        <f ca="1">IF('Leaching Mechanism'!G28="Diffusion",PRODUCT(Uxy!$D30,Uxy!$E30,Uxy!$F30,Uxy!$G30)^(1/(1+I$6-I$5)),"")</f>
        <v>#DIV/0!</v>
      </c>
      <c r="J33" s="22"/>
      <c r="K33" s="22"/>
      <c r="L33" s="22"/>
      <c r="M33" s="46" t="str">
        <f t="shared" ca="1" si="0"/>
        <v/>
      </c>
      <c r="N33" s="46" t="str">
        <f t="shared" ca="1" si="1"/>
        <v/>
      </c>
      <c r="O33" s="46" t="str">
        <f t="shared" ca="1" si="2"/>
        <v/>
      </c>
      <c r="P33" s="46" t="str">
        <f t="shared" ca="1" si="3"/>
        <v/>
      </c>
      <c r="Q33" s="46" t="str">
        <f t="shared" ca="1" si="4"/>
        <v/>
      </c>
      <c r="R33" s="46" t="str">
        <f t="shared" ca="1" si="5"/>
        <v/>
      </c>
      <c r="S33" s="46" t="str">
        <f t="shared" ca="1" si="6"/>
        <v/>
      </c>
      <c r="T33" s="46" t="str">
        <f t="shared" ca="1" si="7"/>
        <v/>
      </c>
      <c r="U33" s="46" t="str">
        <f t="shared" ca="1" si="8"/>
        <v/>
      </c>
      <c r="V33" s="46" t="str">
        <f t="shared" ca="1" si="9"/>
        <v/>
      </c>
      <c r="W33" s="46" t="str">
        <f t="shared" ca="1" si="10"/>
        <v/>
      </c>
      <c r="X33" s="46" t="str">
        <f t="shared" ca="1" si="11"/>
        <v/>
      </c>
      <c r="Y33" s="22">
        <f t="shared" ca="1" si="12"/>
        <v>0</v>
      </c>
      <c r="Z33" s="22">
        <f t="shared" ca="1" si="13"/>
        <v>0</v>
      </c>
      <c r="AA33" s="22"/>
    </row>
    <row r="34" spans="1:27" ht="15" thickBot="1" x14ac:dyDescent="0.25">
      <c r="A34" s="47">
        <f>'Analytical Data'!A30</f>
        <v>0</v>
      </c>
      <c r="B34" s="36"/>
      <c r="C34" s="36"/>
      <c r="D34" s="114" t="e">
        <f ca="1">IF('Leaching Mechanism'!B29="Diffusion",PRODUCT(Uxy!$E31,Uxy!$F31,Uxy!$G31,Uxy!$H31,Uxy!$I31,Uxy!$J31)^(1/(D$6-D$5+1)),"")</f>
        <v>#DIV/0!</v>
      </c>
      <c r="E34" s="114" t="e">
        <f ca="1">IF('Leaching Mechanism'!C29="Diffusion",PRODUCT(Uxy!$H31,Uxy!$I31,Uxy!$J31,Uxy!$K31)^(1/(1+E$6-E$5)),"")</f>
        <v>#DIV/0!</v>
      </c>
      <c r="F34" s="114" t="e">
        <f ca="1">IF('Leaching Mechanism'!D29="Diffusion",PRODUCT(Uxy!$G31,Uxy!$H31,Uxy!$I31,Uxy!$J31)^(1/(1+F$6-F$5)),"")</f>
        <v>#DIV/0!</v>
      </c>
      <c r="G34" s="114" t="e">
        <f ca="1">IF('Leaching Mechanism'!E29="Diffusion",PRODUCT(Uxy!$F31,Uxy!$G31,Uxy!$H31,Uxy!$I31)^(1/(1+G$6-G$5)),"")</f>
        <v>#DIV/0!</v>
      </c>
      <c r="H34" s="114" t="e">
        <f ca="1">IF('Leaching Mechanism'!F29="Diffusion",PRODUCT(Uxy!$E31,Uxy!$F31,Uxy!$G31,Uxy!$H31)^(1/(1+H$6-H$5)),"")</f>
        <v>#DIV/0!</v>
      </c>
      <c r="I34" s="114" t="e">
        <f ca="1">IF('Leaching Mechanism'!G29="Diffusion",PRODUCT(Uxy!$D31,Uxy!$E31,Uxy!$F31,Uxy!$G31)^(1/(1+I$6-I$5)),"")</f>
        <v>#DIV/0!</v>
      </c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</row>
    <row r="35" spans="1:27" ht="15" thickBot="1" x14ac:dyDescent="0.25">
      <c r="A35" s="47">
        <f>'Analytical Data'!A31</f>
        <v>0</v>
      </c>
      <c r="D35" s="114" t="e">
        <f ca="1">IF('Leaching Mechanism'!B30="Diffusion",PRODUCT(Uxy!$E32,Uxy!$F32,Uxy!$G32,Uxy!$H32,Uxy!$I32,Uxy!$J32)^(1/(D$6-D$5+1)),"")</f>
        <v>#DIV/0!</v>
      </c>
      <c r="E35" s="114" t="e">
        <f ca="1">IF('Leaching Mechanism'!C30="Diffusion",PRODUCT(Uxy!$H32,Uxy!$I32,Uxy!$J32,Uxy!$K32)^(1/(1+E$6-E$5)),"")</f>
        <v>#DIV/0!</v>
      </c>
      <c r="F35" s="114" t="e">
        <f ca="1">IF('Leaching Mechanism'!D30="Diffusion",PRODUCT(Uxy!$G32,Uxy!$H32,Uxy!$I32,Uxy!$J32)^(1/(1+F$6-F$5)),"")</f>
        <v>#DIV/0!</v>
      </c>
      <c r="G35" s="114" t="e">
        <f ca="1">IF('Leaching Mechanism'!E30="Diffusion",PRODUCT(Uxy!$F32,Uxy!$G32,Uxy!$H32,Uxy!$I32)^(1/(1+G$6-G$5)),"")</f>
        <v>#DIV/0!</v>
      </c>
      <c r="H35" s="114" t="e">
        <f ca="1">IF('Leaching Mechanism'!F30="Diffusion",PRODUCT(Uxy!$E32,Uxy!$F32,Uxy!$G32,Uxy!$H32)^(1/(1+H$6-H$5)),"")</f>
        <v>#DIV/0!</v>
      </c>
      <c r="I35" s="114" t="e">
        <f ca="1">IF('Leaching Mechanism'!G30="Diffusion",PRODUCT(Uxy!$D32,Uxy!$E32,Uxy!$F32,Uxy!$G32)^(1/(1+I$6-I$5)),"")</f>
        <v>#DIV/0!</v>
      </c>
    </row>
    <row r="36" spans="1:27" ht="15" thickBot="1" x14ac:dyDescent="0.25">
      <c r="A36" s="47">
        <f>'Analytical Data'!A32</f>
        <v>0</v>
      </c>
      <c r="D36" s="114" t="e">
        <f ca="1">IF('Leaching Mechanism'!B31="Diffusion",PRODUCT(Uxy!$E33,Uxy!$F33,Uxy!$G33,Uxy!$H33,Uxy!$I33,Uxy!$J33)^(1/(D$6-D$5+1)),"")</f>
        <v>#DIV/0!</v>
      </c>
      <c r="E36" s="114" t="e">
        <f ca="1">IF('Leaching Mechanism'!C31="Diffusion",PRODUCT(Uxy!$H33,Uxy!$I33,Uxy!$J33,Uxy!$K33)^(1/(1+E$6-E$5)),"")</f>
        <v>#DIV/0!</v>
      </c>
      <c r="F36" s="114" t="e">
        <f ca="1">IF('Leaching Mechanism'!D31="Diffusion",PRODUCT(Uxy!$G33,Uxy!$H33,Uxy!$I33,Uxy!$J33)^(1/(1+F$6-F$5)),"")</f>
        <v>#DIV/0!</v>
      </c>
      <c r="G36" s="114" t="e">
        <f ca="1">IF('Leaching Mechanism'!E31="Diffusion",PRODUCT(Uxy!$F33,Uxy!$G33,Uxy!$H33,Uxy!$I33)^(1/(1+G$6-G$5)),"")</f>
        <v>#DIV/0!</v>
      </c>
      <c r="H36" s="114" t="e">
        <f ca="1">IF('Leaching Mechanism'!F31="Diffusion",PRODUCT(Uxy!$E33,Uxy!$F33,Uxy!$G33,Uxy!$H33)^(1/(1+H$6-H$5)),"")</f>
        <v>#DIV/0!</v>
      </c>
      <c r="I36" s="114" t="e">
        <f ca="1">IF('Leaching Mechanism'!G31="Diffusion",PRODUCT(Uxy!$D33,Uxy!$E33,Uxy!$F33,Uxy!$G33)^(1/(1+I$6-I$5)),"")</f>
        <v>#DIV/0!</v>
      </c>
    </row>
    <row r="37" spans="1:27" ht="15" thickBot="1" x14ac:dyDescent="0.25">
      <c r="A37" s="47">
        <f>'Analytical Data'!A33</f>
        <v>0</v>
      </c>
      <c r="D37" s="114" t="e">
        <f ca="1">IF('Leaching Mechanism'!B32="Diffusion",PRODUCT(Uxy!$E34,Uxy!$F34,Uxy!$G34,Uxy!$H34,Uxy!$I34,Uxy!$J34)^(1/(D$6-D$5+1)),"")</f>
        <v>#DIV/0!</v>
      </c>
      <c r="E37" s="114" t="e">
        <f ca="1">IF('Leaching Mechanism'!C32="Diffusion",PRODUCT(Uxy!$H34,Uxy!$I34,Uxy!$J34,Uxy!$K34)^(1/(1+E$6-E$5)),"")</f>
        <v>#DIV/0!</v>
      </c>
      <c r="F37" s="114" t="e">
        <f ca="1">IF('Leaching Mechanism'!D32="Diffusion",PRODUCT(Uxy!$G34,Uxy!$H34,Uxy!$I34,Uxy!$J34)^(1/(1+F$6-F$5)),"")</f>
        <v>#DIV/0!</v>
      </c>
      <c r="G37" s="114" t="e">
        <f ca="1">IF('Leaching Mechanism'!E32="Diffusion",PRODUCT(Uxy!$F34,Uxy!$G34,Uxy!$H34,Uxy!$I34)^(1/(1+G$6-G$5)),"")</f>
        <v>#DIV/0!</v>
      </c>
      <c r="H37" s="114" t="e">
        <f ca="1">IF('Leaching Mechanism'!F32="Diffusion",PRODUCT(Uxy!$E34,Uxy!$F34,Uxy!$G34,Uxy!$H34)^(1/(1+H$6-H$5)),"")</f>
        <v>#DIV/0!</v>
      </c>
      <c r="I37" s="114" t="e">
        <f ca="1">IF('Leaching Mechanism'!G32="Diffusion",PRODUCT(Uxy!$D34,Uxy!$E34,Uxy!$F34,Uxy!$G34)^(1/(1+I$6-I$5)),"")</f>
        <v>#DIV/0!</v>
      </c>
    </row>
    <row r="38" spans="1:27" ht="15" thickBot="1" x14ac:dyDescent="0.25">
      <c r="A38" s="47">
        <f>'Analytical Data'!A34</f>
        <v>0</v>
      </c>
      <c r="D38" s="114" t="e">
        <f ca="1">IF('Leaching Mechanism'!B33="Diffusion",PRODUCT(Uxy!$E35,Uxy!$F35,Uxy!$G35,Uxy!$H35,Uxy!$I35,Uxy!$J35)^(1/(D$6-D$5+1)),"")</f>
        <v>#DIV/0!</v>
      </c>
      <c r="E38" s="114" t="e">
        <f ca="1">IF('Leaching Mechanism'!C33="Diffusion",PRODUCT(Uxy!$H35,Uxy!$I35,Uxy!$J35,Uxy!$K35)^(1/(1+E$6-E$5)),"")</f>
        <v>#DIV/0!</v>
      </c>
      <c r="F38" s="114" t="e">
        <f ca="1">IF('Leaching Mechanism'!D33="Diffusion",PRODUCT(Uxy!$G35,Uxy!$H35,Uxy!$I35,Uxy!$J35)^(1/(1+F$6-F$5)),"")</f>
        <v>#DIV/0!</v>
      </c>
      <c r="G38" s="114" t="e">
        <f ca="1">IF('Leaching Mechanism'!E33="Diffusion",PRODUCT(Uxy!$F35,Uxy!$G35,Uxy!$H35,Uxy!$I35)^(1/(1+G$6-G$5)),"")</f>
        <v>#DIV/0!</v>
      </c>
      <c r="H38" s="114" t="e">
        <f ca="1">IF('Leaching Mechanism'!F33="Diffusion",PRODUCT(Uxy!$E35,Uxy!$F35,Uxy!$G35,Uxy!$H35)^(1/(1+H$6-H$5)),"")</f>
        <v>#DIV/0!</v>
      </c>
      <c r="I38" s="114" t="e">
        <f ca="1">IF('Leaching Mechanism'!G33="Diffusion",PRODUCT(Uxy!$D35,Uxy!$E35,Uxy!$F35,Uxy!$G35)^(1/(1+I$6-I$5)),"")</f>
        <v>#DIV/0!</v>
      </c>
    </row>
    <row r="39" spans="1:27" ht="15" thickBot="1" x14ac:dyDescent="0.25">
      <c r="A39" s="47">
        <f>'Analytical Data'!A35</f>
        <v>0</v>
      </c>
      <c r="D39" s="114" t="e">
        <f ca="1">IF('Leaching Mechanism'!B34="Diffusion",PRODUCT(Uxy!$E36,Uxy!$F36,Uxy!$G36,Uxy!$H36,Uxy!$I36,Uxy!$J36)^(1/(D$6-D$5+1)),"")</f>
        <v>#DIV/0!</v>
      </c>
      <c r="E39" s="114" t="e">
        <f ca="1">IF('Leaching Mechanism'!C34="Diffusion",PRODUCT(Uxy!$H36,Uxy!$I36,Uxy!$J36,Uxy!$K36)^(1/(1+E$6-E$5)),"")</f>
        <v>#DIV/0!</v>
      </c>
      <c r="F39" s="114" t="e">
        <f ca="1">IF('Leaching Mechanism'!D34="Diffusion",PRODUCT(Uxy!$G36,Uxy!$H36,Uxy!$I36,Uxy!$J36)^(1/(1+F$6-F$5)),"")</f>
        <v>#DIV/0!</v>
      </c>
      <c r="G39" s="114" t="e">
        <f ca="1">IF('Leaching Mechanism'!E34="Diffusion",PRODUCT(Uxy!$F36,Uxy!$G36,Uxy!$H36,Uxy!$I36)^(1/(1+G$6-G$5)),"")</f>
        <v>#DIV/0!</v>
      </c>
      <c r="H39" s="114" t="e">
        <f ca="1">IF('Leaching Mechanism'!F34="Diffusion",PRODUCT(Uxy!$E36,Uxy!$F36,Uxy!$G36,Uxy!$H36)^(1/(1+H$6-H$5)),"")</f>
        <v>#DIV/0!</v>
      </c>
      <c r="I39" s="114" t="e">
        <f ca="1">IF('Leaching Mechanism'!G34="Diffusion",PRODUCT(Uxy!$D36,Uxy!$E36,Uxy!$F36,Uxy!$G36)^(1/(1+I$6-I$5)),"")</f>
        <v>#DIV/0!</v>
      </c>
    </row>
    <row r="40" spans="1:27" ht="15" thickBot="1" x14ac:dyDescent="0.25">
      <c r="A40" s="47">
        <f>'Analytical Data'!A36</f>
        <v>0</v>
      </c>
      <c r="D40" s="114" t="e">
        <f ca="1">IF('Leaching Mechanism'!B35="Diffusion",PRODUCT(Uxy!$E37,Uxy!$F37,Uxy!$G37,Uxy!$H37,Uxy!$I37,Uxy!$J37)^(1/(D$6-D$5+1)),"")</f>
        <v>#DIV/0!</v>
      </c>
      <c r="E40" s="114" t="e">
        <f ca="1">IF('Leaching Mechanism'!C35="Diffusion",PRODUCT(Uxy!$H37,Uxy!$I37,Uxy!$J37,Uxy!$K37)^(1/(1+E$6-E$5)),"")</f>
        <v>#DIV/0!</v>
      </c>
      <c r="F40" s="114" t="e">
        <f ca="1">IF('Leaching Mechanism'!D35="Diffusion",PRODUCT(Uxy!$G37,Uxy!$H37,Uxy!$I37,Uxy!$J37)^(1/(1+F$6-F$5)),"")</f>
        <v>#DIV/0!</v>
      </c>
      <c r="G40" s="114" t="e">
        <f ca="1">IF('Leaching Mechanism'!E35="Diffusion",PRODUCT(Uxy!$F37,Uxy!$G37,Uxy!$H37,Uxy!$I37)^(1/(1+G$6-G$5)),"")</f>
        <v>#DIV/0!</v>
      </c>
      <c r="H40" s="114" t="e">
        <f ca="1">IF('Leaching Mechanism'!F35="Diffusion",PRODUCT(Uxy!$E37,Uxy!$F37,Uxy!$G37,Uxy!$H37)^(1/(1+H$6-H$5)),"")</f>
        <v>#DIV/0!</v>
      </c>
      <c r="I40" s="114" t="e">
        <f ca="1">IF('Leaching Mechanism'!G35="Diffusion",PRODUCT(Uxy!$D37,Uxy!$E37,Uxy!$F37,Uxy!$G37)^(1/(1+I$6-I$5)),"")</f>
        <v>#DIV/0!</v>
      </c>
    </row>
    <row r="41" spans="1:27" ht="15" thickBot="1" x14ac:dyDescent="0.25">
      <c r="A41" s="47">
        <f>'Analytical Data'!A37</f>
        <v>0</v>
      </c>
      <c r="D41" s="114" t="e">
        <f ca="1">IF('Leaching Mechanism'!B36="Diffusion",PRODUCT(Uxy!$E38,Uxy!$F38,Uxy!$G38,Uxy!$H38,Uxy!$I38,Uxy!$J38)^(1/(D$6-D$5+1)),"")</f>
        <v>#DIV/0!</v>
      </c>
      <c r="E41" s="114" t="e">
        <f ca="1">IF('Leaching Mechanism'!C36="Diffusion",PRODUCT(Uxy!$H38,Uxy!$I38,Uxy!$J38,Uxy!$K38)^(1/(1+E$6-E$5)),"")</f>
        <v>#DIV/0!</v>
      </c>
      <c r="F41" s="114" t="e">
        <f ca="1">IF('Leaching Mechanism'!D36="Diffusion",PRODUCT(Uxy!$G38,Uxy!$H38,Uxy!$I38,Uxy!$J38)^(1/(1+F$6-F$5)),"")</f>
        <v>#DIV/0!</v>
      </c>
      <c r="G41" s="114" t="e">
        <f ca="1">IF('Leaching Mechanism'!E36="Diffusion",PRODUCT(Uxy!$F38,Uxy!$G38,Uxy!$H38,Uxy!$I38)^(1/(1+G$6-G$5)),"")</f>
        <v>#DIV/0!</v>
      </c>
      <c r="H41" s="114" t="e">
        <f ca="1">IF('Leaching Mechanism'!F36="Diffusion",PRODUCT(Uxy!$E38,Uxy!$F38,Uxy!$G38,Uxy!$H38)^(1/(1+H$6-H$5)),"")</f>
        <v>#DIV/0!</v>
      </c>
      <c r="I41" s="114" t="e">
        <f ca="1">IF('Leaching Mechanism'!G36="Diffusion",PRODUCT(Uxy!$D38,Uxy!$E38,Uxy!$F38,Uxy!$G38)^(1/(1+I$6-I$5)),"")</f>
        <v>#DIV/0!</v>
      </c>
    </row>
    <row r="42" spans="1:27" ht="15" thickBot="1" x14ac:dyDescent="0.25">
      <c r="A42" s="47">
        <f>'Analytical Data'!A38</f>
        <v>0</v>
      </c>
      <c r="D42" s="114" t="e">
        <f ca="1">IF('Leaching Mechanism'!B37="Diffusion",PRODUCT(Uxy!$E39,Uxy!$F39,Uxy!$G39,Uxy!$H39,Uxy!$I39,Uxy!$J39)^(1/(D$6-D$5+1)),"")</f>
        <v>#DIV/0!</v>
      </c>
      <c r="E42" s="114" t="e">
        <f ca="1">IF('Leaching Mechanism'!C37="Diffusion",PRODUCT(Uxy!$H39,Uxy!$I39,Uxy!$J39,Uxy!$K39)^(1/(1+E$6-E$5)),"")</f>
        <v>#DIV/0!</v>
      </c>
      <c r="F42" s="114" t="e">
        <f ca="1">IF('Leaching Mechanism'!D37="Diffusion",PRODUCT(Uxy!$G39,Uxy!$H39,Uxy!$I39,Uxy!$J39)^(1/(1+F$6-F$5)),"")</f>
        <v>#DIV/0!</v>
      </c>
      <c r="G42" s="114" t="e">
        <f ca="1">IF('Leaching Mechanism'!E37="Diffusion",PRODUCT(Uxy!$F39,Uxy!$G39,Uxy!$H39,Uxy!$I39)^(1/(1+G$6-G$5)),"")</f>
        <v>#DIV/0!</v>
      </c>
      <c r="H42" s="114" t="e">
        <f ca="1">IF('Leaching Mechanism'!F37="Diffusion",PRODUCT(Uxy!$E39,Uxy!$F39,Uxy!$G39,Uxy!$H39)^(1/(1+H$6-H$5)),"")</f>
        <v>#DIV/0!</v>
      </c>
      <c r="I42" s="114" t="e">
        <f ca="1">IF('Leaching Mechanism'!G37="Diffusion",PRODUCT(Uxy!$D39,Uxy!$E39,Uxy!$F39,Uxy!$G39)^(1/(1+I$6-I$5)),"")</f>
        <v>#DIV/0!</v>
      </c>
      <c r="L42" s="22"/>
    </row>
    <row r="43" spans="1:27" ht="15" thickBot="1" x14ac:dyDescent="0.25">
      <c r="A43" s="47">
        <f>'Analytical Data'!A39</f>
        <v>0</v>
      </c>
      <c r="D43" s="114" t="e">
        <f ca="1">IF('Leaching Mechanism'!B38="Diffusion",PRODUCT(Uxy!$E40,Uxy!$F40,Uxy!$G40,Uxy!$H40,Uxy!$I40,Uxy!$J40)^(1/(D$6-D$5+1)),"")</f>
        <v>#DIV/0!</v>
      </c>
      <c r="E43" s="114" t="e">
        <f ca="1">IF('Leaching Mechanism'!C38="Diffusion",PRODUCT(Uxy!$H40,Uxy!$I40,Uxy!$J40,Uxy!$K40)^(1/(1+E$6-E$5)),"")</f>
        <v>#DIV/0!</v>
      </c>
      <c r="F43" s="114" t="e">
        <f ca="1">IF('Leaching Mechanism'!D38="Diffusion",PRODUCT(Uxy!$G40,Uxy!$H40,Uxy!$I40,Uxy!$J40)^(1/(1+F$6-F$5)),"")</f>
        <v>#DIV/0!</v>
      </c>
      <c r="G43" s="114" t="e">
        <f ca="1">IF('Leaching Mechanism'!E38="Diffusion",PRODUCT(Uxy!$F40,Uxy!$G40,Uxy!$H40,Uxy!$I40)^(1/(1+G$6-G$5)),"")</f>
        <v>#DIV/0!</v>
      </c>
      <c r="H43" s="114" t="e">
        <f ca="1">IF('Leaching Mechanism'!F38="Diffusion",PRODUCT(Uxy!$E40,Uxy!$F40,Uxy!$G40,Uxy!$H40)^(1/(1+H$6-H$5)),"")</f>
        <v>#DIV/0!</v>
      </c>
      <c r="I43" s="114" t="e">
        <f ca="1">IF('Leaching Mechanism'!G38="Diffusion",PRODUCT(Uxy!$D40,Uxy!$E40,Uxy!$F40,Uxy!$G40)^(1/(1+I$6-I$5)),"")</f>
        <v>#DIV/0!</v>
      </c>
      <c r="L43" s="22"/>
    </row>
    <row r="44" spans="1:27" ht="15" thickBot="1" x14ac:dyDescent="0.25">
      <c r="A44" s="47">
        <f>'Analytical Data'!A40</f>
        <v>0</v>
      </c>
      <c r="D44" s="114" t="e">
        <f ca="1">IF('Leaching Mechanism'!B39="Diffusion",PRODUCT(Uxy!$E41,Uxy!$F41,Uxy!$G41,Uxy!$H41,Uxy!$I41,Uxy!$J41)^(1/(D$6-D$5+1)),"")</f>
        <v>#DIV/0!</v>
      </c>
      <c r="E44" s="114" t="e">
        <f ca="1">IF('Leaching Mechanism'!C39="Diffusion",PRODUCT(Uxy!$H41,Uxy!$I41,Uxy!$J41,Uxy!$K41)^(1/(1+E$6-E$5)),"")</f>
        <v>#DIV/0!</v>
      </c>
      <c r="F44" s="114" t="e">
        <f ca="1">IF('Leaching Mechanism'!D39="Diffusion",PRODUCT(Uxy!$G41,Uxy!$H41,Uxy!$I41,Uxy!$J41)^(1/(1+F$6-F$5)),"")</f>
        <v>#DIV/0!</v>
      </c>
      <c r="G44" s="114" t="e">
        <f ca="1">IF('Leaching Mechanism'!E39="Diffusion",PRODUCT(Uxy!$F41,Uxy!$G41,Uxy!$H41,Uxy!$I41)^(1/(1+G$6-G$5)),"")</f>
        <v>#DIV/0!</v>
      </c>
      <c r="H44" s="114" t="e">
        <f ca="1">IF('Leaching Mechanism'!F39="Diffusion",PRODUCT(Uxy!$E41,Uxy!$F41,Uxy!$G41,Uxy!$H41)^(1/(1+H$6-H$5)),"")</f>
        <v>#DIV/0!</v>
      </c>
      <c r="I44" s="114" t="e">
        <f ca="1">IF('Leaching Mechanism'!G39="Diffusion",PRODUCT(Uxy!$D41,Uxy!$E41,Uxy!$F41,Uxy!$G41)^(1/(1+I$6-I$5)),"")</f>
        <v>#DIV/0!</v>
      </c>
      <c r="L44" s="22"/>
    </row>
    <row r="45" spans="1:27" ht="15" thickBot="1" x14ac:dyDescent="0.25">
      <c r="A45" s="47">
        <f>'Analytical Data'!A41</f>
        <v>0</v>
      </c>
      <c r="D45" s="114" t="e">
        <f ca="1">IF('Leaching Mechanism'!B40="Diffusion",PRODUCT(Uxy!$E42,Uxy!$F42,Uxy!$G42,Uxy!$H42,Uxy!$I42,Uxy!$J42)^(1/(D$6-D$5+1)),"")</f>
        <v>#DIV/0!</v>
      </c>
      <c r="E45" s="114" t="e">
        <f ca="1">IF('Leaching Mechanism'!C40="Diffusion",PRODUCT(Uxy!$H42,Uxy!$I42,Uxy!$J42,Uxy!$K42)^(1/(1+E$6-E$5)),"")</f>
        <v>#DIV/0!</v>
      </c>
      <c r="F45" s="114" t="e">
        <f ca="1">IF('Leaching Mechanism'!D40="Diffusion",PRODUCT(Uxy!$G42,Uxy!$H42,Uxy!$I42,Uxy!$J42)^(1/(1+F$6-F$5)),"")</f>
        <v>#DIV/0!</v>
      </c>
      <c r="G45" s="114" t="e">
        <f ca="1">IF('Leaching Mechanism'!E40="Diffusion",PRODUCT(Uxy!$F42,Uxy!$G42,Uxy!$H42,Uxy!$I42)^(1/(1+G$6-G$5)),"")</f>
        <v>#DIV/0!</v>
      </c>
      <c r="H45" s="114" t="e">
        <f ca="1">IF('Leaching Mechanism'!F40="Diffusion",PRODUCT(Uxy!$E42,Uxy!$F42,Uxy!$G42,Uxy!$H42)^(1/(1+H$6-H$5)),"")</f>
        <v>#DIV/0!</v>
      </c>
      <c r="I45" s="114" t="e">
        <f ca="1">IF('Leaching Mechanism'!G40="Diffusion",PRODUCT(Uxy!$D42,Uxy!$E42,Uxy!$F42,Uxy!$G42)^(1/(1+I$6-I$5)),"")</f>
        <v>#DIV/0!</v>
      </c>
      <c r="L45" s="22"/>
    </row>
    <row r="46" spans="1:27" ht="15" thickBot="1" x14ac:dyDescent="0.25">
      <c r="A46" s="47">
        <f>'Analytical Data'!A42</f>
        <v>0</v>
      </c>
      <c r="D46" s="114" t="e">
        <f ca="1">IF('Leaching Mechanism'!B41="Diffusion",PRODUCT(Uxy!$E43,Uxy!$F43,Uxy!$G43,Uxy!$H43,Uxy!$I43,Uxy!$J43)^(1/(D$6-D$5+1)),"")</f>
        <v>#DIV/0!</v>
      </c>
      <c r="E46" s="114" t="e">
        <f ca="1">IF('Leaching Mechanism'!C41="Diffusion",PRODUCT(Uxy!$H43,Uxy!$I43,Uxy!$J43,Uxy!$K43)^(1/(1+E$6-E$5)),"")</f>
        <v>#DIV/0!</v>
      </c>
      <c r="F46" s="114" t="e">
        <f ca="1">IF('Leaching Mechanism'!D41="Diffusion",PRODUCT(Uxy!$G43,Uxy!$H43,Uxy!$I43,Uxy!$J43)^(1/(1+F$6-F$5)),"")</f>
        <v>#DIV/0!</v>
      </c>
      <c r="G46" s="114" t="e">
        <f ca="1">IF('Leaching Mechanism'!E41="Diffusion",PRODUCT(Uxy!$F43,Uxy!$G43,Uxy!$H43,Uxy!$I43)^(1/(1+G$6-G$5)),"")</f>
        <v>#DIV/0!</v>
      </c>
      <c r="H46" s="114" t="e">
        <f ca="1">IF('Leaching Mechanism'!F41="Diffusion",PRODUCT(Uxy!$E43,Uxy!$F43,Uxy!$G43,Uxy!$H43)^(1/(1+H$6-H$5)),"")</f>
        <v>#DIV/0!</v>
      </c>
      <c r="I46" s="114" t="e">
        <f ca="1">IF('Leaching Mechanism'!G41="Diffusion",PRODUCT(Uxy!$D43,Uxy!$E43,Uxy!$F43,Uxy!$G43)^(1/(1+I$6-I$5)),"")</f>
        <v>#DIV/0!</v>
      </c>
      <c r="L46" s="22"/>
    </row>
    <row r="47" spans="1:27" ht="15" thickBot="1" x14ac:dyDescent="0.25">
      <c r="A47" s="47">
        <f>'Analytical Data'!A43</f>
        <v>0</v>
      </c>
      <c r="D47" s="114" t="e">
        <f ca="1">IF('Leaching Mechanism'!B42="Diffusion",PRODUCT(Uxy!$E44,Uxy!$F44,Uxy!$G44,Uxy!$H44,Uxy!$I44,Uxy!$J44)^(1/(D$6-D$5+1)),"")</f>
        <v>#DIV/0!</v>
      </c>
      <c r="E47" s="114" t="e">
        <f ca="1">IF('Leaching Mechanism'!C42="Diffusion",PRODUCT(Uxy!$H44,Uxy!$I44,Uxy!$J44,Uxy!$K44)^(1/(1+E$6-E$5)),"")</f>
        <v>#DIV/0!</v>
      </c>
      <c r="F47" s="114" t="e">
        <f ca="1">IF('Leaching Mechanism'!D42="Diffusion",PRODUCT(Uxy!$G44,Uxy!$H44,Uxy!$I44,Uxy!$J44)^(1/(1+F$6-F$5)),"")</f>
        <v>#DIV/0!</v>
      </c>
      <c r="G47" s="114" t="e">
        <f ca="1">IF('Leaching Mechanism'!E42="Diffusion",PRODUCT(Uxy!$F44,Uxy!$G44,Uxy!$H44,Uxy!$I44)^(1/(1+G$6-G$5)),"")</f>
        <v>#DIV/0!</v>
      </c>
      <c r="H47" s="114" t="e">
        <f ca="1">IF('Leaching Mechanism'!F42="Diffusion",PRODUCT(Uxy!$E44,Uxy!$F44,Uxy!$G44,Uxy!$H44)^(1/(1+H$6-H$5)),"")</f>
        <v>#DIV/0!</v>
      </c>
      <c r="I47" s="114" t="e">
        <f ca="1">IF('Leaching Mechanism'!G42="Diffusion",PRODUCT(Uxy!$D44,Uxy!$E44,Uxy!$F44,Uxy!$G44)^(1/(1+I$6-I$5)),"")</f>
        <v>#DIV/0!</v>
      </c>
      <c r="L47" s="22"/>
    </row>
    <row r="48" spans="1:27" ht="15" thickBot="1" x14ac:dyDescent="0.25">
      <c r="A48" s="47">
        <f>'Analytical Data'!A44</f>
        <v>0</v>
      </c>
      <c r="D48" s="114" t="e">
        <f ca="1">IF('Leaching Mechanism'!B43="Diffusion",PRODUCT(Uxy!$E45,Uxy!$F45,Uxy!$G45,Uxy!$H45,Uxy!$I45,Uxy!$J45)^(1/(D$6-D$5+1)),"")</f>
        <v>#DIV/0!</v>
      </c>
      <c r="E48" s="114" t="e">
        <f ca="1">IF('Leaching Mechanism'!C43="Diffusion",PRODUCT(Uxy!$H45,Uxy!$I45,Uxy!$J45,Uxy!$K45)^(1/(1+E$6-E$5)),"")</f>
        <v>#DIV/0!</v>
      </c>
      <c r="F48" s="114" t="e">
        <f ca="1">IF('Leaching Mechanism'!D43="Diffusion",PRODUCT(Uxy!$G45,Uxy!$H45,Uxy!$I45,Uxy!$J45)^(1/(1+F$6-F$5)),"")</f>
        <v>#DIV/0!</v>
      </c>
      <c r="G48" s="114" t="e">
        <f ca="1">IF('Leaching Mechanism'!E43="Diffusion",PRODUCT(Uxy!$F45,Uxy!$G45,Uxy!$H45,Uxy!$I45)^(1/(1+G$6-G$5)),"")</f>
        <v>#DIV/0!</v>
      </c>
      <c r="H48" s="114" t="e">
        <f ca="1">IF('Leaching Mechanism'!F43="Diffusion",PRODUCT(Uxy!$E45,Uxy!$F45,Uxy!$G45,Uxy!$H45)^(1/(1+H$6-H$5)),"")</f>
        <v>#DIV/0!</v>
      </c>
      <c r="I48" s="114" t="e">
        <f ca="1">IF('Leaching Mechanism'!G43="Diffusion",PRODUCT(Uxy!$D45,Uxy!$E45,Uxy!$F45,Uxy!$G45)^(1/(1+I$6-I$5)),"")</f>
        <v>#DIV/0!</v>
      </c>
      <c r="L48" s="22"/>
    </row>
    <row r="49" spans="1:12" ht="15" thickBot="1" x14ac:dyDescent="0.25">
      <c r="A49" s="47">
        <f>'Analytical Data'!A45</f>
        <v>0</v>
      </c>
      <c r="D49" s="114" t="e">
        <f ca="1">IF('Leaching Mechanism'!B44="Diffusion",PRODUCT(Uxy!$E46,Uxy!$F46,Uxy!$G46,Uxy!$H46,Uxy!$I46,Uxy!$J46)^(1/(D$6-D$5+1)),"")</f>
        <v>#DIV/0!</v>
      </c>
      <c r="E49" s="114" t="e">
        <f ca="1">IF('Leaching Mechanism'!C44="Diffusion",PRODUCT(Uxy!$H46,Uxy!$I46,Uxy!$J46,Uxy!$K46)^(1/(1+E$6-E$5)),"")</f>
        <v>#DIV/0!</v>
      </c>
      <c r="F49" s="114" t="e">
        <f ca="1">IF('Leaching Mechanism'!D44="Diffusion",PRODUCT(Uxy!$G46,Uxy!$H46,Uxy!$I46,Uxy!$J46)^(1/(1+F$6-F$5)),"")</f>
        <v>#DIV/0!</v>
      </c>
      <c r="G49" s="114" t="e">
        <f ca="1">IF('Leaching Mechanism'!E44="Diffusion",PRODUCT(Uxy!$F46,Uxy!$G46,Uxy!$H46,Uxy!$I46)^(1/(1+G$6-G$5)),"")</f>
        <v>#DIV/0!</v>
      </c>
      <c r="H49" s="114" t="e">
        <f ca="1">IF('Leaching Mechanism'!F44="Diffusion",PRODUCT(Uxy!$E46,Uxy!$F46,Uxy!$G46,Uxy!$H46)^(1/(1+H$6-H$5)),"")</f>
        <v>#DIV/0!</v>
      </c>
      <c r="I49" s="114" t="e">
        <f ca="1">IF('Leaching Mechanism'!G44="Diffusion",PRODUCT(Uxy!$D46,Uxy!$E46,Uxy!$F46,Uxy!$G46)^(1/(1+I$6-I$5)),"")</f>
        <v>#DIV/0!</v>
      </c>
      <c r="L49" s="22"/>
    </row>
    <row r="50" spans="1:12" ht="15" thickBot="1" x14ac:dyDescent="0.25">
      <c r="A50" s="47">
        <f>'Analytical Data'!A46</f>
        <v>0</v>
      </c>
      <c r="D50" s="114" t="e">
        <f ca="1">IF('Leaching Mechanism'!B45="Diffusion",PRODUCT(Uxy!$E47,Uxy!$F47,Uxy!$G47,Uxy!$H47,Uxy!$I47,Uxy!$J47)^(1/(D$6-D$5+1)),"")</f>
        <v>#DIV/0!</v>
      </c>
      <c r="E50" s="114" t="e">
        <f ca="1">IF('Leaching Mechanism'!C45="Diffusion",PRODUCT(Uxy!$H47,Uxy!$I47,Uxy!$J47,Uxy!$K47)^(1/(1+E$6-E$5)),"")</f>
        <v>#DIV/0!</v>
      </c>
      <c r="F50" s="114" t="e">
        <f ca="1">IF('Leaching Mechanism'!D45="Diffusion",PRODUCT(Uxy!$G47,Uxy!$H47,Uxy!$I47,Uxy!$J47)^(1/(1+F$6-F$5)),"")</f>
        <v>#DIV/0!</v>
      </c>
      <c r="G50" s="114" t="e">
        <f ca="1">IF('Leaching Mechanism'!E45="Diffusion",PRODUCT(Uxy!$F47,Uxy!$G47,Uxy!$H47,Uxy!$I47)^(1/(1+G$6-G$5)),"")</f>
        <v>#DIV/0!</v>
      </c>
      <c r="H50" s="114" t="e">
        <f ca="1">IF('Leaching Mechanism'!F45="Diffusion",PRODUCT(Uxy!$E47,Uxy!$F47,Uxy!$G47,Uxy!$H47)^(1/(1+H$6-H$5)),"")</f>
        <v>#DIV/0!</v>
      </c>
      <c r="I50" s="114" t="e">
        <f ca="1">IF('Leaching Mechanism'!G45="Diffusion",PRODUCT(Uxy!$D47,Uxy!$E47,Uxy!$F47,Uxy!$G47)^(1/(1+I$6-I$5)),"")</f>
        <v>#DIV/0!</v>
      </c>
      <c r="L50" s="22"/>
    </row>
    <row r="51" spans="1:12" ht="15" thickBot="1" x14ac:dyDescent="0.25">
      <c r="A51" s="47">
        <f>'Analytical Data'!A47</f>
        <v>0</v>
      </c>
      <c r="D51" s="114" t="e">
        <f ca="1">IF('Leaching Mechanism'!B46="Diffusion",PRODUCT(Uxy!$E48,Uxy!$F48,Uxy!$G48,Uxy!$H48,Uxy!$I48,Uxy!$J48)^(1/(D$6-D$5+1)),"")</f>
        <v>#DIV/0!</v>
      </c>
      <c r="E51" s="114" t="e">
        <f ca="1">IF('Leaching Mechanism'!C46="Diffusion",PRODUCT(Uxy!$H48,Uxy!$I48,Uxy!$J48,Uxy!$K48)^(1/(1+E$6-E$5)),"")</f>
        <v>#DIV/0!</v>
      </c>
      <c r="F51" s="114" t="e">
        <f ca="1">IF('Leaching Mechanism'!D46="Diffusion",PRODUCT(Uxy!$G48,Uxy!$H48,Uxy!$I48,Uxy!$J48)^(1/(1+F$6-F$5)),"")</f>
        <v>#DIV/0!</v>
      </c>
      <c r="G51" s="114" t="e">
        <f ca="1">IF('Leaching Mechanism'!E46="Diffusion",PRODUCT(Uxy!$F48,Uxy!$G48,Uxy!$H48,Uxy!$I48)^(1/(1+G$6-G$5)),"")</f>
        <v>#DIV/0!</v>
      </c>
      <c r="H51" s="114" t="e">
        <f ca="1">IF('Leaching Mechanism'!F46="Diffusion",PRODUCT(Uxy!$E48,Uxy!$F48,Uxy!$G48,Uxy!$H48)^(1/(1+H$6-H$5)),"")</f>
        <v>#DIV/0!</v>
      </c>
      <c r="I51" s="114" t="e">
        <f ca="1">IF('Leaching Mechanism'!G46="Diffusion",PRODUCT(Uxy!$D48,Uxy!$E48,Uxy!$F48,Uxy!$G48)^(1/(1+I$6-I$5)),"")</f>
        <v>#DIV/0!</v>
      </c>
      <c r="L51" s="22"/>
    </row>
    <row r="52" spans="1:12" ht="15" thickBot="1" x14ac:dyDescent="0.25">
      <c r="A52" s="47">
        <f>'Analytical Data'!A48</f>
        <v>0</v>
      </c>
      <c r="D52" s="114" t="e">
        <f ca="1">IF('Leaching Mechanism'!B47="Diffusion",PRODUCT(Uxy!$E49,Uxy!$F49,Uxy!$G49,Uxy!$H49,Uxy!$I49,Uxy!$J49)^(1/(D$6-D$5+1)),"")</f>
        <v>#DIV/0!</v>
      </c>
      <c r="E52" s="114" t="e">
        <f ca="1">IF('Leaching Mechanism'!C47="Diffusion",PRODUCT(Uxy!$H49,Uxy!$I49,Uxy!$J49,Uxy!$K49)^(1/(1+E$6-E$5)),"")</f>
        <v>#DIV/0!</v>
      </c>
      <c r="F52" s="114" t="e">
        <f ca="1">IF('Leaching Mechanism'!D47="Diffusion",PRODUCT(Uxy!$G49,Uxy!$H49,Uxy!$I49,Uxy!$J49)^(1/(1+F$6-F$5)),"")</f>
        <v>#DIV/0!</v>
      </c>
      <c r="G52" s="114" t="e">
        <f ca="1">IF('Leaching Mechanism'!E47="Diffusion",PRODUCT(Uxy!$F49,Uxy!$G49,Uxy!$H49,Uxy!$I49)^(1/(1+G$6-G$5)),"")</f>
        <v>#DIV/0!</v>
      </c>
      <c r="H52" s="114" t="e">
        <f ca="1">IF('Leaching Mechanism'!F47="Diffusion",PRODUCT(Uxy!$E49,Uxy!$F49,Uxy!$G49,Uxy!$H49)^(1/(1+H$6-H$5)),"")</f>
        <v>#DIV/0!</v>
      </c>
      <c r="I52" s="114" t="e">
        <f ca="1">IF('Leaching Mechanism'!G47="Diffusion",PRODUCT(Uxy!$D49,Uxy!$E49,Uxy!$F49,Uxy!$G49)^(1/(1+I$6-I$5)),"")</f>
        <v>#DIV/0!</v>
      </c>
      <c r="L52" s="22"/>
    </row>
    <row r="53" spans="1:12" ht="15" thickBot="1" x14ac:dyDescent="0.25">
      <c r="A53" s="47">
        <f>'Analytical Data'!A49</f>
        <v>0</v>
      </c>
      <c r="D53" s="114" t="e">
        <f ca="1">IF('Leaching Mechanism'!B48="Diffusion",PRODUCT(Uxy!$E50,Uxy!$F50,Uxy!$G50,Uxy!$H50,Uxy!$I50,Uxy!$J50)^(1/(D$6-D$5+1)),"")</f>
        <v>#DIV/0!</v>
      </c>
      <c r="E53" s="114" t="e">
        <f ca="1">IF('Leaching Mechanism'!C48="Diffusion",PRODUCT(Uxy!$H50,Uxy!$I50,Uxy!$J50,Uxy!$K50)^(1/(1+E$6-E$5)),"")</f>
        <v>#DIV/0!</v>
      </c>
      <c r="F53" s="114" t="e">
        <f ca="1">IF('Leaching Mechanism'!D48="Diffusion",PRODUCT(Uxy!$G50,Uxy!$H50,Uxy!$I50,Uxy!$J50)^(1/(1+F$6-F$5)),"")</f>
        <v>#DIV/0!</v>
      </c>
      <c r="G53" s="114" t="e">
        <f ca="1">IF('Leaching Mechanism'!E48="Diffusion",PRODUCT(Uxy!$F50,Uxy!$G50,Uxy!$H50,Uxy!$I50)^(1/(1+G$6-G$5)),"")</f>
        <v>#DIV/0!</v>
      </c>
      <c r="H53" s="114" t="e">
        <f ca="1">IF('Leaching Mechanism'!F48="Diffusion",PRODUCT(Uxy!$E50,Uxy!$F50,Uxy!$G50,Uxy!$H50)^(1/(1+H$6-H$5)),"")</f>
        <v>#DIV/0!</v>
      </c>
      <c r="I53" s="114" t="e">
        <f ca="1">IF('Leaching Mechanism'!G48="Diffusion",PRODUCT(Uxy!$D50,Uxy!$E50,Uxy!$F50,Uxy!$G50)^(1/(1+I$6-I$5)),"")</f>
        <v>#DIV/0!</v>
      </c>
      <c r="L53" s="22"/>
    </row>
    <row r="54" spans="1:12" ht="15" thickBot="1" x14ac:dyDescent="0.25">
      <c r="A54" s="47">
        <f>'Analytical Data'!A50</f>
        <v>0</v>
      </c>
      <c r="D54" s="114" t="e">
        <f ca="1">IF('Leaching Mechanism'!B49="Diffusion",PRODUCT(Uxy!$E51,Uxy!$F51,Uxy!$G51,Uxy!$H51,Uxy!$I51,Uxy!$J51)^(1/(D$6-D$5+1)),"")</f>
        <v>#DIV/0!</v>
      </c>
      <c r="E54" s="114" t="e">
        <f ca="1">IF('Leaching Mechanism'!C49="Diffusion",PRODUCT(Uxy!$H51,Uxy!$I51,Uxy!$J51,Uxy!$K51)^(1/(1+E$6-E$5)),"")</f>
        <v>#DIV/0!</v>
      </c>
      <c r="F54" s="114" t="e">
        <f ca="1">IF('Leaching Mechanism'!D49="Diffusion",PRODUCT(Uxy!$G51,Uxy!$H51,Uxy!$I51,Uxy!$J51)^(1/(1+F$6-F$5)),"")</f>
        <v>#DIV/0!</v>
      </c>
      <c r="G54" s="114" t="e">
        <f ca="1">IF('Leaching Mechanism'!E49="Diffusion",PRODUCT(Uxy!$F51,Uxy!$G51,Uxy!$H51,Uxy!$I51)^(1/(1+G$6-G$5)),"")</f>
        <v>#DIV/0!</v>
      </c>
      <c r="H54" s="114" t="e">
        <f ca="1">IF('Leaching Mechanism'!F49="Diffusion",PRODUCT(Uxy!$E51,Uxy!$F51,Uxy!$G51,Uxy!$H51)^(1/(1+H$6-H$5)),"")</f>
        <v>#DIV/0!</v>
      </c>
      <c r="I54" s="114" t="e">
        <f ca="1">IF('Leaching Mechanism'!G49="Diffusion",PRODUCT(Uxy!$D51,Uxy!$E51,Uxy!$F51,Uxy!$G51)^(1/(1+I$6-I$5)),"")</f>
        <v>#DIV/0!</v>
      </c>
      <c r="L54" s="22"/>
    </row>
    <row r="55" spans="1:12" ht="15" thickBot="1" x14ac:dyDescent="0.25">
      <c r="A55" s="47">
        <f>'Analytical Data'!A51</f>
        <v>0</v>
      </c>
      <c r="D55" s="114" t="e">
        <f ca="1">IF('Leaching Mechanism'!B50="Diffusion",PRODUCT(Uxy!$E52,Uxy!$F52,Uxy!$G52,Uxy!$H52,Uxy!$I52,Uxy!$J52)^(1/(D$6-D$5+1)),"")</f>
        <v>#DIV/0!</v>
      </c>
      <c r="E55" s="114" t="e">
        <f ca="1">IF('Leaching Mechanism'!C50="Diffusion",PRODUCT(Uxy!$H52,Uxy!$I52,Uxy!$J52,Uxy!$K52)^(1/(1+E$6-E$5)),"")</f>
        <v>#DIV/0!</v>
      </c>
      <c r="F55" s="114" t="e">
        <f ca="1">IF('Leaching Mechanism'!D50="Diffusion",PRODUCT(Uxy!$G52,Uxy!$H52,Uxy!$I52,Uxy!$J52)^(1/(1+F$6-F$5)),"")</f>
        <v>#DIV/0!</v>
      </c>
      <c r="G55" s="114" t="e">
        <f ca="1">IF('Leaching Mechanism'!E50="Diffusion",PRODUCT(Uxy!$F52,Uxy!$G52,Uxy!$H52,Uxy!$I52)^(1/(1+G$6-G$5)),"")</f>
        <v>#DIV/0!</v>
      </c>
      <c r="H55" s="114" t="e">
        <f ca="1">IF('Leaching Mechanism'!F50="Diffusion",PRODUCT(Uxy!$E52,Uxy!$F52,Uxy!$G52,Uxy!$H52)^(1/(1+H$6-H$5)),"")</f>
        <v>#DIV/0!</v>
      </c>
      <c r="I55" s="114" t="e">
        <f ca="1">IF('Leaching Mechanism'!G50="Diffusion",PRODUCT(Uxy!$D52,Uxy!$E52,Uxy!$F52,Uxy!$G52)^(1/(1+I$6-I$5)),"")</f>
        <v>#DIV/0!</v>
      </c>
      <c r="L55" s="22"/>
    </row>
    <row r="56" spans="1:12" ht="15" thickBot="1" x14ac:dyDescent="0.25">
      <c r="A56" s="47">
        <f>'Analytical Data'!A52</f>
        <v>0</v>
      </c>
      <c r="D56" s="114" t="e">
        <f ca="1">IF('Leaching Mechanism'!B51="Diffusion",PRODUCT(Uxy!$E53,Uxy!$F53,Uxy!$G53,Uxy!$H53,Uxy!$I53,Uxy!$J53)^(1/(D$6-D$5+1)),"")</f>
        <v>#DIV/0!</v>
      </c>
      <c r="E56" s="114" t="e">
        <f ca="1">IF('Leaching Mechanism'!C51="Diffusion",PRODUCT(Uxy!$H53,Uxy!$I53,Uxy!$J53,Uxy!$K53)^(1/(1+E$6-E$5)),"")</f>
        <v>#DIV/0!</v>
      </c>
      <c r="F56" s="114" t="e">
        <f ca="1">IF('Leaching Mechanism'!D51="Diffusion",PRODUCT(Uxy!$G53,Uxy!$H53,Uxy!$I53,Uxy!$J53)^(1/(1+F$6-F$5)),"")</f>
        <v>#DIV/0!</v>
      </c>
      <c r="G56" s="114" t="e">
        <f ca="1">IF('Leaching Mechanism'!E51="Diffusion",PRODUCT(Uxy!$F53,Uxy!$G53,Uxy!$H53,Uxy!$I53)^(1/(1+G$6-G$5)),"")</f>
        <v>#DIV/0!</v>
      </c>
      <c r="H56" s="114" t="e">
        <f ca="1">IF('Leaching Mechanism'!F51="Diffusion",PRODUCT(Uxy!$E53,Uxy!$F53,Uxy!$G53,Uxy!$H53)^(1/(1+H$6-H$5)),"")</f>
        <v>#DIV/0!</v>
      </c>
      <c r="I56" s="114" t="e">
        <f ca="1">IF('Leaching Mechanism'!G51="Diffusion",PRODUCT(Uxy!$D53,Uxy!$E53,Uxy!$F53,Uxy!$G53)^(1/(1+I$6-I$5)),"")</f>
        <v>#DIV/0!</v>
      </c>
      <c r="L56" s="22"/>
    </row>
    <row r="57" spans="1:12" ht="15" thickBot="1" x14ac:dyDescent="0.25">
      <c r="A57" s="47">
        <f>'Analytical Data'!A53</f>
        <v>0</v>
      </c>
      <c r="D57" s="114" t="e">
        <f ca="1">IF('Leaching Mechanism'!B52="Diffusion",PRODUCT(Uxy!$E54,Uxy!$F54,Uxy!$G54,Uxy!$H54,Uxy!$I54,Uxy!$J54)^(1/(D$6-D$5+1)),"")</f>
        <v>#DIV/0!</v>
      </c>
      <c r="E57" s="114" t="e">
        <f ca="1">IF('Leaching Mechanism'!C52="Diffusion",PRODUCT(Uxy!$H54,Uxy!$I54,Uxy!$J54,Uxy!$K54)^(1/(1+E$6-E$5)),"")</f>
        <v>#DIV/0!</v>
      </c>
      <c r="F57" s="114" t="e">
        <f ca="1">IF('Leaching Mechanism'!D52="Diffusion",PRODUCT(Uxy!$G54,Uxy!$H54,Uxy!$I54,Uxy!$J54)^(1/(1+F$6-F$5)),"")</f>
        <v>#DIV/0!</v>
      </c>
      <c r="G57" s="114" t="e">
        <f ca="1">IF('Leaching Mechanism'!E52="Diffusion",PRODUCT(Uxy!$F54,Uxy!$G54,Uxy!$H54,Uxy!$I54)^(1/(1+G$6-G$5)),"")</f>
        <v>#DIV/0!</v>
      </c>
      <c r="H57" s="114" t="e">
        <f ca="1">IF('Leaching Mechanism'!F52="Diffusion",PRODUCT(Uxy!$E54,Uxy!$F54,Uxy!$G54,Uxy!$H54)^(1/(1+H$6-H$5)),"")</f>
        <v>#DIV/0!</v>
      </c>
      <c r="I57" s="114" t="e">
        <f ca="1">IF('Leaching Mechanism'!G52="Diffusion",PRODUCT(Uxy!$D54,Uxy!$E54,Uxy!$F54,Uxy!$G54)^(1/(1+I$6-I$5)),"")</f>
        <v>#DIV/0!</v>
      </c>
      <c r="L57" s="22"/>
    </row>
    <row r="58" spans="1:12" ht="15" thickBot="1" x14ac:dyDescent="0.25">
      <c r="A58" s="47">
        <f>'Analytical Data'!A54</f>
        <v>0</v>
      </c>
      <c r="D58" s="114" t="e">
        <f ca="1">IF('Leaching Mechanism'!B53="Diffusion",PRODUCT(Uxy!$E55,Uxy!$F55,Uxy!$G55,Uxy!$H55,Uxy!$I55,Uxy!$J55)^(1/(D$6-D$5+1)),"")</f>
        <v>#DIV/0!</v>
      </c>
      <c r="E58" s="114" t="e">
        <f ca="1">IF('Leaching Mechanism'!C53="Diffusion",PRODUCT(Uxy!$H55,Uxy!$I55,Uxy!$J55,Uxy!$K55)^(1/(1+E$6-E$5)),"")</f>
        <v>#DIV/0!</v>
      </c>
      <c r="F58" s="114" t="e">
        <f ca="1">IF('Leaching Mechanism'!D53="Diffusion",PRODUCT(Uxy!$G55,Uxy!$H55,Uxy!$I55,Uxy!$J55)^(1/(1+F$6-F$5)),"")</f>
        <v>#DIV/0!</v>
      </c>
      <c r="G58" s="114" t="e">
        <f ca="1">IF('Leaching Mechanism'!E53="Diffusion",PRODUCT(Uxy!$F55,Uxy!$G55,Uxy!$H55,Uxy!$I55)^(1/(1+G$6-G$5)),"")</f>
        <v>#DIV/0!</v>
      </c>
      <c r="H58" s="114" t="e">
        <f ca="1">IF('Leaching Mechanism'!F53="Diffusion",PRODUCT(Uxy!$E55,Uxy!$F55,Uxy!$G55,Uxy!$H55)^(1/(1+H$6-H$5)),"")</f>
        <v>#DIV/0!</v>
      </c>
      <c r="I58" s="114" t="e">
        <f ca="1">IF('Leaching Mechanism'!G53="Diffusion",PRODUCT(Uxy!$D55,Uxy!$E55,Uxy!$F55,Uxy!$G55)^(1/(1+I$6-I$5)),"")</f>
        <v>#DIV/0!</v>
      </c>
      <c r="L58" s="22"/>
    </row>
    <row r="59" spans="1:12" ht="15" thickBot="1" x14ac:dyDescent="0.25">
      <c r="A59" s="47">
        <f>'Analytical Data'!A55</f>
        <v>0</v>
      </c>
      <c r="D59" s="114" t="e">
        <f ca="1">IF('Leaching Mechanism'!B54="Diffusion",PRODUCT(Uxy!$E56,Uxy!$F56,Uxy!$G56,Uxy!$H56,Uxy!$I56,Uxy!$J56)^(1/(D$6-D$5+1)),"")</f>
        <v>#DIV/0!</v>
      </c>
      <c r="E59" s="114" t="e">
        <f ca="1">IF('Leaching Mechanism'!C54="Diffusion",PRODUCT(Uxy!$H56,Uxy!$I56,Uxy!$J56,Uxy!$K56)^(1/(1+E$6-E$5)),"")</f>
        <v>#DIV/0!</v>
      </c>
      <c r="F59" s="114" t="e">
        <f ca="1">IF('Leaching Mechanism'!D54="Diffusion",PRODUCT(Uxy!$G56,Uxy!$H56,Uxy!$I56,Uxy!$J56)^(1/(1+F$6-F$5)),"")</f>
        <v>#DIV/0!</v>
      </c>
      <c r="G59" s="114" t="e">
        <f ca="1">IF('Leaching Mechanism'!E54="Diffusion",PRODUCT(Uxy!$F56,Uxy!$G56,Uxy!$H56,Uxy!$I56)^(1/(1+G$6-G$5)),"")</f>
        <v>#DIV/0!</v>
      </c>
      <c r="H59" s="114" t="e">
        <f ca="1">IF('Leaching Mechanism'!F54="Diffusion",PRODUCT(Uxy!$E56,Uxy!$F56,Uxy!$G56,Uxy!$H56)^(1/(1+H$6-H$5)),"")</f>
        <v>#DIV/0!</v>
      </c>
      <c r="I59" s="114" t="e">
        <f ca="1">IF('Leaching Mechanism'!G54="Diffusion",PRODUCT(Uxy!$D56,Uxy!$E56,Uxy!$F56,Uxy!$G56)^(1/(1+I$6-I$5)),"")</f>
        <v>#DIV/0!</v>
      </c>
      <c r="L59" s="22"/>
    </row>
    <row r="60" spans="1:12" ht="15" thickBot="1" x14ac:dyDescent="0.25">
      <c r="A60" s="47">
        <f>'Analytical Data'!A56</f>
        <v>0</v>
      </c>
      <c r="D60" s="114" t="e">
        <f ca="1">IF('Leaching Mechanism'!B55="Diffusion",PRODUCT(Uxy!$E57,Uxy!$F57,Uxy!$G57,Uxy!$H57,Uxy!$I57,Uxy!$J57)^(1/(D$6-D$5+1)),"")</f>
        <v>#DIV/0!</v>
      </c>
      <c r="E60" s="114" t="e">
        <f ca="1">IF('Leaching Mechanism'!C55="Diffusion",PRODUCT(Uxy!$H57,Uxy!$I57,Uxy!$J57,Uxy!$K57)^(1/(1+E$6-E$5)),"")</f>
        <v>#DIV/0!</v>
      </c>
      <c r="F60" s="114" t="e">
        <f ca="1">IF('Leaching Mechanism'!D55="Diffusion",PRODUCT(Uxy!$G57,Uxy!$H57,Uxy!$I57,Uxy!$J57)^(1/(1+F$6-F$5)),"")</f>
        <v>#DIV/0!</v>
      </c>
      <c r="G60" s="114" t="e">
        <f ca="1">IF('Leaching Mechanism'!E55="Diffusion",PRODUCT(Uxy!$F57,Uxy!$G57,Uxy!$H57,Uxy!$I57)^(1/(1+G$6-G$5)),"")</f>
        <v>#DIV/0!</v>
      </c>
      <c r="H60" s="114" t="e">
        <f ca="1">IF('Leaching Mechanism'!F55="Diffusion",PRODUCT(Uxy!$E57,Uxy!$F57,Uxy!$G57,Uxy!$H57)^(1/(1+H$6-H$5)),"")</f>
        <v>#DIV/0!</v>
      </c>
      <c r="I60" s="114" t="e">
        <f ca="1">IF('Leaching Mechanism'!G55="Diffusion",PRODUCT(Uxy!$D57,Uxy!$E57,Uxy!$F57,Uxy!$G57)^(1/(1+I$6-I$5)),"")</f>
        <v>#DIV/0!</v>
      </c>
      <c r="L60" s="22"/>
    </row>
    <row r="61" spans="1:12" ht="15" thickBot="1" x14ac:dyDescent="0.25">
      <c r="A61" s="47">
        <f>'Analytical Data'!A57</f>
        <v>0</v>
      </c>
      <c r="D61" s="114" t="e">
        <f ca="1">IF('Leaching Mechanism'!B56="Diffusion",PRODUCT(Uxy!$E58,Uxy!$F58,Uxy!$G58,Uxy!$H58,Uxy!$I58,Uxy!$J58)^(1/(D$6-D$5+1)),"")</f>
        <v>#DIV/0!</v>
      </c>
      <c r="E61" s="114" t="e">
        <f ca="1">IF('Leaching Mechanism'!C56="Diffusion",PRODUCT(Uxy!$H58,Uxy!$I58,Uxy!$J58,Uxy!$K58)^(1/(1+E$6-E$5)),"")</f>
        <v>#DIV/0!</v>
      </c>
      <c r="F61" s="114" t="e">
        <f ca="1">IF('Leaching Mechanism'!D56="Diffusion",PRODUCT(Uxy!$G58,Uxy!$H58,Uxy!$I58,Uxy!$J58)^(1/(1+F$6-F$5)),"")</f>
        <v>#DIV/0!</v>
      </c>
      <c r="G61" s="114" t="e">
        <f ca="1">IF('Leaching Mechanism'!E56="Diffusion",PRODUCT(Uxy!$F58,Uxy!$G58,Uxy!$H58,Uxy!$I58)^(1/(1+G$6-G$5)),"")</f>
        <v>#DIV/0!</v>
      </c>
      <c r="H61" s="114" t="e">
        <f ca="1">IF('Leaching Mechanism'!F56="Diffusion",PRODUCT(Uxy!$E58,Uxy!$F58,Uxy!$G58,Uxy!$H58)^(1/(1+H$6-H$5)),"")</f>
        <v>#DIV/0!</v>
      </c>
      <c r="I61" s="114" t="e">
        <f ca="1">IF('Leaching Mechanism'!G56="Diffusion",PRODUCT(Uxy!$D58,Uxy!$E58,Uxy!$F58,Uxy!$G58)^(1/(1+I$6-I$5)),"")</f>
        <v>#DIV/0!</v>
      </c>
      <c r="L61" s="22"/>
    </row>
    <row r="62" spans="1:12" ht="15" thickBot="1" x14ac:dyDescent="0.25">
      <c r="A62" s="47">
        <f>'Analytical Data'!A58</f>
        <v>0</v>
      </c>
      <c r="D62" s="114" t="e">
        <f ca="1">IF('Leaching Mechanism'!B57="Diffusion",PRODUCT(Uxy!$E59,Uxy!$F59,Uxy!$G59,Uxy!$H59,Uxy!$I59,Uxy!$J59)^(1/(D$6-D$5+1)),"")</f>
        <v>#DIV/0!</v>
      </c>
      <c r="E62" s="114" t="e">
        <f ca="1">IF('Leaching Mechanism'!C57="Diffusion",PRODUCT(Uxy!$H59,Uxy!$I59,Uxy!$J59,Uxy!$K59)^(1/(1+E$6-E$5)),"")</f>
        <v>#DIV/0!</v>
      </c>
      <c r="F62" s="114" t="e">
        <f ca="1">IF('Leaching Mechanism'!D57="Diffusion",PRODUCT(Uxy!$G59,Uxy!$H59,Uxy!$I59,Uxy!$J59)^(1/(1+F$6-F$5)),"")</f>
        <v>#DIV/0!</v>
      </c>
      <c r="G62" s="114" t="e">
        <f ca="1">IF('Leaching Mechanism'!E57="Diffusion",PRODUCT(Uxy!$F59,Uxy!$G59,Uxy!$H59,Uxy!$I59)^(1/(1+G$6-G$5)),"")</f>
        <v>#DIV/0!</v>
      </c>
      <c r="H62" s="114" t="e">
        <f ca="1">IF('Leaching Mechanism'!F57="Diffusion",PRODUCT(Uxy!$E59,Uxy!$F59,Uxy!$G59,Uxy!$H59)^(1/(1+H$6-H$5)),"")</f>
        <v>#DIV/0!</v>
      </c>
      <c r="I62" s="114" t="e">
        <f ca="1">IF('Leaching Mechanism'!G57="Diffusion",PRODUCT(Uxy!$D59,Uxy!$E59,Uxy!$F59,Uxy!$G59)^(1/(1+I$6-I$5)),"")</f>
        <v>#DIV/0!</v>
      </c>
      <c r="L62" s="22"/>
    </row>
    <row r="63" spans="1:12" ht="15" thickBot="1" x14ac:dyDescent="0.25">
      <c r="A63" s="47">
        <f>'Analytical Data'!A59</f>
        <v>0</v>
      </c>
      <c r="D63" s="114" t="e">
        <f ca="1">IF('Leaching Mechanism'!B58="Diffusion",PRODUCT(Uxy!$E60,Uxy!$F60,Uxy!$G60,Uxy!$H60,Uxy!$I60,Uxy!$J60)^(1/(D$6-D$5+1)),"")</f>
        <v>#DIV/0!</v>
      </c>
      <c r="E63" s="114" t="e">
        <f ca="1">IF('Leaching Mechanism'!C58="Diffusion",PRODUCT(Uxy!$H60,Uxy!$I60,Uxy!$J60,Uxy!$K60)^(1/(1+E$6-E$5)),"")</f>
        <v>#DIV/0!</v>
      </c>
      <c r="F63" s="114" t="e">
        <f ca="1">IF('Leaching Mechanism'!D58="Diffusion",PRODUCT(Uxy!$G60,Uxy!$H60,Uxy!$I60,Uxy!$J60)^(1/(1+F$6-F$5)),"")</f>
        <v>#DIV/0!</v>
      </c>
      <c r="G63" s="114" t="e">
        <f ca="1">IF('Leaching Mechanism'!E58="Diffusion",PRODUCT(Uxy!$F60,Uxy!$G60,Uxy!$H60,Uxy!$I60)^(1/(1+G$6-G$5)),"")</f>
        <v>#DIV/0!</v>
      </c>
      <c r="H63" s="114" t="e">
        <f ca="1">IF('Leaching Mechanism'!F58="Diffusion",PRODUCT(Uxy!$E60,Uxy!$F60,Uxy!$G60,Uxy!$H60)^(1/(1+H$6-H$5)),"")</f>
        <v>#DIV/0!</v>
      </c>
      <c r="I63" s="114" t="e">
        <f ca="1">IF('Leaching Mechanism'!G58="Diffusion",PRODUCT(Uxy!$D60,Uxy!$E60,Uxy!$F60,Uxy!$G60)^(1/(1+I$6-I$5)),"")</f>
        <v>#DIV/0!</v>
      </c>
      <c r="L63" s="22"/>
    </row>
    <row r="64" spans="1:12" ht="15" thickBot="1" x14ac:dyDescent="0.25">
      <c r="A64" s="47">
        <f>'Analytical Data'!A60</f>
        <v>0</v>
      </c>
      <c r="D64" s="114" t="e">
        <f ca="1">IF('Leaching Mechanism'!B59="Diffusion",PRODUCT(Uxy!$E61,Uxy!$F61,Uxy!$G61,Uxy!$H61,Uxy!$I61,Uxy!$J61)^(1/(D$6-D$5+1)),"")</f>
        <v>#DIV/0!</v>
      </c>
      <c r="E64" s="114" t="e">
        <f ca="1">IF('Leaching Mechanism'!C59="Diffusion",PRODUCT(Uxy!$H61,Uxy!$I61,Uxy!$J61,Uxy!$K61)^(1/(1+E$6-E$5)),"")</f>
        <v>#DIV/0!</v>
      </c>
      <c r="F64" s="114" t="e">
        <f ca="1">IF('Leaching Mechanism'!D59="Diffusion",PRODUCT(Uxy!$G61,Uxy!$H61,Uxy!$I61,Uxy!$J61)^(1/(1+F$6-F$5)),"")</f>
        <v>#DIV/0!</v>
      </c>
      <c r="G64" s="114" t="e">
        <f ca="1">IF('Leaching Mechanism'!E59="Diffusion",PRODUCT(Uxy!$F61,Uxy!$G61,Uxy!$H61,Uxy!$I61)^(1/(1+G$6-G$5)),"")</f>
        <v>#DIV/0!</v>
      </c>
      <c r="H64" s="114" t="e">
        <f ca="1">IF('Leaching Mechanism'!F59="Diffusion",PRODUCT(Uxy!$E61,Uxy!$F61,Uxy!$G61,Uxy!$H61)^(1/(1+H$6-H$5)),"")</f>
        <v>#DIV/0!</v>
      </c>
      <c r="I64" s="114" t="e">
        <f ca="1">IF('Leaching Mechanism'!G59="Diffusion",PRODUCT(Uxy!$D61,Uxy!$E61,Uxy!$F61,Uxy!$G61)^(1/(1+I$6-I$5)),"")</f>
        <v>#DIV/0!</v>
      </c>
      <c r="L64" s="22"/>
    </row>
    <row r="65" spans="1:12" ht="15" thickBot="1" x14ac:dyDescent="0.25">
      <c r="A65" s="47">
        <f>'Analytical Data'!A61</f>
        <v>0</v>
      </c>
      <c r="D65" s="114" t="e">
        <f ca="1">IF('Leaching Mechanism'!B60="Diffusion",PRODUCT(Uxy!$E62,Uxy!$F62,Uxy!$G62,Uxy!$H62,Uxy!$I62,Uxy!$J62)^(1/(D$6-D$5+1)),"")</f>
        <v>#DIV/0!</v>
      </c>
      <c r="E65" s="114" t="e">
        <f ca="1">IF('Leaching Mechanism'!C60="Diffusion",PRODUCT(Uxy!$H62,Uxy!$I62,Uxy!$J62,Uxy!$K62)^(1/(1+E$6-E$5)),"")</f>
        <v>#DIV/0!</v>
      </c>
      <c r="F65" s="114" t="e">
        <f ca="1">IF('Leaching Mechanism'!D60="Diffusion",PRODUCT(Uxy!$G62,Uxy!$H62,Uxy!$I62,Uxy!$J62)^(1/(1+F$6-F$5)),"")</f>
        <v>#DIV/0!</v>
      </c>
      <c r="G65" s="114" t="e">
        <f ca="1">IF('Leaching Mechanism'!E60="Diffusion",PRODUCT(Uxy!$F62,Uxy!$G62,Uxy!$H62,Uxy!$I62)^(1/(1+G$6-G$5)),"")</f>
        <v>#DIV/0!</v>
      </c>
      <c r="H65" s="114" t="e">
        <f ca="1">IF('Leaching Mechanism'!F60="Diffusion",PRODUCT(Uxy!$E62,Uxy!$F62,Uxy!$G62,Uxy!$H62)^(1/(1+H$6-H$5)),"")</f>
        <v>#DIV/0!</v>
      </c>
      <c r="I65" s="114" t="e">
        <f ca="1">IF('Leaching Mechanism'!G60="Diffusion",PRODUCT(Uxy!$D62,Uxy!$E62,Uxy!$F62,Uxy!$G62)^(1/(1+I$6-I$5)),"")</f>
        <v>#DIV/0!</v>
      </c>
      <c r="L65" s="22"/>
    </row>
    <row r="66" spans="1:12" ht="15" thickBot="1" x14ac:dyDescent="0.25">
      <c r="A66" s="47">
        <f>'Analytical Data'!A62</f>
        <v>0</v>
      </c>
      <c r="D66" s="114" t="e">
        <f ca="1">IF('Leaching Mechanism'!B61="Diffusion",PRODUCT(Uxy!$E63,Uxy!$F63,Uxy!$G63,Uxy!$H63,Uxy!$I63,Uxy!$J63)^(1/(D$6-D$5+1)),"")</f>
        <v>#DIV/0!</v>
      </c>
      <c r="E66" s="114" t="e">
        <f ca="1">IF('Leaching Mechanism'!C61="Diffusion",PRODUCT(Uxy!$H63,Uxy!$I63,Uxy!$J63,Uxy!$K63)^(1/(1+E$6-E$5)),"")</f>
        <v>#DIV/0!</v>
      </c>
      <c r="F66" s="114" t="e">
        <f ca="1">IF('Leaching Mechanism'!D61="Diffusion",PRODUCT(Uxy!$G63,Uxy!$H63,Uxy!$I63,Uxy!$J63)^(1/(1+F$6-F$5)),"")</f>
        <v>#DIV/0!</v>
      </c>
      <c r="G66" s="114" t="e">
        <f ca="1">IF('Leaching Mechanism'!E61="Diffusion",PRODUCT(Uxy!$F63,Uxy!$G63,Uxy!$H63,Uxy!$I63)^(1/(1+G$6-G$5)),"")</f>
        <v>#DIV/0!</v>
      </c>
      <c r="H66" s="114" t="e">
        <f ca="1">IF('Leaching Mechanism'!F61="Diffusion",PRODUCT(Uxy!$E63,Uxy!$F63,Uxy!$G63,Uxy!$H63)^(1/(1+H$6-H$5)),"")</f>
        <v>#DIV/0!</v>
      </c>
      <c r="I66" s="114" t="e">
        <f ca="1">IF('Leaching Mechanism'!G61="Diffusion",PRODUCT(Uxy!$D63,Uxy!$E63,Uxy!$F63,Uxy!$G63)^(1/(1+I$6-I$5)),"")</f>
        <v>#DIV/0!</v>
      </c>
    </row>
    <row r="67" spans="1:12" ht="15" thickBot="1" x14ac:dyDescent="0.25">
      <c r="A67" s="47">
        <f>'Analytical Data'!A63</f>
        <v>0</v>
      </c>
      <c r="D67" s="114" t="e">
        <f ca="1">IF('Leaching Mechanism'!B62="Diffusion",PRODUCT(Uxy!$E64,Uxy!$F64,Uxy!$G64,Uxy!$H64,Uxy!$I64,Uxy!$J64)^(1/(D$6-D$5+1)),"")</f>
        <v>#DIV/0!</v>
      </c>
      <c r="E67" s="114" t="e">
        <f ca="1">IF('Leaching Mechanism'!C62="Diffusion",PRODUCT(Uxy!$H64,Uxy!$I64,Uxy!$J64,Uxy!$K64)^(1/(1+E$6-E$5)),"")</f>
        <v>#DIV/0!</v>
      </c>
      <c r="F67" s="114" t="e">
        <f ca="1">IF('Leaching Mechanism'!D62="Diffusion",PRODUCT(Uxy!$G64,Uxy!$H64,Uxy!$I64,Uxy!$J64)^(1/(1+F$6-F$5)),"")</f>
        <v>#DIV/0!</v>
      </c>
      <c r="G67" s="114" t="e">
        <f ca="1">IF('Leaching Mechanism'!E62="Diffusion",PRODUCT(Uxy!$F64,Uxy!$G64,Uxy!$H64,Uxy!$I64)^(1/(1+G$6-G$5)),"")</f>
        <v>#DIV/0!</v>
      </c>
      <c r="H67" s="114" t="e">
        <f ca="1">IF('Leaching Mechanism'!F62="Diffusion",PRODUCT(Uxy!$E64,Uxy!$F64,Uxy!$G64,Uxy!$H64)^(1/(1+H$6-H$5)),"")</f>
        <v>#DIV/0!</v>
      </c>
      <c r="I67" s="114" t="e">
        <f ca="1">IF('Leaching Mechanism'!G62="Diffusion",PRODUCT(Uxy!$D64,Uxy!$E64,Uxy!$F64,Uxy!$G64)^(1/(1+I$6-I$5)),"")</f>
        <v>#DIV/0!</v>
      </c>
    </row>
    <row r="68" spans="1:12" ht="15" thickBot="1" x14ac:dyDescent="0.25">
      <c r="A68" s="47">
        <f>'Analytical Data'!A64</f>
        <v>0</v>
      </c>
      <c r="D68" s="114" t="e">
        <f ca="1">IF('Leaching Mechanism'!B63="Diffusion",PRODUCT(Uxy!$E65,Uxy!$F65,Uxy!$G65,Uxy!$H65,Uxy!$I65,Uxy!$J65)^(1/(D$6-D$5+1)),"")</f>
        <v>#DIV/0!</v>
      </c>
      <c r="E68" s="114" t="e">
        <f ca="1">IF('Leaching Mechanism'!C63="Diffusion",PRODUCT(Uxy!$H65,Uxy!$I65,Uxy!$J65,Uxy!$K65)^(1/(1+E$6-E$5)),"")</f>
        <v>#DIV/0!</v>
      </c>
      <c r="F68" s="114" t="e">
        <f ca="1">IF('Leaching Mechanism'!D63="Diffusion",PRODUCT(Uxy!$G65,Uxy!$H65,Uxy!$I65,Uxy!$J65)^(1/(1+F$6-F$5)),"")</f>
        <v>#DIV/0!</v>
      </c>
      <c r="G68" s="114" t="e">
        <f ca="1">IF('Leaching Mechanism'!E63="Diffusion",PRODUCT(Uxy!$F65,Uxy!$G65,Uxy!$H65,Uxy!$I65)^(1/(1+G$6-G$5)),"")</f>
        <v>#DIV/0!</v>
      </c>
      <c r="H68" s="114" t="e">
        <f ca="1">IF('Leaching Mechanism'!F63="Diffusion",PRODUCT(Uxy!$E65,Uxy!$F65,Uxy!$G65,Uxy!$H65)^(1/(1+H$6-H$5)),"")</f>
        <v>#DIV/0!</v>
      </c>
      <c r="I68" s="114" t="e">
        <f ca="1">IF('Leaching Mechanism'!G63="Diffusion",PRODUCT(Uxy!$D65,Uxy!$E65,Uxy!$F65,Uxy!$G65)^(1/(1+I$6-I$5)),"")</f>
        <v>#DIV/0!</v>
      </c>
    </row>
    <row r="69" spans="1:12" ht="15" thickBot="1" x14ac:dyDescent="0.25">
      <c r="A69" s="47">
        <f>'Analytical Data'!A65</f>
        <v>0</v>
      </c>
      <c r="D69" s="114" t="e">
        <f ca="1">IF('Leaching Mechanism'!B64="Diffusion",PRODUCT(Uxy!$E66,Uxy!$F66,Uxy!$G66,Uxy!$H66,Uxy!$I66,Uxy!$J66)^(1/(D$6-D$5+1)),"")</f>
        <v>#DIV/0!</v>
      </c>
      <c r="E69" s="114" t="e">
        <f ca="1">IF('Leaching Mechanism'!C64="Diffusion",PRODUCT(Uxy!$H66,Uxy!$I66,Uxy!$J66,Uxy!$K66)^(1/(1+E$6-E$5)),"")</f>
        <v>#DIV/0!</v>
      </c>
      <c r="F69" s="114" t="e">
        <f ca="1">IF('Leaching Mechanism'!D64="Diffusion",PRODUCT(Uxy!$G66,Uxy!$H66,Uxy!$I66,Uxy!$J66)^(1/(1+F$6-F$5)),"")</f>
        <v>#DIV/0!</v>
      </c>
      <c r="G69" s="114" t="e">
        <f ca="1">IF('Leaching Mechanism'!E64="Diffusion",PRODUCT(Uxy!$F66,Uxy!$G66,Uxy!$H66,Uxy!$I66)^(1/(1+G$6-G$5)),"")</f>
        <v>#DIV/0!</v>
      </c>
      <c r="H69" s="114" t="e">
        <f ca="1">IF('Leaching Mechanism'!F64="Diffusion",PRODUCT(Uxy!$E66,Uxy!$F66,Uxy!$G66,Uxy!$H66)^(1/(1+H$6-H$5)),"")</f>
        <v>#DIV/0!</v>
      </c>
      <c r="I69" s="114" t="e">
        <f ca="1">IF('Leaching Mechanism'!G64="Diffusion",PRODUCT(Uxy!$D66,Uxy!$E66,Uxy!$F66,Uxy!$G66)^(1/(1+I$6-I$5)),"")</f>
        <v>#DIV/0!</v>
      </c>
    </row>
    <row r="70" spans="1:12" ht="15" thickBot="1" x14ac:dyDescent="0.25">
      <c r="A70" s="47">
        <f>'Analytical Data'!A66</f>
        <v>0</v>
      </c>
      <c r="D70" s="114" t="e">
        <f ca="1">IF('Leaching Mechanism'!B65="Diffusion",PRODUCT(Uxy!$E67,Uxy!$F67,Uxy!$G67,Uxy!$H67,Uxy!$I67,Uxy!$J67)^(1/(D$6-D$5+1)),"")</f>
        <v>#DIV/0!</v>
      </c>
      <c r="E70" s="114" t="e">
        <f ca="1">IF('Leaching Mechanism'!C65="Diffusion",PRODUCT(Uxy!$H67,Uxy!$I67,Uxy!$J67,Uxy!$K67)^(1/(1+E$6-E$5)),"")</f>
        <v>#DIV/0!</v>
      </c>
      <c r="F70" s="114" t="e">
        <f ca="1">IF('Leaching Mechanism'!D65="Diffusion",PRODUCT(Uxy!$G67,Uxy!$H67,Uxy!$I67,Uxy!$J67)^(1/(1+F$6-F$5)),"")</f>
        <v>#DIV/0!</v>
      </c>
      <c r="G70" s="114" t="e">
        <f ca="1">IF('Leaching Mechanism'!E65="Diffusion",PRODUCT(Uxy!$F67,Uxy!$G67,Uxy!$H67,Uxy!$I67)^(1/(1+G$6-G$5)),"")</f>
        <v>#DIV/0!</v>
      </c>
      <c r="H70" s="114" t="e">
        <f ca="1">IF('Leaching Mechanism'!F65="Diffusion",PRODUCT(Uxy!$E67,Uxy!$F67,Uxy!$G67,Uxy!$H67)^(1/(1+H$6-H$5)),"")</f>
        <v>#DIV/0!</v>
      </c>
      <c r="I70" s="114" t="e">
        <f ca="1">IF('Leaching Mechanism'!G65="Diffusion",PRODUCT(Uxy!$D67,Uxy!$E67,Uxy!$F67,Uxy!$G67)^(1/(1+I$6-I$5)),"")</f>
        <v>#DIV/0!</v>
      </c>
    </row>
    <row r="71" spans="1:12" ht="15" thickBot="1" x14ac:dyDescent="0.25">
      <c r="A71" s="47">
        <f>'Analytical Data'!A67</f>
        <v>0</v>
      </c>
      <c r="D71" s="114" t="e">
        <f ca="1">IF('Leaching Mechanism'!B66="Diffusion",PRODUCT(Uxy!$E68,Uxy!$F68,Uxy!$G68,Uxy!$H68,Uxy!$I68,Uxy!$J68)^(1/(D$6-D$5+1)),"")</f>
        <v>#DIV/0!</v>
      </c>
      <c r="E71" s="114" t="e">
        <f ca="1">IF('Leaching Mechanism'!C66="Diffusion",PRODUCT(Uxy!$H68,Uxy!$I68,Uxy!$J68,Uxy!$K68)^(1/(1+E$6-E$5)),"")</f>
        <v>#DIV/0!</v>
      </c>
      <c r="F71" s="114" t="e">
        <f ca="1">IF('Leaching Mechanism'!D66="Diffusion",PRODUCT(Uxy!$G68,Uxy!$H68,Uxy!$I68,Uxy!$J68)^(1/(1+F$6-F$5)),"")</f>
        <v>#DIV/0!</v>
      </c>
      <c r="G71" s="114" t="e">
        <f ca="1">IF('Leaching Mechanism'!E66="Diffusion",PRODUCT(Uxy!$F68,Uxy!$G68,Uxy!$H68,Uxy!$I68)^(1/(1+G$6-G$5)),"")</f>
        <v>#DIV/0!</v>
      </c>
      <c r="H71" s="114" t="e">
        <f ca="1">IF('Leaching Mechanism'!F66="Diffusion",PRODUCT(Uxy!$E68,Uxy!$F68,Uxy!$G68,Uxy!$H68)^(1/(1+H$6-H$5)),"")</f>
        <v>#DIV/0!</v>
      </c>
      <c r="I71" s="114" t="e">
        <f ca="1">IF('Leaching Mechanism'!G66="Diffusion",PRODUCT(Uxy!$D68,Uxy!$E68,Uxy!$F68,Uxy!$G68)^(1/(1+I$6-I$5)),"")</f>
        <v>#DIV/0!</v>
      </c>
    </row>
    <row r="72" spans="1:12" ht="15" thickBot="1" x14ac:dyDescent="0.25">
      <c r="A72" s="47">
        <f>'Analytical Data'!A68</f>
        <v>0</v>
      </c>
      <c r="D72" s="114" t="e">
        <f ca="1">IF('Leaching Mechanism'!B67="Diffusion",PRODUCT(Uxy!$E69,Uxy!$F69,Uxy!$G69,Uxy!$H69,Uxy!$I69,Uxy!$J69)^(1/(D$6-D$5+1)),"")</f>
        <v>#DIV/0!</v>
      </c>
      <c r="E72" s="114" t="e">
        <f ca="1">IF('Leaching Mechanism'!C67="Diffusion",PRODUCT(Uxy!$H69,Uxy!$I69,Uxy!$J69,Uxy!$K69)^(1/(1+E$6-E$5)),"")</f>
        <v>#DIV/0!</v>
      </c>
      <c r="F72" s="114" t="e">
        <f ca="1">IF('Leaching Mechanism'!D67="Diffusion",PRODUCT(Uxy!$G69,Uxy!$H69,Uxy!$I69,Uxy!$J69)^(1/(1+F$6-F$5)),"")</f>
        <v>#DIV/0!</v>
      </c>
      <c r="G72" s="114" t="e">
        <f ca="1">IF('Leaching Mechanism'!E67="Diffusion",PRODUCT(Uxy!$F69,Uxy!$G69,Uxy!$H69,Uxy!$I69)^(1/(1+G$6-G$5)),"")</f>
        <v>#DIV/0!</v>
      </c>
      <c r="H72" s="114" t="e">
        <f ca="1">IF('Leaching Mechanism'!F67="Diffusion",PRODUCT(Uxy!$E69,Uxy!$F69,Uxy!$G69,Uxy!$H69)^(1/(1+H$6-H$5)),"")</f>
        <v>#DIV/0!</v>
      </c>
      <c r="I72" s="114" t="e">
        <f ca="1">IF('Leaching Mechanism'!G67="Diffusion",PRODUCT(Uxy!$D69,Uxy!$E69,Uxy!$F69,Uxy!$G69)^(1/(1+I$6-I$5)),"")</f>
        <v>#DIV/0!</v>
      </c>
    </row>
    <row r="73" spans="1:12" ht="15" thickBot="1" x14ac:dyDescent="0.25">
      <c r="A73" s="47">
        <f>'Analytical Data'!A69</f>
        <v>0</v>
      </c>
      <c r="D73" s="114" t="e">
        <f ca="1">IF('Leaching Mechanism'!B68="Diffusion",PRODUCT(Uxy!$E70,Uxy!$F70,Uxy!$G70,Uxy!$H70,Uxy!$I70,Uxy!$J70)^(1/(D$6-D$5+1)),"")</f>
        <v>#DIV/0!</v>
      </c>
      <c r="E73" s="114" t="e">
        <f ca="1">IF('Leaching Mechanism'!C68="Diffusion",PRODUCT(Uxy!$H70,Uxy!$I70,Uxy!$J70,Uxy!$K70)^(1/(1+E$6-E$5)),"")</f>
        <v>#DIV/0!</v>
      </c>
      <c r="F73" s="114" t="e">
        <f ca="1">IF('Leaching Mechanism'!D68="Diffusion",PRODUCT(Uxy!$G70,Uxy!$H70,Uxy!$I70,Uxy!$J70)^(1/(1+F$6-F$5)),"")</f>
        <v>#DIV/0!</v>
      </c>
      <c r="G73" s="114" t="e">
        <f ca="1">IF('Leaching Mechanism'!E68="Diffusion",PRODUCT(Uxy!$F70,Uxy!$G70,Uxy!$H70,Uxy!$I70)^(1/(1+G$6-G$5)),"")</f>
        <v>#DIV/0!</v>
      </c>
      <c r="H73" s="114" t="e">
        <f ca="1">IF('Leaching Mechanism'!F68="Diffusion",PRODUCT(Uxy!$E70,Uxy!$F70,Uxy!$G70,Uxy!$H70)^(1/(1+H$6-H$5)),"")</f>
        <v>#DIV/0!</v>
      </c>
      <c r="I73" s="114" t="e">
        <f ca="1">IF('Leaching Mechanism'!G68="Diffusion",PRODUCT(Uxy!$D70,Uxy!$E70,Uxy!$F70,Uxy!$G70)^(1/(1+I$6-I$5)),"")</f>
        <v>#DIV/0!</v>
      </c>
    </row>
    <row r="74" spans="1:12" ht="15" thickBot="1" x14ac:dyDescent="0.25">
      <c r="A74" s="47">
        <f>'Analytical Data'!A70</f>
        <v>0</v>
      </c>
      <c r="D74" s="114" t="e">
        <f ca="1">IF('Leaching Mechanism'!B69="Diffusion",PRODUCT(Uxy!$E71,Uxy!$F71,Uxy!$G71,Uxy!$H71,Uxy!$I71,Uxy!$J71)^(1/(D$6-D$5+1)),"")</f>
        <v>#DIV/0!</v>
      </c>
      <c r="E74" s="114" t="e">
        <f ca="1">IF('Leaching Mechanism'!C69="Diffusion",PRODUCT(Uxy!$H71,Uxy!$I71,Uxy!$J71,Uxy!$K71)^(1/(1+E$6-E$5)),"")</f>
        <v>#DIV/0!</v>
      </c>
      <c r="F74" s="114" t="e">
        <f ca="1">IF('Leaching Mechanism'!D69="Diffusion",PRODUCT(Uxy!$G71,Uxy!$H71,Uxy!$I71,Uxy!$J71)^(1/(1+F$6-F$5)),"")</f>
        <v>#DIV/0!</v>
      </c>
      <c r="G74" s="114" t="e">
        <f ca="1">IF('Leaching Mechanism'!E69="Diffusion",PRODUCT(Uxy!$F71,Uxy!$G71,Uxy!$H71,Uxy!$I71)^(1/(1+G$6-G$5)),"")</f>
        <v>#DIV/0!</v>
      </c>
      <c r="H74" s="114" t="e">
        <f ca="1">IF('Leaching Mechanism'!F69="Diffusion",PRODUCT(Uxy!$E71,Uxy!$F71,Uxy!$G71,Uxy!$H71)^(1/(1+H$6-H$5)),"")</f>
        <v>#DIV/0!</v>
      </c>
      <c r="I74" s="114" t="e">
        <f ca="1">IF('Leaching Mechanism'!G69="Diffusion",PRODUCT(Uxy!$D71,Uxy!$E71,Uxy!$F71,Uxy!$G71)^(1/(1+I$6-I$5)),"")</f>
        <v>#DIV/0!</v>
      </c>
    </row>
    <row r="75" spans="1:12" ht="15" thickBot="1" x14ac:dyDescent="0.25">
      <c r="A75" s="47">
        <f>'Analytical Data'!A71</f>
        <v>0</v>
      </c>
      <c r="D75" s="114" t="e">
        <f ca="1">IF('Leaching Mechanism'!B70="Diffusion",PRODUCT(Uxy!$E72,Uxy!$F72,Uxy!$G72,Uxy!$H72,Uxy!$I72,Uxy!$J72)^(1/(D$6-D$5+1)),"")</f>
        <v>#DIV/0!</v>
      </c>
      <c r="E75" s="114" t="e">
        <f ca="1">IF('Leaching Mechanism'!C70="Diffusion",PRODUCT(Uxy!$H72,Uxy!$I72,Uxy!$J72,Uxy!$K72)^(1/(1+E$6-E$5)),"")</f>
        <v>#DIV/0!</v>
      </c>
      <c r="F75" s="114" t="e">
        <f ca="1">IF('Leaching Mechanism'!D70="Diffusion",PRODUCT(Uxy!$G72,Uxy!$H72,Uxy!$I72,Uxy!$J72)^(1/(1+F$6-F$5)),"")</f>
        <v>#DIV/0!</v>
      </c>
      <c r="G75" s="114" t="e">
        <f ca="1">IF('Leaching Mechanism'!E70="Diffusion",PRODUCT(Uxy!$F72,Uxy!$G72,Uxy!$H72,Uxy!$I72)^(1/(1+G$6-G$5)),"")</f>
        <v>#DIV/0!</v>
      </c>
      <c r="H75" s="114" t="e">
        <f ca="1">IF('Leaching Mechanism'!F70="Diffusion",PRODUCT(Uxy!$E72,Uxy!$F72,Uxy!$G72,Uxy!$H72)^(1/(1+H$6-H$5)),"")</f>
        <v>#DIV/0!</v>
      </c>
      <c r="I75" s="114" t="e">
        <f ca="1">IF('Leaching Mechanism'!G70="Diffusion",PRODUCT(Uxy!$D72,Uxy!$E72,Uxy!$F72,Uxy!$G72)^(1/(1+I$6-I$5)),"")</f>
        <v>#DIV/0!</v>
      </c>
    </row>
    <row r="76" spans="1:12" ht="15" thickBot="1" x14ac:dyDescent="0.25">
      <c r="A76" s="47">
        <f>'Analytical Data'!A72</f>
        <v>0</v>
      </c>
      <c r="D76" s="114" t="e">
        <f ca="1">IF('Leaching Mechanism'!B71="Diffusion",PRODUCT(Uxy!$E73,Uxy!$F73,Uxy!$G73,Uxy!$H73,Uxy!$I73,Uxy!$J73)^(1/(D$6-D$5+1)),"")</f>
        <v>#DIV/0!</v>
      </c>
      <c r="E76" s="114" t="e">
        <f ca="1">IF('Leaching Mechanism'!C71="Diffusion",PRODUCT(Uxy!$H73,Uxy!$I73,Uxy!$J73,Uxy!$K73)^(1/(1+E$6-E$5)),"")</f>
        <v>#DIV/0!</v>
      </c>
      <c r="F76" s="114" t="e">
        <f ca="1">IF('Leaching Mechanism'!D71="Diffusion",PRODUCT(Uxy!$G73,Uxy!$H73,Uxy!$I73,Uxy!$J73)^(1/(1+F$6-F$5)),"")</f>
        <v>#DIV/0!</v>
      </c>
      <c r="G76" s="114" t="e">
        <f ca="1">IF('Leaching Mechanism'!E71="Diffusion",PRODUCT(Uxy!$F73,Uxy!$G73,Uxy!$H73,Uxy!$I73)^(1/(1+G$6-G$5)),"")</f>
        <v>#DIV/0!</v>
      </c>
      <c r="H76" s="114" t="e">
        <f ca="1">IF('Leaching Mechanism'!F71="Diffusion",PRODUCT(Uxy!$E73,Uxy!$F73,Uxy!$G73,Uxy!$H73)^(1/(1+H$6-H$5)),"")</f>
        <v>#DIV/0!</v>
      </c>
      <c r="I76" s="114" t="e">
        <f ca="1">IF('Leaching Mechanism'!G71="Diffusion",PRODUCT(Uxy!$D73,Uxy!$E73,Uxy!$F73,Uxy!$G73)^(1/(1+I$6-I$5)),"")</f>
        <v>#DIV/0!</v>
      </c>
    </row>
    <row r="77" spans="1:12" ht="15" thickBot="1" x14ac:dyDescent="0.25">
      <c r="A77" s="47">
        <f>'Analytical Data'!A73</f>
        <v>0</v>
      </c>
      <c r="D77" s="114" t="e">
        <f ca="1">IF('Leaching Mechanism'!B72="Diffusion",PRODUCT(Uxy!$E74,Uxy!$F74,Uxy!$G74,Uxy!$H74,Uxy!$I74,Uxy!$J74)^(1/(D$6-D$5+1)),"")</f>
        <v>#DIV/0!</v>
      </c>
      <c r="E77" s="114" t="e">
        <f ca="1">IF('Leaching Mechanism'!C72="Diffusion",PRODUCT(Uxy!$H74,Uxy!$I74,Uxy!$J74,Uxy!$K74)^(1/(1+E$6-E$5)),"")</f>
        <v>#DIV/0!</v>
      </c>
      <c r="F77" s="114" t="e">
        <f ca="1">IF('Leaching Mechanism'!D72="Diffusion",PRODUCT(Uxy!$G74,Uxy!$H74,Uxy!$I74,Uxy!$J74)^(1/(1+F$6-F$5)),"")</f>
        <v>#DIV/0!</v>
      </c>
      <c r="G77" s="114" t="e">
        <f ca="1">IF('Leaching Mechanism'!E72="Diffusion",PRODUCT(Uxy!$F74,Uxy!$G74,Uxy!$H74,Uxy!$I74)^(1/(1+G$6-G$5)),"")</f>
        <v>#DIV/0!</v>
      </c>
      <c r="H77" s="114" t="e">
        <f ca="1">IF('Leaching Mechanism'!F72="Diffusion",PRODUCT(Uxy!$E74,Uxy!$F74,Uxy!$G74,Uxy!$H74)^(1/(1+H$6-H$5)),"")</f>
        <v>#DIV/0!</v>
      </c>
      <c r="I77" s="114" t="e">
        <f ca="1">IF('Leaching Mechanism'!G72="Diffusion",PRODUCT(Uxy!$D74,Uxy!$E74,Uxy!$F74,Uxy!$G74)^(1/(1+I$6-I$5)),"")</f>
        <v>#DIV/0!</v>
      </c>
    </row>
    <row r="78" spans="1:12" ht="15" thickBot="1" x14ac:dyDescent="0.25">
      <c r="A78" s="47">
        <f>'Analytical Data'!A74</f>
        <v>0</v>
      </c>
      <c r="D78" s="114" t="e">
        <f ca="1">IF('Leaching Mechanism'!B73="Diffusion",PRODUCT(Uxy!$E75,Uxy!$F75,Uxy!$G75,Uxy!$H75,Uxy!$I75,Uxy!$J75)^(1/(D$6-D$5+1)),"")</f>
        <v>#DIV/0!</v>
      </c>
      <c r="E78" s="114" t="e">
        <f ca="1">IF('Leaching Mechanism'!C73="Diffusion",PRODUCT(Uxy!$H75,Uxy!$I75,Uxy!$J75,Uxy!$K75)^(1/(1+E$6-E$5)),"")</f>
        <v>#DIV/0!</v>
      </c>
      <c r="F78" s="114" t="e">
        <f ca="1">IF('Leaching Mechanism'!D73="Diffusion",PRODUCT(Uxy!$G75,Uxy!$H75,Uxy!$I75,Uxy!$J75)^(1/(1+F$6-F$5)),"")</f>
        <v>#DIV/0!</v>
      </c>
      <c r="G78" s="114" t="e">
        <f ca="1">IF('Leaching Mechanism'!E73="Diffusion",PRODUCT(Uxy!$F75,Uxy!$G75,Uxy!$H75,Uxy!$I75)^(1/(1+G$6-G$5)),"")</f>
        <v>#DIV/0!</v>
      </c>
      <c r="H78" s="114" t="e">
        <f ca="1">IF('Leaching Mechanism'!F73="Diffusion",PRODUCT(Uxy!$E75,Uxy!$F75,Uxy!$G75,Uxy!$H75)^(1/(1+H$6-H$5)),"")</f>
        <v>#DIV/0!</v>
      </c>
      <c r="I78" s="114" t="e">
        <f ca="1">IF('Leaching Mechanism'!G73="Diffusion",PRODUCT(Uxy!$D75,Uxy!$E75,Uxy!$F75,Uxy!$G75)^(1/(1+I$6-I$5)),"")</f>
        <v>#DIV/0!</v>
      </c>
    </row>
    <row r="79" spans="1:12" ht="15" thickBot="1" x14ac:dyDescent="0.25">
      <c r="A79" s="47">
        <f>'Analytical Data'!A75</f>
        <v>0</v>
      </c>
      <c r="D79" s="114" t="e">
        <f ca="1">IF('Leaching Mechanism'!B74="Diffusion",PRODUCT(Uxy!$E76,Uxy!$F76,Uxy!$G76,Uxy!$H76,Uxy!$I76,Uxy!$J76)^(1/(D$6-D$5+1)),"")</f>
        <v>#DIV/0!</v>
      </c>
      <c r="E79" s="114" t="e">
        <f ca="1">IF('Leaching Mechanism'!C74="Diffusion",PRODUCT(Uxy!$H76,Uxy!$I76,Uxy!$J76,Uxy!$K76)^(1/(1+E$6-E$5)),"")</f>
        <v>#DIV/0!</v>
      </c>
      <c r="F79" s="114" t="e">
        <f ca="1">IF('Leaching Mechanism'!D74="Diffusion",PRODUCT(Uxy!$G76,Uxy!$H76,Uxy!$I76,Uxy!$J76)^(1/(1+F$6-F$5)),"")</f>
        <v>#DIV/0!</v>
      </c>
      <c r="G79" s="114" t="e">
        <f ca="1">IF('Leaching Mechanism'!E74="Diffusion",PRODUCT(Uxy!$F76,Uxy!$G76,Uxy!$H76,Uxy!$I76)^(1/(1+G$6-G$5)),"")</f>
        <v>#DIV/0!</v>
      </c>
      <c r="H79" s="114" t="e">
        <f ca="1">IF('Leaching Mechanism'!F74="Diffusion",PRODUCT(Uxy!$E76,Uxy!$F76,Uxy!$G76,Uxy!$H76)^(1/(1+H$6-H$5)),"")</f>
        <v>#DIV/0!</v>
      </c>
      <c r="I79" s="114" t="e">
        <f ca="1">IF('Leaching Mechanism'!G74="Diffusion",PRODUCT(Uxy!$D76,Uxy!$E76,Uxy!$F76,Uxy!$G76)^(1/(1+I$6-I$5)),"")</f>
        <v>#DIV/0!</v>
      </c>
    </row>
    <row r="80" spans="1:12" ht="15" thickBot="1" x14ac:dyDescent="0.25">
      <c r="A80" s="47">
        <f>'Analytical Data'!A76</f>
        <v>0</v>
      </c>
      <c r="D80" s="114" t="e">
        <f ca="1">IF('Leaching Mechanism'!B75="Diffusion",PRODUCT(Uxy!$E77,Uxy!$F77,Uxy!$G77,Uxy!$H77,Uxy!$I77,Uxy!$J77)^(1/(D$6-D$5+1)),"")</f>
        <v>#DIV/0!</v>
      </c>
      <c r="E80" s="114" t="e">
        <f ca="1">IF('Leaching Mechanism'!C75="Diffusion",PRODUCT(Uxy!$H77,Uxy!$I77,Uxy!$J77,Uxy!$K77)^(1/(1+E$6-E$5)),"")</f>
        <v>#DIV/0!</v>
      </c>
      <c r="F80" s="114" t="e">
        <f ca="1">IF('Leaching Mechanism'!D75="Diffusion",PRODUCT(Uxy!$G77,Uxy!$H77,Uxy!$I77,Uxy!$J77)^(1/(1+F$6-F$5)),"")</f>
        <v>#DIV/0!</v>
      </c>
      <c r="G80" s="114" t="e">
        <f ca="1">IF('Leaching Mechanism'!E75="Diffusion",PRODUCT(Uxy!$F77,Uxy!$G77,Uxy!$H77,Uxy!$I77)^(1/(1+G$6-G$5)),"")</f>
        <v>#DIV/0!</v>
      </c>
      <c r="H80" s="114" t="e">
        <f ca="1">IF('Leaching Mechanism'!F75="Diffusion",PRODUCT(Uxy!$E77,Uxy!$F77,Uxy!$G77,Uxy!$H77)^(1/(1+H$6-H$5)),"")</f>
        <v>#DIV/0!</v>
      </c>
      <c r="I80" s="114" t="e">
        <f ca="1">IF('Leaching Mechanism'!G75="Diffusion",PRODUCT(Uxy!$D77,Uxy!$E77,Uxy!$F77,Uxy!$G77)^(1/(1+I$6-I$5)),"")</f>
        <v>#DIV/0!</v>
      </c>
    </row>
    <row r="81" spans="1:9" ht="15" thickBot="1" x14ac:dyDescent="0.25">
      <c r="A81" s="47">
        <f>'Analytical Data'!A77</f>
        <v>0</v>
      </c>
      <c r="D81" s="114" t="str">
        <f>IF('Leaching Mechanism'!B76="Diffusion",PRODUCT(Uxy!$E78,Uxy!$F78,Uxy!$G78,Uxy!$H78,Uxy!$I78,Uxy!$J78)^(1/(D$6-D$5+1)),"")</f>
        <v/>
      </c>
      <c r="E81" s="114" t="str">
        <f>IF('Leaching Mechanism'!C76="Diffusion",PRODUCT(Uxy!$H78,Uxy!$I78,Uxy!$J78,Uxy!$K78)^(1/(1+E$6-E$5)),"")</f>
        <v/>
      </c>
      <c r="F81" s="114" t="str">
        <f>IF('Leaching Mechanism'!D76="Diffusion",PRODUCT(Uxy!$G78,Uxy!$H78,Uxy!$I78,Uxy!$J78)^(1/(1+F$6-F$5)),"")</f>
        <v/>
      </c>
      <c r="G81" s="114" t="str">
        <f>IF('Leaching Mechanism'!E76="Diffusion",PRODUCT(Uxy!$F78,Uxy!$G78,Uxy!$H78,Uxy!$I78)^(1/(1+G$6-G$5)),"")</f>
        <v/>
      </c>
      <c r="H81" s="114" t="str">
        <f>IF('Leaching Mechanism'!F76="Diffusion",PRODUCT(Uxy!$E78,Uxy!$F78,Uxy!$G78,Uxy!$H78)^(1/(1+H$6-H$5)),"")</f>
        <v/>
      </c>
      <c r="I81" s="114" t="str">
        <f>IF('Leaching Mechanism'!G76="Diffusion",PRODUCT(Uxy!$D78,Uxy!$E78,Uxy!$F78,Uxy!$G78)^(1/(1+I$6-I$5)),"")</f>
        <v/>
      </c>
    </row>
    <row r="82" spans="1:9" ht="15" thickBot="1" x14ac:dyDescent="0.25">
      <c r="A82" s="47">
        <f>'Analytical Data'!A78</f>
        <v>0</v>
      </c>
      <c r="D82" s="114" t="str">
        <f>IF('Leaching Mechanism'!B77="Diffusion",PRODUCT(Uxy!$E79,Uxy!$F79,Uxy!$G79,Uxy!$H79,Uxy!$I79,Uxy!$J79)^(1/(D$6-D$5+1)),"")</f>
        <v/>
      </c>
      <c r="E82" s="114" t="str">
        <f>IF('Leaching Mechanism'!C77="Diffusion",PRODUCT(Uxy!$H79,Uxy!$I79,Uxy!$J79,Uxy!$K79)^(1/(1+E$6-E$5)),"")</f>
        <v/>
      </c>
      <c r="F82" s="114" t="str">
        <f>IF('Leaching Mechanism'!D77="Diffusion",PRODUCT(Uxy!$G79,Uxy!$H79,Uxy!$I79,Uxy!$J79)^(1/(1+F$6-F$5)),"")</f>
        <v/>
      </c>
      <c r="G82" s="114" t="str">
        <f>IF('Leaching Mechanism'!E77="Diffusion",PRODUCT(Uxy!$F79,Uxy!$G79,Uxy!$H79,Uxy!$I79)^(1/(1+G$6-G$5)),"")</f>
        <v/>
      </c>
      <c r="H82" s="114" t="str">
        <f>IF('Leaching Mechanism'!F77="Diffusion",PRODUCT(Uxy!$E79,Uxy!$F79,Uxy!$G79,Uxy!$H79)^(1/(1+H$6-H$5)),"")</f>
        <v/>
      </c>
      <c r="I82" s="114" t="str">
        <f>IF('Leaching Mechanism'!G77="Diffusion",PRODUCT(Uxy!$D79,Uxy!$E79,Uxy!$F79,Uxy!$G79)^(1/(1+I$6-I$5)),"")</f>
        <v/>
      </c>
    </row>
    <row r="83" spans="1:9" ht="15" thickBot="1" x14ac:dyDescent="0.25">
      <c r="A83" s="47">
        <f>'Analytical Data'!A79</f>
        <v>0</v>
      </c>
      <c r="D83" s="114" t="str">
        <f>IF('Leaching Mechanism'!B78="Diffusion",PRODUCT(Uxy!$E80,Uxy!$F80,Uxy!$G80,Uxy!$H80,Uxy!$I80,Uxy!$J80)^(1/(D$6-D$5+1)),"")</f>
        <v/>
      </c>
      <c r="E83" s="114" t="str">
        <f>IF('Leaching Mechanism'!C78="Diffusion",PRODUCT(Uxy!$H80,Uxy!$I80,Uxy!$J80,Uxy!$K80)^(1/(1+E$6-E$5)),"")</f>
        <v/>
      </c>
      <c r="F83" s="114" t="str">
        <f>IF('Leaching Mechanism'!D78="Diffusion",PRODUCT(Uxy!$G80,Uxy!$H80,Uxy!$I80,Uxy!$J80)^(1/(1+F$6-F$5)),"")</f>
        <v/>
      </c>
      <c r="G83" s="114" t="str">
        <f>IF('Leaching Mechanism'!E78="Diffusion",PRODUCT(Uxy!$F80,Uxy!$G80,Uxy!$H80,Uxy!$I80)^(1/(1+G$6-G$5)),"")</f>
        <v/>
      </c>
      <c r="H83" s="114" t="str">
        <f>IF('Leaching Mechanism'!F78="Diffusion",PRODUCT(Uxy!$E80,Uxy!$F80,Uxy!$G80,Uxy!$H80)^(1/(1+H$6-H$5)),"")</f>
        <v/>
      </c>
      <c r="I83" s="114" t="str">
        <f>IF('Leaching Mechanism'!G78="Diffusion",PRODUCT(Uxy!$D80,Uxy!$E80,Uxy!$F80,Uxy!$G80)^(1/(1+I$6-I$5)),"")</f>
        <v/>
      </c>
    </row>
    <row r="84" spans="1:9" ht="15" thickBot="1" x14ac:dyDescent="0.25">
      <c r="A84" s="47">
        <f>'Analytical Data'!A80</f>
        <v>0</v>
      </c>
      <c r="D84" s="114" t="str">
        <f>IF('Leaching Mechanism'!B79="Diffusion",PRODUCT(Uxy!$E81,Uxy!$F81,Uxy!$G81,Uxy!$H81,Uxy!$I81,Uxy!$J81)^(1/(D$6-D$5+1)),"")</f>
        <v/>
      </c>
      <c r="E84" s="114" t="str">
        <f>IF('Leaching Mechanism'!C79="Diffusion",PRODUCT(Uxy!$H81,Uxy!$I81,Uxy!$J81,Uxy!$K81)^(1/(1+E$6-E$5)),"")</f>
        <v/>
      </c>
      <c r="F84" s="114" t="str">
        <f>IF('Leaching Mechanism'!D79="Diffusion",PRODUCT(Uxy!$G81,Uxy!$H81,Uxy!$I81,Uxy!$J81)^(1/(1+F$6-F$5)),"")</f>
        <v/>
      </c>
      <c r="G84" s="114" t="str">
        <f>IF('Leaching Mechanism'!E79="Diffusion",PRODUCT(Uxy!$F81,Uxy!$G81,Uxy!$H81,Uxy!$I81)^(1/(1+G$6-G$5)),"")</f>
        <v/>
      </c>
      <c r="H84" s="114" t="str">
        <f>IF('Leaching Mechanism'!F79="Diffusion",PRODUCT(Uxy!$E81,Uxy!$F81,Uxy!$G81,Uxy!$H81)^(1/(1+H$6-H$5)),"")</f>
        <v/>
      </c>
      <c r="I84" s="114" t="str">
        <f>IF('Leaching Mechanism'!G79="Diffusion",PRODUCT(Uxy!$D81,Uxy!$E81,Uxy!$F81,Uxy!$G81)^(1/(1+I$6-I$5)),"")</f>
        <v/>
      </c>
    </row>
    <row r="85" spans="1:9" ht="14.25" x14ac:dyDescent="0.2">
      <c r="D85" s="114" t="str">
        <f>IF('Leaching Mechanism'!B80="Diffusion",PRODUCT(Uxy!$E82,Uxy!$F82,Uxy!$G82,Uxy!$H82,Uxy!$I82,Uxy!$J82)^(1/(D$6-D$5+1)),"")</f>
        <v/>
      </c>
      <c r="E85" s="114" t="str">
        <f>IF('Leaching Mechanism'!C80="Diffusion",PRODUCT(Uxy!$H82,Uxy!$I82,Uxy!$J82,Uxy!$K82)^(1/(1+E$6-E$5)),"")</f>
        <v/>
      </c>
      <c r="F85" s="114" t="str">
        <f>IF('Leaching Mechanism'!D80="Diffusion",PRODUCT(Uxy!$G82,Uxy!$H82,Uxy!$I82,Uxy!$J82)^(1/(1+F$6-F$5)),"")</f>
        <v/>
      </c>
      <c r="G85" s="114" t="str">
        <f>IF('Leaching Mechanism'!E80="Diffusion",PRODUCT(Uxy!$F82,Uxy!$G82,Uxy!$H82,Uxy!$I82)^(1/(1+G$6-G$5)),"")</f>
        <v/>
      </c>
      <c r="H85" s="114" t="str">
        <f>IF('Leaching Mechanism'!F80="Diffusion",PRODUCT(Uxy!$E82,Uxy!$F82,Uxy!$G82,Uxy!$H82)^(1/(1+H$6-H$5)),"")</f>
        <v/>
      </c>
      <c r="I85" s="114" t="str">
        <f>IF('Leaching Mechanism'!G80="Diffusion",PRODUCT(Uxy!$D82,Uxy!$E82,Uxy!$F82,Uxy!$G82)^(1/(1+I$6-I$5)),"")</f>
        <v/>
      </c>
    </row>
  </sheetData>
  <phoneticPr fontId="15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0">
    <pageSetUpPr fitToPage="1"/>
  </sheetPr>
  <dimension ref="A1:AM79"/>
  <sheetViews>
    <sheetView view="pageBreakPreview" zoomScale="60" zoomScaleNormal="50" workbookViewId="0">
      <selection activeCell="P58" sqref="P58"/>
    </sheetView>
  </sheetViews>
  <sheetFormatPr defaultRowHeight="12.75" x14ac:dyDescent="0.2"/>
  <cols>
    <col min="1" max="1" width="39.85546875" customWidth="1"/>
    <col min="2" max="2" width="19" customWidth="1"/>
    <col min="3" max="3" width="23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20.42578125" customWidth="1"/>
    <col min="12" max="12" width="25.7109375" customWidth="1"/>
    <col min="13" max="13" width="14.5703125" style="2" customWidth="1"/>
    <col min="14" max="14" width="9.140625" style="2"/>
    <col min="15" max="16" width="13.42578125" style="2" customWidth="1"/>
    <col min="17" max="17" width="16.85546875" style="2" customWidth="1"/>
    <col min="18" max="19" width="13.42578125" style="2" customWidth="1"/>
    <col min="20" max="20" width="13.42578125" style="21" customWidth="1"/>
    <col min="21" max="21" width="9.140625" style="2"/>
    <col min="22" max="22" width="20.85546875" style="2" customWidth="1"/>
    <col min="23" max="39" width="9.140625" style="2"/>
  </cols>
  <sheetData>
    <row r="1" spans="1:23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3" ht="15" thickBo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01"/>
      <c r="U2" s="22"/>
      <c r="V2" s="22"/>
      <c r="W2" s="22"/>
    </row>
    <row r="3" spans="1:23" ht="15.75" customHeight="1" thickBot="1" x14ac:dyDescent="0.3">
      <c r="A3" s="22"/>
      <c r="B3" s="22"/>
      <c r="C3" s="391" t="s">
        <v>88</v>
      </c>
      <c r="D3" s="392"/>
      <c r="E3" s="392"/>
      <c r="F3" s="392"/>
      <c r="G3" s="393"/>
      <c r="H3" s="394" t="s">
        <v>89</v>
      </c>
      <c r="I3" s="394"/>
      <c r="J3" s="394"/>
      <c r="K3" s="394"/>
      <c r="L3" s="395"/>
      <c r="M3" s="22"/>
      <c r="N3" s="22"/>
      <c r="O3" s="22"/>
      <c r="P3" s="22"/>
      <c r="Q3" s="22"/>
      <c r="R3" s="22"/>
      <c r="S3" s="22"/>
      <c r="T3" s="201"/>
      <c r="U3" s="22"/>
      <c r="V3" s="22"/>
      <c r="W3" s="22"/>
    </row>
    <row r="4" spans="1:23" ht="14.25" customHeight="1" x14ac:dyDescent="0.2">
      <c r="A4" s="73"/>
      <c r="B4" s="73"/>
      <c r="C4" s="396" t="s">
        <v>272</v>
      </c>
      <c r="D4" s="399" t="s">
        <v>216</v>
      </c>
      <c r="E4" s="402" t="s">
        <v>92</v>
      </c>
      <c r="F4" s="402" t="s">
        <v>93</v>
      </c>
      <c r="G4" s="403" t="s">
        <v>94</v>
      </c>
      <c r="H4" s="385" t="s">
        <v>95</v>
      </c>
      <c r="I4" s="394" t="s">
        <v>96</v>
      </c>
      <c r="J4" s="385" t="s">
        <v>97</v>
      </c>
      <c r="K4" s="385" t="s">
        <v>98</v>
      </c>
      <c r="L4" s="388" t="s">
        <v>99</v>
      </c>
      <c r="M4" s="73"/>
      <c r="N4" s="73"/>
      <c r="O4" s="73"/>
      <c r="P4" s="73"/>
      <c r="Q4" s="73"/>
      <c r="R4" s="73"/>
      <c r="S4" s="73"/>
      <c r="T4" s="204"/>
      <c r="U4" s="73"/>
      <c r="V4" s="73"/>
      <c r="W4" s="73"/>
    </row>
    <row r="5" spans="1:23" ht="14.25" customHeight="1" x14ac:dyDescent="0.2">
      <c r="A5" s="73"/>
      <c r="B5" s="73"/>
      <c r="C5" s="397"/>
      <c r="D5" s="400"/>
      <c r="E5" s="400"/>
      <c r="F5" s="400"/>
      <c r="G5" s="404"/>
      <c r="H5" s="406"/>
      <c r="I5" s="386"/>
      <c r="J5" s="386"/>
      <c r="K5" s="386"/>
      <c r="L5" s="389"/>
      <c r="M5" s="73"/>
      <c r="N5" s="73"/>
      <c r="O5" s="73"/>
      <c r="P5" s="73"/>
      <c r="Q5" s="73"/>
      <c r="R5" s="73"/>
      <c r="S5" s="73"/>
      <c r="T5" s="204"/>
      <c r="U5" s="73"/>
      <c r="V5" s="73"/>
      <c r="W5" s="73"/>
    </row>
    <row r="6" spans="1:23" ht="14.25" customHeight="1" x14ac:dyDescent="0.2">
      <c r="A6" s="73"/>
      <c r="B6" s="73"/>
      <c r="C6" s="397"/>
      <c r="D6" s="400"/>
      <c r="E6" s="400"/>
      <c r="F6" s="400"/>
      <c r="G6" s="404"/>
      <c r="H6" s="406"/>
      <c r="I6" s="386"/>
      <c r="J6" s="386"/>
      <c r="K6" s="386"/>
      <c r="L6" s="389"/>
      <c r="M6" s="73"/>
      <c r="N6" s="73"/>
      <c r="O6" s="73"/>
      <c r="P6" s="73"/>
      <c r="Q6" s="73"/>
      <c r="R6" s="73"/>
      <c r="S6" s="73"/>
      <c r="T6" s="348"/>
      <c r="U6" s="73"/>
      <c r="V6" s="73"/>
      <c r="W6" s="73"/>
    </row>
    <row r="7" spans="1:23" ht="15" customHeight="1" thickBot="1" x14ac:dyDescent="0.25">
      <c r="A7" s="73"/>
      <c r="B7" s="73"/>
      <c r="C7" s="398"/>
      <c r="D7" s="401"/>
      <c r="E7" s="401"/>
      <c r="F7" s="401"/>
      <c r="G7" s="405"/>
      <c r="H7" s="407"/>
      <c r="I7" s="387"/>
      <c r="J7" s="387"/>
      <c r="K7" s="387"/>
      <c r="L7" s="390"/>
      <c r="M7" s="73"/>
      <c r="N7" s="73"/>
      <c r="O7" s="73"/>
      <c r="P7" s="73"/>
      <c r="Q7" s="73"/>
      <c r="R7" s="73"/>
      <c r="S7" s="73"/>
      <c r="T7" s="348"/>
      <c r="U7" s="73"/>
      <c r="V7" s="73"/>
      <c r="W7" s="73"/>
    </row>
    <row r="8" spans="1:23" ht="15" hidden="1" thickBot="1" x14ac:dyDescent="0.25">
      <c r="A8" s="179" t="str">
        <f>'Diffusive Flux'!A9</f>
        <v>pH</v>
      </c>
      <c r="B8" s="181"/>
      <c r="C8" s="101">
        <f ca="1">IF(NOT('Leaching Mechanism'!L4="Non-Diffusion Based"),SQRT(64)*PRODUCT(Uxy!D6,Uxy!E6,Uxy!F6,Uxy!G6,Uxy!H6,Uxy!I6,Uxy!J6,Uxy!K6)^0.125,"")</f>
        <v>6810.3014697748386</v>
      </c>
      <c r="D8" s="102">
        <f ca="1">IF(NOT('Leaching Mechanism'!L4="Non-Diffusion Based"),SUM(Normalisation!E5:L5),"")</f>
        <v>4082.7527373753883</v>
      </c>
      <c r="E8" s="103">
        <f ca="1">IF(AND(D8&lt;C8,'rc'!G4&lt;0.35,'rc'!F4&lt;0.35),D8,C8)</f>
        <v>6810.3014697748386</v>
      </c>
      <c r="F8" s="104">
        <f ca="1">IF(AND('Leaching Mechanism'!G4="Surface Wash-Off",OR('Leaching Mechanism'!B4="Diffusion", 'Leaching Mechanism'!C4="Diffusion",'Leaching Mechanism'!D4="Diffusion", 'Leaching Mechanism'!E4="Diffusion", 'Leaching Mechanism'!F4="Diffusion")),Normalisation!F5+Normalisation!G5-(C8*SQRT(1/64)),"")</f>
        <v>147.40099089818113</v>
      </c>
      <c r="G8" s="178">
        <f ca="1">IF(AND(ISNUMBER(F8),F8&gt;0),E8+F8,E8)</f>
        <v>6957.7024606730192</v>
      </c>
      <c r="H8" s="107" t="str">
        <f>IF(SUM('Analytical Data'!$F5:$M5)&lt;'Analytical Data'!E5*12,SUM(Normalisation!E5:L5)*SQRT(1),"")</f>
        <v/>
      </c>
      <c r="I8" s="107" t="str">
        <f ca="1">IF(AND(LOD!J4&gt;1.5,'rc'!I4&lt;0.35,LOD!F4&lt;1.5),(('Measured Cummulative'!F5-'Measured Cummulative'!E5)+('Measured Cummulative'!L5-'Measured Cummulative'!G5))*(SQRT(64)-SQRT(1))/(SQRT(64)-SQRT(1)),"")</f>
        <v/>
      </c>
      <c r="J8" s="108" t="str">
        <f ca="1">IF(AND('Leaching Mechanism'!H4:K4="Depletion",LOD!E4&gt;1.5,OR('rc'!E4&lt;0.35,'rc'!F4&lt;0.35,'rc'!G4&lt;0.35,'rc'!H4&lt;0.35)),('Measured Cummulative'!L5*(SQRT(64)-SQRT(1))/(SQRT(64)-SQRT(1))),"")</f>
        <v/>
      </c>
      <c r="K8" s="107" t="str">
        <f ca="1">IF(AND(ISBLANK(G8),OR('rc'!D4&gt;0.65,ISNUMBER(SEARCH("Dissolution",'Leaching Mechanism'!H4)))),2*'Measured Cummulative'!L5*SQRT(64/64),"")</f>
        <v/>
      </c>
      <c r="L8" s="109" t="str">
        <f ca="1">IF(AND(AVERAGE('rc'!D4:I4)&gt;0.5,SUM(H8:K8)&lt;0.000001,NOT('Leaching Mechanism'!L4="Non-Diffusion Based")),5*'Measured Cummulative'!L5*SQRT(64/64),"")</f>
        <v/>
      </c>
      <c r="M8" s="22"/>
      <c r="N8" s="22"/>
      <c r="O8" s="22"/>
      <c r="P8" s="22"/>
      <c r="Q8" s="22"/>
      <c r="R8" s="22"/>
      <c r="S8" s="22"/>
      <c r="T8" s="349">
        <v>0</v>
      </c>
      <c r="U8" s="22"/>
      <c r="V8" s="22"/>
      <c r="W8" s="22"/>
    </row>
    <row r="9" spans="1:23" ht="15" hidden="1" thickBot="1" x14ac:dyDescent="0.25">
      <c r="A9" s="191" t="str">
        <f>'Diffusive Flux'!A10</f>
        <v>Electrical Conductivity</v>
      </c>
      <c r="B9" s="182"/>
      <c r="C9" s="192">
        <f ca="1">IF(NOT('Leaching Mechanism'!L5="Non-Diffusion Based"),SQRT(64)*PRODUCT(Uxy!D7,Uxy!E7,Uxy!F7,Uxy!G7,Uxy!H7,Uxy!I7,Uxy!J7,Uxy!K7)^0.125,"")</f>
        <v>589731.2642101933</v>
      </c>
      <c r="D9" s="193">
        <f ca="1">IF(NOT('Leaching Mechanism'!L5="Non-Diffusion Based"),SUM(Normalisation!E6:L6),"")</f>
        <v>873311.77643405786</v>
      </c>
      <c r="E9" s="194">
        <f ca="1">IF(AND(D9&lt;C9,'rc'!G5&lt;0.35,'rc'!F5&lt;0.35),D9,C9)</f>
        <v>589731.2642101933</v>
      </c>
      <c r="F9" s="193" t="str">
        <f ca="1">IF(AND('Leaching Mechanism'!G5="Surface Wash-Off",OR('Leaching Mechanism'!B5="Diffusion", 'Leaching Mechanism'!C5="Diffusion",'Leaching Mechanism'!D5="Diffusion", 'Leaching Mechanism'!E5="Diffusion", 'Leaching Mechanism'!F5="Diffusion")),Normalisation!F6+Normalisation!G6-(C9*SQRT(1/64)),"")</f>
        <v/>
      </c>
      <c r="G9" s="195">
        <f ca="1">IF(AND(ISNUMBER(F9),F9&gt;0),E9+F9,E9)</f>
        <v>589731.2642101933</v>
      </c>
      <c r="H9" s="196" t="str">
        <f>IF(SUM('Analytical Data'!$F6:$M6)&lt;'Analytical Data'!E6*12,SUM(Normalisation!E6:L6)*SQRT(1),"")</f>
        <v/>
      </c>
      <c r="I9" s="196" t="str">
        <f ca="1">IF(AND(LOD!J5&gt;1.5,'rc'!I5&lt;0.35,LOD!F5&lt;1.5),(('Measured Cummulative'!F6-'Measured Cummulative'!E6)+('Measured Cummulative'!L6-'Measured Cummulative'!G6))*(SQRT(64)-SQRT(1))/(SQRT(64)-SQRT(1)),"")</f>
        <v/>
      </c>
      <c r="J9" s="196" t="str">
        <f ca="1">IF(AND('Leaching Mechanism'!H5:K5="Depletion",LOD!E5&gt;1.5,OR('rc'!E5&lt;0.35,'rc'!F5&lt;0.35,'rc'!G5&lt;0.35,'rc'!H5&lt;0.35)),('Measured Cummulative'!L6*(SQRT(64)-SQRT(1))/(SQRT(64)-SQRT(1))),"")</f>
        <v/>
      </c>
      <c r="K9" s="196" t="str">
        <f ca="1">IF(AND(ISBLANK(G9),OR('rc'!D5&gt;0.65,ISNUMBER(SEARCH("Dissolution",'Leaching Mechanism'!H5)))),2*'Measured Cummulative'!L6*SQRT(64/64),"")</f>
        <v/>
      </c>
      <c r="L9" s="197">
        <f ca="1">IF(AND(AVERAGE('rc'!D5:I5)&gt;0.5,SUM(H9:K9)&lt;0.000001,NOT('Leaching Mechanism'!L5="Non-Diffusion Based")),5*'Measured Cummulative'!L6*SQRT(64/64),"")</f>
        <v>4366558.8821702898</v>
      </c>
      <c r="M9" s="22"/>
      <c r="N9" s="22"/>
      <c r="O9" s="22"/>
      <c r="P9" s="22"/>
      <c r="Q9" s="22"/>
      <c r="R9" s="22"/>
      <c r="S9" s="22"/>
      <c r="T9" s="349">
        <v>1</v>
      </c>
      <c r="U9" s="22"/>
      <c r="V9" s="22"/>
      <c r="W9" s="22"/>
    </row>
    <row r="10" spans="1:23" ht="16.5" hidden="1" x14ac:dyDescent="0.2">
      <c r="A10" s="231" t="str">
        <f>IF('Diffusive Flux'!A11=0,"",'Diffusive Flux'!A11)</f>
        <v>Redox potential</v>
      </c>
      <c r="B10" s="181" t="s">
        <v>100</v>
      </c>
      <c r="C10" s="271" t="str">
        <f ca="1">IF(ISNUMBER(E36calc!C10),ROUND(E36calc!C10,3-(1+INT(LOG10(ABS(E36calc!C10))))),"")</f>
        <v/>
      </c>
      <c r="D10" s="272" t="str">
        <f ca="1">IF(ISNUMBER(E36calc!D10),ROUND(E36calc!D10,3-(1+INT(LOG10(ABS(E36calc!D10))))),"")</f>
        <v/>
      </c>
      <c r="E10" s="273" t="str">
        <f ca="1">IF(ISNUMBER(E36calc!E10),ROUND(E36calc!E10,3-(1+INT(LOG10(ABS(E36calc!E10))))),"")</f>
        <v/>
      </c>
      <c r="F10" s="272" t="str">
        <f ca="1">IF(ISNUMBER(E36calc!F10),ROUND(E36calc!F10,3-(1+INT(LOG10(ABS(E36calc!F10))))),"")</f>
        <v/>
      </c>
      <c r="G10" s="274" t="str">
        <f ca="1">IF(ISNUMBER(E36calc!G10),ROUND(E36calc!G10,3-(1+INT(LOG10(ABS(E36calc!G10))))),"")</f>
        <v/>
      </c>
      <c r="H10" s="278" t="str">
        <f>IF(ISNUMBER(E36calc!H10),ROUND(E36calc!H10,3-(1+INT(LOG10(ABS(E36calc!H10))))),"")</f>
        <v/>
      </c>
      <c r="I10" s="278" t="str">
        <f ca="1">IF(ISNUMBER(E36calc!I10),ROUND(E36calc!I10,3-(1+INT(LOG10(ABS(E36calc!I10))))),"")</f>
        <v/>
      </c>
      <c r="J10" s="278" t="str">
        <f ca="1">IF(ISNUMBER(E36calc!J10),ROUND(E36calc!J10,3-(1+INT(LOG10(ABS(E36calc!J10))))),"")</f>
        <v/>
      </c>
      <c r="K10" s="278" t="str">
        <f ca="1">IF(ISNUMBER(E36calc!K10),ROUND(E36calc!K10,3-(1+INT(LOG10(ABS(E36calc!K10))))),"")</f>
        <v/>
      </c>
      <c r="L10" s="279" t="str">
        <f ca="1">IF(ISNUMBER(E36calc!L10),ROUND(E36calc!L10,3-(1+INT(LOG10(ABS(E36calc!L10))))),"")</f>
        <v/>
      </c>
      <c r="M10" s="313"/>
      <c r="N10" s="22"/>
      <c r="O10" s="22"/>
      <c r="P10" s="22"/>
      <c r="Q10" s="22"/>
      <c r="R10" s="22"/>
      <c r="S10" s="22"/>
      <c r="T10" s="349">
        <v>2</v>
      </c>
      <c r="U10" s="22"/>
      <c r="V10" s="22"/>
      <c r="W10" s="22"/>
    </row>
    <row r="11" spans="1:23" ht="16.5" x14ac:dyDescent="0.2">
      <c r="A11" s="162" t="str">
        <f>IF('Diffusive Flux'!A12=0,"",'Diffusive Flux'!A12)</f>
        <v>Chloride</v>
      </c>
      <c r="B11" s="330" t="s">
        <v>100</v>
      </c>
      <c r="C11" s="275" t="str">
        <f ca="1">IF(ISNUMBER(E36calc!C11),ROUND(E36calc!C11,3-(1+INT(LOG10(ABS(E36calc!C11))))),"")</f>
        <v/>
      </c>
      <c r="D11" s="276" t="str">
        <f ca="1">IF(ISNUMBER(E36calc!D11),ROUND(E36calc!D11,3-(1+INT(LOG10(ABS(E36calc!D11))))),"")</f>
        <v/>
      </c>
      <c r="E11" s="277" t="str">
        <f ca="1">IF(ISNUMBER(E36calc!E11),ROUND(E36calc!E11,3-(1+INT(LOG10(ABS(E36calc!E11))))),"")</f>
        <v/>
      </c>
      <c r="F11" s="276" t="str">
        <f ca="1">IF(ISNUMBER(E36calc!F11),ROUND(E36calc!F11,3-(1+INT(LOG10(ABS(E36calc!F11))))),"")</f>
        <v/>
      </c>
      <c r="G11" s="276" t="str">
        <f ca="1">IF(ISNUMBER(E36calc!G11),ROUND(E36calc!G11,3-(1+INT(LOG10(ABS(E36calc!G11))))),"")</f>
        <v/>
      </c>
      <c r="H11" s="280" t="str">
        <f>IF(ISNUMBER(E36calc!H11),ROUND(E36calc!H11,3-(1+INT(LOG10(ABS(E36calc!H11))))),"")</f>
        <v/>
      </c>
      <c r="I11" s="280" t="str">
        <f ca="1">IF(ISNUMBER(E36calc!I11),ROUND(E36calc!I11,3-(1+INT(LOG10(ABS(E36calc!I11))))),"")</f>
        <v/>
      </c>
      <c r="J11" s="280" t="str">
        <f ca="1">IF(ISNUMBER(E36calc!J11),ROUND(E36calc!J11,3-(1+INT(LOG10(ABS(E36calc!J11))))),"")</f>
        <v/>
      </c>
      <c r="K11" s="280" t="str">
        <f ca="1">IF(ISNUMBER(E36calc!K11),ROUND(E36calc!K11,3-(1+INT(LOG10(ABS(E36calc!K11))))),"")</f>
        <v/>
      </c>
      <c r="L11" s="279">
        <f ca="1">IF(ISNUMBER(E36calc!L11),ROUND(E36calc!L11,3-(1+INT(LOG10(ABS(E36calc!L11))))),"")</f>
        <v>767000</v>
      </c>
      <c r="M11" s="332"/>
      <c r="N11" s="22"/>
      <c r="O11" s="22"/>
      <c r="P11" s="22"/>
      <c r="Q11" s="22"/>
      <c r="R11" s="22"/>
      <c r="S11" s="22"/>
      <c r="T11" s="349">
        <v>3</v>
      </c>
      <c r="U11" s="22"/>
      <c r="V11" s="22"/>
      <c r="W11" s="22"/>
    </row>
    <row r="12" spans="1:23" ht="16.5" x14ac:dyDescent="0.2">
      <c r="A12" s="162" t="str">
        <f>IF('Diffusive Flux'!A13=0,"",'Diffusive Flux'!A13)</f>
        <v>Sodium</v>
      </c>
      <c r="B12" s="182" t="s">
        <v>100</v>
      </c>
      <c r="C12" s="275">
        <f ca="1">IF(ISNUMBER(E36calc!C12),ROUND(E36calc!C12,3-(1+INT(LOG10(ABS(E36calc!C12))))),"")</f>
        <v>90100</v>
      </c>
      <c r="D12" s="276">
        <f ca="1">IF(ISNUMBER(E36calc!D12),ROUND(E36calc!D12,3-(1+INT(LOG10(ABS(E36calc!D12))))),"")</f>
        <v>108000</v>
      </c>
      <c r="E12" s="277">
        <f ca="1">IF(ISNUMBER(E36calc!E12),ROUND(E36calc!E12,3-(1+INT(LOG10(ABS(E36calc!E12))))),"")</f>
        <v>90100</v>
      </c>
      <c r="F12" s="276" t="str">
        <f ca="1">IF(ISNUMBER(E36calc!F12),ROUND(E36calc!F12,3-(1+INT(LOG10(ABS(E36calc!F12))))),"")</f>
        <v/>
      </c>
      <c r="G12" s="276">
        <f ca="1">IF(ISNUMBER(E36calc!G12),ROUND(E36calc!G12,3-(1+INT(LOG10(ABS(E36calc!G12))))),"")</f>
        <v>90100</v>
      </c>
      <c r="H12" s="280" t="str">
        <f>IF(ISNUMBER(E36calc!H12),ROUND(E36calc!H12,3-(1+INT(LOG10(ABS(E36calc!H12))))),"")</f>
        <v/>
      </c>
      <c r="I12" s="280" t="str">
        <f ca="1">IF(ISNUMBER(E36calc!I12),ROUND(E36calc!I12,3-(1+INT(LOG10(ABS(E36calc!I12))))),"")</f>
        <v/>
      </c>
      <c r="J12" s="280" t="str">
        <f ca="1">IF(ISNUMBER(E36calc!J12),ROUND(E36calc!J12,3-(1+INT(LOG10(ABS(E36calc!J12))))),"")</f>
        <v/>
      </c>
      <c r="K12" s="280" t="str">
        <f ca="1">IF(ISNUMBER(E36calc!K12),ROUND(E36calc!K12,3-(1+INT(LOG10(ABS(E36calc!K12))))),"")</f>
        <v/>
      </c>
      <c r="L12" s="279" t="str">
        <f ca="1">IF(ISNUMBER(E36calc!L12),ROUND(E36calc!L12,3-(1+INT(LOG10(ABS(E36calc!L12))))),"")</f>
        <v/>
      </c>
      <c r="M12" s="332"/>
      <c r="N12" s="22"/>
      <c r="O12" s="22"/>
      <c r="P12" s="22"/>
      <c r="Q12" s="22"/>
      <c r="R12" s="22"/>
      <c r="S12" s="22"/>
      <c r="T12" s="349">
        <v>4</v>
      </c>
      <c r="U12" s="22"/>
      <c r="V12" s="22"/>
      <c r="W12" s="22"/>
    </row>
    <row r="13" spans="1:23" ht="16.5" x14ac:dyDescent="0.2">
      <c r="A13" s="162" t="str">
        <f>IF('Diffusive Flux'!A14=0,"",'Diffusive Flux'!A14)</f>
        <v/>
      </c>
      <c r="B13" s="182" t="s">
        <v>100</v>
      </c>
      <c r="C13" s="275" t="str">
        <f ca="1">IF(ISNUMBER(E36calc!C13),ROUND(E36calc!C13,3-(1+INT(LOG10(ABS(E36calc!C13))))),"")</f>
        <v/>
      </c>
      <c r="D13" s="276" t="str">
        <f ca="1">IF(ISNUMBER(E36calc!D13),ROUND(E36calc!D13,3-(1+INT(LOG10(ABS(E36calc!D13))))),"")</f>
        <v/>
      </c>
      <c r="E13" s="277" t="str">
        <f ca="1">IF(ISNUMBER(E36calc!E13),ROUND(E36calc!E13,3-(1+INT(LOG10(ABS(E36calc!E13))))),"")</f>
        <v/>
      </c>
      <c r="F13" s="342" t="str">
        <f ca="1">IF(ISNUMBER(E36calc!F13),ROUND(E36calc!F13,3-(1+INT(LOG10(ABS(E36calc!F13))))),"")</f>
        <v/>
      </c>
      <c r="G13" s="276" t="str">
        <f ca="1">IF(ISNUMBER(E36calc!G13),ROUND(E36calc!G13,3-(1+INT(LOG10(ABS(E36calc!G13))))),"")</f>
        <v/>
      </c>
      <c r="H13" s="280" t="str">
        <f>IF(ISNUMBER(E36calc!H13),ROUND(E36calc!H13,3-(1+INT(LOG10(ABS(E36calc!H13))))),"")</f>
        <v/>
      </c>
      <c r="I13" s="280" t="str">
        <f ca="1">IF(ISNUMBER(E36calc!I13),ROUND(E36calc!I13,3-(1+INT(LOG10(ABS(E36calc!I13))))),"")</f>
        <v/>
      </c>
      <c r="J13" s="280" t="str">
        <f ca="1">IF(ISNUMBER(E36calc!J13),ROUND(E36calc!J13,3-(1+INT(LOG10(ABS(E36calc!J13))))),"")</f>
        <v/>
      </c>
      <c r="K13" s="280" t="str">
        <f ca="1">IF(ISNUMBER(E36calc!K13),ROUND(E36calc!K13,3-(1+INT(LOG10(ABS(E36calc!K13))))),"")</f>
        <v/>
      </c>
      <c r="L13" s="279" t="str">
        <f ca="1">IF(ISNUMBER(E36calc!L13),ROUND(E36calc!L13,3-(1+INT(LOG10(ABS(E36calc!L13))))),"")</f>
        <v/>
      </c>
      <c r="M13" s="332"/>
      <c r="N13" s="22"/>
      <c r="O13" s="22"/>
      <c r="P13" s="22"/>
      <c r="Q13" s="22"/>
      <c r="R13" s="22"/>
      <c r="S13" s="22"/>
      <c r="T13" s="349">
        <v>5</v>
      </c>
      <c r="U13" s="22"/>
      <c r="V13" s="22"/>
      <c r="W13" s="22"/>
    </row>
    <row r="14" spans="1:23" ht="16.5" x14ac:dyDescent="0.2">
      <c r="A14" s="162" t="str">
        <f>IF('Diffusive Flux'!A15=0,"",'Diffusive Flux'!A15)</f>
        <v/>
      </c>
      <c r="B14" s="182" t="s">
        <v>100</v>
      </c>
      <c r="C14" s="275" t="str">
        <f ca="1">IF(ISNUMBER(E36calc!C14),ROUND(E36calc!C14,3-(1+INT(LOG10(ABS(E36calc!C14))))),"")</f>
        <v/>
      </c>
      <c r="D14" s="276" t="str">
        <f ca="1">IF(ISNUMBER(E36calc!D14),ROUND(E36calc!D14,3-(1+INT(LOG10(ABS(E36calc!D14))))),"")</f>
        <v/>
      </c>
      <c r="E14" s="277" t="str">
        <f ca="1">IF(ISNUMBER(E36calc!E14),ROUND(E36calc!E14,3-(1+INT(LOG10(ABS(E36calc!E14))))),"")</f>
        <v/>
      </c>
      <c r="F14" s="276" t="str">
        <f ca="1">IF(ISNUMBER(E36calc!F14),ROUND(E36calc!F14,3-(1+INT(LOG10(ABS(E36calc!F14))))),"")</f>
        <v/>
      </c>
      <c r="G14" s="276" t="str">
        <f ca="1">IF(ISNUMBER(E36calc!G14),ROUND(E36calc!G14,3-(1+INT(LOG10(ABS(E36calc!G14))))),"")</f>
        <v/>
      </c>
      <c r="H14" s="280" t="str">
        <f>IF(ISNUMBER(E36calc!H14),ROUND(E36calc!H14,3-(1+INT(LOG10(ABS(E36calc!H14))))),"")</f>
        <v/>
      </c>
      <c r="I14" s="280" t="str">
        <f ca="1">IF(ISNUMBER(E36calc!I14),ROUND(E36calc!I14,3-(1+INT(LOG10(ABS(E36calc!I14))))),"")</f>
        <v/>
      </c>
      <c r="J14" s="280" t="str">
        <f ca="1">IF(ISNUMBER(E36calc!J14),ROUND(E36calc!J14,3-(1+INT(LOG10(ABS(E36calc!J14))))),"")</f>
        <v/>
      </c>
      <c r="K14" s="280" t="str">
        <f ca="1">IF(ISNUMBER(E36calc!K14),ROUND(E36calc!K14,3-(1+INT(LOG10(ABS(E36calc!K14))))),"")</f>
        <v/>
      </c>
      <c r="L14" s="279" t="str">
        <f ca="1">IF(ISNUMBER(E36calc!L14),ROUND(E36calc!L14,3-(1+INT(LOG10(ABS(E36calc!L14))))),"")</f>
        <v/>
      </c>
      <c r="M14" s="332"/>
      <c r="N14" s="22"/>
      <c r="O14" s="22"/>
      <c r="P14" s="22"/>
      <c r="Q14" s="22"/>
      <c r="R14" s="22"/>
      <c r="S14" s="22"/>
      <c r="T14" s="349">
        <v>6</v>
      </c>
      <c r="U14" s="22"/>
      <c r="V14" s="22"/>
      <c r="W14" s="22"/>
    </row>
    <row r="15" spans="1:23" ht="16.5" x14ac:dyDescent="0.2">
      <c r="A15" s="162" t="str">
        <f>IF('Diffusive Flux'!A16=0,"",'Diffusive Flux'!A16)</f>
        <v/>
      </c>
      <c r="B15" s="182" t="s">
        <v>100</v>
      </c>
      <c r="C15" s="275" t="str">
        <f ca="1">IF(ISNUMBER(E36calc!C15),ROUND(E36calc!C15,3-(1+INT(LOG10(ABS(E36calc!C15))))),"")</f>
        <v/>
      </c>
      <c r="D15" s="276" t="str">
        <f ca="1">IF(ISNUMBER(E36calc!D15),ROUND(E36calc!D15,3-(1+INT(LOG10(ABS(E36calc!D15))))),"")</f>
        <v/>
      </c>
      <c r="E15" s="277" t="str">
        <f ca="1">IF(ISNUMBER(E36calc!E15),ROUND(E36calc!E15,3-(1+INT(LOG10(ABS(E36calc!E15))))),"")</f>
        <v/>
      </c>
      <c r="F15" s="276" t="str">
        <f ca="1">IF(ISNUMBER(E36calc!F15),ROUND(E36calc!F15,3-(1+INT(LOG10(ABS(E36calc!F15))))),"")</f>
        <v/>
      </c>
      <c r="G15" s="276" t="str">
        <f ca="1">IF(ISNUMBER(E36calc!G15),ROUND(E36calc!G15,3-(1+INT(LOG10(ABS(E36calc!G15))))),"")</f>
        <v/>
      </c>
      <c r="H15" s="280" t="str">
        <f>IF(ISNUMBER(E36calc!H15),ROUND(E36calc!H15,3-(1+INT(LOG10(ABS(E36calc!H15))))),"")</f>
        <v/>
      </c>
      <c r="I15" s="280" t="str">
        <f ca="1">IF(ISNUMBER(E36calc!I15),ROUND(E36calc!I15,3-(1+INT(LOG10(ABS(E36calc!I15))))),"")</f>
        <v/>
      </c>
      <c r="J15" s="280" t="str">
        <f ca="1">IF(ISNUMBER(E36calc!J15),ROUND(E36calc!J15,3-(1+INT(LOG10(ABS(E36calc!J15))))),"")</f>
        <v/>
      </c>
      <c r="K15" s="280" t="str">
        <f ca="1">IF(ISNUMBER(E36calc!K15),ROUND(E36calc!K15,3-(1+INT(LOG10(ABS(E36calc!K15))))),"")</f>
        <v/>
      </c>
      <c r="L15" s="279" t="str">
        <f ca="1">IF(ISNUMBER(E36calc!L15),ROUND(E36calc!L15,3-(1+INT(LOG10(ABS(E36calc!L15))))),"")</f>
        <v/>
      </c>
      <c r="M15" s="332"/>
      <c r="N15" s="22"/>
      <c r="O15" s="22"/>
      <c r="P15" s="22"/>
      <c r="Q15" s="22"/>
      <c r="R15" s="22"/>
      <c r="S15" s="22"/>
      <c r="T15" s="349">
        <v>7</v>
      </c>
      <c r="U15" s="22"/>
      <c r="V15" s="22"/>
      <c r="W15" s="22"/>
    </row>
    <row r="16" spans="1:23" ht="16.5" x14ac:dyDescent="0.2">
      <c r="A16" s="162" t="str">
        <f>IF('Diffusive Flux'!A17=0,"",'Diffusive Flux'!A17)</f>
        <v/>
      </c>
      <c r="B16" s="182" t="s">
        <v>100</v>
      </c>
      <c r="C16" s="275" t="str">
        <f ca="1">IF(ISNUMBER(E36calc!C16),ROUND(E36calc!C16,3-(1+INT(LOG10(ABS(E36calc!C16))))),"")</f>
        <v/>
      </c>
      <c r="D16" s="276" t="str">
        <f ca="1">IF(ISNUMBER(E36calc!D16),ROUND(E36calc!D16,3-(1+INT(LOG10(ABS(E36calc!D16))))),"")</f>
        <v/>
      </c>
      <c r="E16" s="277" t="str">
        <f ca="1">IF(ISNUMBER(E36calc!E16),ROUND(E36calc!E16,3-(1+INT(LOG10(ABS(E36calc!E16))))),"")</f>
        <v/>
      </c>
      <c r="F16" s="276" t="str">
        <f ca="1">IF(ISNUMBER(E36calc!F16),ROUND(E36calc!F16,3-(1+INT(LOG10(ABS(E36calc!F16))))),"")</f>
        <v/>
      </c>
      <c r="G16" s="276" t="str">
        <f ca="1">IF(ISNUMBER(E36calc!G16),ROUND(E36calc!G16,3-(1+INT(LOG10(ABS(E36calc!G16))))),"")</f>
        <v/>
      </c>
      <c r="H16" s="280" t="str">
        <f>IF(ISNUMBER(E36calc!H16),ROUND(E36calc!H16,3-(1+INT(LOG10(ABS(E36calc!H16))))),"")</f>
        <v/>
      </c>
      <c r="I16" s="280" t="str">
        <f ca="1">IF(ISNUMBER(E36calc!I16),ROUND(E36calc!I16,3-(1+INT(LOG10(ABS(E36calc!I16))))),"")</f>
        <v/>
      </c>
      <c r="J16" s="280" t="str">
        <f ca="1">IF(ISNUMBER(E36calc!J16),ROUND(E36calc!J16,3-(1+INT(LOG10(ABS(E36calc!J16))))),"")</f>
        <v/>
      </c>
      <c r="K16" s="280" t="str">
        <f ca="1">IF(ISNUMBER(E36calc!K16),ROUND(E36calc!K16,3-(1+INT(LOG10(ABS(E36calc!K16))))),"")</f>
        <v/>
      </c>
      <c r="L16" s="279" t="str">
        <f ca="1">IF(ISNUMBER(E36calc!L16),ROUND(E36calc!L16,3-(1+INT(LOG10(ABS(E36calc!L16))))),"")</f>
        <v/>
      </c>
      <c r="M16" s="332"/>
      <c r="N16" s="22"/>
      <c r="O16" s="22"/>
      <c r="P16" s="22"/>
      <c r="Q16" s="22"/>
      <c r="R16" s="22"/>
      <c r="S16" s="22"/>
      <c r="T16" s="349">
        <v>8</v>
      </c>
      <c r="U16" s="22"/>
      <c r="V16" s="22"/>
      <c r="W16" s="22"/>
    </row>
    <row r="17" spans="1:23" ht="16.5" x14ac:dyDescent="0.2">
      <c r="A17" s="162" t="str">
        <f>IF('Diffusive Flux'!A18=0,"",'Diffusive Flux'!A18)</f>
        <v/>
      </c>
      <c r="B17" s="182" t="s">
        <v>100</v>
      </c>
      <c r="C17" s="275" t="str">
        <f ca="1">IF(ISNUMBER(E36calc!C17),ROUND(E36calc!C17,3-(1+INT(LOG10(ABS(E36calc!C17))))),"")</f>
        <v/>
      </c>
      <c r="D17" s="276" t="str">
        <f ca="1">IF(ISNUMBER(E36calc!D17),ROUND(E36calc!D17,3-(1+INT(LOG10(ABS(E36calc!D17))))),"")</f>
        <v/>
      </c>
      <c r="E17" s="277" t="str">
        <f ca="1">IF(ISNUMBER(E36calc!E17),ROUND(E36calc!E17,3-(1+INT(LOG10(ABS(E36calc!E17))))),"")</f>
        <v/>
      </c>
      <c r="F17" s="276" t="str">
        <f ca="1">IF(ISNUMBER(E36calc!F17),ROUND(E36calc!F17,3-(1+INT(LOG10(ABS(E36calc!F17))))),"")</f>
        <v/>
      </c>
      <c r="G17" s="276" t="str">
        <f ca="1">IF(ISNUMBER(E36calc!G17),ROUND(E36calc!G17,3-(1+INT(LOG10(ABS(E36calc!G17))))),"")</f>
        <v/>
      </c>
      <c r="H17" s="331" t="str">
        <f>IF(ISNUMBER(E36calc!H17),ROUND(E36calc!H17,3-(1+INT(LOG10(ABS(E36calc!H17))))),"")</f>
        <v/>
      </c>
      <c r="I17" s="280" t="str">
        <f ca="1">IF(ISNUMBER(E36calc!I17),ROUND(E36calc!I17,3-(1+INT(LOG10(ABS(E36calc!I17))))),"")</f>
        <v/>
      </c>
      <c r="J17" s="280" t="str">
        <f ca="1">IF(ISNUMBER(E36calc!J17),ROUND(E36calc!J17,3-(1+INT(LOG10(ABS(E36calc!J17))))),"")</f>
        <v/>
      </c>
      <c r="K17" s="280" t="str">
        <f ca="1">IF(ISNUMBER(E36calc!K17),ROUND(E36calc!K17,3-(1+INT(LOG10(ABS(E36calc!K17))))),"")</f>
        <v/>
      </c>
      <c r="L17" s="279" t="str">
        <f ca="1">IF(ISNUMBER(E36calc!L17),ROUND(E36calc!L17,3-(1+INT(LOG10(ABS(E36calc!L17))))),"")</f>
        <v/>
      </c>
      <c r="M17" s="332"/>
      <c r="N17" s="22"/>
      <c r="O17" s="22"/>
      <c r="P17" s="22"/>
      <c r="Q17" s="22"/>
      <c r="R17" s="22"/>
      <c r="S17" s="22"/>
      <c r="T17" s="349">
        <v>9</v>
      </c>
      <c r="U17" s="22"/>
      <c r="V17" s="22"/>
      <c r="W17" s="22"/>
    </row>
    <row r="18" spans="1:23" ht="16.5" x14ac:dyDescent="0.2">
      <c r="A18" s="162" t="str">
        <f>IF('Diffusive Flux'!A19=0,"",'Diffusive Flux'!A19)</f>
        <v/>
      </c>
      <c r="B18" s="182" t="s">
        <v>100</v>
      </c>
      <c r="C18" s="275" t="str">
        <f ca="1">IF(ISNUMBER(E36calc!C18),ROUND(E36calc!C18,3-(1+INT(LOG10(ABS(E36calc!C18))))),"")</f>
        <v/>
      </c>
      <c r="D18" s="276" t="str">
        <f ca="1">IF(ISNUMBER(E36calc!D18),ROUND(E36calc!D18,3-(1+INT(LOG10(ABS(E36calc!D18))))),"")</f>
        <v/>
      </c>
      <c r="E18" s="277" t="str">
        <f ca="1">IF(ISNUMBER(E36calc!E18),ROUND(E36calc!E18,3-(1+INT(LOG10(ABS(E36calc!E18))))),"")</f>
        <v/>
      </c>
      <c r="F18" s="276" t="str">
        <f ca="1">IF(ISNUMBER(E36calc!F18),ROUND(E36calc!F18,3-(1+INT(LOG10(ABS(E36calc!F18))))),"")</f>
        <v/>
      </c>
      <c r="G18" s="276" t="str">
        <f ca="1">IF(ISNUMBER(E36calc!G18),ROUND(E36calc!G18,3-(1+INT(LOG10(ABS(E36calc!G18))))),"")</f>
        <v/>
      </c>
      <c r="H18" s="309" t="str">
        <f>IF(ISNUMBER(E36calc!H18),ROUND(E36calc!H18,3-(1+INT(LOG10(ABS(E36calc!H18))))),"")</f>
        <v/>
      </c>
      <c r="I18" s="280" t="str">
        <f ca="1">IF(ISNUMBER(E36calc!I18),ROUND(E36calc!I18,3-(1+INT(LOG10(ABS(E36calc!I18))))),"")</f>
        <v/>
      </c>
      <c r="J18" s="280" t="str">
        <f ca="1">IF(ISNUMBER(E36calc!J18),ROUND(E36calc!J18,3-(1+INT(LOG10(ABS(E36calc!J18))))),"")</f>
        <v/>
      </c>
      <c r="K18" s="280" t="str">
        <f ca="1">IF(ISNUMBER(E36calc!K18),ROUND(E36calc!K18,3-(1+INT(LOG10(ABS(E36calc!K18))))),"")</f>
        <v/>
      </c>
      <c r="L18" s="279" t="str">
        <f ca="1">IF(ISNUMBER(E36calc!L18),ROUND(E36calc!L18,3-(1+INT(LOG10(ABS(E36calc!L18))))),"")</f>
        <v/>
      </c>
      <c r="M18" s="332"/>
      <c r="N18" s="22"/>
      <c r="O18" s="22"/>
      <c r="P18" s="22"/>
      <c r="Q18" s="22"/>
      <c r="R18" s="22"/>
      <c r="S18" s="22"/>
      <c r="T18" s="349">
        <v>10</v>
      </c>
      <c r="U18" s="22"/>
      <c r="V18" s="22"/>
      <c r="W18" s="22"/>
    </row>
    <row r="19" spans="1:23" ht="16.5" x14ac:dyDescent="0.2">
      <c r="A19" s="162" t="str">
        <f>IF('Diffusive Flux'!A20=0,"",'Diffusive Flux'!A20)</f>
        <v/>
      </c>
      <c r="B19" s="182" t="s">
        <v>100</v>
      </c>
      <c r="C19" s="275" t="str">
        <f ca="1">IF(ISNUMBER(E36calc!C19),ROUND(E36calc!C19,3-(1+INT(LOG10(ABS(E36calc!C19))))),"")</f>
        <v/>
      </c>
      <c r="D19" s="276" t="str">
        <f ca="1">IF(ISNUMBER(E36calc!D19),ROUND(E36calc!D19,3-(1+INT(LOG10(ABS(E36calc!D19))))),"")</f>
        <v/>
      </c>
      <c r="E19" s="277" t="str">
        <f ca="1">IF(ISNUMBER(E36calc!E19),ROUND(E36calc!E19,3-(1+INT(LOG10(ABS(E36calc!E19))))),"")</f>
        <v/>
      </c>
      <c r="F19" s="276" t="str">
        <f ca="1">IF(ISNUMBER(E36calc!F19),ROUND(E36calc!F19,3-(1+INT(LOG10(ABS(E36calc!F19))))),"")</f>
        <v/>
      </c>
      <c r="G19" s="276" t="str">
        <f ca="1">IF(ISNUMBER(E36calc!G19),ROUND(E36calc!G19,3-(1+INT(LOG10(ABS(E36calc!G19))))),"")</f>
        <v/>
      </c>
      <c r="H19" s="309" t="str">
        <f>IF(ISNUMBER(E36calc!H19),ROUND(E36calc!H19,3-(1+INT(LOG10(ABS(E36calc!H19))))),"")</f>
        <v/>
      </c>
      <c r="I19" s="280" t="str">
        <f ca="1">IF(ISNUMBER(E36calc!I19),ROUND(E36calc!I19,3-(1+INT(LOG10(ABS(E36calc!I19))))),"")</f>
        <v/>
      </c>
      <c r="J19" s="280" t="str">
        <f ca="1">IF(ISNUMBER(E36calc!J19),ROUND(E36calc!J19,3-(1+INT(LOG10(ABS(E36calc!J19))))),"")</f>
        <v/>
      </c>
      <c r="K19" s="280" t="str">
        <f ca="1">IF(ISNUMBER(E36calc!K19),ROUND(E36calc!K19,3-(1+INT(LOG10(ABS(E36calc!K19))))),"")</f>
        <v/>
      </c>
      <c r="L19" s="279" t="str">
        <f ca="1">IF(ISNUMBER(E36calc!L19),ROUND(E36calc!L19,3-(1+INT(LOG10(ABS(E36calc!L19))))),"")</f>
        <v/>
      </c>
      <c r="M19" s="332"/>
      <c r="N19" s="22"/>
      <c r="O19" s="22"/>
      <c r="P19" s="22"/>
      <c r="Q19" s="22"/>
      <c r="R19" s="22"/>
      <c r="S19" s="22"/>
      <c r="T19" s="349">
        <v>11</v>
      </c>
      <c r="U19" s="22"/>
      <c r="V19" s="22"/>
      <c r="W19" s="22"/>
    </row>
    <row r="20" spans="1:23" ht="16.5" x14ac:dyDescent="0.2">
      <c r="A20" s="162" t="str">
        <f>IF('Diffusive Flux'!A21=0,"",'Diffusive Flux'!A21)</f>
        <v/>
      </c>
      <c r="B20" s="182" t="s">
        <v>100</v>
      </c>
      <c r="C20" s="275" t="str">
        <f ca="1">IF(ISNUMBER(E36calc!C20),ROUND(E36calc!C20,3-(1+INT(LOG10(ABS(E36calc!C20))))),"")</f>
        <v/>
      </c>
      <c r="D20" s="276" t="str">
        <f ca="1">IF(ISNUMBER(E36calc!D20),ROUND(E36calc!D20,3-(1+INT(LOG10(ABS(E36calc!D20))))),"")</f>
        <v/>
      </c>
      <c r="E20" s="277" t="str">
        <f ca="1">IF(ISNUMBER(E36calc!E20),ROUND(E36calc!E20,3-(1+INT(LOG10(ABS(E36calc!E20))))),"")</f>
        <v/>
      </c>
      <c r="F20" s="276" t="str">
        <f ca="1">IF(ISNUMBER(E36calc!F20),ROUND(E36calc!F20,3-(1+INT(LOG10(ABS(E36calc!F20))))),"")</f>
        <v/>
      </c>
      <c r="G20" s="276" t="str">
        <f ca="1">IF(ISNUMBER(E36calc!G20),ROUND(E36calc!G20,3-(1+INT(LOG10(ABS(E36calc!G20))))),"")</f>
        <v/>
      </c>
      <c r="H20" s="280" t="str">
        <f>IF(ISNUMBER(E36calc!H20),ROUND(E36calc!H20,3-(1+INT(LOG10(ABS(E36calc!H20))))),"")</f>
        <v/>
      </c>
      <c r="I20" s="280" t="str">
        <f ca="1">IF(ISNUMBER(E36calc!I20),ROUND(E36calc!I20,3-(1+INT(LOG10(ABS(E36calc!I20))))),"")</f>
        <v/>
      </c>
      <c r="J20" s="280" t="str">
        <f ca="1">IF(ISNUMBER(E36calc!J20),ROUND(E36calc!J20,3-(1+INT(LOG10(ABS(E36calc!J20))))),"")</f>
        <v/>
      </c>
      <c r="K20" s="280" t="str">
        <f ca="1">IF(ISNUMBER(E36calc!K20),ROUND(E36calc!K20,3-(1+INT(LOG10(ABS(E36calc!K20))))),"")</f>
        <v/>
      </c>
      <c r="L20" s="279" t="str">
        <f ca="1">IF(ISNUMBER(E36calc!L20),ROUND(E36calc!L20,3-(1+INT(LOG10(ABS(E36calc!L20))))),"")</f>
        <v/>
      </c>
      <c r="M20" s="332"/>
      <c r="N20" s="22"/>
      <c r="O20" s="22"/>
      <c r="P20" s="22"/>
      <c r="Q20" s="22"/>
      <c r="R20" s="22"/>
      <c r="S20" s="22"/>
      <c r="T20" s="349">
        <v>12</v>
      </c>
      <c r="U20" s="22"/>
      <c r="V20" s="22"/>
      <c r="W20" s="22"/>
    </row>
    <row r="21" spans="1:23" ht="16.5" x14ac:dyDescent="0.2">
      <c r="A21" s="162" t="str">
        <f>IF('Diffusive Flux'!A22=0,"",'Diffusive Flux'!A22)</f>
        <v/>
      </c>
      <c r="B21" s="182" t="s">
        <v>100</v>
      </c>
      <c r="C21" s="275" t="str">
        <f ca="1">IF(ISNUMBER(E36calc!C21),ROUND(E36calc!C21,3-(1+INT(LOG10(ABS(E36calc!C21))))),"")</f>
        <v/>
      </c>
      <c r="D21" s="276" t="str">
        <f ca="1">IF(ISNUMBER(E36calc!D21),ROUND(E36calc!D21,3-(1+INT(LOG10(ABS(E36calc!D21))))),"")</f>
        <v/>
      </c>
      <c r="E21" s="277" t="str">
        <f ca="1">IF(ISNUMBER(E36calc!E21),ROUND(E36calc!E21,3-(1+INT(LOG10(ABS(E36calc!E21))))),"")</f>
        <v/>
      </c>
      <c r="F21" s="276" t="str">
        <f ca="1">IF(ISNUMBER(E36calc!F21),ROUND(E36calc!F21,3-(1+INT(LOG10(ABS(E36calc!F21))))),"")</f>
        <v/>
      </c>
      <c r="G21" s="276" t="str">
        <f ca="1">IF(ISNUMBER(E36calc!G21),ROUND(E36calc!G21,3-(1+INT(LOG10(ABS(E36calc!G21))))),"")</f>
        <v/>
      </c>
      <c r="H21" s="280" t="str">
        <f>IF(ISNUMBER(E36calc!H21),ROUND(E36calc!H21,3-(1+INT(LOG10(ABS(E36calc!H21))))),"")</f>
        <v/>
      </c>
      <c r="I21" s="280" t="str">
        <f ca="1">IF(ISNUMBER(E36calc!I21),ROUND(E36calc!I21,3-(1+INT(LOG10(ABS(E36calc!I21))))),"")</f>
        <v/>
      </c>
      <c r="J21" s="280" t="str">
        <f ca="1">IF(ISNUMBER(E36calc!J21),ROUND(E36calc!J21,3-(1+INT(LOG10(ABS(E36calc!J21))))),"")</f>
        <v/>
      </c>
      <c r="K21" s="280" t="str">
        <f ca="1">IF(ISNUMBER(E36calc!K21),ROUND(E36calc!K21,3-(1+INT(LOG10(ABS(E36calc!K21))))),"")</f>
        <v/>
      </c>
      <c r="L21" s="279" t="str">
        <f ca="1">IF(ISNUMBER(E36calc!L21),ROUND(E36calc!L21,3-(1+INT(LOG10(ABS(E36calc!L21))))),"")</f>
        <v/>
      </c>
      <c r="M21" s="332"/>
      <c r="N21" s="22"/>
      <c r="O21" s="22"/>
      <c r="P21" s="22"/>
      <c r="Q21" s="22"/>
      <c r="R21" s="22"/>
      <c r="S21" s="22"/>
      <c r="T21" s="349">
        <v>13</v>
      </c>
      <c r="U21" s="22"/>
      <c r="V21" s="22"/>
      <c r="W21" s="22"/>
    </row>
    <row r="22" spans="1:23" ht="16.5" x14ac:dyDescent="0.2">
      <c r="A22" s="162" t="str">
        <f>IF('Diffusive Flux'!A23=0,"",'Diffusive Flux'!A23)</f>
        <v/>
      </c>
      <c r="B22" s="182" t="s">
        <v>100</v>
      </c>
      <c r="C22" s="275" t="str">
        <f ca="1">IF(ISNUMBER(E36calc!C22),ROUND(E36calc!C22,3-(1+INT(LOG10(ABS(E36calc!C22))))),"")</f>
        <v/>
      </c>
      <c r="D22" s="276" t="str">
        <f ca="1">IF(ISNUMBER(E36calc!D22),ROUND(E36calc!D22,3-(1+INT(LOG10(ABS(E36calc!D22))))),"")</f>
        <v/>
      </c>
      <c r="E22" s="277" t="str">
        <f ca="1">IF(ISNUMBER(E36calc!E22),ROUND(E36calc!E22,3-(1+INT(LOG10(ABS(E36calc!E22))))),"")</f>
        <v/>
      </c>
      <c r="F22" s="276" t="str">
        <f ca="1">IF(ISNUMBER(E36calc!F22),ROUND(E36calc!F22,3-(1+INT(LOG10(ABS(E36calc!F22))))),"")</f>
        <v/>
      </c>
      <c r="G22" s="276" t="str">
        <f ca="1">IF(ISNUMBER(E36calc!G22),ROUND(E36calc!G22,3-(1+INT(LOG10(ABS(E36calc!G22))))),"")</f>
        <v/>
      </c>
      <c r="H22" s="280" t="str">
        <f>IF(ISNUMBER(E36calc!H22),ROUND(E36calc!H22,3-(1+INT(LOG10(ABS(E36calc!H22))))),"")</f>
        <v/>
      </c>
      <c r="I22" s="280" t="str">
        <f ca="1">IF(ISNUMBER(E36calc!I22),ROUND(E36calc!I22,3-(1+INT(LOG10(ABS(E36calc!I22))))),"")</f>
        <v/>
      </c>
      <c r="J22" s="280" t="str">
        <f ca="1">IF(ISNUMBER(E36calc!J22),ROUND(E36calc!J22,3-(1+INT(LOG10(ABS(E36calc!J22))))),"")</f>
        <v/>
      </c>
      <c r="K22" s="280" t="str">
        <f ca="1">IF(ISNUMBER(E36calc!K22),ROUND(E36calc!K22,3-(1+INT(LOG10(ABS(E36calc!K22))))),"")</f>
        <v/>
      </c>
      <c r="L22" s="279" t="str">
        <f ca="1">IF(ISNUMBER(E36calc!L22),ROUND(E36calc!L22,3-(1+INT(LOG10(ABS(E36calc!L22))))),"")</f>
        <v/>
      </c>
      <c r="M22" s="332"/>
      <c r="N22" s="22"/>
      <c r="O22" s="22"/>
      <c r="P22" s="22"/>
      <c r="Q22" s="22"/>
      <c r="R22" s="22"/>
      <c r="S22" s="22"/>
      <c r="T22" s="349">
        <v>14</v>
      </c>
      <c r="U22" s="22"/>
      <c r="V22" s="22"/>
      <c r="W22" s="22"/>
    </row>
    <row r="23" spans="1:23" ht="16.5" x14ac:dyDescent="0.2">
      <c r="A23" s="162" t="str">
        <f>IF('Diffusive Flux'!A24=0,"",'Diffusive Flux'!A24)</f>
        <v/>
      </c>
      <c r="B23" s="182" t="s">
        <v>100</v>
      </c>
      <c r="C23" s="275" t="str">
        <f ca="1">IF(ISNUMBER(E36calc!C23),ROUND(E36calc!C23,3-(1+INT(LOG10(ABS(E36calc!C23))))),"")</f>
        <v/>
      </c>
      <c r="D23" s="276" t="str">
        <f ca="1">IF(ISNUMBER(E36calc!D23),ROUND(E36calc!D23,3-(1+INT(LOG10(ABS(E36calc!D23))))),"")</f>
        <v/>
      </c>
      <c r="E23" s="277" t="str">
        <f ca="1">IF(ISNUMBER(E36calc!E23),ROUND(E36calc!E23,3-(1+INT(LOG10(ABS(E36calc!E23))))),"")</f>
        <v/>
      </c>
      <c r="F23" s="276" t="str">
        <f ca="1">IF(ISNUMBER(E36calc!F23),ROUND(E36calc!F23,3-(1+INT(LOG10(ABS(E36calc!F23))))),"")</f>
        <v/>
      </c>
      <c r="G23" s="276" t="str">
        <f ca="1">IF(ISNUMBER(E36calc!G23),ROUND(E36calc!G23,3-(1+INT(LOG10(ABS(E36calc!G23))))),"")</f>
        <v/>
      </c>
      <c r="H23" s="280" t="str">
        <f>IF(ISNUMBER(E36calc!H23),ROUND(E36calc!H23,3-(1+INT(LOG10(ABS(E36calc!H23))))),"")</f>
        <v/>
      </c>
      <c r="I23" s="280" t="str">
        <f ca="1">IF(ISNUMBER(E36calc!I23),ROUND(E36calc!I23,3-(1+INT(LOG10(ABS(E36calc!I23))))),"")</f>
        <v/>
      </c>
      <c r="J23" s="280" t="str">
        <f ca="1">IF(ISNUMBER(E36calc!J23),ROUND(E36calc!J23,3-(1+INT(LOG10(ABS(E36calc!J23))))),"")</f>
        <v/>
      </c>
      <c r="K23" s="280" t="str">
        <f ca="1">IF(ISNUMBER(E36calc!K23),ROUND(E36calc!K23,3-(1+INT(LOG10(ABS(E36calc!K23))))),"")</f>
        <v/>
      </c>
      <c r="L23" s="279" t="str">
        <f ca="1">IF(ISNUMBER(E36calc!L23),ROUND(E36calc!L23,3-(1+INT(LOG10(ABS(E36calc!L23))))),"")</f>
        <v/>
      </c>
      <c r="M23" s="332"/>
      <c r="N23" s="22"/>
      <c r="O23" s="22"/>
      <c r="P23" s="22"/>
      <c r="Q23" s="22"/>
      <c r="R23" s="22"/>
      <c r="S23" s="22"/>
      <c r="T23" s="349">
        <v>15</v>
      </c>
      <c r="U23" s="22"/>
      <c r="V23" s="22"/>
      <c r="W23" s="22"/>
    </row>
    <row r="24" spans="1:23" ht="16.5" x14ac:dyDescent="0.2">
      <c r="A24" s="162" t="str">
        <f>IF('Diffusive Flux'!A25=0,"",'Diffusive Flux'!A25)</f>
        <v/>
      </c>
      <c r="B24" s="182" t="s">
        <v>100</v>
      </c>
      <c r="C24" s="275" t="str">
        <f ca="1">IF(ISNUMBER(E36calc!C24),ROUND(E36calc!C24,3-(1+INT(LOG10(ABS(E36calc!C24))))),"")</f>
        <v/>
      </c>
      <c r="D24" s="276" t="str">
        <f ca="1">IF(ISNUMBER(E36calc!D24),ROUND(E36calc!D24,3-(1+INT(LOG10(ABS(E36calc!D24))))),"")</f>
        <v/>
      </c>
      <c r="E24" s="277" t="str">
        <f ca="1">IF(ISNUMBER(E36calc!E24),ROUND(E36calc!E24,3-(1+INT(LOG10(ABS(E36calc!E24))))),"")</f>
        <v/>
      </c>
      <c r="F24" s="276" t="str">
        <f ca="1">IF(ISNUMBER(E36calc!F24),ROUND(E36calc!F24,3-(1+INT(LOG10(ABS(E36calc!F24))))),"")</f>
        <v/>
      </c>
      <c r="G24" s="276" t="str">
        <f ca="1">IF(ISNUMBER(E36calc!G24),ROUND(E36calc!G24,3-(1+INT(LOG10(ABS(E36calc!G24))))),"")</f>
        <v/>
      </c>
      <c r="H24" s="280" t="str">
        <f>IF(ISNUMBER(E36calc!H24),ROUND(E36calc!H24,3-(1+INT(LOG10(ABS(E36calc!H24))))),"")</f>
        <v/>
      </c>
      <c r="I24" s="280" t="str">
        <f ca="1">IF(ISNUMBER(E36calc!I24),ROUND(E36calc!I24,3-(1+INT(LOG10(ABS(E36calc!I24))))),"")</f>
        <v/>
      </c>
      <c r="J24" s="280" t="str">
        <f ca="1">IF(ISNUMBER(E36calc!J24),ROUND(E36calc!J24,3-(1+INT(LOG10(ABS(E36calc!J24))))),"")</f>
        <v/>
      </c>
      <c r="K24" s="280" t="str">
        <f ca="1">IF(ISNUMBER(E36calc!K24),ROUND(E36calc!K24,3-(1+INT(LOG10(ABS(E36calc!K24))))),"")</f>
        <v/>
      </c>
      <c r="L24" s="279" t="str">
        <f ca="1">IF(ISNUMBER(E36calc!L24),ROUND(E36calc!L24,3-(1+INT(LOG10(ABS(E36calc!L24))))),"")</f>
        <v/>
      </c>
      <c r="M24" s="332"/>
      <c r="N24" s="22"/>
      <c r="O24" s="22"/>
      <c r="P24" s="22"/>
      <c r="Q24" s="22"/>
      <c r="R24" s="22"/>
      <c r="S24" s="22"/>
      <c r="T24" s="349">
        <v>16</v>
      </c>
      <c r="U24" s="22"/>
      <c r="V24" s="22"/>
      <c r="W24" s="22"/>
    </row>
    <row r="25" spans="1:23" ht="16.5" x14ac:dyDescent="0.2">
      <c r="A25" s="162" t="str">
        <f>IF('Diffusive Flux'!A26=0,"",'Diffusive Flux'!A26)</f>
        <v/>
      </c>
      <c r="B25" s="182" t="s">
        <v>100</v>
      </c>
      <c r="C25" s="275" t="str">
        <f ca="1">IF(ISNUMBER(E36calc!C25),ROUND(E36calc!C25,3-(1+INT(LOG10(ABS(E36calc!C25))))),"")</f>
        <v/>
      </c>
      <c r="D25" s="276" t="str">
        <f ca="1">IF(ISNUMBER(E36calc!D25),ROUND(E36calc!D25,3-(1+INT(LOG10(ABS(E36calc!D25))))),"")</f>
        <v/>
      </c>
      <c r="E25" s="277" t="str">
        <f ca="1">IF(ISNUMBER(E36calc!E25),ROUND(E36calc!E25,3-(1+INT(LOG10(ABS(E36calc!E25))))),"")</f>
        <v/>
      </c>
      <c r="F25" s="276" t="str">
        <f ca="1">IF(ISNUMBER(E36calc!F25),ROUND(E36calc!F25,3-(1+INT(LOG10(ABS(E36calc!F25))))),"")</f>
        <v/>
      </c>
      <c r="G25" s="276" t="str">
        <f ca="1">IF(ISNUMBER(E36calc!G25),ROUND(E36calc!G25,3-(1+INT(LOG10(ABS(E36calc!G25))))),"")</f>
        <v/>
      </c>
      <c r="H25" s="280" t="str">
        <f>IF(ISNUMBER(E36calc!H25),ROUND(E36calc!H25,3-(1+INT(LOG10(ABS(E36calc!H25))))),"")</f>
        <v/>
      </c>
      <c r="I25" s="280" t="str">
        <f ca="1">IF(ISNUMBER(E36calc!I25),ROUND(E36calc!I25,3-(1+INT(LOG10(ABS(E36calc!I25))))),"")</f>
        <v/>
      </c>
      <c r="J25" s="280" t="str">
        <f ca="1">IF(ISNUMBER(E36calc!J25),ROUND(E36calc!J25,3-(1+INT(LOG10(ABS(E36calc!J25))))),"")</f>
        <v/>
      </c>
      <c r="K25" s="280" t="str">
        <f ca="1">IF(ISNUMBER(E36calc!K25),ROUND(E36calc!K25,3-(1+INT(LOG10(ABS(E36calc!K25))))),"")</f>
        <v/>
      </c>
      <c r="L25" s="279" t="str">
        <f ca="1">IF(ISNUMBER(E36calc!L25),ROUND(E36calc!L25,3-(1+INT(LOG10(ABS(E36calc!L25))))),"")</f>
        <v/>
      </c>
      <c r="M25" s="332"/>
      <c r="N25" s="22"/>
      <c r="O25" s="22"/>
      <c r="P25" s="22"/>
      <c r="Q25" s="22"/>
      <c r="R25" s="22"/>
      <c r="S25" s="22"/>
      <c r="T25" s="349">
        <v>17</v>
      </c>
      <c r="U25" s="22"/>
      <c r="V25" s="22"/>
      <c r="W25" s="22"/>
    </row>
    <row r="26" spans="1:23" ht="16.5" x14ac:dyDescent="0.2">
      <c r="A26" s="162" t="str">
        <f>IF('Diffusive Flux'!A27=0,"",'Diffusive Flux'!A27)</f>
        <v/>
      </c>
      <c r="B26" s="182" t="s">
        <v>100</v>
      </c>
      <c r="C26" s="275" t="str">
        <f ca="1">IF(ISNUMBER(E36calc!C26),ROUND(E36calc!C26,3-(1+INT(LOG10(ABS(E36calc!C26))))),"")</f>
        <v/>
      </c>
      <c r="D26" s="276" t="str">
        <f ca="1">IF(ISNUMBER(E36calc!D26),ROUND(E36calc!D26,3-(1+INT(LOG10(ABS(E36calc!D26))))),"")</f>
        <v/>
      </c>
      <c r="E26" s="277" t="str">
        <f ca="1">IF(ISNUMBER(E36calc!E26),ROUND(E36calc!E26,3-(1+INT(LOG10(ABS(E36calc!E26))))),"")</f>
        <v/>
      </c>
      <c r="F26" s="276" t="str">
        <f ca="1">IF(ISNUMBER(E36calc!F26),ROUND(E36calc!F26,3-(1+INT(LOG10(ABS(E36calc!F26))))),"")</f>
        <v/>
      </c>
      <c r="G26" s="276" t="str">
        <f ca="1">IF(ISNUMBER(E36calc!G26),ROUND(E36calc!G26,3-(1+INT(LOG10(ABS(E36calc!G26))))),"")</f>
        <v/>
      </c>
      <c r="H26" s="280" t="str">
        <f>IF(ISNUMBER(E36calc!H26),ROUND(E36calc!H26,3-(1+INT(LOG10(ABS(E36calc!H26))))),"")</f>
        <v/>
      </c>
      <c r="I26" s="280" t="str">
        <f ca="1">IF(ISNUMBER(E36calc!I26),ROUND(E36calc!I26,3-(1+INT(LOG10(ABS(E36calc!I26))))),"")</f>
        <v/>
      </c>
      <c r="J26" s="280" t="str">
        <f ca="1">IF(ISNUMBER(E36calc!J26),ROUND(E36calc!J26,3-(1+INT(LOG10(ABS(E36calc!J26))))),"")</f>
        <v/>
      </c>
      <c r="K26" s="280" t="str">
        <f ca="1">IF(ISNUMBER(E36calc!K26),ROUND(E36calc!K26,3-(1+INT(LOG10(ABS(E36calc!K26))))),"")</f>
        <v/>
      </c>
      <c r="L26" s="279" t="str">
        <f ca="1">IF(ISNUMBER(E36calc!L26),ROUND(E36calc!L26,3-(1+INT(LOG10(ABS(E36calc!L26))))),"")</f>
        <v/>
      </c>
      <c r="M26" s="332"/>
      <c r="N26" s="22"/>
      <c r="O26" s="22"/>
      <c r="P26" s="22"/>
      <c r="Q26" s="22"/>
      <c r="R26" s="22"/>
      <c r="S26" s="22"/>
      <c r="T26" s="349">
        <v>18</v>
      </c>
      <c r="U26" s="22"/>
      <c r="V26" s="22"/>
      <c r="W26" s="22"/>
    </row>
    <row r="27" spans="1:23" ht="16.5" x14ac:dyDescent="0.2">
      <c r="A27" s="162" t="str">
        <f>IF('Diffusive Flux'!A28=0,"",'Diffusive Flux'!A28)</f>
        <v/>
      </c>
      <c r="B27" s="182" t="s">
        <v>100</v>
      </c>
      <c r="C27" s="275" t="str">
        <f ca="1">IF(ISNUMBER(E36calc!C27),ROUND(E36calc!C27,3-(1+INT(LOG10(ABS(E36calc!C27))))),"")</f>
        <v/>
      </c>
      <c r="D27" s="276" t="str">
        <f ca="1">IF(ISNUMBER(E36calc!D27),ROUND(E36calc!D27,3-(1+INT(LOG10(ABS(E36calc!D27))))),"")</f>
        <v/>
      </c>
      <c r="E27" s="277" t="str">
        <f ca="1">IF(ISNUMBER(E36calc!E27),ROUND(E36calc!E27,3-(1+INT(LOG10(ABS(E36calc!E27))))),"")</f>
        <v/>
      </c>
      <c r="F27" s="276" t="str">
        <f ca="1">IF(ISNUMBER(E36calc!F27),ROUND(E36calc!F27,3-(1+INT(LOG10(ABS(E36calc!F27))))),"")</f>
        <v/>
      </c>
      <c r="G27" s="276" t="str">
        <f ca="1">IF(ISNUMBER(E36calc!G27),ROUND(E36calc!G27,3-(1+INT(LOG10(ABS(E36calc!G27))))),"")</f>
        <v/>
      </c>
      <c r="H27" s="280" t="str">
        <f>IF(ISNUMBER(E36calc!H27),ROUND(E36calc!H27,3-(1+INT(LOG10(ABS(E36calc!H27))))),"")</f>
        <v/>
      </c>
      <c r="I27" s="280" t="str">
        <f ca="1">IF(ISNUMBER(E36calc!I27),ROUND(E36calc!I27,3-(1+INT(LOG10(ABS(E36calc!I27))))),"")</f>
        <v/>
      </c>
      <c r="J27" s="280" t="str">
        <f ca="1">IF(ISNUMBER(E36calc!J27),ROUND(E36calc!J27,3-(1+INT(LOG10(ABS(E36calc!J27))))),"")</f>
        <v/>
      </c>
      <c r="K27" s="280" t="str">
        <f ca="1">IF(ISNUMBER(E36calc!K27),ROUND(E36calc!K27,3-(1+INT(LOG10(ABS(E36calc!K27))))),"")</f>
        <v/>
      </c>
      <c r="L27" s="279" t="str">
        <f ca="1">IF(ISNUMBER(E36calc!L27),ROUND(E36calc!L27,3-(1+INT(LOG10(ABS(E36calc!L27))))),"")</f>
        <v/>
      </c>
      <c r="M27" s="332"/>
      <c r="N27" s="22"/>
      <c r="O27" s="22"/>
      <c r="P27" s="22"/>
      <c r="Q27" s="22"/>
      <c r="R27" s="22"/>
      <c r="S27" s="22"/>
      <c r="T27" s="349">
        <v>19</v>
      </c>
      <c r="U27" s="22"/>
      <c r="V27" s="22"/>
      <c r="W27" s="22"/>
    </row>
    <row r="28" spans="1:23" ht="16.5" x14ac:dyDescent="0.2">
      <c r="A28" s="162" t="str">
        <f>IF('Diffusive Flux'!A29=0,"",'Diffusive Flux'!A29)</f>
        <v/>
      </c>
      <c r="B28" s="182" t="s">
        <v>100</v>
      </c>
      <c r="C28" s="275" t="str">
        <f ca="1">IF(ISNUMBER(E36calc!C28),ROUND(E36calc!C28,3-(1+INT(LOG10(ABS(E36calc!C28))))),"")</f>
        <v/>
      </c>
      <c r="D28" s="276" t="str">
        <f ca="1">IF(ISNUMBER(E36calc!D28),ROUND(E36calc!D28,3-(1+INT(LOG10(ABS(E36calc!D28))))),"")</f>
        <v/>
      </c>
      <c r="E28" s="277" t="str">
        <f ca="1">IF(ISNUMBER(E36calc!E28),ROUND(E36calc!E28,3-(1+INT(LOG10(ABS(E36calc!E28))))),"")</f>
        <v/>
      </c>
      <c r="F28" s="276" t="str">
        <f ca="1">IF(ISNUMBER(E36calc!F28),ROUND(E36calc!F28,3-(1+INT(LOG10(ABS(E36calc!F28))))),"")</f>
        <v/>
      </c>
      <c r="G28" s="276" t="str">
        <f ca="1">IF(ISNUMBER(E36calc!G28),ROUND(E36calc!G28,3-(1+INT(LOG10(ABS(E36calc!G28))))),"")</f>
        <v/>
      </c>
      <c r="H28" s="280" t="str">
        <f>IF(ISNUMBER(E36calc!H28),ROUND(E36calc!H28,3-(1+INT(LOG10(ABS(E36calc!H28))))),"")</f>
        <v/>
      </c>
      <c r="I28" s="280" t="str">
        <f ca="1">IF(ISNUMBER(E36calc!I28),ROUND(E36calc!I28,3-(1+INT(LOG10(ABS(E36calc!I28))))),"")</f>
        <v/>
      </c>
      <c r="J28" s="280" t="str">
        <f ca="1">IF(ISNUMBER(E36calc!J28),ROUND(E36calc!J28,3-(1+INT(LOG10(ABS(E36calc!J28))))),"")</f>
        <v/>
      </c>
      <c r="K28" s="280" t="str">
        <f ca="1">IF(ISNUMBER(E36calc!K28),ROUND(E36calc!K28,3-(1+INT(LOG10(ABS(E36calc!K28))))),"")</f>
        <v/>
      </c>
      <c r="L28" s="279" t="str">
        <f ca="1">IF(ISNUMBER(E36calc!L28),ROUND(E36calc!L28,3-(1+INT(LOG10(ABS(E36calc!L28))))),"")</f>
        <v/>
      </c>
      <c r="M28" s="332"/>
      <c r="N28" s="22"/>
      <c r="O28" s="22"/>
      <c r="P28" s="22"/>
      <c r="Q28" s="22"/>
      <c r="R28" s="22"/>
      <c r="S28" s="22"/>
      <c r="T28" s="349">
        <v>20</v>
      </c>
      <c r="U28" s="22"/>
      <c r="V28" s="22"/>
      <c r="W28" s="22"/>
    </row>
    <row r="29" spans="1:23" ht="16.5" x14ac:dyDescent="0.2">
      <c r="A29" s="162" t="str">
        <f>IF('Diffusive Flux'!A30=0,"",'Diffusive Flux'!A30)</f>
        <v/>
      </c>
      <c r="B29" s="182" t="s">
        <v>100</v>
      </c>
      <c r="C29" s="344" t="str">
        <f ca="1">IF(ISNUMBER(E36calc!C29),ROUND(E36calc!C29,3-(1+INT(LOG10(ABS(E36calc!C29))))),"")</f>
        <v/>
      </c>
      <c r="D29" s="345" t="str">
        <f ca="1">IF(ISNUMBER(E36calc!D29),ROUND(E36calc!D29,3-(1+INT(LOG10(ABS(E36calc!D29))))),"")</f>
        <v/>
      </c>
      <c r="E29" s="346" t="str">
        <f ca="1">IF(ISNUMBER(E36calc!E29),ROUND(E36calc!E29,3-(1+INT(LOG10(ABS(E36calc!E29))))),"")</f>
        <v/>
      </c>
      <c r="F29" s="345" t="str">
        <f ca="1">IF(ISNUMBER(E36calc!F29),ROUND(E36calc!F29,3-(1+INT(LOG10(ABS(E36calc!F29))))),"")</f>
        <v/>
      </c>
      <c r="G29" s="345" t="str">
        <f ca="1">IF(ISNUMBER(E36calc!G29),ROUND(E36calc!G29,3-(1+INT(LOG10(ABS(E36calc!G29))))),"")</f>
        <v/>
      </c>
      <c r="H29" s="280" t="str">
        <f>IF(ISNUMBER(E36calc!H29),ROUND(E36calc!H29,3-(1+INT(LOG10(ABS(E36calc!H29))))),"")</f>
        <v/>
      </c>
      <c r="I29" s="280" t="str">
        <f ca="1">IF(ISNUMBER(E36calc!I29),ROUND(E36calc!I29,3-(1+INT(LOG10(ABS(E36calc!I29))))),"")</f>
        <v/>
      </c>
      <c r="J29" s="280" t="str">
        <f ca="1">IF(ISNUMBER(E36calc!J29),ROUND(E36calc!J29,3-(1+INT(LOG10(ABS(E36calc!J29))))),"")</f>
        <v/>
      </c>
      <c r="K29" s="280" t="str">
        <f ca="1">IF(ISNUMBER(E36calc!K29),ROUND(E36calc!K29,3-(1+INT(LOG10(ABS(E36calc!K29))))),"")</f>
        <v/>
      </c>
      <c r="L29" s="279" t="str">
        <f ca="1">IF(ISNUMBER(E36calc!L29),ROUND(E36calc!L29,3-(1+INT(LOG10(ABS(E36calc!L29))))),"")</f>
        <v/>
      </c>
      <c r="M29" s="332"/>
      <c r="N29" s="22"/>
      <c r="O29" s="22"/>
      <c r="P29" s="22"/>
      <c r="Q29" s="22"/>
      <c r="R29" s="22"/>
      <c r="S29" s="22"/>
      <c r="T29" s="349">
        <v>21</v>
      </c>
      <c r="U29" s="22"/>
      <c r="V29" s="22"/>
      <c r="W29" s="22"/>
    </row>
    <row r="30" spans="1:23" ht="16.5" x14ac:dyDescent="0.2">
      <c r="A30" s="162" t="str">
        <f>IF('Diffusive Flux'!A31=0,"",'Diffusive Flux'!A31)</f>
        <v/>
      </c>
      <c r="B30" s="182" t="s">
        <v>132</v>
      </c>
      <c r="C30" s="275" t="str">
        <f ca="1">IF(ISNUMBER(E36calc!C30),ROUND(E36calc!C30,3-(1+INT(LOG10(ABS(E36calc!C30))))),"")</f>
        <v/>
      </c>
      <c r="D30" s="276" t="str">
        <f ca="1">IF(ISNUMBER(E36calc!D30),ROUND(E36calc!D30,3-(1+INT(LOG10(ABS(E36calc!D30))))),"")</f>
        <v/>
      </c>
      <c r="E30" s="277" t="str">
        <f ca="1">IF(ISNUMBER(E36calc!E30),ROUND(E36calc!E30,3-(1+INT(LOG10(ABS(E36calc!E30))))),"")</f>
        <v/>
      </c>
      <c r="F30" s="276" t="str">
        <f ca="1">IF(ISNUMBER(E36calc!F30),ROUND(E36calc!F30,3-(1+INT(LOG10(ABS(E36calc!F30))))),"")</f>
        <v/>
      </c>
      <c r="G30" s="276" t="str">
        <f ca="1">IF(ISNUMBER(E36calc!G30),ROUND(E36calc!G30,3-(1+INT(LOG10(ABS(E36calc!G30))))),"")</f>
        <v/>
      </c>
      <c r="H30" s="280" t="str">
        <f>IF(ISNUMBER(E36calc!H30),ROUND(E36calc!H30,3-(1+INT(LOG10(ABS(E36calc!H30))))),"")</f>
        <v/>
      </c>
      <c r="I30" s="280" t="str">
        <f ca="1">IF(ISNUMBER(E36calc!I30),ROUND(E36calc!I30,3-(1+INT(LOG10(ABS(E36calc!I30))))),"")</f>
        <v/>
      </c>
      <c r="J30" s="280" t="str">
        <f ca="1">IF(ISNUMBER(E36calc!J30),ROUND(E36calc!J30,3-(1+INT(LOG10(ABS(E36calc!J30))))),"")</f>
        <v/>
      </c>
      <c r="K30" s="280" t="str">
        <f ca="1">IF(ISNUMBER(E36calc!K30),ROUND(E36calc!K30,3-(1+INT(LOG10(ABS(E36calc!K30))))),"")</f>
        <v/>
      </c>
      <c r="L30" s="340" t="str">
        <f ca="1">IF(ISNUMBER(E36calc!L30),ROUND(E36calc!L30,3-(1+INT(LOG10(ABS(E36calc!L30))))),"")</f>
        <v/>
      </c>
      <c r="M30" s="332"/>
      <c r="N30" s="22"/>
      <c r="O30" s="22"/>
      <c r="P30" s="22"/>
      <c r="Q30" s="22"/>
      <c r="R30" s="22"/>
      <c r="S30" s="22"/>
      <c r="T30" s="349">
        <v>22</v>
      </c>
      <c r="U30" s="22"/>
      <c r="V30" s="22"/>
      <c r="W30" s="22"/>
    </row>
    <row r="31" spans="1:23" ht="16.5" x14ac:dyDescent="0.2">
      <c r="A31" s="162" t="str">
        <f>IF('Diffusive Flux'!A32=0,"",'Diffusive Flux'!A32)</f>
        <v/>
      </c>
      <c r="B31" s="182" t="s">
        <v>132</v>
      </c>
      <c r="C31" s="275" t="str">
        <f ca="1">IF(ISNUMBER(E36calc!C31),ROUND(E36calc!C31,3-(1+INT(LOG10(ABS(E36calc!C31))))),"")</f>
        <v/>
      </c>
      <c r="D31" s="276" t="str">
        <f ca="1">IF(ISNUMBER(E36calc!D31),ROUND(E36calc!D31,3-(1+INT(LOG10(ABS(E36calc!D31))))),"")</f>
        <v/>
      </c>
      <c r="E31" s="277" t="str">
        <f ca="1">IF(ISNUMBER(E36calc!E31),ROUND(E36calc!E31,3-(1+INT(LOG10(ABS(E36calc!E31))))),"")</f>
        <v/>
      </c>
      <c r="F31" s="276" t="str">
        <f ca="1">IF(ISNUMBER(E36calc!F31),ROUND(E36calc!F31,3-(1+INT(LOG10(ABS(E36calc!F31))))),"")</f>
        <v/>
      </c>
      <c r="G31" s="276" t="str">
        <f ca="1">IF(ISNUMBER(E36calc!G31),ROUND(E36calc!G31,3-(1+INT(LOG10(ABS(E36calc!G31))))),"")</f>
        <v/>
      </c>
      <c r="H31" s="280" t="str">
        <f>IF(ISNUMBER(E36calc!H31),ROUND(E36calc!H31,3-(1+INT(LOG10(ABS(E36calc!H31))))),"")</f>
        <v/>
      </c>
      <c r="I31" s="280" t="str">
        <f ca="1">IF(ISNUMBER(E36calc!I31),ROUND(E36calc!I31,3-(1+INT(LOG10(ABS(E36calc!I31))))),"")</f>
        <v/>
      </c>
      <c r="J31" s="280" t="str">
        <f ca="1">IF(ISNUMBER(E36calc!J31),ROUND(E36calc!J31,3-(1+INT(LOG10(ABS(E36calc!J31))))),"")</f>
        <v/>
      </c>
      <c r="K31" s="280" t="str">
        <f ca="1">IF(ISNUMBER(E36calc!K31),ROUND(E36calc!K31,3-(1+INT(LOG10(ABS(E36calc!K31))))),"")</f>
        <v/>
      </c>
      <c r="L31" s="340" t="str">
        <f ca="1">IF(ISNUMBER(E36calc!L31),ROUND(E36calc!L31,3-(1+INT(LOG10(ABS(E36calc!L31))))),"")</f>
        <v/>
      </c>
      <c r="M31" s="332"/>
      <c r="N31" s="22"/>
      <c r="O31" s="22"/>
      <c r="P31" s="22"/>
      <c r="Q31" s="22"/>
      <c r="R31" s="22"/>
      <c r="S31" s="22"/>
      <c r="T31" s="349">
        <v>23</v>
      </c>
      <c r="U31" s="22"/>
      <c r="V31" s="22"/>
      <c r="W31" s="22"/>
    </row>
    <row r="32" spans="1:23" ht="16.5" x14ac:dyDescent="0.2">
      <c r="A32" s="162" t="str">
        <f>IF('Diffusive Flux'!A33=0,"",'Diffusive Flux'!A33)</f>
        <v/>
      </c>
      <c r="B32" s="182" t="s">
        <v>132</v>
      </c>
      <c r="C32" s="275" t="str">
        <f ca="1">IF(ISNUMBER(E36calc!C32),ROUND(E36calc!C32,3-(1+INT(LOG10(ABS(E36calc!C32))))),"")</f>
        <v/>
      </c>
      <c r="D32" s="276" t="str">
        <f ca="1">IF(ISNUMBER(E36calc!D32),ROUND(E36calc!D32,3-(1+INT(LOG10(ABS(E36calc!D32))))),"")</f>
        <v/>
      </c>
      <c r="E32" s="277" t="str">
        <f ca="1">IF(ISNUMBER(E36calc!E32),ROUND(E36calc!E32,3-(1+INT(LOG10(ABS(E36calc!E32))))),"")</f>
        <v/>
      </c>
      <c r="F32" s="276" t="str">
        <f ca="1">IF(ISNUMBER(E36calc!F32),ROUND(E36calc!F32,3-(1+INT(LOG10(ABS(E36calc!F32))))),"")</f>
        <v/>
      </c>
      <c r="G32" s="276" t="str">
        <f ca="1">IF(ISNUMBER(E36calc!G32),ROUND(E36calc!G32,3-(1+INT(LOG10(ABS(E36calc!G32))))),"")</f>
        <v/>
      </c>
      <c r="H32" s="280" t="str">
        <f>IF(ISNUMBER(E36calc!H32),ROUND(E36calc!H32,3-(1+INT(LOG10(ABS(E36calc!H32))))),"")</f>
        <v/>
      </c>
      <c r="I32" s="280" t="str">
        <f ca="1">IF(ISNUMBER(E36calc!I32),ROUND(E36calc!I32,3-(1+INT(LOG10(ABS(E36calc!I32))))),"")</f>
        <v/>
      </c>
      <c r="J32" s="280" t="str">
        <f ca="1">IF(ISNUMBER(E36calc!J32),ROUND(E36calc!J32,3-(1+INT(LOG10(ABS(E36calc!J32))))),"")</f>
        <v/>
      </c>
      <c r="K32" s="280" t="str">
        <f ca="1">IF(ISNUMBER(E36calc!K32),ROUND(E36calc!K32,3-(1+INT(LOG10(ABS(E36calc!K32))))),"")</f>
        <v/>
      </c>
      <c r="L32" s="340" t="str">
        <f ca="1">IF(ISNUMBER(E36calc!L32),ROUND(E36calc!L32,3-(1+INT(LOG10(ABS(E36calc!L32))))),"")</f>
        <v/>
      </c>
      <c r="M32" s="332"/>
      <c r="N32" s="22"/>
      <c r="O32" s="22"/>
      <c r="P32" s="22"/>
      <c r="Q32" s="22"/>
      <c r="R32" s="22"/>
      <c r="S32" s="22"/>
      <c r="T32" s="349">
        <v>24</v>
      </c>
      <c r="U32" s="22"/>
      <c r="V32" s="22"/>
      <c r="W32" s="22"/>
    </row>
    <row r="33" spans="1:23" ht="16.5" x14ac:dyDescent="0.2">
      <c r="A33" s="162" t="str">
        <f>IF('Diffusive Flux'!A34=0,"",'Diffusive Flux'!A34)</f>
        <v/>
      </c>
      <c r="B33" s="182" t="s">
        <v>132</v>
      </c>
      <c r="C33" s="275" t="str">
        <f ca="1">IF(ISNUMBER(E36calc!C33),ROUND(E36calc!C33,3-(1+INT(LOG10(ABS(E36calc!C33))))),"")</f>
        <v/>
      </c>
      <c r="D33" s="276" t="str">
        <f ca="1">IF(ISNUMBER(E36calc!D33),ROUND(E36calc!D33,3-(1+INT(LOG10(ABS(E36calc!D33))))),"")</f>
        <v/>
      </c>
      <c r="E33" s="277" t="str">
        <f ca="1">IF(ISNUMBER(E36calc!E33),ROUND(E36calc!E33,3-(1+INT(LOG10(ABS(E36calc!E33))))),"")</f>
        <v/>
      </c>
      <c r="F33" s="276" t="str">
        <f ca="1">IF(ISNUMBER(E36calc!F33),ROUND(E36calc!F33,3-(1+INT(LOG10(ABS(E36calc!F33))))),"")</f>
        <v/>
      </c>
      <c r="G33" s="276" t="str">
        <f ca="1">IF(ISNUMBER(E36calc!G33),ROUND(E36calc!G33,3-(1+INT(LOG10(ABS(E36calc!G33))))),"")</f>
        <v/>
      </c>
      <c r="H33" s="339" t="str">
        <f>IF(ISNUMBER(E36calc!H33),ROUND(E36calc!H33,3-(1+INT(LOG10(ABS(E36calc!H33))))),"")</f>
        <v/>
      </c>
      <c r="I33" s="280" t="str">
        <f ca="1">IF(ISNUMBER(E36calc!I33),ROUND(E36calc!I33,3-(1+INT(LOG10(ABS(E36calc!I33))))),"")</f>
        <v/>
      </c>
      <c r="J33" s="280" t="str">
        <f ca="1">IF(ISNUMBER(E36calc!J33),ROUND(E36calc!J33,3-(1+INT(LOG10(ABS(E36calc!J33))))),"")</f>
        <v/>
      </c>
      <c r="K33" s="280" t="str">
        <f ca="1">IF(ISNUMBER(E36calc!K33),ROUND(E36calc!K33,3-(1+INT(LOG10(ABS(E36calc!K33))))),"")</f>
        <v/>
      </c>
      <c r="L33" s="279" t="str">
        <f ca="1">IF(ISNUMBER(E36calc!L33),ROUND(E36calc!L33,3-(1+INT(LOG10(ABS(E36calc!L33))))),"")</f>
        <v/>
      </c>
      <c r="M33" s="332"/>
      <c r="N33" s="22"/>
      <c r="O33" s="22"/>
      <c r="P33" s="22"/>
      <c r="Q33" s="22"/>
      <c r="R33" s="22"/>
      <c r="S33" s="22"/>
      <c r="T33" s="349"/>
      <c r="U33" s="22"/>
      <c r="V33" s="22"/>
      <c r="W33" s="22"/>
    </row>
    <row r="34" spans="1:23" ht="16.5" x14ac:dyDescent="0.2">
      <c r="A34" s="162" t="str">
        <f>IF('Diffusive Flux'!A35=0,"",'Diffusive Flux'!A35)</f>
        <v/>
      </c>
      <c r="B34" s="182" t="s">
        <v>132</v>
      </c>
      <c r="C34" s="275" t="str">
        <f ca="1">IF(ISNUMBER(E36calc!C34),ROUND(E36calc!C34,3-(1+INT(LOG10(ABS(E36calc!C34))))),"")</f>
        <v/>
      </c>
      <c r="D34" s="276" t="str">
        <f ca="1">IF(ISNUMBER(E36calc!D34),ROUND(E36calc!D34,3-(1+INT(LOG10(ABS(E36calc!D34))))),"")</f>
        <v/>
      </c>
      <c r="E34" s="277" t="str">
        <f ca="1">IF(ISNUMBER(E36calc!E34),ROUND(E36calc!E34,3-(1+INT(LOG10(ABS(E36calc!E34))))),"")</f>
        <v/>
      </c>
      <c r="F34" s="276" t="str">
        <f ca="1">IF(ISNUMBER(E36calc!F34),ROUND(E36calc!F34,3-(1+INT(LOG10(ABS(E36calc!F34))))),"")</f>
        <v/>
      </c>
      <c r="G34" s="276" t="str">
        <f ca="1">IF(ISNUMBER(E36calc!G34),ROUND(E36calc!G34,3-(1+INT(LOG10(ABS(E36calc!G34))))),"")</f>
        <v/>
      </c>
      <c r="H34" s="339" t="str">
        <f>IF(ISNUMBER(E36calc!H34),ROUND(E36calc!H34,3-(1+INT(LOG10(ABS(E36calc!H34))))),"")</f>
        <v/>
      </c>
      <c r="I34" s="280" t="str">
        <f ca="1">IF(ISNUMBER(E36calc!I34),ROUND(E36calc!I34,3-(1+INT(LOG10(ABS(E36calc!I34))))),"")</f>
        <v/>
      </c>
      <c r="J34" s="280" t="str">
        <f ca="1">IF(ISNUMBER(E36calc!J34),ROUND(E36calc!J34,3-(1+INT(LOG10(ABS(E36calc!J34))))),"")</f>
        <v/>
      </c>
      <c r="K34" s="280" t="str">
        <f ca="1">IF(ISNUMBER(E36calc!K34),ROUND(E36calc!K34,3-(1+INT(LOG10(ABS(E36calc!K34))))),"")</f>
        <v/>
      </c>
      <c r="L34" s="279" t="str">
        <f ca="1">IF(ISNUMBER(E36calc!L34),ROUND(E36calc!L34,3-(1+INT(LOG10(ABS(E36calc!L34))))),"")</f>
        <v/>
      </c>
      <c r="M34" s="332"/>
      <c r="N34" s="22"/>
      <c r="O34" s="22"/>
      <c r="P34" s="22"/>
      <c r="Q34" s="22"/>
      <c r="R34" s="22"/>
      <c r="S34" s="22"/>
      <c r="T34" s="349"/>
      <c r="U34" s="22"/>
      <c r="V34" s="22"/>
      <c r="W34" s="22"/>
    </row>
    <row r="35" spans="1:23" ht="16.5" x14ac:dyDescent="0.2">
      <c r="A35" s="162" t="str">
        <f>IF('Diffusive Flux'!A36=0,"",'Diffusive Flux'!A36)</f>
        <v/>
      </c>
      <c r="B35" s="182" t="s">
        <v>132</v>
      </c>
      <c r="C35" s="275" t="str">
        <f ca="1">IF(ISNUMBER(E36calc!C35),ROUND(E36calc!C35,3-(1+INT(LOG10(ABS(E36calc!C35))))),"")</f>
        <v/>
      </c>
      <c r="D35" s="276" t="str">
        <f ca="1">IF(ISNUMBER(E36calc!D35),ROUND(E36calc!D35,3-(1+INT(LOG10(ABS(E36calc!D35))))),"")</f>
        <v/>
      </c>
      <c r="E35" s="277" t="str">
        <f ca="1">IF(ISNUMBER(E36calc!E35),ROUND(E36calc!E35,3-(1+INT(LOG10(ABS(E36calc!E35))))),"")</f>
        <v/>
      </c>
      <c r="F35" s="276" t="str">
        <f ca="1">IF(ISNUMBER(E36calc!F35),ROUND(E36calc!F35,3-(1+INT(LOG10(ABS(E36calc!F35))))),"")</f>
        <v/>
      </c>
      <c r="G35" s="276" t="str">
        <f ca="1">IF(ISNUMBER(E36calc!G35),ROUND(E36calc!G35,3-(1+INT(LOG10(ABS(E36calc!G35))))),"")</f>
        <v/>
      </c>
      <c r="H35" s="339" t="str">
        <f>IF(ISNUMBER(E36calc!H35),ROUND(E36calc!H35,3-(1+INT(LOG10(ABS(E36calc!H35))))),"")</f>
        <v/>
      </c>
      <c r="I35" s="280" t="str">
        <f ca="1">IF(ISNUMBER(E36calc!I35),ROUND(E36calc!I35,3-(1+INT(LOG10(ABS(E36calc!I35))))),"")</f>
        <v/>
      </c>
      <c r="J35" s="280" t="str">
        <f ca="1">IF(ISNUMBER(E36calc!J35),ROUND(E36calc!J35,3-(1+INT(LOG10(ABS(E36calc!J35))))),"")</f>
        <v/>
      </c>
      <c r="K35" s="280" t="str">
        <f ca="1">IF(ISNUMBER(E36calc!K35),ROUND(E36calc!K35,3-(1+INT(LOG10(ABS(E36calc!K35))))),"")</f>
        <v/>
      </c>
      <c r="L35" s="279" t="str">
        <f ca="1">IF(ISNUMBER(E36calc!L35),ROUND(E36calc!L35,3-(1+INT(LOG10(ABS(E36calc!L35))))),"")</f>
        <v/>
      </c>
      <c r="M35" s="332"/>
    </row>
    <row r="36" spans="1:23" ht="16.5" x14ac:dyDescent="0.2">
      <c r="A36" s="162" t="str">
        <f>IF('Diffusive Flux'!A37=0,"",'Diffusive Flux'!A37)</f>
        <v/>
      </c>
      <c r="B36" s="182" t="s">
        <v>132</v>
      </c>
      <c r="C36" s="275" t="str">
        <f ca="1">IF(ISNUMBER(E36calc!C36),ROUND(E36calc!C36,3-(1+INT(LOG10(ABS(E36calc!C36))))),"")</f>
        <v/>
      </c>
      <c r="D36" s="276" t="str">
        <f ca="1">IF(ISNUMBER(E36calc!D36),ROUND(E36calc!D36,3-(1+INT(LOG10(ABS(E36calc!D36))))),"")</f>
        <v/>
      </c>
      <c r="E36" s="277" t="str">
        <f ca="1">IF(ISNUMBER(E36calc!E36),ROUND(E36calc!E36,3-(1+INT(LOG10(ABS(E36calc!E36))))),"")</f>
        <v/>
      </c>
      <c r="F36" s="276" t="str">
        <f ca="1">IF(ISNUMBER(E36calc!F36),ROUND(E36calc!F36,3-(1+INT(LOG10(ABS(E36calc!F36))))),"")</f>
        <v/>
      </c>
      <c r="G36" s="276" t="str">
        <f ca="1">IF(ISNUMBER(E36calc!G36),ROUND(E36calc!G36,3-(1+INT(LOG10(ABS(E36calc!G36))))),"")</f>
        <v/>
      </c>
      <c r="H36" s="339" t="str">
        <f>IF(ISNUMBER(E36calc!H36),ROUND(E36calc!H36,3-(1+INT(LOG10(ABS(E36calc!H36))))),"")</f>
        <v/>
      </c>
      <c r="I36" s="280" t="str">
        <f ca="1">IF(ISNUMBER(E36calc!I36),ROUND(E36calc!I36,3-(1+INT(LOG10(ABS(E36calc!I36))))),"")</f>
        <v/>
      </c>
      <c r="J36" s="280" t="str">
        <f ca="1">IF(ISNUMBER(E36calc!J36),ROUND(E36calc!J36,3-(1+INT(LOG10(ABS(E36calc!J36))))),"")</f>
        <v/>
      </c>
      <c r="K36" s="280" t="str">
        <f ca="1">IF(ISNUMBER(E36calc!K36),ROUND(E36calc!K36,3-(1+INT(LOG10(ABS(E36calc!K36))))),"")</f>
        <v/>
      </c>
      <c r="L36" s="279" t="str">
        <f ca="1">IF(ISNUMBER(E36calc!L36),ROUND(E36calc!L36,3-(1+INT(LOG10(ABS(E36calc!L36))))),"")</f>
        <v/>
      </c>
      <c r="M36" s="332"/>
    </row>
    <row r="37" spans="1:23" ht="16.5" x14ac:dyDescent="0.2">
      <c r="A37" s="162" t="str">
        <f>IF('Diffusive Flux'!A38=0,"",'Diffusive Flux'!A38)</f>
        <v/>
      </c>
      <c r="B37" s="182" t="s">
        <v>132</v>
      </c>
      <c r="C37" s="275" t="str">
        <f ca="1">IF(ISNUMBER(E36calc!C37),ROUND(E36calc!C37,3-(1+INT(LOG10(ABS(E36calc!C37))))),"")</f>
        <v/>
      </c>
      <c r="D37" s="276" t="str">
        <f ca="1">IF(ISNUMBER(E36calc!D37),ROUND(E36calc!D37,3-(1+INT(LOG10(ABS(E36calc!D37))))),"")</f>
        <v/>
      </c>
      <c r="E37" s="277" t="str">
        <f ca="1">IF(ISNUMBER(E36calc!E37),ROUND(E36calc!E37,3-(1+INT(LOG10(ABS(E36calc!E37))))),"")</f>
        <v/>
      </c>
      <c r="F37" s="276" t="str">
        <f ca="1">IF(ISNUMBER(E36calc!F37),ROUND(E36calc!F37,3-(1+INT(LOG10(ABS(E36calc!F37))))),"")</f>
        <v/>
      </c>
      <c r="G37" s="276" t="str">
        <f ca="1">IF(ISNUMBER(E36calc!G37),ROUND(E36calc!G37,3-(1+INT(LOG10(ABS(E36calc!G37))))),"")</f>
        <v/>
      </c>
      <c r="H37" s="339" t="str">
        <f>IF(ISNUMBER(E36calc!H37),ROUND(E36calc!H37,3-(1+INT(LOG10(ABS(E36calc!H37))))),"")</f>
        <v/>
      </c>
      <c r="I37" s="280" t="str">
        <f ca="1">IF(ISNUMBER(E36calc!I37),ROUND(E36calc!I37,3-(1+INT(LOG10(ABS(E36calc!I37))))),"")</f>
        <v/>
      </c>
      <c r="J37" s="280" t="str">
        <f ca="1">IF(ISNUMBER(E36calc!J37),ROUND(E36calc!J37,3-(1+INT(LOG10(ABS(E36calc!J37))))),"")</f>
        <v/>
      </c>
      <c r="K37" s="280" t="str">
        <f ca="1">IF(ISNUMBER(E36calc!K37),ROUND(E36calc!K37,3-(1+INT(LOG10(ABS(E36calc!K37))))),"")</f>
        <v/>
      </c>
      <c r="L37" s="279" t="str">
        <f ca="1">IF(ISNUMBER(E36calc!L37),ROUND(E36calc!L37,3-(1+INT(LOG10(ABS(E36calc!L37))))),"")</f>
        <v/>
      </c>
      <c r="M37" s="332"/>
    </row>
    <row r="38" spans="1:23" ht="16.5" x14ac:dyDescent="0.2">
      <c r="A38" s="162" t="str">
        <f>IF('Diffusive Flux'!A39=0,"",'Diffusive Flux'!A39)</f>
        <v/>
      </c>
      <c r="B38" s="182" t="s">
        <v>132</v>
      </c>
      <c r="C38" s="275" t="str">
        <f ca="1">IF(ISNUMBER(E36calc!C38),ROUND(E36calc!C38,3-(1+INT(LOG10(ABS(E36calc!C38))))),"")</f>
        <v/>
      </c>
      <c r="D38" s="276" t="str">
        <f ca="1">IF(ISNUMBER(E36calc!D38),ROUND(E36calc!D38,3-(1+INT(LOG10(ABS(E36calc!D38))))),"")</f>
        <v/>
      </c>
      <c r="E38" s="277" t="str">
        <f ca="1">IF(ISNUMBER(E36calc!E38),ROUND(E36calc!E38,3-(1+INT(LOG10(ABS(E36calc!E38))))),"")</f>
        <v/>
      </c>
      <c r="F38" s="276" t="str">
        <f ca="1">IF(ISNUMBER(E36calc!F38),ROUND(E36calc!F38,3-(1+INT(LOG10(ABS(E36calc!F38))))),"")</f>
        <v/>
      </c>
      <c r="G38" s="276" t="str">
        <f ca="1">IF(ISNUMBER(E36calc!G38),ROUND(E36calc!G38,3-(1+INT(LOG10(ABS(E36calc!G38))))),"")</f>
        <v/>
      </c>
      <c r="H38" s="339" t="str">
        <f>IF(ISNUMBER(E36calc!H38),ROUND(E36calc!H38,3-(1+INT(LOG10(ABS(E36calc!H38))))),"")</f>
        <v/>
      </c>
      <c r="I38" s="280" t="str">
        <f ca="1">IF(ISNUMBER(E36calc!I38),ROUND(E36calc!I38,3-(1+INT(LOG10(ABS(E36calc!I38))))),"")</f>
        <v/>
      </c>
      <c r="J38" s="280" t="str">
        <f ca="1">IF(ISNUMBER(E36calc!J38),ROUND(E36calc!J38,3-(1+INT(LOG10(ABS(E36calc!J38))))),"")</f>
        <v/>
      </c>
      <c r="K38" s="280" t="str">
        <f ca="1">IF(ISNUMBER(E36calc!K38),ROUND(E36calc!K38,3-(1+INT(LOG10(ABS(E36calc!K38))))),"")</f>
        <v/>
      </c>
      <c r="L38" s="279" t="str">
        <f ca="1">IF(ISNUMBER(E36calc!L38),ROUND(E36calc!L38,3-(1+INT(LOG10(ABS(E36calc!L38))))),"")</f>
        <v/>
      </c>
      <c r="M38" s="332"/>
    </row>
    <row r="39" spans="1:23" ht="16.5" x14ac:dyDescent="0.2">
      <c r="A39" s="162" t="str">
        <f>IF('Diffusive Flux'!A40=0,"",'Diffusive Flux'!A40)</f>
        <v/>
      </c>
      <c r="B39" s="182" t="s">
        <v>132</v>
      </c>
      <c r="C39" s="275" t="str">
        <f ca="1">IF(ISNUMBER(E36calc!C39),ROUND(E36calc!C39,3-(1+INT(LOG10(ABS(E36calc!C39))))),"")</f>
        <v/>
      </c>
      <c r="D39" s="276" t="str">
        <f ca="1">IF(ISNUMBER(E36calc!D39),ROUND(E36calc!D39,3-(1+INT(LOG10(ABS(E36calc!D39))))),"")</f>
        <v/>
      </c>
      <c r="E39" s="277" t="str">
        <f ca="1">IF(ISNUMBER(E36calc!E39),ROUND(E36calc!E39,3-(1+INT(LOG10(ABS(E36calc!E39))))),"")</f>
        <v/>
      </c>
      <c r="F39" s="276" t="str">
        <f ca="1">IF(ISNUMBER(E36calc!F39),ROUND(E36calc!F39,3-(1+INT(LOG10(ABS(E36calc!F39))))),"")</f>
        <v/>
      </c>
      <c r="G39" s="276" t="str">
        <f ca="1">IF(ISNUMBER(E36calc!G39),ROUND(E36calc!G39,3-(1+INT(LOG10(ABS(E36calc!G39))))),"")</f>
        <v/>
      </c>
      <c r="H39" s="339" t="str">
        <f>IF(ISNUMBER(E36calc!H39),ROUND(E36calc!H39,3-(1+INT(LOG10(ABS(E36calc!H39))))),"")</f>
        <v/>
      </c>
      <c r="I39" s="280" t="str">
        <f ca="1">IF(ISNUMBER(E36calc!I39),ROUND(E36calc!I39,3-(1+INT(LOG10(ABS(E36calc!I39))))),"")</f>
        <v/>
      </c>
      <c r="J39" s="280" t="str">
        <f ca="1">IF(ISNUMBER(E36calc!J39),ROUND(E36calc!J39,3-(1+INT(LOG10(ABS(E36calc!J39))))),"")</f>
        <v/>
      </c>
      <c r="K39" s="280" t="str">
        <f ca="1">IF(ISNUMBER(E36calc!K39),ROUND(E36calc!K39,3-(1+INT(LOG10(ABS(E36calc!K39))))),"")</f>
        <v/>
      </c>
      <c r="L39" s="279" t="str">
        <f ca="1">IF(ISNUMBER(E36calc!L39),ROUND(E36calc!L39,3-(1+INT(LOG10(ABS(E36calc!L39))))),"")</f>
        <v/>
      </c>
      <c r="M39" s="332"/>
    </row>
    <row r="40" spans="1:23" ht="16.5" x14ac:dyDescent="0.2">
      <c r="A40" s="162" t="str">
        <f>IF('Diffusive Flux'!A41=0,"",'Diffusive Flux'!A41)</f>
        <v/>
      </c>
      <c r="B40" s="182" t="s">
        <v>132</v>
      </c>
      <c r="C40" s="275" t="str">
        <f ca="1">IF(ISNUMBER(E36calc!C40),ROUND(E36calc!C40,3-(1+INT(LOG10(ABS(E36calc!C40))))),"")</f>
        <v/>
      </c>
      <c r="D40" s="276" t="str">
        <f ca="1">IF(ISNUMBER(E36calc!D40),ROUND(E36calc!D40,3-(1+INT(LOG10(ABS(E36calc!D40))))),"")</f>
        <v/>
      </c>
      <c r="E40" s="277" t="str">
        <f ca="1">IF(ISNUMBER(E36calc!E40),ROUND(E36calc!E40,3-(1+INT(LOG10(ABS(E36calc!E40))))),"")</f>
        <v/>
      </c>
      <c r="F40" s="276" t="str">
        <f ca="1">IF(ISNUMBER(E36calc!F40),ROUND(E36calc!F40,3-(1+INT(LOG10(ABS(E36calc!F40))))),"")</f>
        <v/>
      </c>
      <c r="G40" s="276" t="str">
        <f ca="1">IF(ISNUMBER(E36calc!G40),ROUND(E36calc!G40,3-(1+INT(LOG10(ABS(E36calc!G40))))),"")</f>
        <v/>
      </c>
      <c r="H40" s="339" t="str">
        <f>IF(ISNUMBER(E36calc!H40),ROUND(E36calc!H40,3-(1+INT(LOG10(ABS(E36calc!H40))))),"")</f>
        <v/>
      </c>
      <c r="I40" s="280" t="str">
        <f ca="1">IF(ISNUMBER(E36calc!I40),ROUND(E36calc!I40,3-(1+INT(LOG10(ABS(E36calc!I40))))),"")</f>
        <v/>
      </c>
      <c r="J40" s="280" t="str">
        <f ca="1">IF(ISNUMBER(E36calc!J40),ROUND(E36calc!J40,3-(1+INT(LOG10(ABS(E36calc!J40))))),"")</f>
        <v/>
      </c>
      <c r="K40" s="280" t="str">
        <f ca="1">IF(ISNUMBER(E36calc!K40),ROUND(E36calc!K40,3-(1+INT(LOG10(ABS(E36calc!K40))))),"")</f>
        <v/>
      </c>
      <c r="L40" s="279" t="str">
        <f ca="1">IF(ISNUMBER(E36calc!L40),ROUND(E36calc!L40,3-(1+INT(LOG10(ABS(E36calc!L40))))),"")</f>
        <v/>
      </c>
      <c r="M40" s="332"/>
    </row>
    <row r="41" spans="1:23" ht="16.5" x14ac:dyDescent="0.2">
      <c r="A41" s="162" t="str">
        <f>IF('Diffusive Flux'!A42=0,"",'Diffusive Flux'!A42)</f>
        <v/>
      </c>
      <c r="B41" s="182" t="s">
        <v>132</v>
      </c>
      <c r="C41" s="275" t="str">
        <f ca="1">IF(ISNUMBER(E36calc!C41),ROUND(E36calc!C41,3-(1+INT(LOG10(ABS(E36calc!C41))))),"")</f>
        <v/>
      </c>
      <c r="D41" s="276" t="str">
        <f ca="1">IF(ISNUMBER(E36calc!D41),ROUND(E36calc!D41,3-(1+INT(LOG10(ABS(E36calc!D41))))),"")</f>
        <v/>
      </c>
      <c r="E41" s="277" t="str">
        <f ca="1">IF(ISNUMBER(E36calc!E41),ROUND(E36calc!E41,3-(1+INT(LOG10(ABS(E36calc!E41))))),"")</f>
        <v/>
      </c>
      <c r="F41" s="276" t="str">
        <f ca="1">IF(ISNUMBER(E36calc!F41),ROUND(E36calc!F41,3-(1+INT(LOG10(ABS(E36calc!F41))))),"")</f>
        <v/>
      </c>
      <c r="G41" s="276" t="str">
        <f ca="1">IF(ISNUMBER(E36calc!G41),ROUND(E36calc!G41,3-(1+INT(LOG10(ABS(E36calc!G41))))),"")</f>
        <v/>
      </c>
      <c r="H41" s="339" t="str">
        <f>IF(ISNUMBER(E36calc!H41),ROUND(E36calc!H41,3-(1+INT(LOG10(ABS(E36calc!H41))))),"")</f>
        <v/>
      </c>
      <c r="I41" s="280" t="str">
        <f ca="1">IF(ISNUMBER(E36calc!I41),ROUND(E36calc!I41,3-(1+INT(LOG10(ABS(E36calc!I41))))),"")</f>
        <v/>
      </c>
      <c r="J41" s="280" t="str">
        <f ca="1">IF(ISNUMBER(E36calc!J41),ROUND(E36calc!J41,3-(1+INT(LOG10(ABS(E36calc!J41))))),"")</f>
        <v/>
      </c>
      <c r="K41" s="280" t="str">
        <f ca="1">IF(ISNUMBER(E36calc!K41),ROUND(E36calc!K41,3-(1+INT(LOG10(ABS(E36calc!K41))))),"")</f>
        <v/>
      </c>
      <c r="L41" s="279" t="str">
        <f ca="1">IF(ISNUMBER(E36calc!L41),ROUND(E36calc!L41,3-(1+INT(LOG10(ABS(E36calc!L41))))),"")</f>
        <v/>
      </c>
      <c r="M41" s="332"/>
    </row>
    <row r="42" spans="1:23" ht="16.5" x14ac:dyDescent="0.2">
      <c r="A42" s="162" t="str">
        <f>IF('Diffusive Flux'!A43=0,"",'Diffusive Flux'!A43)</f>
        <v/>
      </c>
      <c r="B42" s="182" t="s">
        <v>132</v>
      </c>
      <c r="C42" s="275" t="str">
        <f ca="1">IF(ISNUMBER(E36calc!C42),ROUND(E36calc!C42,3-(1+INT(LOG10(ABS(E36calc!C42))))),"")</f>
        <v/>
      </c>
      <c r="D42" s="276" t="str">
        <f ca="1">IF(ISNUMBER(E36calc!D42),ROUND(E36calc!D42,3-(1+INT(LOG10(ABS(E36calc!D42))))),"")</f>
        <v/>
      </c>
      <c r="E42" s="277" t="str">
        <f ca="1">IF(ISNUMBER(E36calc!E42),ROUND(E36calc!E42,3-(1+INT(LOG10(ABS(E36calc!E42))))),"")</f>
        <v/>
      </c>
      <c r="F42" s="276" t="str">
        <f ca="1">IF(ISNUMBER(E36calc!F42),ROUND(E36calc!F42,3-(1+INT(LOG10(ABS(E36calc!F42))))),"")</f>
        <v/>
      </c>
      <c r="G42" s="276" t="str">
        <f ca="1">IF(ISNUMBER(E36calc!G42),ROUND(E36calc!G42,3-(1+INT(LOG10(ABS(E36calc!G42))))),"")</f>
        <v/>
      </c>
      <c r="H42" s="339" t="str">
        <f>IF(ISNUMBER(E36calc!H42),ROUND(E36calc!H42,3-(1+INT(LOG10(ABS(E36calc!H42))))),"")</f>
        <v/>
      </c>
      <c r="I42" s="280" t="str">
        <f ca="1">IF(ISNUMBER(E36calc!I42),ROUND(E36calc!I42,3-(1+INT(LOG10(ABS(E36calc!I42))))),"")</f>
        <v/>
      </c>
      <c r="J42" s="280" t="str">
        <f ca="1">IF(ISNUMBER(E36calc!J42),ROUND(E36calc!J42,3-(1+INT(LOG10(ABS(E36calc!J42))))),"")</f>
        <v/>
      </c>
      <c r="K42" s="280" t="str">
        <f ca="1">IF(ISNUMBER(E36calc!K42),ROUND(E36calc!K42,3-(1+INT(LOG10(ABS(E36calc!K42))))),"")</f>
        <v/>
      </c>
      <c r="L42" s="279" t="str">
        <f ca="1">IF(ISNUMBER(E36calc!L42),ROUND(E36calc!L42,3-(1+INT(LOG10(ABS(E36calc!L42))))),"")</f>
        <v/>
      </c>
      <c r="M42" s="332"/>
    </row>
    <row r="43" spans="1:23" ht="16.5" x14ac:dyDescent="0.2">
      <c r="A43" s="162" t="str">
        <f>IF('Diffusive Flux'!A44=0,"",'Diffusive Flux'!A44)</f>
        <v/>
      </c>
      <c r="B43" s="182" t="s">
        <v>132</v>
      </c>
      <c r="C43" s="275" t="str">
        <f ca="1">IF(ISNUMBER(E36calc!C43),ROUND(E36calc!C43,3-(1+INT(LOG10(ABS(E36calc!C43))))),"")</f>
        <v/>
      </c>
      <c r="D43" s="276" t="str">
        <f ca="1">IF(ISNUMBER(E36calc!D43),ROUND(E36calc!D43,3-(1+INT(LOG10(ABS(E36calc!D43))))),"")</f>
        <v/>
      </c>
      <c r="E43" s="277" t="str">
        <f ca="1">IF(ISNUMBER(E36calc!E43),ROUND(E36calc!E43,3-(1+INT(LOG10(ABS(E36calc!E43))))),"")</f>
        <v/>
      </c>
      <c r="F43" s="276" t="str">
        <f ca="1">IF(ISNUMBER(E36calc!F43),ROUND(E36calc!F43,3-(1+INT(LOG10(ABS(E36calc!F43))))),"")</f>
        <v/>
      </c>
      <c r="G43" s="276" t="str">
        <f ca="1">IF(ISNUMBER(E36calc!G43),ROUND(E36calc!G43,3-(1+INT(LOG10(ABS(E36calc!G43))))),"")</f>
        <v/>
      </c>
      <c r="H43" s="280" t="str">
        <f>IF(ISNUMBER(E36calc!H43),ROUND(E36calc!H43,3-(1+INT(LOG10(ABS(E36calc!H43))))),"")</f>
        <v/>
      </c>
      <c r="I43" s="280" t="str">
        <f ca="1">IF(ISNUMBER(E36calc!I43),ROUND(E36calc!I43,3-(1+INT(LOG10(ABS(E36calc!I43))))),"")</f>
        <v/>
      </c>
      <c r="J43" s="280" t="str">
        <f ca="1">IF(ISNUMBER(E36calc!J43),ROUND(E36calc!J43,3-(1+INT(LOG10(ABS(E36calc!J43))))),"")</f>
        <v/>
      </c>
      <c r="K43" s="280" t="str">
        <f ca="1">IF(ISNUMBER(E36calc!K43),ROUND(E36calc!K43,3-(1+INT(LOG10(ABS(E36calc!K43))))),"")</f>
        <v/>
      </c>
      <c r="L43" s="279" t="str">
        <f ca="1">IF(ISNUMBER(E36calc!L43),ROUND(E36calc!L43,3-(1+INT(LOG10(ABS(E36calc!L43))))),"")</f>
        <v/>
      </c>
      <c r="M43" s="332"/>
    </row>
    <row r="44" spans="1:23" ht="16.5" x14ac:dyDescent="0.2">
      <c r="A44" s="162" t="str">
        <f>IF('Diffusive Flux'!A45=0,"",'Diffusive Flux'!A45)</f>
        <v/>
      </c>
      <c r="B44" s="182" t="s">
        <v>132</v>
      </c>
      <c r="C44" s="341" t="str">
        <f ca="1">IF(ISNUMBER(E36calc!C44),ROUND(E36calc!C44,3-(1+INT(LOG10(ABS(E36calc!C44))))),"")</f>
        <v/>
      </c>
      <c r="D44" s="342" t="str">
        <f ca="1">IF(ISNUMBER(E36calc!D44),ROUND(E36calc!D44,3-(1+INT(LOG10(ABS(E36calc!D44))))),"")</f>
        <v/>
      </c>
      <c r="E44" s="343" t="str">
        <f ca="1">IF(ISNUMBER(E36calc!E44),ROUND(E36calc!E44,3-(1+INT(LOG10(ABS(E36calc!E44))))),"")</f>
        <v/>
      </c>
      <c r="F44" s="342" t="str">
        <f ca="1">IF(ISNUMBER(E36calc!F44),ROUND(E36calc!F44,3-(1+INT(LOG10(ABS(E36calc!F44))))),"")</f>
        <v/>
      </c>
      <c r="G44" s="342" t="str">
        <f ca="1">IF(ISNUMBER(E36calc!G44),ROUND(E36calc!G44,3-(1+INT(LOG10(ABS(E36calc!G44))))),"")</f>
        <v/>
      </c>
      <c r="H44" s="331" t="str">
        <f>IF(ISNUMBER(E36calc!H44),ROUND(E36calc!H44,3-(1+INT(LOG10(ABS(E36calc!H44))))),"")</f>
        <v/>
      </c>
      <c r="I44" s="280" t="str">
        <f ca="1">IF(ISNUMBER(E36calc!I44),ROUND(E36calc!I44,3-(1+INT(LOG10(ABS(E36calc!I44))))),"")</f>
        <v/>
      </c>
      <c r="J44" s="280" t="str">
        <f ca="1">IF(ISNUMBER(E36calc!J44),ROUND(E36calc!J44,3-(1+INT(LOG10(ABS(E36calc!J44))))),"")</f>
        <v/>
      </c>
      <c r="K44" s="280" t="str">
        <f ca="1">IF(ISNUMBER(E36calc!K44),ROUND(E36calc!K44,3-(1+INT(LOG10(ABS(E36calc!K44))))),"")</f>
        <v/>
      </c>
      <c r="L44" s="279" t="str">
        <f ca="1">IF(ISNUMBER(E36calc!L44),ROUND(E36calc!L44,3-(1+INT(LOG10(ABS(E36calc!L44))))),"")</f>
        <v/>
      </c>
      <c r="M44" s="332"/>
    </row>
    <row r="45" spans="1:23" ht="16.5" x14ac:dyDescent="0.2">
      <c r="A45" s="162" t="str">
        <f>IF('Diffusive Flux'!A46=0,"",'Diffusive Flux'!A46)</f>
        <v/>
      </c>
      <c r="B45" s="182" t="s">
        <v>132</v>
      </c>
      <c r="C45" s="341" t="str">
        <f ca="1">IF(ISNUMBER(E36calc!C45),ROUND(E36calc!C45,3-(1+INT(LOG10(ABS(E36calc!C45))))),"")</f>
        <v/>
      </c>
      <c r="D45" s="342" t="str">
        <f ca="1">IF(ISNUMBER(E36calc!D45),ROUND(E36calc!D45,3-(1+INT(LOG10(ABS(E36calc!D45))))),"")</f>
        <v/>
      </c>
      <c r="E45" s="343" t="str">
        <f ca="1">IF(ISNUMBER(E36calc!E45),ROUND(E36calc!E45,3-(1+INT(LOG10(ABS(E36calc!E45))))),"")</f>
        <v/>
      </c>
      <c r="F45" s="342" t="str">
        <f ca="1">IF(ISNUMBER(E36calc!F45),ROUND(E36calc!F45,3-(1+INT(LOG10(ABS(E36calc!F45))))),"")</f>
        <v/>
      </c>
      <c r="G45" s="342" t="str">
        <f ca="1">IF(ISNUMBER(E36calc!G45),ROUND(E36calc!G45,3-(1+INT(LOG10(ABS(E36calc!G45))))),"")</f>
        <v/>
      </c>
      <c r="H45" s="331" t="str">
        <f>IF(ISNUMBER(E36calc!H45),ROUND(E36calc!H45,3-(1+INT(LOG10(ABS(E36calc!H45))))),"")</f>
        <v/>
      </c>
      <c r="I45" s="280" t="str">
        <f ca="1">IF(ISNUMBER(E36calc!I45),ROUND(E36calc!I45,3-(1+INT(LOG10(ABS(E36calc!I45))))),"")</f>
        <v/>
      </c>
      <c r="J45" s="280" t="str">
        <f ca="1">IF(ISNUMBER(E36calc!J45),ROUND(E36calc!J45,3-(1+INT(LOG10(ABS(E36calc!J45))))),"")</f>
        <v/>
      </c>
      <c r="K45" s="280" t="str">
        <f ca="1">IF(ISNUMBER(E36calc!K45),ROUND(E36calc!K45,3-(1+INT(LOG10(ABS(E36calc!K45))))),"")</f>
        <v/>
      </c>
      <c r="L45" s="279" t="str">
        <f ca="1">IF(ISNUMBER(E36calc!L45),ROUND(E36calc!L45,3-(1+INT(LOG10(ABS(E36calc!L45))))),"")</f>
        <v/>
      </c>
      <c r="M45" s="332"/>
    </row>
    <row r="46" spans="1:23" ht="16.5" x14ac:dyDescent="0.2">
      <c r="A46" s="162" t="str">
        <f>IF('Diffusive Flux'!A47=0,"",'Diffusive Flux'!A47)</f>
        <v/>
      </c>
      <c r="B46" s="182" t="s">
        <v>132</v>
      </c>
      <c r="C46" s="341" t="str">
        <f ca="1">IF(ISNUMBER(E36calc!C46),ROUND(E36calc!C46,3-(1+INT(LOG10(ABS(E36calc!C46))))),"")</f>
        <v/>
      </c>
      <c r="D46" s="342" t="str">
        <f ca="1">IF(ISNUMBER(E36calc!D46),ROUND(E36calc!D46,3-(1+INT(LOG10(ABS(E36calc!D46))))),"")</f>
        <v/>
      </c>
      <c r="E46" s="343" t="str">
        <f ca="1">IF(ISNUMBER(E36calc!E46),ROUND(E36calc!E46,3-(1+INT(LOG10(ABS(E36calc!E46))))),"")</f>
        <v/>
      </c>
      <c r="F46" s="342" t="str">
        <f ca="1">IF(ISNUMBER(E36calc!F46),ROUND(E36calc!F46,3-(1+INT(LOG10(ABS(E36calc!F46))))),"")</f>
        <v/>
      </c>
      <c r="G46" s="342" t="str">
        <f ca="1">IF(ISNUMBER(E36calc!G46),ROUND(E36calc!G46,3-(1+INT(LOG10(ABS(E36calc!G46))))),"")</f>
        <v/>
      </c>
      <c r="H46" s="331" t="str">
        <f>IF(ISNUMBER(E36calc!H46),ROUND(E36calc!H46,3-(1+INT(LOG10(ABS(E36calc!H46))))),"")</f>
        <v/>
      </c>
      <c r="I46" s="280" t="str">
        <f ca="1">IF(ISNUMBER(E36calc!I46),ROUND(E36calc!I46,3-(1+INT(LOG10(ABS(E36calc!I46))))),"")</f>
        <v/>
      </c>
      <c r="J46" s="280" t="str">
        <f ca="1">IF(ISNUMBER(E36calc!J46),ROUND(E36calc!J46,3-(1+INT(LOG10(ABS(E36calc!J46))))),"")</f>
        <v/>
      </c>
      <c r="K46" s="280" t="str">
        <f ca="1">IF(ISNUMBER(E36calc!K46),ROUND(E36calc!K46,3-(1+INT(LOG10(ABS(E36calc!K46))))),"")</f>
        <v/>
      </c>
      <c r="L46" s="279" t="str">
        <f ca="1">IF(ISNUMBER(E36calc!L46),ROUND(E36calc!L46,3-(1+INT(LOG10(ABS(E36calc!L46))))),"")</f>
        <v/>
      </c>
      <c r="M46" s="332"/>
    </row>
    <row r="47" spans="1:23" ht="16.5" x14ac:dyDescent="0.2">
      <c r="A47" s="162" t="str">
        <f>IF('Diffusive Flux'!A48=0,"",'Diffusive Flux'!A48)</f>
        <v/>
      </c>
      <c r="B47" s="182" t="s">
        <v>132</v>
      </c>
      <c r="C47" s="341" t="str">
        <f ca="1">IF(ISNUMBER(E36calc!C47),ROUND(E36calc!C47,3-(1+INT(LOG10(ABS(E36calc!C47))))),"")</f>
        <v/>
      </c>
      <c r="D47" s="342" t="str">
        <f ca="1">IF(ISNUMBER(E36calc!D47),ROUND(E36calc!D47,3-(1+INT(LOG10(ABS(E36calc!D47))))),"")</f>
        <v/>
      </c>
      <c r="E47" s="343" t="str">
        <f ca="1">IF(ISNUMBER(E36calc!E47),ROUND(E36calc!E47,3-(1+INT(LOG10(ABS(E36calc!E47))))),"")</f>
        <v/>
      </c>
      <c r="F47" s="342" t="str">
        <f ca="1">IF(ISNUMBER(E36calc!F47),ROUND(E36calc!F47,3-(1+INT(LOG10(ABS(E36calc!F47))))),"")</f>
        <v/>
      </c>
      <c r="G47" s="342" t="str">
        <f ca="1">IF(ISNUMBER(E36calc!G47),ROUND(E36calc!G47,3-(1+INT(LOG10(ABS(E36calc!G47))))),"")</f>
        <v/>
      </c>
      <c r="H47" s="331" t="str">
        <f>IF(ISNUMBER(E36calc!H47),ROUND(E36calc!H47,3-(1+INT(LOG10(ABS(E36calc!H47))))),"")</f>
        <v/>
      </c>
      <c r="I47" s="280" t="str">
        <f ca="1">IF(ISNUMBER(E36calc!I47),ROUND(E36calc!I47,3-(1+INT(LOG10(ABS(E36calc!I47))))),"")</f>
        <v/>
      </c>
      <c r="J47" s="280" t="str">
        <f ca="1">IF(ISNUMBER(E36calc!J47),ROUND(E36calc!J47,3-(1+INT(LOG10(ABS(E36calc!J47))))),"")</f>
        <v/>
      </c>
      <c r="K47" s="280" t="str">
        <f ca="1">IF(ISNUMBER(E36calc!K47),ROUND(E36calc!K47,3-(1+INT(LOG10(ABS(E36calc!K47))))),"")</f>
        <v/>
      </c>
      <c r="L47" s="279" t="str">
        <f ca="1">IF(ISNUMBER(E36calc!L47),ROUND(E36calc!L47,3-(1+INT(LOG10(ABS(E36calc!L47))))),"")</f>
        <v/>
      </c>
      <c r="M47" s="332"/>
    </row>
    <row r="48" spans="1:23" ht="16.5" x14ac:dyDescent="0.2">
      <c r="A48" s="162" t="str">
        <f>IF('Diffusive Flux'!A49=0,"",'Diffusive Flux'!A49)</f>
        <v/>
      </c>
      <c r="B48" s="182" t="s">
        <v>132</v>
      </c>
      <c r="C48" s="341" t="str">
        <f ca="1">IF(ISNUMBER(E36calc!C48),ROUND(E36calc!C48,3-(1+INT(LOG10(ABS(E36calc!C48))))),"")</f>
        <v/>
      </c>
      <c r="D48" s="342" t="str">
        <f ca="1">IF(ISNUMBER(E36calc!D48),ROUND(E36calc!D48,3-(1+INT(LOG10(ABS(E36calc!D48))))),"")</f>
        <v/>
      </c>
      <c r="E48" s="343" t="str">
        <f ca="1">IF(ISNUMBER(E36calc!E48),ROUND(E36calc!E48,3-(1+INT(LOG10(ABS(E36calc!E48))))),"")</f>
        <v/>
      </c>
      <c r="F48" s="342" t="str">
        <f ca="1">IF(ISNUMBER(E36calc!F48),ROUND(E36calc!F48,3-(1+INT(LOG10(ABS(E36calc!F48))))),"")</f>
        <v/>
      </c>
      <c r="G48" s="342" t="str">
        <f ca="1">IF(ISNUMBER(E36calc!G48),ROUND(E36calc!G48,3-(1+INT(LOG10(ABS(E36calc!G48))))),"")</f>
        <v/>
      </c>
      <c r="H48" s="331" t="str">
        <f>IF(ISNUMBER(E36calc!H48),ROUND(E36calc!H48,3-(1+INT(LOG10(ABS(E36calc!H48))))),"")</f>
        <v/>
      </c>
      <c r="I48" s="280" t="str">
        <f ca="1">IF(ISNUMBER(E36calc!I48),ROUND(E36calc!I48,3-(1+INT(LOG10(ABS(E36calc!I48))))),"")</f>
        <v/>
      </c>
      <c r="J48" s="280" t="str">
        <f ca="1">IF(ISNUMBER(E36calc!J48),ROUND(E36calc!J48,3-(1+INT(LOG10(ABS(E36calc!J48))))),"")</f>
        <v/>
      </c>
      <c r="K48" s="280" t="str">
        <f ca="1">IF(ISNUMBER(E36calc!K48),ROUND(E36calc!K48,3-(1+INT(LOG10(ABS(E36calc!K48))))),"")</f>
        <v/>
      </c>
      <c r="L48" s="279" t="str">
        <f ca="1">IF(ISNUMBER(E36calc!L48),ROUND(E36calc!L48,3-(1+INT(LOG10(ABS(E36calc!L48))))),"")</f>
        <v/>
      </c>
      <c r="M48" s="332"/>
    </row>
    <row r="49" spans="1:13" ht="16.5" x14ac:dyDescent="0.2">
      <c r="A49" s="162" t="str">
        <f>IF('Diffusive Flux'!A50=0,"",'Diffusive Flux'!A50)</f>
        <v/>
      </c>
      <c r="B49" s="182" t="s">
        <v>132</v>
      </c>
      <c r="C49" s="275" t="str">
        <f ca="1">IF(ISNUMBER(E36calc!C49),ROUND(E36calc!C49,3-(1+INT(LOG10(ABS(E36calc!C49))))),"")</f>
        <v/>
      </c>
      <c r="D49" s="276" t="str">
        <f ca="1">IF(ISNUMBER(E36calc!D49),ROUND(E36calc!D49,3-(1+INT(LOG10(ABS(E36calc!D49))))),"")</f>
        <v/>
      </c>
      <c r="E49" s="277" t="str">
        <f ca="1">IF(ISNUMBER(E36calc!E49),ROUND(E36calc!E49,3-(1+INT(LOG10(ABS(E36calc!E49))))),"")</f>
        <v/>
      </c>
      <c r="F49" s="276" t="str">
        <f ca="1">IF(ISNUMBER(E36calc!F49),ROUND(E36calc!F49,3-(1+INT(LOG10(ABS(E36calc!F49))))),"")</f>
        <v/>
      </c>
      <c r="G49" s="276" t="str">
        <f ca="1">IF(ISNUMBER(E36calc!G49),ROUND(E36calc!G49,3-(1+INT(LOG10(ABS(E36calc!G49))))),"")</f>
        <v/>
      </c>
      <c r="H49" s="331" t="str">
        <f>IF(ISNUMBER(E36calc!H49),ROUND(E36calc!H49,3-(1+INT(LOG10(ABS(E36calc!H49))))),"")</f>
        <v/>
      </c>
      <c r="I49" s="280" t="str">
        <f ca="1">IF(ISNUMBER(E36calc!I49),ROUND(E36calc!I49,3-(1+INT(LOG10(ABS(E36calc!I49))))),"")</f>
        <v/>
      </c>
      <c r="J49" s="280" t="str">
        <f ca="1">IF(ISNUMBER(E36calc!J49),ROUND(E36calc!J49,3-(1+INT(LOG10(ABS(E36calc!J49))))),"")</f>
        <v/>
      </c>
      <c r="K49" s="280" t="str">
        <f ca="1">IF(ISNUMBER(E36calc!K49),ROUND(E36calc!K49,3-(1+INT(LOG10(ABS(E36calc!K49))))),"")</f>
        <v/>
      </c>
      <c r="L49" s="279" t="str">
        <f ca="1">IF(ISNUMBER(E36calc!L49),ROUND(E36calc!L49,3-(1+INT(LOG10(ABS(E36calc!L49))))),"")</f>
        <v/>
      </c>
      <c r="M49" s="332"/>
    </row>
    <row r="50" spans="1:13" ht="16.5" x14ac:dyDescent="0.2">
      <c r="A50" s="162" t="str">
        <f>IF('Diffusive Flux'!A51=0,"",'Diffusive Flux'!A51)</f>
        <v/>
      </c>
      <c r="B50" s="182" t="s">
        <v>132</v>
      </c>
      <c r="C50" s="275" t="str">
        <f ca="1">IF(ISNUMBER(E36calc!C50),ROUND(E36calc!C50,3-(1+INT(LOG10(ABS(E36calc!C50))))),"")</f>
        <v/>
      </c>
      <c r="D50" s="276" t="str">
        <f ca="1">IF(ISNUMBER(E36calc!D50),ROUND(E36calc!D50,3-(1+INT(LOG10(ABS(E36calc!D50))))),"")</f>
        <v/>
      </c>
      <c r="E50" s="277" t="str">
        <f ca="1">IF(ISNUMBER(E36calc!E50),ROUND(E36calc!E50,3-(1+INT(LOG10(ABS(E36calc!E50))))),"")</f>
        <v/>
      </c>
      <c r="F50" s="276" t="str">
        <f ca="1">IF(ISNUMBER(E36calc!F50),ROUND(E36calc!F50,3-(1+INT(LOG10(ABS(E36calc!F50))))),"")</f>
        <v/>
      </c>
      <c r="G50" s="276" t="str">
        <f ca="1">IF(ISNUMBER(E36calc!G50),ROUND(E36calc!G50,3-(1+INT(LOG10(ABS(E36calc!G50))))),"")</f>
        <v/>
      </c>
      <c r="H50" s="331" t="str">
        <f>IF(ISNUMBER(E36calc!H50),ROUND(E36calc!H50,3-(1+INT(LOG10(ABS(E36calc!H50))))),"")</f>
        <v/>
      </c>
      <c r="I50" s="280" t="str">
        <f ca="1">IF(ISNUMBER(E36calc!I50),ROUND(E36calc!I50,3-(1+INT(LOG10(ABS(E36calc!I50))))),"")</f>
        <v/>
      </c>
      <c r="J50" s="280" t="str">
        <f ca="1">IF(ISNUMBER(E36calc!J50),ROUND(E36calc!J50,3-(1+INT(LOG10(ABS(E36calc!J50))))),"")</f>
        <v/>
      </c>
      <c r="K50" s="280" t="str">
        <f ca="1">IF(ISNUMBER(E36calc!K50),ROUND(E36calc!K50,3-(1+INT(LOG10(ABS(E36calc!K50))))),"")</f>
        <v/>
      </c>
      <c r="L50" s="279" t="str">
        <f ca="1">IF(ISNUMBER(E36calc!L50),ROUND(E36calc!L50,3-(1+INT(LOG10(ABS(E36calc!L50))))),"")</f>
        <v/>
      </c>
      <c r="M50" s="332"/>
    </row>
    <row r="51" spans="1:13" ht="16.5" x14ac:dyDescent="0.2">
      <c r="A51" s="162" t="str">
        <f>IF('Diffusive Flux'!A52=0,"",'Diffusive Flux'!A52)</f>
        <v/>
      </c>
      <c r="B51" s="182" t="s">
        <v>132</v>
      </c>
      <c r="C51" s="275" t="str">
        <f ca="1">IF(ISNUMBER(E36calc!C51),ROUND(E36calc!C51,3-(1+INT(LOG10(ABS(E36calc!C51))))),"")</f>
        <v/>
      </c>
      <c r="D51" s="276" t="str">
        <f ca="1">IF(ISNUMBER(E36calc!D51),ROUND(E36calc!D51,3-(1+INT(LOG10(ABS(E36calc!D51))))),"")</f>
        <v/>
      </c>
      <c r="E51" s="277" t="str">
        <f ca="1">IF(ISNUMBER(E36calc!E51),ROUND(E36calc!E51,3-(1+INT(LOG10(ABS(E36calc!E51))))),"")</f>
        <v/>
      </c>
      <c r="F51" s="276" t="str">
        <f ca="1">IF(ISNUMBER(E36calc!F51),ROUND(E36calc!F51,3-(1+INT(LOG10(ABS(E36calc!F51))))),"")</f>
        <v/>
      </c>
      <c r="G51" s="276" t="str">
        <f ca="1">IF(ISNUMBER(E36calc!G51),ROUND(E36calc!G51,3-(1+INT(LOG10(ABS(E36calc!G51))))),"")</f>
        <v/>
      </c>
      <c r="H51" s="331" t="str">
        <f>IF(ISNUMBER(E36calc!H51),ROUND(E36calc!H51,3-(1+INT(LOG10(ABS(E36calc!H51))))),"")</f>
        <v/>
      </c>
      <c r="I51" s="280" t="str">
        <f ca="1">IF(ISNUMBER(E36calc!I51),ROUND(E36calc!I51,3-(1+INT(LOG10(ABS(E36calc!I51))))),"")</f>
        <v/>
      </c>
      <c r="J51" s="280" t="str">
        <f ca="1">IF(ISNUMBER(E36calc!J51),ROUND(E36calc!J51,3-(1+INT(LOG10(ABS(E36calc!J51))))),"")</f>
        <v/>
      </c>
      <c r="K51" s="280" t="str">
        <f ca="1">IF(ISNUMBER(E36calc!K51),ROUND(E36calc!K51,3-(1+INT(LOG10(ABS(E36calc!K51))))),"")</f>
        <v/>
      </c>
      <c r="L51" s="279" t="str">
        <f ca="1">IF(ISNUMBER(E36calc!L51),ROUND(E36calc!L51,3-(1+INT(LOG10(ABS(E36calc!L51))))),"")</f>
        <v/>
      </c>
      <c r="M51" s="332"/>
    </row>
    <row r="52" spans="1:13" ht="16.5" x14ac:dyDescent="0.2">
      <c r="A52" s="162" t="str">
        <f>IF('Diffusive Flux'!A53=0,"",'Diffusive Flux'!A53)</f>
        <v/>
      </c>
      <c r="B52" s="182" t="s">
        <v>132</v>
      </c>
      <c r="C52" s="275" t="str">
        <f ca="1">IF(ISNUMBER(E36calc!C52),ROUND(E36calc!C52,3-(1+INT(LOG10(ABS(E36calc!C52))))),"")</f>
        <v/>
      </c>
      <c r="D52" s="276" t="str">
        <f ca="1">IF(ISNUMBER(E36calc!D52),ROUND(E36calc!D52,3-(1+INT(LOG10(ABS(E36calc!D52))))),"")</f>
        <v/>
      </c>
      <c r="E52" s="277" t="str">
        <f ca="1">IF(ISNUMBER(E36calc!E52),ROUND(E36calc!E52,3-(1+INT(LOG10(ABS(E36calc!E52))))),"")</f>
        <v/>
      </c>
      <c r="F52" s="276" t="str">
        <f ca="1">IF(ISNUMBER(E36calc!F52),ROUND(E36calc!F52,3-(1+INT(LOG10(ABS(E36calc!F52))))),"")</f>
        <v/>
      </c>
      <c r="G52" s="276" t="str">
        <f ca="1">IF(ISNUMBER(E36calc!G52),ROUND(E36calc!G52,3-(1+INT(LOG10(ABS(E36calc!G52))))),"")</f>
        <v/>
      </c>
      <c r="H52" s="280" t="str">
        <f>IF(ISNUMBER(E36calc!H52),ROUND(E36calc!H52,3-(1+INT(LOG10(ABS(E36calc!H52))))),"")</f>
        <v/>
      </c>
      <c r="I52" s="280" t="str">
        <f ca="1">IF(ISNUMBER(E36calc!I52),ROUND(E36calc!I52,3-(1+INT(LOG10(ABS(E36calc!I52))))),"")</f>
        <v/>
      </c>
      <c r="J52" s="280" t="str">
        <f ca="1">IF(ISNUMBER(E36calc!J52),ROUND(E36calc!J52,3-(1+INT(LOG10(ABS(E36calc!J52))))),"")</f>
        <v/>
      </c>
      <c r="K52" s="280" t="str">
        <f ca="1">IF(ISNUMBER(E36calc!K52),ROUND(E36calc!K52,3-(1+INT(LOG10(ABS(E36calc!K52))))),"")</f>
        <v/>
      </c>
      <c r="L52" s="280" t="str">
        <f ca="1">IF(ISNUMBER(E36calc!L52),ROUND(E36calc!L52,3-(1+INT(LOG10(ABS(E36calc!L52))))),"")</f>
        <v/>
      </c>
      <c r="M52" s="332"/>
    </row>
    <row r="53" spans="1:13" ht="16.5" x14ac:dyDescent="0.2">
      <c r="A53" s="162" t="str">
        <f>IF('Diffusive Flux'!A54=0,"",'Diffusive Flux'!A54)</f>
        <v/>
      </c>
      <c r="B53" s="182" t="s">
        <v>132</v>
      </c>
      <c r="C53" s="275" t="str">
        <f ca="1">IF(ISNUMBER(E36calc!C53),ROUND(E36calc!C53,3-(1+INT(LOG10(ABS(E36calc!C53))))),"")</f>
        <v/>
      </c>
      <c r="D53" s="276" t="str">
        <f ca="1">IF(ISNUMBER(E36calc!D53),ROUND(E36calc!D53,3-(1+INT(LOG10(ABS(E36calc!D53))))),"")</f>
        <v/>
      </c>
      <c r="E53" s="277" t="str">
        <f ca="1">IF(ISNUMBER(E36calc!E53),ROUND(E36calc!E53,3-(1+INT(LOG10(ABS(E36calc!E53))))),"")</f>
        <v/>
      </c>
      <c r="F53" s="276" t="str">
        <f ca="1">IF(ISNUMBER(E36calc!F53),ROUND(E36calc!F53,3-(1+INT(LOG10(ABS(E36calc!F53))))),"")</f>
        <v/>
      </c>
      <c r="G53" s="276" t="str">
        <f ca="1">IF(ISNUMBER(E36calc!G53),ROUND(E36calc!G53,3-(1+INT(LOG10(ABS(E36calc!G53))))),"")</f>
        <v/>
      </c>
      <c r="H53" s="280" t="str">
        <f>IF(ISNUMBER(E36calc!H53),ROUND(E36calc!H53,3-(1+INT(LOG10(ABS(E36calc!H53))))),"")</f>
        <v/>
      </c>
      <c r="I53" s="280" t="str">
        <f ca="1">IF(ISNUMBER(E36calc!I53),ROUND(E36calc!I53,3-(1+INT(LOG10(ABS(E36calc!I53))))),"")</f>
        <v/>
      </c>
      <c r="J53" s="280" t="str">
        <f ca="1">IF(ISNUMBER(E36calc!J53),ROUND(E36calc!J53,3-(1+INT(LOG10(ABS(E36calc!J53))))),"")</f>
        <v/>
      </c>
      <c r="K53" s="280" t="str">
        <f ca="1">IF(ISNUMBER(E36calc!K53),ROUND(E36calc!K53,3-(1+INT(LOG10(ABS(E36calc!K53))))),"")</f>
        <v/>
      </c>
      <c r="L53" s="280" t="str">
        <f ca="1">IF(ISNUMBER(E36calc!L53),ROUND(E36calc!L53,3-(1+INT(LOG10(ABS(E36calc!L53))))),"")</f>
        <v/>
      </c>
      <c r="M53" s="332"/>
    </row>
    <row r="54" spans="1:13" ht="16.5" x14ac:dyDescent="0.2">
      <c r="A54" s="162" t="str">
        <f>IF('Diffusive Flux'!A55=0,"",'Diffusive Flux'!A55)</f>
        <v/>
      </c>
      <c r="B54" s="182" t="s">
        <v>132</v>
      </c>
      <c r="C54" s="275" t="str">
        <f ca="1">IF(ISNUMBER(E36calc!C54),ROUND(E36calc!C54,3-(1+INT(LOG10(ABS(E36calc!C54))))),"")</f>
        <v/>
      </c>
      <c r="D54" s="276" t="str">
        <f ca="1">IF(ISNUMBER(E36calc!D54),ROUND(E36calc!D54,3-(1+INT(LOG10(ABS(E36calc!D54))))),"")</f>
        <v/>
      </c>
      <c r="E54" s="277" t="str">
        <f ca="1">IF(ISNUMBER(E36calc!E54),ROUND(E36calc!E54,3-(1+INT(LOG10(ABS(E36calc!E54))))),"")</f>
        <v/>
      </c>
      <c r="F54" s="276" t="str">
        <f ca="1">IF(ISNUMBER(E36calc!F54),ROUND(E36calc!F54,3-(1+INT(LOG10(ABS(E36calc!F54))))),"")</f>
        <v/>
      </c>
      <c r="G54" s="276" t="str">
        <f ca="1">IF(ISNUMBER(E36calc!G54),ROUND(E36calc!G54,3-(1+INT(LOG10(ABS(E36calc!G54))))),"")</f>
        <v/>
      </c>
      <c r="H54" s="280" t="str">
        <f>IF(ISNUMBER(E36calc!H54),ROUND(E36calc!H54,3-(1+INT(LOG10(ABS(E36calc!H54))))),"")</f>
        <v/>
      </c>
      <c r="I54" s="280" t="str">
        <f ca="1">IF(ISNUMBER(E36calc!I54),ROUND(E36calc!I54,3-(1+INT(LOG10(ABS(E36calc!I54))))),"")</f>
        <v/>
      </c>
      <c r="J54" s="280" t="str">
        <f ca="1">IF(ISNUMBER(E36calc!J54),ROUND(E36calc!J54,3-(1+INT(LOG10(ABS(E36calc!J54))))),"")</f>
        <v/>
      </c>
      <c r="K54" s="280" t="str">
        <f ca="1">IF(ISNUMBER(E36calc!K54),ROUND(E36calc!K54,3-(1+INT(LOG10(ABS(E36calc!K54))))),"")</f>
        <v/>
      </c>
      <c r="L54" s="280" t="str">
        <f ca="1">IF(ISNUMBER(E36calc!L54),ROUND(E36calc!L54,3-(1+INT(LOG10(ABS(E36calc!L54))))),"")</f>
        <v/>
      </c>
      <c r="M54" s="332"/>
    </row>
    <row r="55" spans="1:13" ht="16.5" x14ac:dyDescent="0.2">
      <c r="A55" s="162" t="str">
        <f>IF('Diffusive Flux'!A56=0,"",'Diffusive Flux'!A56)</f>
        <v/>
      </c>
      <c r="B55" s="182" t="s">
        <v>132</v>
      </c>
      <c r="C55" s="275" t="str">
        <f ca="1">IF(ISNUMBER(E36calc!C55),ROUND(E36calc!C55,3-(1+INT(LOG10(ABS(E36calc!C55))))),"")</f>
        <v/>
      </c>
      <c r="D55" s="276" t="str">
        <f ca="1">IF(ISNUMBER(E36calc!D55),ROUND(E36calc!D55,3-(1+INT(LOG10(ABS(E36calc!D55))))),"")</f>
        <v/>
      </c>
      <c r="E55" s="277" t="str">
        <f ca="1">IF(ISNUMBER(E36calc!E55),ROUND(E36calc!E55,3-(1+INT(LOG10(ABS(E36calc!E55))))),"")</f>
        <v/>
      </c>
      <c r="F55" s="276" t="str">
        <f ca="1">IF(ISNUMBER(E36calc!F55),ROUND(E36calc!F55,3-(1+INT(LOG10(ABS(E36calc!F55))))),"")</f>
        <v/>
      </c>
      <c r="G55" s="276" t="str">
        <f ca="1">IF(ISNUMBER(E36calc!G55),ROUND(E36calc!G55,3-(1+INT(LOG10(ABS(E36calc!G55))))),"")</f>
        <v/>
      </c>
      <c r="H55" s="280" t="str">
        <f>IF(ISNUMBER(E36calc!H55),ROUND(E36calc!H55,3-(1+INT(LOG10(ABS(E36calc!H55))))),"")</f>
        <v/>
      </c>
      <c r="I55" s="280" t="str">
        <f ca="1">IF(ISNUMBER(E36calc!I55),ROUND(E36calc!I55,3-(1+INT(LOG10(ABS(E36calc!I55))))),"")</f>
        <v/>
      </c>
      <c r="J55" s="280" t="str">
        <f ca="1">IF(ISNUMBER(E36calc!J55),ROUND(E36calc!J55,3-(1+INT(LOG10(ABS(E36calc!J55))))),"")</f>
        <v/>
      </c>
      <c r="K55" s="280" t="str">
        <f ca="1">IF(ISNUMBER(E36calc!K55),ROUND(E36calc!K55,3-(1+INT(LOG10(ABS(E36calc!K55))))),"")</f>
        <v/>
      </c>
      <c r="L55" s="280" t="str">
        <f ca="1">IF(ISNUMBER(E36calc!L55),ROUND(E36calc!L55,3-(1+INT(LOG10(ABS(E36calc!L55))))),"")</f>
        <v/>
      </c>
      <c r="M55" s="332"/>
    </row>
    <row r="56" spans="1:13" ht="16.5" x14ac:dyDescent="0.2">
      <c r="A56" s="162" t="str">
        <f>IF('Diffusive Flux'!A57=0,"",'Diffusive Flux'!A57)</f>
        <v/>
      </c>
      <c r="B56" s="182" t="s">
        <v>132</v>
      </c>
      <c r="C56" s="275" t="str">
        <f ca="1">IF(ISNUMBER(E36calc!C56),ROUND(E36calc!C56,3-(1+INT(LOG10(ABS(E36calc!C56))))),"")</f>
        <v/>
      </c>
      <c r="D56" s="276" t="str">
        <f ca="1">IF(ISNUMBER(E36calc!D56),ROUND(E36calc!D56,3-(1+INT(LOG10(ABS(E36calc!D56))))),"")</f>
        <v/>
      </c>
      <c r="E56" s="277" t="str">
        <f ca="1">IF(ISNUMBER(E36calc!E56),ROUND(E36calc!E56,3-(1+INT(LOG10(ABS(E36calc!E56))))),"")</f>
        <v/>
      </c>
      <c r="F56" s="276" t="str">
        <f ca="1">IF(ISNUMBER(E36calc!F56),ROUND(E36calc!F56,3-(1+INT(LOG10(ABS(E36calc!F56))))),"")</f>
        <v/>
      </c>
      <c r="G56" s="276" t="str">
        <f ca="1">IF(ISNUMBER(E36calc!G56),ROUND(E36calc!G56,3-(1+INT(LOG10(ABS(E36calc!G56))))),"")</f>
        <v/>
      </c>
      <c r="H56" s="280" t="str">
        <f>IF(ISNUMBER(E36calc!H56),ROUND(E36calc!H56,3-(1+INT(LOG10(ABS(E36calc!H56))))),"")</f>
        <v/>
      </c>
      <c r="I56" s="280" t="str">
        <f ca="1">IF(ISNUMBER(E36calc!I56),ROUND(E36calc!I56,3-(1+INT(LOG10(ABS(E36calc!I56))))),"")</f>
        <v/>
      </c>
      <c r="J56" s="280" t="str">
        <f ca="1">IF(ISNUMBER(E36calc!J56),ROUND(E36calc!J56,3-(1+INT(LOG10(ABS(E36calc!J56))))),"")</f>
        <v/>
      </c>
      <c r="K56" s="280" t="str">
        <f ca="1">IF(ISNUMBER(E36calc!K56),ROUND(E36calc!K56,3-(1+INT(LOG10(ABS(E36calc!K56))))),"")</f>
        <v/>
      </c>
      <c r="L56" s="280" t="str">
        <f ca="1">IF(ISNUMBER(E36calc!L56),ROUND(E36calc!L56,3-(1+INT(LOG10(ABS(E36calc!L56))))),"")</f>
        <v/>
      </c>
      <c r="M56" s="332"/>
    </row>
    <row r="57" spans="1:13" ht="16.5" x14ac:dyDescent="0.2">
      <c r="A57" s="162" t="str">
        <f>IF('Diffusive Flux'!A58=0,"",'Diffusive Flux'!A58)</f>
        <v/>
      </c>
      <c r="B57" s="182" t="s">
        <v>132</v>
      </c>
      <c r="C57" s="275" t="str">
        <f ca="1">IF(ISNUMBER(E36calc!C57),ROUND(E36calc!C57,3-(1+INT(LOG10(ABS(E36calc!C57))))),"")</f>
        <v/>
      </c>
      <c r="D57" s="276" t="str">
        <f ca="1">IF(ISNUMBER(E36calc!D57),ROUND(E36calc!D57,3-(1+INT(LOG10(ABS(E36calc!D57))))),"")</f>
        <v/>
      </c>
      <c r="E57" s="277" t="str">
        <f ca="1">IF(ISNUMBER(E36calc!E57),ROUND(E36calc!E57,3-(1+INT(LOG10(ABS(E36calc!E57))))),"")</f>
        <v/>
      </c>
      <c r="F57" s="276" t="str">
        <f ca="1">IF(ISNUMBER(E36calc!F57),ROUND(E36calc!F57,3-(1+INT(LOG10(ABS(E36calc!F57))))),"")</f>
        <v/>
      </c>
      <c r="G57" s="276" t="str">
        <f ca="1">IF(ISNUMBER(E36calc!G57),ROUND(E36calc!G57,3-(1+INT(LOG10(ABS(E36calc!G57))))),"")</f>
        <v/>
      </c>
      <c r="H57" s="280" t="str">
        <f>IF(ISNUMBER(E36calc!H57),ROUND(E36calc!H57,3-(1+INT(LOG10(ABS(E36calc!H57))))),"")</f>
        <v/>
      </c>
      <c r="I57" s="280" t="str">
        <f ca="1">IF(ISNUMBER(E36calc!I57),ROUND(E36calc!I57,3-(1+INT(LOG10(ABS(E36calc!I57))))),"")</f>
        <v/>
      </c>
      <c r="J57" s="280" t="str">
        <f ca="1">IF(ISNUMBER(E36calc!J57),ROUND(E36calc!J57,3-(1+INT(LOG10(ABS(E36calc!J57))))),"")</f>
        <v/>
      </c>
      <c r="K57" s="280" t="str">
        <f ca="1">IF(ISNUMBER(E36calc!K57),ROUND(E36calc!K57,3-(1+INT(LOG10(ABS(E36calc!K57))))),"")</f>
        <v/>
      </c>
      <c r="L57" s="280" t="str">
        <f ca="1">IF(ISNUMBER(E36calc!L57),ROUND(E36calc!L57,3-(1+INT(LOG10(ABS(E36calc!L57))))),"")</f>
        <v/>
      </c>
      <c r="M57" s="332"/>
    </row>
    <row r="58" spans="1:13" ht="16.5" x14ac:dyDescent="0.2">
      <c r="A58" s="162" t="str">
        <f>IF('Diffusive Flux'!A59=0,"",'Diffusive Flux'!A59)</f>
        <v/>
      </c>
      <c r="B58" s="182" t="s">
        <v>132</v>
      </c>
      <c r="C58" s="275" t="str">
        <f ca="1">IF(ISNUMBER(E36calc!C58),ROUND(E36calc!C58,3-(1+INT(LOG10(ABS(E36calc!C58))))),"")</f>
        <v/>
      </c>
      <c r="D58" s="276" t="str">
        <f ca="1">IF(ISNUMBER(E36calc!D58),ROUND(E36calc!D58,3-(1+INT(LOG10(ABS(E36calc!D58))))),"")</f>
        <v/>
      </c>
      <c r="E58" s="277" t="str">
        <f ca="1">IF(ISNUMBER(E36calc!E58),ROUND(E36calc!E58,3-(1+INT(LOG10(ABS(E36calc!E58))))),"")</f>
        <v/>
      </c>
      <c r="F58" s="276" t="str">
        <f ca="1">IF(ISNUMBER(E36calc!F58),ROUND(E36calc!F58,3-(1+INT(LOG10(ABS(E36calc!F58))))),"")</f>
        <v/>
      </c>
      <c r="G58" s="276" t="str">
        <f ca="1">IF(ISNUMBER(E36calc!G58),ROUND(E36calc!G58,3-(1+INT(LOG10(ABS(E36calc!G58))))),"")</f>
        <v/>
      </c>
      <c r="H58" s="280" t="str">
        <f>IF(ISNUMBER(E36calc!H58),ROUND(E36calc!H58,3-(1+INT(LOG10(ABS(E36calc!H58))))),"")</f>
        <v/>
      </c>
      <c r="I58" s="280" t="str">
        <f ca="1">IF(ISNUMBER(E36calc!I58),ROUND(E36calc!I58,3-(1+INT(LOG10(ABS(E36calc!I58))))),"")</f>
        <v/>
      </c>
      <c r="J58" s="280" t="str">
        <f ca="1">IF(ISNUMBER(E36calc!J58),ROUND(E36calc!J58,3-(1+INT(LOG10(ABS(E36calc!J58))))),"")</f>
        <v/>
      </c>
      <c r="K58" s="280" t="str">
        <f ca="1">IF(ISNUMBER(E36calc!K58),ROUND(E36calc!K58,3-(1+INT(LOG10(ABS(E36calc!K58))))),"")</f>
        <v/>
      </c>
      <c r="L58" s="280" t="str">
        <f ca="1">IF(ISNUMBER(E36calc!L58),ROUND(E36calc!L58,3-(1+INT(LOG10(ABS(E36calc!L58))))),"")</f>
        <v/>
      </c>
      <c r="M58" s="332"/>
    </row>
    <row r="59" spans="1:13" ht="16.5" x14ac:dyDescent="0.2">
      <c r="A59" s="162" t="str">
        <f>IF('Diffusive Flux'!A60=0,"",'Diffusive Flux'!A60)</f>
        <v/>
      </c>
      <c r="B59" s="182" t="s">
        <v>132</v>
      </c>
      <c r="C59" s="275" t="str">
        <f ca="1">IF(ISNUMBER(E36calc!C59),ROUND(E36calc!C59,3-(1+INT(LOG10(ABS(E36calc!C59))))),"")</f>
        <v/>
      </c>
      <c r="D59" s="276" t="str">
        <f ca="1">IF(ISNUMBER(E36calc!D59),ROUND(E36calc!D59,3-(1+INT(LOG10(ABS(E36calc!D59))))),"")</f>
        <v/>
      </c>
      <c r="E59" s="277" t="str">
        <f ca="1">IF(ISNUMBER(E36calc!E59),ROUND(E36calc!E59,3-(1+INT(LOG10(ABS(E36calc!E59))))),"")</f>
        <v/>
      </c>
      <c r="F59" s="276" t="str">
        <f ca="1">IF(ISNUMBER(E36calc!F59),ROUND(E36calc!F59,3-(1+INT(LOG10(ABS(E36calc!F59))))),"")</f>
        <v/>
      </c>
      <c r="G59" s="276" t="str">
        <f ca="1">IF(ISNUMBER(E36calc!G59),ROUND(E36calc!G59,3-(1+INT(LOG10(ABS(E36calc!G59))))),"")</f>
        <v/>
      </c>
      <c r="H59" s="280" t="str">
        <f>IF(ISNUMBER(E36calc!H59),ROUND(E36calc!H59,3-(1+INT(LOG10(ABS(E36calc!H59))))),"")</f>
        <v/>
      </c>
      <c r="I59" s="280" t="str">
        <f ca="1">IF(ISNUMBER(E36calc!I59),ROUND(E36calc!I59,3-(1+INT(LOG10(ABS(E36calc!I59))))),"")</f>
        <v/>
      </c>
      <c r="J59" s="280" t="str">
        <f ca="1">IF(ISNUMBER(E36calc!J59),ROUND(E36calc!J59,3-(1+INT(LOG10(ABS(E36calc!J59))))),"")</f>
        <v/>
      </c>
      <c r="K59" s="280" t="str">
        <f ca="1">IF(ISNUMBER(E36calc!K59),ROUND(E36calc!K59,3-(1+INT(LOG10(ABS(E36calc!K59))))),"")</f>
        <v/>
      </c>
      <c r="L59" s="280" t="str">
        <f ca="1">IF(ISNUMBER(E36calc!L59),ROUND(E36calc!L59,3-(1+INT(LOG10(ABS(E36calc!L59))))),"")</f>
        <v/>
      </c>
      <c r="M59" s="332"/>
    </row>
    <row r="60" spans="1:13" ht="16.5" x14ac:dyDescent="0.2">
      <c r="A60" s="162" t="str">
        <f>IF('Diffusive Flux'!A61=0,"",'Diffusive Flux'!A61)</f>
        <v/>
      </c>
      <c r="B60" s="182" t="s">
        <v>132</v>
      </c>
      <c r="C60" s="282" t="str">
        <f ca="1">IF(ISNUMBER(E36calc!C60),ROUND(E36calc!C60,3-(1+INT(LOG10(ABS(E36calc!C60))))),"")</f>
        <v/>
      </c>
      <c r="D60" s="276" t="str">
        <f ca="1">IF(ISNUMBER(E36calc!D60),ROUND(E36calc!D60,3-(1+INT(LOG10(ABS(E36calc!D60))))),"")</f>
        <v/>
      </c>
      <c r="E60" s="277" t="str">
        <f ca="1">IF(ISNUMBER(E36calc!E60),ROUND(E36calc!E60,3-(1+INT(LOG10(ABS(E36calc!E60))))),"")</f>
        <v/>
      </c>
      <c r="F60" s="276" t="str">
        <f ca="1">IF(ISNUMBER(E36calc!F60),ROUND(E36calc!F60,3-(1+INT(LOG10(ABS(E36calc!F60))))),"")</f>
        <v/>
      </c>
      <c r="G60" s="276" t="str">
        <f ca="1">IF(ISNUMBER(E36calc!G60),ROUND(E36calc!G60,3-(1+INT(LOG10(ABS(E36calc!G60))))),"")</f>
        <v/>
      </c>
      <c r="H60" s="280" t="str">
        <f>IF(ISNUMBER(E36calc!H60),ROUND(E36calc!H60,3-(1+INT(LOG10(ABS(E36calc!H60))))),"")</f>
        <v/>
      </c>
      <c r="I60" s="280" t="str">
        <f ca="1">IF(ISNUMBER(E36calc!I60),ROUND(E36calc!I60,3-(1+INT(LOG10(ABS(E36calc!I60))))),"")</f>
        <v/>
      </c>
      <c r="J60" s="280" t="str">
        <f ca="1">IF(ISNUMBER(E36calc!J60),ROUND(E36calc!J60,3-(1+INT(LOG10(ABS(E36calc!J60))))),"")</f>
        <v/>
      </c>
      <c r="K60" s="280" t="str">
        <f ca="1">IF(ISNUMBER(E36calc!K60),ROUND(E36calc!K60,3-(1+INT(LOG10(ABS(E36calc!K60))))),"")</f>
        <v/>
      </c>
      <c r="L60" s="280" t="str">
        <f ca="1">IF(ISNUMBER(E36calc!L60),ROUND(E36calc!L60,3-(1+INT(LOG10(ABS(E36calc!L60))))),"")</f>
        <v/>
      </c>
      <c r="M60" s="332"/>
    </row>
    <row r="61" spans="1:13" ht="16.5" x14ac:dyDescent="0.2">
      <c r="A61" s="162" t="str">
        <f>IF('Diffusive Flux'!A62=0,"",'Diffusive Flux'!A62)</f>
        <v/>
      </c>
      <c r="B61" s="182" t="s">
        <v>132</v>
      </c>
      <c r="C61" s="282" t="str">
        <f ca="1">IF(ISNUMBER(E36calc!C61),ROUND(E36calc!C61,3-(1+INT(LOG10(ABS(E36calc!C61))))),"")</f>
        <v/>
      </c>
      <c r="D61" s="276" t="str">
        <f ca="1">IF(ISNUMBER(E36calc!D61),ROUND(E36calc!D61,3-(1+INT(LOG10(ABS(E36calc!D61))))),"")</f>
        <v/>
      </c>
      <c r="E61" s="277" t="str">
        <f ca="1">IF(ISNUMBER(E36calc!E61),ROUND(E36calc!E61,3-(1+INT(LOG10(ABS(E36calc!E61))))),"")</f>
        <v/>
      </c>
      <c r="F61" s="276" t="str">
        <f ca="1">IF(ISNUMBER(E36calc!F61),ROUND(E36calc!F61,3-(1+INT(LOG10(ABS(E36calc!F61))))),"")</f>
        <v/>
      </c>
      <c r="G61" s="276" t="str">
        <f ca="1">IF(ISNUMBER(E36calc!G61),ROUND(E36calc!G61,3-(1+INT(LOG10(ABS(E36calc!G61))))),"")</f>
        <v/>
      </c>
      <c r="H61" s="280" t="str">
        <f>IF(ISNUMBER(E36calc!H61),ROUND(E36calc!H61,3-(1+INT(LOG10(ABS(E36calc!H61))))),"")</f>
        <v/>
      </c>
      <c r="I61" s="280" t="str">
        <f ca="1">IF(ISNUMBER(E36calc!I61),ROUND(E36calc!I61,3-(1+INT(LOG10(ABS(E36calc!I61))))),"")</f>
        <v/>
      </c>
      <c r="J61" s="280" t="str">
        <f ca="1">IF(ISNUMBER(E36calc!J61),ROUND(E36calc!J61,3-(1+INT(LOG10(ABS(E36calc!J61))))),"")</f>
        <v/>
      </c>
      <c r="K61" s="280" t="str">
        <f ca="1">IF(ISNUMBER(E36calc!K61),ROUND(E36calc!K61,3-(1+INT(LOG10(ABS(E36calc!K61))))),"")</f>
        <v/>
      </c>
      <c r="L61" s="281" t="str">
        <f ca="1">IF(ISNUMBER(E36calc!L61),ROUND(E36calc!L61,3-(1+INT(LOG10(ABS(E36calc!L61))))),"")</f>
        <v/>
      </c>
      <c r="M61" s="332"/>
    </row>
    <row r="62" spans="1:13" ht="16.5" x14ac:dyDescent="0.2">
      <c r="A62" s="162" t="str">
        <f>IF('Diffusive Flux'!A63=0,"",'Diffusive Flux'!A63)</f>
        <v/>
      </c>
      <c r="B62" s="182" t="s">
        <v>132</v>
      </c>
      <c r="C62" s="275" t="str">
        <f ca="1">IF(ISNUMBER(E36calc!C62),ROUND(E36calc!C62,3-(1+INT(LOG10(ABS(E36calc!C62))))),"")</f>
        <v/>
      </c>
      <c r="D62" s="276" t="str">
        <f ca="1">IF(ISNUMBER(E36calc!D62),ROUND(E36calc!D62,3-(1+INT(LOG10(ABS(E36calc!D62))))),"")</f>
        <v/>
      </c>
      <c r="E62" s="277" t="str">
        <f ca="1">IF(ISNUMBER(E36calc!E62),ROUND(E36calc!E62,3-(1+INT(LOG10(ABS(E36calc!E62))))),"")</f>
        <v/>
      </c>
      <c r="F62" s="276" t="str">
        <f ca="1">IF(ISNUMBER(E36calc!F62),ROUND(E36calc!F62,3-(1+INT(LOG10(ABS(E36calc!F62))))),"")</f>
        <v/>
      </c>
      <c r="G62" s="276" t="str">
        <f ca="1">IF(ISNUMBER(E36calc!G62),ROUND(E36calc!G62,3-(1+INT(LOG10(ABS(E36calc!G62))))),"")</f>
        <v/>
      </c>
      <c r="H62" s="280" t="str">
        <f>IF(ISNUMBER(E36calc!H62),ROUND(E36calc!H62,3-(1+INT(LOG10(ABS(E36calc!H62))))),"")</f>
        <v/>
      </c>
      <c r="I62" s="280" t="str">
        <f ca="1">IF(ISNUMBER(E36calc!I62),ROUND(E36calc!I62,3-(1+INT(LOG10(ABS(E36calc!I62))))),"")</f>
        <v/>
      </c>
      <c r="J62" s="280" t="str">
        <f ca="1">IF(ISNUMBER(E36calc!J62),ROUND(E36calc!J62,3-(1+INT(LOG10(ABS(E36calc!J62))))),"")</f>
        <v/>
      </c>
      <c r="K62" s="280" t="str">
        <f ca="1">IF(ISNUMBER(E36calc!K62),ROUND(E36calc!K62,3-(1+INT(LOG10(ABS(E36calc!K62))))),"")</f>
        <v/>
      </c>
      <c r="L62" s="279" t="str">
        <f ca="1">IF(ISNUMBER(E36calc!L62),ROUND(E36calc!L62,3-(1+INT(LOG10(ABS(E36calc!L62))))),"")</f>
        <v/>
      </c>
      <c r="M62" s="332"/>
    </row>
    <row r="63" spans="1:13" ht="16.5" x14ac:dyDescent="0.2">
      <c r="A63" s="162" t="str">
        <f>IF('Diffusive Flux'!A64=0,"",'Diffusive Flux'!A64)</f>
        <v/>
      </c>
      <c r="B63" s="182" t="s">
        <v>132</v>
      </c>
      <c r="C63" s="275" t="str">
        <f ca="1">IF(ISNUMBER(E36calc!C63),ROUND(E36calc!C63,3-(1+INT(LOG10(ABS(E36calc!C63))))),"")</f>
        <v/>
      </c>
      <c r="D63" s="276" t="str">
        <f ca="1">IF(ISNUMBER(E36calc!D63),ROUND(E36calc!D63,3-(1+INT(LOG10(ABS(E36calc!D63))))),"")</f>
        <v/>
      </c>
      <c r="E63" s="277" t="str">
        <f ca="1">IF(ISNUMBER(E36calc!E63),ROUND(E36calc!E63,3-(1+INT(LOG10(ABS(E36calc!E63))))),"")</f>
        <v/>
      </c>
      <c r="F63" s="276" t="str">
        <f ca="1">IF(ISNUMBER(E36calc!F63),ROUND(E36calc!F63,3-(1+INT(LOG10(ABS(E36calc!F63))))),"")</f>
        <v/>
      </c>
      <c r="G63" s="276" t="str">
        <f ca="1">IF(ISNUMBER(E36calc!G63),ROUND(E36calc!G63,3-(1+INT(LOG10(ABS(E36calc!G63))))),"")</f>
        <v/>
      </c>
      <c r="H63" s="280" t="str">
        <f>IF(ISNUMBER(E36calc!H63),ROUND(E36calc!H63,3-(1+INT(LOG10(ABS(E36calc!H63))))),"")</f>
        <v/>
      </c>
      <c r="I63" s="280" t="str">
        <f ca="1">IF(ISNUMBER(E36calc!I63),ROUND(E36calc!I63,3-(1+INT(LOG10(ABS(E36calc!I63))))),"")</f>
        <v/>
      </c>
      <c r="J63" s="280" t="str">
        <f ca="1">IF(ISNUMBER(E36calc!J63),ROUND(E36calc!J63,3-(1+INT(LOG10(ABS(E36calc!J63))))),"")</f>
        <v/>
      </c>
      <c r="K63" s="280" t="str">
        <f ca="1">IF(ISNUMBER(E36calc!K63),ROUND(E36calc!K63,3-(1+INT(LOG10(ABS(E36calc!K63))))),"")</f>
        <v/>
      </c>
      <c r="L63" s="279" t="str">
        <f ca="1">IF(ISNUMBER(E36calc!L63),ROUND(E36calc!L63,3-(1+INT(LOG10(ABS(E36calc!L63))))),"")</f>
        <v/>
      </c>
      <c r="M63" s="332"/>
    </row>
    <row r="64" spans="1:13" ht="16.5" x14ac:dyDescent="0.2">
      <c r="A64" s="162" t="str">
        <f>IF('Diffusive Flux'!A65=0,"",'Diffusive Flux'!A65)</f>
        <v/>
      </c>
      <c r="B64" s="182" t="s">
        <v>132</v>
      </c>
      <c r="C64" s="275" t="str">
        <f ca="1">IF(ISNUMBER(E36calc!C64),ROUND(E36calc!C64,3-(1+INT(LOG10(ABS(E36calc!C64))))),"")</f>
        <v/>
      </c>
      <c r="D64" s="276" t="str">
        <f ca="1">IF(ISNUMBER(E36calc!D64),ROUND(E36calc!D64,3-(1+INT(LOG10(ABS(E36calc!D64))))),"")</f>
        <v/>
      </c>
      <c r="E64" s="277" t="str">
        <f ca="1">IF(ISNUMBER(E36calc!E64),ROUND(E36calc!E64,3-(1+INT(LOG10(ABS(E36calc!E64))))),"")</f>
        <v/>
      </c>
      <c r="F64" s="276" t="str">
        <f ca="1">IF(ISNUMBER(E36calc!F64),ROUND(E36calc!F64,3-(1+INT(LOG10(ABS(E36calc!F64))))),"")</f>
        <v/>
      </c>
      <c r="G64" s="276" t="str">
        <f ca="1">IF(ISNUMBER(E36calc!G64),ROUND(E36calc!G64,3-(1+INT(LOG10(ABS(E36calc!G64))))),"")</f>
        <v/>
      </c>
      <c r="H64" s="280" t="str">
        <f>IF(ISNUMBER(E36calc!H64),ROUND(E36calc!H64,3-(1+INT(LOG10(ABS(E36calc!H64))))),"")</f>
        <v/>
      </c>
      <c r="I64" s="280" t="str">
        <f ca="1">IF(ISNUMBER(E36calc!I64),ROUND(E36calc!I64,3-(1+INT(LOG10(ABS(E36calc!I64))))),"")</f>
        <v/>
      </c>
      <c r="J64" s="280" t="str">
        <f ca="1">IF(ISNUMBER(E36calc!J64),ROUND(E36calc!J64,3-(1+INT(LOG10(ABS(E36calc!J64))))),"")</f>
        <v/>
      </c>
      <c r="K64" s="280" t="str">
        <f ca="1">IF(ISNUMBER(E36calc!K64),ROUND(E36calc!K64,3-(1+INT(LOG10(ABS(E36calc!K64))))),"")</f>
        <v/>
      </c>
      <c r="L64" s="279" t="str">
        <f ca="1">IF(ISNUMBER(E36calc!L64),ROUND(E36calc!L64,3-(1+INT(LOG10(ABS(E36calc!L64))))),"")</f>
        <v/>
      </c>
      <c r="M64" s="332"/>
    </row>
    <row r="65" spans="1:13" ht="16.5" x14ac:dyDescent="0.2">
      <c r="A65" s="162" t="str">
        <f>IF('Diffusive Flux'!A66=0,"",'Diffusive Flux'!A66)</f>
        <v/>
      </c>
      <c r="B65" s="182" t="s">
        <v>132</v>
      </c>
      <c r="C65" s="275" t="str">
        <f ca="1">IF(ISNUMBER(E36calc!C65),ROUND(E36calc!C65,3-(1+INT(LOG10(ABS(E36calc!C65))))),"")</f>
        <v/>
      </c>
      <c r="D65" s="276" t="str">
        <f ca="1">IF(ISNUMBER(E36calc!D65),ROUND(E36calc!D65,3-(1+INT(LOG10(ABS(E36calc!D65))))),"")</f>
        <v/>
      </c>
      <c r="E65" s="277" t="str">
        <f ca="1">IF(ISNUMBER(E36calc!E65),ROUND(E36calc!E65,3-(1+INT(LOG10(ABS(E36calc!E65))))),"")</f>
        <v/>
      </c>
      <c r="F65" s="276" t="str">
        <f ca="1">IF(ISNUMBER(E36calc!F65),ROUND(E36calc!F65,3-(1+INT(LOG10(ABS(E36calc!F65))))),"")</f>
        <v/>
      </c>
      <c r="G65" s="276" t="str">
        <f ca="1">IF(ISNUMBER(E36calc!G65),ROUND(E36calc!G65,3-(1+INT(LOG10(ABS(E36calc!G65))))),"")</f>
        <v/>
      </c>
      <c r="H65" s="280" t="str">
        <f>IF(ISNUMBER(E36calc!H65),ROUND(E36calc!H65,3-(1+INT(LOG10(ABS(E36calc!H65))))),"")</f>
        <v/>
      </c>
      <c r="I65" s="280" t="str">
        <f ca="1">IF(ISNUMBER(E36calc!I65),ROUND(E36calc!I65,3-(1+INT(LOG10(ABS(E36calc!I65))))),"")</f>
        <v/>
      </c>
      <c r="J65" s="280" t="str">
        <f ca="1">IF(ISNUMBER(E36calc!J65),ROUND(E36calc!J65,3-(1+INT(LOG10(ABS(E36calc!J65))))),"")</f>
        <v/>
      </c>
      <c r="K65" s="280" t="str">
        <f ca="1">IF(ISNUMBER(E36calc!K65),ROUND(E36calc!K65,3-(1+INT(LOG10(ABS(E36calc!K65))))),"")</f>
        <v/>
      </c>
      <c r="L65" s="279" t="str">
        <f ca="1">IF(ISNUMBER(E36calc!L65),ROUND(E36calc!L65,3-(1+INT(LOG10(ABS(E36calc!L65))))),"")</f>
        <v/>
      </c>
      <c r="M65" s="332"/>
    </row>
    <row r="66" spans="1:13" ht="16.5" x14ac:dyDescent="0.2">
      <c r="A66" s="162" t="str">
        <f>IF('Diffusive Flux'!A67=0,"",'Diffusive Flux'!A67)</f>
        <v/>
      </c>
      <c r="B66" s="182" t="s">
        <v>132</v>
      </c>
      <c r="C66" s="275" t="str">
        <f ca="1">IF(ISNUMBER(E36calc!C66),ROUND(E36calc!C66,3-(1+INT(LOG10(ABS(E36calc!C66))))),"")</f>
        <v/>
      </c>
      <c r="D66" s="276" t="str">
        <f ca="1">IF(ISNUMBER(E36calc!D66),ROUND(E36calc!D66,3-(1+INT(LOG10(ABS(E36calc!D66))))),"")</f>
        <v/>
      </c>
      <c r="E66" s="277" t="str">
        <f ca="1">IF(ISNUMBER(E36calc!E66),ROUND(E36calc!E66,3-(1+INT(LOG10(ABS(E36calc!E66))))),"")</f>
        <v/>
      </c>
      <c r="F66" s="276" t="str">
        <f ca="1">IF(ISNUMBER(E36calc!F66),ROUND(E36calc!F66,3-(1+INT(LOG10(ABS(E36calc!F66))))),"")</f>
        <v/>
      </c>
      <c r="G66" s="276" t="str">
        <f ca="1">IF(ISNUMBER(E36calc!G66),ROUND(E36calc!G66,3-(1+INT(LOG10(ABS(E36calc!G66))))),"")</f>
        <v/>
      </c>
      <c r="H66" s="280" t="str">
        <f>IF(ISNUMBER(E36calc!H66),ROUND(E36calc!H66,3-(1+INT(LOG10(ABS(E36calc!H66))))),"")</f>
        <v/>
      </c>
      <c r="I66" s="280" t="str">
        <f ca="1">IF(ISNUMBER(E36calc!I66),ROUND(E36calc!I66,3-(1+INT(LOG10(ABS(E36calc!I66))))),"")</f>
        <v/>
      </c>
      <c r="J66" s="280" t="str">
        <f ca="1">IF(ISNUMBER(E36calc!J66),ROUND(E36calc!J66,3-(1+INT(LOG10(ABS(E36calc!J66))))),"")</f>
        <v/>
      </c>
      <c r="K66" s="280"/>
      <c r="L66" s="279" t="str">
        <f ca="1">IF(ISNUMBER(E36calc!L66),ROUND(E36calc!L66,3-(1+INT(LOG10(ABS(E36calc!L66))))),"")</f>
        <v/>
      </c>
      <c r="M66" s="332"/>
    </row>
    <row r="67" spans="1:13" ht="16.5" x14ac:dyDescent="0.2">
      <c r="A67" s="162" t="str">
        <f>IF('Diffusive Flux'!A68=0,"",'Diffusive Flux'!A68)</f>
        <v/>
      </c>
      <c r="B67" s="182" t="s">
        <v>132</v>
      </c>
      <c r="C67" s="275" t="str">
        <f ca="1">IF(ISNUMBER(E36calc!C67),ROUND(E36calc!C67,3-(1+INT(LOG10(ABS(E36calc!C67))))),"")</f>
        <v/>
      </c>
      <c r="D67" s="276" t="str">
        <f ca="1">IF(ISNUMBER(E36calc!D67),ROUND(E36calc!D67,3-(1+INT(LOG10(ABS(E36calc!D67))))),"")</f>
        <v/>
      </c>
      <c r="E67" s="277" t="str">
        <f ca="1">IF(ISNUMBER(E36calc!E67),ROUND(E36calc!E67,3-(1+INT(LOG10(ABS(E36calc!E67))))),"")</f>
        <v/>
      </c>
      <c r="F67" s="276" t="str">
        <f ca="1">IF(ISNUMBER(E36calc!F67),ROUND(E36calc!F67,3-(1+INT(LOG10(ABS(E36calc!F67))))),"")</f>
        <v/>
      </c>
      <c r="G67" s="276" t="str">
        <f ca="1">IF(ISNUMBER(E36calc!G67),ROUND(E36calc!G67,3-(1+INT(LOG10(ABS(E36calc!G67))))),"")</f>
        <v/>
      </c>
      <c r="H67" s="280" t="str">
        <f>IF(ISNUMBER(E36calc!H67),ROUND(E36calc!H67,3-(1+INT(LOG10(ABS(E36calc!H67))))),"")</f>
        <v/>
      </c>
      <c r="I67" s="280" t="str">
        <f ca="1">IF(ISNUMBER(E36calc!I67),ROUND(E36calc!I67,3-(1+INT(LOG10(ABS(E36calc!I67))))),"")</f>
        <v/>
      </c>
      <c r="J67" s="280" t="str">
        <f ca="1">IF(ISNUMBER(E36calc!J67),ROUND(E36calc!J67,3-(1+INT(LOG10(ABS(E36calc!J67))))),"")</f>
        <v/>
      </c>
      <c r="K67" s="280" t="str">
        <f ca="1">IF(ISNUMBER(E36calc!K67),ROUND(E36calc!K67,3-(1+INT(LOG10(ABS(E36calc!K67))))),"")</f>
        <v/>
      </c>
      <c r="L67" s="279" t="str">
        <f ca="1">IF(ISNUMBER(E36calc!L67),ROUND(E36calc!L67,3-(1+INT(LOG10(ABS(E36calc!L67))))),"")</f>
        <v/>
      </c>
      <c r="M67" s="332"/>
    </row>
    <row r="68" spans="1:13" ht="16.5" x14ac:dyDescent="0.2">
      <c r="A68" s="162" t="str">
        <f>IF('Diffusive Flux'!A69=0,"",'Diffusive Flux'!A69)</f>
        <v/>
      </c>
      <c r="B68" s="182" t="s">
        <v>132</v>
      </c>
      <c r="C68" s="275" t="str">
        <f ca="1">IF(ISNUMBER(E36calc!C68),ROUND(E36calc!C68,3-(1+INT(LOG10(ABS(E36calc!C68))))),"")</f>
        <v/>
      </c>
      <c r="D68" s="276" t="str">
        <f ca="1">IF(ISNUMBER(E36calc!D68),ROUND(E36calc!D68,3-(1+INT(LOG10(ABS(E36calc!D68))))),"")</f>
        <v/>
      </c>
      <c r="E68" s="277" t="str">
        <f ca="1">IF(ISNUMBER(E36calc!E68),ROUND(E36calc!E68,3-(1+INT(LOG10(ABS(E36calc!E68))))),"")</f>
        <v/>
      </c>
      <c r="F68" s="276" t="str">
        <f ca="1">IF(ISNUMBER(E36calc!F68),ROUND(E36calc!F68,3-(1+INT(LOG10(ABS(E36calc!F68))))),"")</f>
        <v/>
      </c>
      <c r="G68" s="276" t="str">
        <f ca="1">IF(ISNUMBER(E36calc!G68),ROUND(E36calc!G68,3-(1+INT(LOG10(ABS(E36calc!G68))))),"")</f>
        <v/>
      </c>
      <c r="H68" s="280" t="str">
        <f>IF(ISNUMBER(E36calc!H68),ROUND(E36calc!H68,3-(1+INT(LOG10(ABS(E36calc!H68))))),"")</f>
        <v/>
      </c>
      <c r="I68" s="280" t="str">
        <f ca="1">IF(ISNUMBER(E36calc!I68),ROUND(E36calc!I68,3-(1+INT(LOG10(ABS(E36calc!I68))))),"")</f>
        <v/>
      </c>
      <c r="J68" s="280" t="str">
        <f ca="1">IF(ISNUMBER(E36calc!J68),ROUND(E36calc!J68,3-(1+INT(LOG10(ABS(E36calc!J68))))),"")</f>
        <v/>
      </c>
      <c r="K68" s="280" t="str">
        <f ca="1">IF(ISNUMBER(E36calc!K68),ROUND(E36calc!K68,3-(1+INT(LOG10(ABS(E36calc!K68))))),"")</f>
        <v/>
      </c>
      <c r="L68" s="279" t="str">
        <f ca="1">IF(ISNUMBER(E36calc!L68),ROUND(E36calc!L68,3-(1+INT(LOG10(ABS(E36calc!L68))))),"")</f>
        <v/>
      </c>
      <c r="M68" s="332"/>
    </row>
    <row r="69" spans="1:13" ht="16.5" x14ac:dyDescent="0.2">
      <c r="A69" s="162" t="str">
        <f>IF('Diffusive Flux'!A70=0,"",'Diffusive Flux'!A70)</f>
        <v/>
      </c>
      <c r="B69" s="182" t="s">
        <v>132</v>
      </c>
      <c r="C69" s="275" t="str">
        <f ca="1">IF(ISNUMBER(E36calc!C69),ROUND(E36calc!C69,3-(1+INT(LOG10(ABS(E36calc!C69))))),"")</f>
        <v/>
      </c>
      <c r="D69" s="276" t="str">
        <f ca="1">IF(ISNUMBER(E36calc!D69),ROUND(E36calc!D69,3-(1+INT(LOG10(ABS(E36calc!D69))))),"")</f>
        <v/>
      </c>
      <c r="E69" s="277" t="str">
        <f ca="1">IF(ISNUMBER(E36calc!E69),ROUND(E36calc!E69,3-(1+INT(LOG10(ABS(E36calc!E69))))),"")</f>
        <v/>
      </c>
      <c r="F69" s="276" t="str">
        <f ca="1">IF(ISNUMBER(E36calc!F69),ROUND(E36calc!F69,3-(1+INT(LOG10(ABS(E36calc!F69))))),"")</f>
        <v/>
      </c>
      <c r="G69" s="276" t="str">
        <f ca="1">IF(ISNUMBER(E36calc!G69),ROUND(E36calc!G69,3-(1+INT(LOG10(ABS(E36calc!G69))))),"")</f>
        <v/>
      </c>
      <c r="H69" s="280" t="str">
        <f>IF(ISNUMBER(E36calc!H69),ROUND(E36calc!H69,3-(1+INT(LOG10(ABS(E36calc!H69))))),"")</f>
        <v/>
      </c>
      <c r="I69" s="280" t="str">
        <f ca="1">IF(ISNUMBER(E36calc!I69),ROUND(E36calc!I69,3-(1+INT(LOG10(ABS(E36calc!I69))))),"")</f>
        <v/>
      </c>
      <c r="J69" s="280" t="str">
        <f ca="1">IF(ISNUMBER(E36calc!J69),ROUND(E36calc!J69,3-(1+INT(LOG10(ABS(E36calc!J69))))),"")</f>
        <v/>
      </c>
      <c r="K69" s="280" t="str">
        <f ca="1">IF(ISNUMBER(E36calc!K69),ROUND(E36calc!K69,3-(1+INT(LOG10(ABS(E36calc!K69))))),"")</f>
        <v/>
      </c>
      <c r="L69" s="279" t="str">
        <f ca="1">IF(ISNUMBER(E36calc!L69),ROUND(E36calc!L69,3-(1+INT(LOG10(ABS(E36calc!L69))))),"")</f>
        <v/>
      </c>
      <c r="M69" s="332"/>
    </row>
    <row r="70" spans="1:13" ht="16.5" x14ac:dyDescent="0.2">
      <c r="A70" s="162" t="str">
        <f>IF('Diffusive Flux'!A71=0,"",'Diffusive Flux'!A71)</f>
        <v/>
      </c>
      <c r="B70" s="182" t="s">
        <v>132</v>
      </c>
      <c r="C70" s="275" t="str">
        <f ca="1">IF(ISNUMBER(E36calc!C70),ROUND(E36calc!C70,3-(1+INT(LOG10(ABS(E36calc!C70))))),"")</f>
        <v/>
      </c>
      <c r="D70" s="276" t="str">
        <f ca="1">IF(ISNUMBER(E36calc!D70),ROUND(E36calc!D70,3-(1+INT(LOG10(ABS(E36calc!D70))))),"")</f>
        <v/>
      </c>
      <c r="E70" s="277" t="str">
        <f ca="1">IF(ISNUMBER(E36calc!E70),ROUND(E36calc!E70,3-(1+INT(LOG10(ABS(E36calc!E70))))),"")</f>
        <v/>
      </c>
      <c r="F70" s="276" t="str">
        <f ca="1">IF(ISNUMBER(E36calc!F70),ROUND(E36calc!F70,3-(1+INT(LOG10(ABS(E36calc!F70))))),"")</f>
        <v/>
      </c>
      <c r="G70" s="276" t="str">
        <f ca="1">IF(ISNUMBER(E36calc!G70),ROUND(E36calc!G70,3-(1+INT(LOG10(ABS(E36calc!G70))))),"")</f>
        <v/>
      </c>
      <c r="H70" s="280" t="str">
        <f>IF(ISNUMBER(E36calc!H70),ROUND(E36calc!H70,3-(1+INT(LOG10(ABS(E36calc!H70))))),"")</f>
        <v/>
      </c>
      <c r="I70" s="280" t="str">
        <f ca="1">IF(ISNUMBER(E36calc!I70),ROUND(E36calc!I70,3-(1+INT(LOG10(ABS(E36calc!I70))))),"")</f>
        <v/>
      </c>
      <c r="J70" s="280" t="str">
        <f ca="1">IF(ISNUMBER(E36calc!J70),ROUND(E36calc!J70,3-(1+INT(LOG10(ABS(E36calc!J70))))),"")</f>
        <v/>
      </c>
      <c r="K70" s="280" t="str">
        <f ca="1">IF(ISNUMBER(E36calc!K70),ROUND(E36calc!K70,3-(1+INT(LOG10(ABS(E36calc!K70))))),"")</f>
        <v/>
      </c>
      <c r="L70" s="279" t="str">
        <f ca="1">IF(ISNUMBER(E36calc!L70),ROUND(E36calc!L70,3-(1+INT(LOG10(ABS(E36calc!L70))))),"")</f>
        <v/>
      </c>
      <c r="M70" s="332"/>
    </row>
    <row r="71" spans="1:13" ht="16.5" x14ac:dyDescent="0.2">
      <c r="A71" s="162" t="str">
        <f>IF('Diffusive Flux'!A72=0,"",'Diffusive Flux'!A72)</f>
        <v/>
      </c>
      <c r="B71" s="182" t="s">
        <v>132</v>
      </c>
      <c r="C71" s="275" t="str">
        <f ca="1">IF(ISNUMBER(E36calc!C71),ROUND(E36calc!C71,3-(1+INT(LOG10(ABS(E36calc!C71))))),"")</f>
        <v/>
      </c>
      <c r="D71" s="276" t="str">
        <f ca="1">IF(ISNUMBER(E36calc!D71),ROUND(E36calc!D71,3-(1+INT(LOG10(ABS(E36calc!D71))))),"")</f>
        <v/>
      </c>
      <c r="E71" s="277" t="str">
        <f ca="1">IF(ISNUMBER(E36calc!E71),ROUND(E36calc!E71,3-(1+INT(LOG10(ABS(E36calc!E71))))),"")</f>
        <v/>
      </c>
      <c r="F71" s="276" t="str">
        <f ca="1">IF(ISNUMBER(E36calc!F71),ROUND(E36calc!F71,3-(1+INT(LOG10(ABS(E36calc!F71))))),"")</f>
        <v/>
      </c>
      <c r="G71" s="276" t="str">
        <f ca="1">IF(ISNUMBER(E36calc!G71),ROUND(E36calc!G71,3-(1+INT(LOG10(ABS(E36calc!G71))))),"")</f>
        <v/>
      </c>
      <c r="H71" s="280" t="str">
        <f>IF(ISNUMBER(E36calc!H71),ROUND(E36calc!H71,3-(1+INT(LOG10(ABS(E36calc!H71))))),"")</f>
        <v/>
      </c>
      <c r="I71" s="280" t="str">
        <f ca="1">IF(ISNUMBER(E36calc!I71),ROUND(E36calc!I71,3-(1+INT(LOG10(ABS(E36calc!I71))))),"")</f>
        <v/>
      </c>
      <c r="J71" s="280" t="str">
        <f ca="1">IF(ISNUMBER(E36calc!J71),ROUND(E36calc!J71,3-(1+INT(LOG10(ABS(E36calc!J71))))),"")</f>
        <v/>
      </c>
      <c r="K71" s="280" t="str">
        <f ca="1">IF(ISNUMBER(E36calc!K71),ROUND(E36calc!K71,3-(1+INT(LOG10(ABS(E36calc!K71))))),"")</f>
        <v/>
      </c>
      <c r="L71" s="279" t="str">
        <f ca="1">IF(ISNUMBER(E36calc!L71),ROUND(E36calc!L71,3-(1+INT(LOG10(ABS(E36calc!L71))))),"")</f>
        <v/>
      </c>
      <c r="M71" s="332"/>
    </row>
    <row r="72" spans="1:13" ht="16.5" x14ac:dyDescent="0.2">
      <c r="A72" s="162" t="str">
        <f>IF('Diffusive Flux'!A73=0,"",'Diffusive Flux'!A73)</f>
        <v/>
      </c>
      <c r="B72" s="182" t="s">
        <v>132</v>
      </c>
      <c r="C72" s="275" t="str">
        <f ca="1">IF(ISNUMBER(E36calc!C72),ROUND(E36calc!C72,3-(1+INT(LOG10(ABS(E36calc!C72))))),"")</f>
        <v/>
      </c>
      <c r="D72" s="276" t="str">
        <f ca="1">IF(ISNUMBER(E36calc!D72),ROUND(E36calc!D72,3-(1+INT(LOG10(ABS(E36calc!D72))))),"")</f>
        <v/>
      </c>
      <c r="E72" s="277" t="str">
        <f ca="1">IF(ISNUMBER(E36calc!E72),ROUND(E36calc!E72,3-(1+INT(LOG10(ABS(E36calc!E72))))),"")</f>
        <v/>
      </c>
      <c r="F72" s="276" t="str">
        <f ca="1">IF(ISNUMBER(E36calc!F72),ROUND(E36calc!F72,3-(1+INT(LOG10(ABS(E36calc!F72))))),"")</f>
        <v/>
      </c>
      <c r="G72" s="276" t="str">
        <f ca="1">IF(ISNUMBER(E36calc!G72),ROUND(E36calc!G72,3-(1+INT(LOG10(ABS(E36calc!G72))))),"")</f>
        <v/>
      </c>
      <c r="H72" s="280" t="str">
        <f>IF(ISNUMBER(E36calc!H72),ROUND(E36calc!H72,3-(1+INT(LOG10(ABS(E36calc!H72))))),"")</f>
        <v/>
      </c>
      <c r="I72" s="280" t="str">
        <f ca="1">IF(ISNUMBER(E36calc!I72),ROUND(E36calc!I72,3-(1+INT(LOG10(ABS(E36calc!I72))))),"")</f>
        <v/>
      </c>
      <c r="J72" s="280" t="str">
        <f ca="1">IF(ISNUMBER(E36calc!J72),ROUND(E36calc!J72,3-(1+INT(LOG10(ABS(E36calc!J72))))),"")</f>
        <v/>
      </c>
      <c r="K72" s="280" t="str">
        <f ca="1">IF(ISNUMBER(E36calc!K72),ROUND(E36calc!K72,3-(1+INT(LOG10(ABS(E36calc!K72))))),"")</f>
        <v/>
      </c>
      <c r="L72" s="279" t="str">
        <f ca="1">IF(ISNUMBER(E36calc!L72),ROUND(E36calc!L72,3-(1+INT(LOG10(ABS(E36calc!L72))))),"")</f>
        <v/>
      </c>
      <c r="M72" s="332"/>
    </row>
    <row r="73" spans="1:13" ht="16.5" x14ac:dyDescent="0.2">
      <c r="A73" s="162" t="str">
        <f>IF('Diffusive Flux'!A74=0,"",'Diffusive Flux'!A74)</f>
        <v/>
      </c>
      <c r="B73" s="182" t="s">
        <v>132</v>
      </c>
      <c r="C73" s="275" t="str">
        <f ca="1">IF(ISNUMBER(E36calc!C73),ROUND(E36calc!C73,3-(1+INT(LOG10(ABS(E36calc!C73))))),"")</f>
        <v/>
      </c>
      <c r="D73" s="276" t="str">
        <f ca="1">IF(ISNUMBER(E36calc!D73),ROUND(E36calc!D73,3-(1+INT(LOG10(ABS(E36calc!D73))))),"")</f>
        <v/>
      </c>
      <c r="E73" s="277" t="str">
        <f ca="1">IF(ISNUMBER(E36calc!E73),ROUND(E36calc!E73,3-(1+INT(LOG10(ABS(E36calc!E73))))),"")</f>
        <v/>
      </c>
      <c r="F73" s="276" t="str">
        <f ca="1">IF(ISNUMBER(E36calc!F73),ROUND(E36calc!F73,3-(1+INT(LOG10(ABS(E36calc!F73))))),"")</f>
        <v/>
      </c>
      <c r="G73" s="276" t="str">
        <f ca="1">IF(ISNUMBER(E36calc!G73),ROUND(E36calc!G73,3-(1+INT(LOG10(ABS(E36calc!G73))))),"")</f>
        <v/>
      </c>
      <c r="H73" s="280" t="str">
        <f>IF(ISNUMBER(E36calc!H73),ROUND(E36calc!H73,3-(1+INT(LOG10(ABS(E36calc!H73))))),"")</f>
        <v/>
      </c>
      <c r="I73" s="280" t="str">
        <f ca="1">IF(ISNUMBER(E36calc!I73),ROUND(E36calc!I73,3-(1+INT(LOG10(ABS(E36calc!I73))))),"")</f>
        <v/>
      </c>
      <c r="J73" s="280" t="str">
        <f ca="1">IF(ISNUMBER(E36calc!J73),ROUND(E36calc!J73,3-(1+INT(LOG10(ABS(E36calc!J73))))),"")</f>
        <v/>
      </c>
      <c r="K73" s="280" t="str">
        <f ca="1">IF(ISNUMBER(E36calc!K73),ROUND(E36calc!K73,3-(1+INT(LOG10(ABS(E36calc!K73))))),"")</f>
        <v/>
      </c>
      <c r="L73" s="279" t="str">
        <f ca="1">IF(ISNUMBER(E36calc!L73),ROUND(E36calc!L73,3-(1+INT(LOG10(ABS(E36calc!L73))))),"")</f>
        <v/>
      </c>
      <c r="M73" s="332"/>
    </row>
    <row r="74" spans="1:13" ht="16.5" x14ac:dyDescent="0.2">
      <c r="A74" s="162" t="str">
        <f>IF('Diffusive Flux'!A75=0,"",'Diffusive Flux'!A75)</f>
        <v/>
      </c>
      <c r="B74" s="182" t="s">
        <v>132</v>
      </c>
      <c r="C74" s="275" t="str">
        <f ca="1">IF(ISNUMBER(E36calc!C74),ROUND(E36calc!C74,3-(1+INT(LOG10(ABS(E36calc!C74))))),"")</f>
        <v/>
      </c>
      <c r="D74" s="276" t="str">
        <f ca="1">IF(ISNUMBER(E36calc!D74),ROUND(E36calc!D74,3-(1+INT(LOG10(ABS(E36calc!D74))))),"")</f>
        <v/>
      </c>
      <c r="E74" s="277" t="str">
        <f ca="1">IF(ISNUMBER(E36calc!E74),ROUND(E36calc!E74,3-(1+INT(LOG10(ABS(E36calc!E74))))),"")</f>
        <v/>
      </c>
      <c r="F74" s="276" t="str">
        <f ca="1">IF(ISNUMBER(E36calc!F74),ROUND(E36calc!F74,3-(1+INT(LOG10(ABS(E36calc!F74))))),"")</f>
        <v/>
      </c>
      <c r="G74" s="276" t="str">
        <f ca="1">IF(ISNUMBER(E36calc!G74),ROUND(E36calc!G74,3-(1+INT(LOG10(ABS(E36calc!G74))))),"")</f>
        <v/>
      </c>
      <c r="H74" s="280" t="str">
        <f>IF(ISNUMBER(E36calc!H74),ROUND(E36calc!H74,3-(1+INT(LOG10(ABS(E36calc!H74))))),"")</f>
        <v/>
      </c>
      <c r="I74" s="280" t="str">
        <f ca="1">IF(ISNUMBER(E36calc!I74),ROUND(E36calc!I74,3-(1+INT(LOG10(ABS(E36calc!I74))))),"")</f>
        <v/>
      </c>
      <c r="J74" s="280" t="str">
        <f ca="1">IF(ISNUMBER(E36calc!J74),ROUND(E36calc!J74,3-(1+INT(LOG10(ABS(E36calc!J74))))),"")</f>
        <v/>
      </c>
      <c r="K74" s="280" t="str">
        <f ca="1">IF(ISNUMBER(E36calc!K74),ROUND(E36calc!K74,3-(1+INT(LOG10(ABS(E36calc!K74))))),"")</f>
        <v/>
      </c>
      <c r="L74" s="279" t="str">
        <f ca="1">IF(ISNUMBER(E36calc!L74),ROUND(E36calc!L74,3-(1+INT(LOG10(ABS(E36calc!L74))))),"")</f>
        <v/>
      </c>
      <c r="M74" s="332"/>
    </row>
    <row r="75" spans="1:13" ht="16.5" x14ac:dyDescent="0.2">
      <c r="A75" s="162" t="str">
        <f>IF('Diffusive Flux'!A76=0,"",'Diffusive Flux'!A76)</f>
        <v/>
      </c>
      <c r="B75" s="182" t="s">
        <v>132</v>
      </c>
      <c r="C75" s="275" t="str">
        <f ca="1">IF(ISNUMBER(E36calc!C75),ROUND(E36calc!C75,3-(1+INT(LOG10(ABS(E36calc!C75))))),"")</f>
        <v/>
      </c>
      <c r="D75" s="276" t="str">
        <f ca="1">IF(ISNUMBER(E36calc!D75),ROUND(E36calc!D75,3-(1+INT(LOG10(ABS(E36calc!D75))))),"")</f>
        <v/>
      </c>
      <c r="E75" s="277" t="str">
        <f ca="1">IF(ISNUMBER(E36calc!E75),ROUND(E36calc!E75,3-(1+INT(LOG10(ABS(E36calc!E75))))),"")</f>
        <v/>
      </c>
      <c r="F75" s="276" t="str">
        <f ca="1">IF(ISNUMBER(E36calc!F75),ROUND(E36calc!F75,3-(1+INT(LOG10(ABS(E36calc!F75))))),"")</f>
        <v/>
      </c>
      <c r="G75" s="276" t="str">
        <f ca="1">IF(ISNUMBER(E36calc!G75),ROUND(E36calc!G75,3-(1+INT(LOG10(ABS(E36calc!G75))))),"")</f>
        <v/>
      </c>
      <c r="H75" s="280" t="str">
        <f>IF(ISNUMBER(E36calc!H75),ROUND(E36calc!H75,3-(1+INT(LOG10(ABS(E36calc!H75))))),"")</f>
        <v/>
      </c>
      <c r="I75" s="280" t="str">
        <f ca="1">IF(ISNUMBER(E36calc!I75),ROUND(E36calc!I75,3-(1+INT(LOG10(ABS(E36calc!I75))))),"")</f>
        <v/>
      </c>
      <c r="J75" s="280" t="str">
        <f ca="1">IF(ISNUMBER(E36calc!J75),ROUND(E36calc!J75,3-(1+INT(LOG10(ABS(E36calc!J75))))),"")</f>
        <v/>
      </c>
      <c r="K75" s="280" t="str">
        <f ca="1">IF(ISNUMBER(E36calc!K75),ROUND(E36calc!K75,3-(1+INT(LOG10(ABS(E36calc!K75))))),"")</f>
        <v/>
      </c>
      <c r="L75" s="279" t="str">
        <f ca="1">IF(ISNUMBER(E36calc!L75),ROUND(E36calc!L75,3-(1+INT(LOG10(ABS(E36calc!L75))))),"")</f>
        <v/>
      </c>
      <c r="M75" s="332"/>
    </row>
    <row r="76" spans="1:13" ht="16.5" x14ac:dyDescent="0.2">
      <c r="A76" s="162" t="str">
        <f>IF('Diffusive Flux'!A77=0,"",'Diffusive Flux'!A77)</f>
        <v/>
      </c>
      <c r="B76" s="182" t="s">
        <v>132</v>
      </c>
      <c r="C76" s="275" t="str">
        <f ca="1">IF(ISNUMBER(E36calc!C76),ROUND(E36calc!C76,3-(1+INT(LOG10(ABS(E36calc!C76))))),"")</f>
        <v/>
      </c>
      <c r="D76" s="276" t="str">
        <f ca="1">IF(ISNUMBER(E36calc!D76),ROUND(E36calc!D76,3-(1+INT(LOG10(ABS(E36calc!D76))))),"")</f>
        <v/>
      </c>
      <c r="E76" s="277" t="str">
        <f ca="1">IF(ISNUMBER(E36calc!E76),ROUND(E36calc!E76,3-(1+INT(LOG10(ABS(E36calc!E76))))),"")</f>
        <v/>
      </c>
      <c r="F76" s="276" t="str">
        <f ca="1">IF(ISNUMBER(E36calc!F76),ROUND(E36calc!F76,3-(1+INT(LOG10(ABS(E36calc!F76))))),"")</f>
        <v/>
      </c>
      <c r="G76" s="276" t="str">
        <f ca="1">IF(ISNUMBER(E36calc!G76),ROUND(E36calc!G76,3-(1+INT(LOG10(ABS(E36calc!G76))))),"")</f>
        <v/>
      </c>
      <c r="H76" s="280" t="str">
        <f>IF(ISNUMBER(E36calc!H76),ROUND(E36calc!H76,3-(1+INT(LOG10(ABS(E36calc!H76))))),"")</f>
        <v/>
      </c>
      <c r="I76" s="280" t="str">
        <f ca="1">IF(ISNUMBER(E36calc!I76),ROUND(E36calc!I76,3-(1+INT(LOG10(ABS(E36calc!I76))))),"")</f>
        <v/>
      </c>
      <c r="J76" s="280" t="str">
        <f ca="1">IF(ISNUMBER(E36calc!J76),ROUND(E36calc!J76,3-(1+INT(LOG10(ABS(E36calc!J76))))),"")</f>
        <v/>
      </c>
      <c r="K76" s="280" t="str">
        <f ca="1">IF(ISNUMBER(E36calc!K76),ROUND(E36calc!K76,3-(1+INT(LOG10(ABS(E36calc!K76))))),"")</f>
        <v/>
      </c>
      <c r="L76" s="279" t="str">
        <f ca="1">IF(ISNUMBER(E36calc!L76),ROUND(E36calc!L76,3-(1+INT(LOG10(ABS(E36calc!L76))))),"")</f>
        <v/>
      </c>
      <c r="M76" s="332"/>
    </row>
    <row r="77" spans="1:13" ht="16.5" x14ac:dyDescent="0.2">
      <c r="A77" s="162" t="str">
        <f>IF('Diffusive Flux'!A78=0,"",'Diffusive Flux'!A78)</f>
        <v/>
      </c>
      <c r="B77" s="182" t="s">
        <v>132</v>
      </c>
      <c r="C77" s="275" t="str">
        <f ca="1">IF(ISNUMBER(E36calc!C77),ROUND(E36calc!C77,3-(1+INT(LOG10(ABS(E36calc!C77))))),"")</f>
        <v/>
      </c>
      <c r="D77" s="276" t="str">
        <f ca="1">IF(ISNUMBER(E36calc!D77),ROUND(E36calc!D77,3-(1+INT(LOG10(ABS(E36calc!D77))))),"")</f>
        <v/>
      </c>
      <c r="E77" s="277" t="str">
        <f ca="1">IF(ISNUMBER(E36calc!E77),ROUND(E36calc!E77,3-(1+INT(LOG10(ABS(E36calc!E77))))),"")</f>
        <v/>
      </c>
      <c r="F77" s="276" t="str">
        <f ca="1">IF(ISNUMBER(E36calc!F77),ROUND(E36calc!F77,3-(1+INT(LOG10(ABS(E36calc!F77))))),"")</f>
        <v/>
      </c>
      <c r="G77" s="276" t="str">
        <f ca="1">IF(ISNUMBER(E36calc!G77),ROUND(E36calc!G77,3-(1+INT(LOG10(ABS(E36calc!G77))))),"")</f>
        <v/>
      </c>
      <c r="H77" s="280" t="str">
        <f>IF(ISNUMBER(E36calc!H77),ROUND(E36calc!H77,3-(1+INT(LOG10(ABS(E36calc!H77))))),"")</f>
        <v/>
      </c>
      <c r="I77" s="280" t="str">
        <f ca="1">IF(ISNUMBER(E36calc!I77),ROUND(E36calc!I77,3-(1+INT(LOG10(ABS(E36calc!I77))))),"")</f>
        <v/>
      </c>
      <c r="J77" s="280" t="str">
        <f ca="1">IF(ISNUMBER(E36calc!J77),ROUND(E36calc!J77,3-(1+INT(LOG10(ABS(E36calc!J77))))),"")</f>
        <v/>
      </c>
      <c r="K77" s="280" t="str">
        <f ca="1">IF(ISNUMBER(E36calc!K77),ROUND(E36calc!K77,3-(1+INT(LOG10(ABS(E36calc!K77))))),"")</f>
        <v/>
      </c>
      <c r="L77" s="280" t="str">
        <f ca="1">IF(ISNUMBER(E36calc!L77),ROUND(E36calc!L77,3-(1+INT(LOG10(ABS(E36calc!L77))))),"")</f>
        <v/>
      </c>
      <c r="M77" s="332"/>
    </row>
    <row r="78" spans="1:13" ht="16.5" x14ac:dyDescent="0.2">
      <c r="A78" s="162" t="str">
        <f>IF('Diffusive Flux'!A79=0,"",'Diffusive Flux'!A79)</f>
        <v/>
      </c>
      <c r="B78" s="182" t="s">
        <v>132</v>
      </c>
      <c r="C78" s="275" t="str">
        <f>IF(ISNUMBER(E36calc!C78),ROUND(E36calc!C78,3-(1+INT(LOG10(ABS(E36calc!C78))))),"")</f>
        <v/>
      </c>
      <c r="D78" s="276" t="str">
        <f>IF(ISNUMBER(E36calc!D78),ROUND(E36calc!D78,3-(1+INT(LOG10(ABS(E36calc!D78))))),"")</f>
        <v/>
      </c>
      <c r="E78" s="277" t="str">
        <f>IF(ISNUMBER(E36calc!E78),ROUND(E36calc!E78,3-(1+INT(LOG10(ABS(E36calc!E78))))),"")</f>
        <v/>
      </c>
      <c r="F78" s="276" t="str">
        <f>IF(ISNUMBER(E36calc!F78),ROUND(E36calc!F78,3-(1+INT(LOG10(ABS(E36calc!F78))))),"")</f>
        <v/>
      </c>
      <c r="G78" s="276" t="str">
        <f>IF(ISNUMBER(E36calc!G78),ROUND(E36calc!G78,3-(1+INT(LOG10(ABS(E36calc!G78))))),"")</f>
        <v/>
      </c>
      <c r="H78" s="280" t="str">
        <f>IF(ISNUMBER(E36calc!H78),ROUND(E36calc!H78,3-(1+INT(LOG10(ABS(E36calc!H78))))),"")</f>
        <v/>
      </c>
      <c r="I78" s="280" t="str">
        <f>IF(ISNUMBER(E36calc!I78),ROUND(E36calc!I78,3-(1+INT(LOG10(ABS(E36calc!I78))))),"")</f>
        <v/>
      </c>
      <c r="J78" s="280" t="str">
        <f>IF(ISNUMBER(E36calc!J78),ROUND(E36calc!J78,3-(1+INT(LOG10(ABS(E36calc!J78))))),"")</f>
        <v/>
      </c>
      <c r="K78" s="280" t="str">
        <f>IF(ISNUMBER(E36calc!K78),ROUND(E36calc!K78,3-(1+INT(LOG10(ABS(E36calc!K78))))),"")</f>
        <v/>
      </c>
      <c r="L78" s="280" t="str">
        <f>IF(ISNUMBER(E36calc!L78),ROUND(E36calc!L78,3-(1+INT(LOG10(ABS(E36calc!L78))))),"")</f>
        <v/>
      </c>
      <c r="M78" s="332"/>
    </row>
    <row r="79" spans="1:13" ht="16.5" x14ac:dyDescent="0.2">
      <c r="A79" s="162" t="str">
        <f>IF('Diffusive Flux'!A80=0,"",'Diffusive Flux'!A80)</f>
        <v/>
      </c>
      <c r="B79" s="182" t="s">
        <v>132</v>
      </c>
      <c r="C79" s="275" t="str">
        <f>IF(ISNUMBER(E36calc!C79),ROUND(E36calc!C79,3-(1+INT(LOG10(ABS(E36calc!C79))))),"")</f>
        <v/>
      </c>
      <c r="D79" s="276" t="str">
        <f>IF(ISNUMBER(E36calc!D79),ROUND(E36calc!D79,3-(1+INT(LOG10(ABS(E36calc!D79))))),"")</f>
        <v/>
      </c>
      <c r="E79" s="277" t="str">
        <f>IF(ISNUMBER(E36calc!E79),ROUND(E36calc!E79,3-(1+INT(LOG10(ABS(E36calc!E79))))),"")</f>
        <v/>
      </c>
      <c r="F79" s="276" t="str">
        <f>IF(ISNUMBER(E36calc!F79),ROUND(E36calc!F79,3-(1+INT(LOG10(ABS(E36calc!F79))))),"")</f>
        <v/>
      </c>
      <c r="G79" s="276" t="str">
        <f>IF(ISNUMBER(E36calc!G79),ROUND(E36calc!G79,3-(1+INT(LOG10(ABS(E36calc!G79))))),"")</f>
        <v/>
      </c>
      <c r="H79" s="280" t="str">
        <f>IF(ISNUMBER(E36calc!H79),ROUND(E36calc!H79,3-(1+INT(LOG10(ABS(E36calc!H79))))),"")</f>
        <v/>
      </c>
      <c r="I79" s="280" t="str">
        <f>IF(ISNUMBER(E36calc!I79),ROUND(E36calc!I79,3-(1+INT(LOG10(ABS(E36calc!I79))))),"")</f>
        <v/>
      </c>
      <c r="J79" s="280" t="str">
        <f>IF(ISNUMBER(E36calc!J79),ROUND(E36calc!J79,3-(1+INT(LOG10(ABS(E36calc!J79))))),"")</f>
        <v/>
      </c>
      <c r="K79" s="280" t="str">
        <f>IF(ISNUMBER(E36calc!K79),ROUND(E36calc!K79,3-(1+INT(LOG10(ABS(E36calc!K79))))),"")</f>
        <v/>
      </c>
      <c r="L79" s="280" t="str">
        <f>IF(ISNUMBER(E36calc!L79),ROUND(E36calc!L79,3-(1+INT(LOG10(ABS(E36calc!L79))))),"")</f>
        <v/>
      </c>
      <c r="M79" s="332"/>
    </row>
  </sheetData>
  <mergeCells count="12">
    <mergeCell ref="K4:K7"/>
    <mergeCell ref="L4:L7"/>
    <mergeCell ref="C3:G3"/>
    <mergeCell ref="H3:L3"/>
    <mergeCell ref="C4:C7"/>
    <mergeCell ref="D4:D7"/>
    <mergeCell ref="E4:E7"/>
    <mergeCell ref="F4:F7"/>
    <mergeCell ref="G4:G7"/>
    <mergeCell ref="H4:H7"/>
    <mergeCell ref="I4:I7"/>
    <mergeCell ref="J4:J7"/>
  </mergeCells>
  <pageMargins left="0.75" right="0.75" top="1" bottom="1" header="0.5" footer="0.5"/>
  <pageSetup paperSize="9" scale="4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>
    <pageSetUpPr fitToPage="1"/>
  </sheetPr>
  <dimension ref="A1:AM77"/>
  <sheetViews>
    <sheetView view="pageBreakPreview" zoomScale="60" zoomScaleNormal="50" workbookViewId="0">
      <selection activeCell="Q44" sqref="Q44"/>
    </sheetView>
  </sheetViews>
  <sheetFormatPr defaultRowHeight="12.75" x14ac:dyDescent="0.2"/>
  <cols>
    <col min="1" max="1" width="39.85546875" customWidth="1"/>
    <col min="2" max="2" width="19" customWidth="1"/>
    <col min="3" max="3" width="23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20.42578125" customWidth="1"/>
    <col min="12" max="12" width="25.7109375" customWidth="1"/>
    <col min="13" max="13" width="14.5703125" style="2" customWidth="1"/>
    <col min="14" max="14" width="9.140625" style="2"/>
    <col min="15" max="16" width="13.42578125" style="2" customWidth="1"/>
    <col min="17" max="17" width="16.85546875" style="2" customWidth="1"/>
    <col min="18" max="19" width="13.42578125" style="2" customWidth="1"/>
    <col min="20" max="20" width="13.42578125" style="21" customWidth="1"/>
    <col min="21" max="21" width="9.140625" style="2"/>
    <col min="22" max="22" width="20.85546875" style="2" customWidth="1"/>
    <col min="23" max="39" width="9.140625" style="2"/>
  </cols>
  <sheetData>
    <row r="1" spans="1:23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3" ht="15" thickBo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01"/>
      <c r="U2" s="22"/>
      <c r="V2" s="22"/>
      <c r="W2" s="22"/>
    </row>
    <row r="3" spans="1:23" ht="15.75" customHeight="1" thickBot="1" x14ac:dyDescent="0.3">
      <c r="A3" s="22"/>
      <c r="B3" s="22"/>
      <c r="C3" s="391" t="s">
        <v>88</v>
      </c>
      <c r="D3" s="392"/>
      <c r="E3" s="392"/>
      <c r="F3" s="392"/>
      <c r="G3" s="393"/>
      <c r="H3" s="394" t="s">
        <v>89</v>
      </c>
      <c r="I3" s="394"/>
      <c r="J3" s="394"/>
      <c r="K3" s="394"/>
      <c r="L3" s="395"/>
      <c r="M3" s="22"/>
      <c r="N3" s="22"/>
      <c r="O3" s="22"/>
      <c r="P3" s="22"/>
      <c r="Q3" s="22"/>
      <c r="R3" s="22"/>
      <c r="S3" s="22"/>
      <c r="T3" s="201"/>
      <c r="U3" s="22"/>
      <c r="V3" s="22"/>
      <c r="W3" s="22"/>
    </row>
    <row r="4" spans="1:23" ht="14.25" customHeight="1" x14ac:dyDescent="0.2">
      <c r="A4" s="73"/>
      <c r="B4" s="73"/>
      <c r="C4" s="396" t="s">
        <v>218</v>
      </c>
      <c r="D4" s="399" t="s">
        <v>216</v>
      </c>
      <c r="E4" s="402" t="s">
        <v>92</v>
      </c>
      <c r="F4" s="402" t="s">
        <v>93</v>
      </c>
      <c r="G4" s="403" t="s">
        <v>94</v>
      </c>
      <c r="H4" s="385" t="s">
        <v>95</v>
      </c>
      <c r="I4" s="394" t="s">
        <v>96</v>
      </c>
      <c r="J4" s="385" t="s">
        <v>97</v>
      </c>
      <c r="K4" s="385" t="s">
        <v>98</v>
      </c>
      <c r="L4" s="388" t="s">
        <v>99</v>
      </c>
      <c r="M4" s="73"/>
      <c r="N4" s="73"/>
      <c r="O4" s="73"/>
      <c r="P4" s="73"/>
      <c r="Q4" s="73"/>
      <c r="R4" s="73"/>
      <c r="S4" s="73"/>
      <c r="T4" s="204"/>
      <c r="U4" s="73"/>
      <c r="V4" s="73"/>
      <c r="W4" s="73"/>
    </row>
    <row r="5" spans="1:23" ht="14.25" customHeight="1" x14ac:dyDescent="0.2">
      <c r="A5" s="73"/>
      <c r="B5" s="73"/>
      <c r="C5" s="397"/>
      <c r="D5" s="400"/>
      <c r="E5" s="400"/>
      <c r="F5" s="400"/>
      <c r="G5" s="404"/>
      <c r="H5" s="406"/>
      <c r="I5" s="386"/>
      <c r="J5" s="386"/>
      <c r="K5" s="386"/>
      <c r="L5" s="389"/>
      <c r="M5" s="73"/>
      <c r="N5" s="73"/>
      <c r="O5" s="73"/>
      <c r="P5" s="73"/>
      <c r="Q5" s="73"/>
      <c r="R5" s="73"/>
      <c r="S5" s="73"/>
      <c r="T5" s="204"/>
      <c r="U5" s="73"/>
      <c r="V5" s="73"/>
      <c r="W5" s="73"/>
    </row>
    <row r="6" spans="1:23" ht="14.25" customHeight="1" x14ac:dyDescent="0.2">
      <c r="A6" s="73"/>
      <c r="B6" s="73"/>
      <c r="C6" s="397"/>
      <c r="D6" s="400"/>
      <c r="E6" s="400"/>
      <c r="F6" s="400"/>
      <c r="G6" s="404"/>
      <c r="H6" s="406"/>
      <c r="I6" s="386"/>
      <c r="J6" s="386"/>
      <c r="K6" s="386"/>
      <c r="L6" s="389"/>
      <c r="M6" s="73"/>
      <c r="N6" s="73"/>
      <c r="O6" s="73"/>
      <c r="P6" s="73"/>
      <c r="Q6" s="73"/>
      <c r="R6" s="73"/>
      <c r="S6" s="73"/>
      <c r="T6" s="204"/>
      <c r="U6" s="73"/>
      <c r="V6" s="73"/>
      <c r="W6" s="73"/>
    </row>
    <row r="7" spans="1:23" ht="15" customHeight="1" thickBot="1" x14ac:dyDescent="0.25">
      <c r="A7" s="73"/>
      <c r="B7" s="73"/>
      <c r="C7" s="398"/>
      <c r="D7" s="401"/>
      <c r="E7" s="401"/>
      <c r="F7" s="401"/>
      <c r="G7" s="405"/>
      <c r="H7" s="407"/>
      <c r="I7" s="387"/>
      <c r="J7" s="387"/>
      <c r="K7" s="387"/>
      <c r="L7" s="390"/>
      <c r="M7" s="73"/>
      <c r="N7" s="73"/>
      <c r="O7" s="73"/>
      <c r="P7" s="73"/>
      <c r="Q7" s="73"/>
      <c r="R7" s="73"/>
      <c r="S7" s="73"/>
      <c r="T7" s="204"/>
      <c r="U7" s="73"/>
      <c r="V7" s="73"/>
      <c r="W7" s="73"/>
    </row>
    <row r="8" spans="1:23" ht="14.25" hidden="1" x14ac:dyDescent="0.2">
      <c r="A8" s="179" t="str">
        <f>'Diffusive Flux'!A9</f>
        <v>pH</v>
      </c>
      <c r="B8" s="181"/>
      <c r="C8" s="101">
        <f ca="1">IF(NOT('Leaching Mechanism'!L4="Non-Diffusion Based"),SQRT(64)*PRODUCT(Uxy!D6,Uxy!E6,Uxy!F6,Uxy!G6,Uxy!H6,Uxy!I6,Uxy!J6,Uxy!K6)^0.125,"")</f>
        <v>6810.3014697748386</v>
      </c>
      <c r="D8" s="102">
        <f ca="1">IF(NOT('Leaching Mechanism'!L4="Non-Diffusion Based"),SUM(Normalisation!E5:L5),"")</f>
        <v>4082.7527373753883</v>
      </c>
      <c r="E8" s="103">
        <f ca="1">IF(AND(D8&lt;C8,'rc'!G4&lt;0.35,'rc'!F4&lt;0.35),D8,C8)</f>
        <v>6810.3014697748386</v>
      </c>
      <c r="F8" s="104">
        <f ca="1">IF(AND('Leaching Mechanism'!G4="Surface Wash-Off",OR('Leaching Mechanism'!B4="Diffusion", 'Leaching Mechanism'!C4="Diffusion",'Leaching Mechanism'!D4="Diffusion", 'Leaching Mechanism'!E4="Diffusion", 'Leaching Mechanism'!F4="Diffusion")),Normalisation!F5+Normalisation!G5-(C8*SQRT(1/64)),"")</f>
        <v>147.40099089818113</v>
      </c>
      <c r="G8" s="178">
        <f ca="1">IF(AND(ISNUMBER(F8),F8&gt;0),E8+F8,E8)</f>
        <v>6957.7024606730192</v>
      </c>
      <c r="H8" s="107" t="str">
        <f>IF(SUM('Analytical Data'!$F5:$M5)&lt;'Analytical Data'!E5*12,SUM(Normalisation!E5:L5)*SQRT(1),"")</f>
        <v/>
      </c>
      <c r="I8" s="107" t="str">
        <f ca="1">IF(AND(LOD!J4&gt;1.5,'rc'!I4&lt;0.35,LOD!F4&lt;1.5),(('Measured Cummulative'!F5-'Measured Cummulative'!E5)+('Measured Cummulative'!L5-'Measured Cummulative'!G5))*(SQRT(64)-SQRT(1))/(SQRT(64)-SQRT(1)),"")</f>
        <v/>
      </c>
      <c r="J8" s="108" t="str">
        <f ca="1">IF(AND('Leaching Mechanism'!H4:K4="Depletion",LOD!E4&gt;1.5,OR('rc'!E4&lt;0.35,'rc'!F4&lt;0.35,'rc'!G4&lt;0.35,'rc'!H4&lt;0.35)),('Measured Cummulative'!L5*(SQRT(64)-SQRT(1))/(SQRT(64)-SQRT(1))),"")</f>
        <v/>
      </c>
      <c r="K8" s="107" t="str">
        <f ca="1">IF(AND(ISBLANK(G8),OR('rc'!D4&gt;0.65,ISNUMBER(SEARCH("Dissolution",'Leaching Mechanism'!H4)))),2*'Measured Cummulative'!L5*SQRT(64/64),"")</f>
        <v/>
      </c>
      <c r="L8" s="109" t="str">
        <f ca="1">IF(AND(AVERAGE('rc'!D4:I4)&gt;0.5,SUM(H8:K8)&lt;0.000001,NOT('Leaching Mechanism'!L4="Non-Diffusion Based")),5*'Measured Cummulative'!L5*SQRT(64/64),"")</f>
        <v/>
      </c>
      <c r="M8" s="22"/>
      <c r="N8" s="22"/>
      <c r="O8" s="22"/>
      <c r="P8" s="22"/>
      <c r="Q8" s="22"/>
      <c r="R8" s="22"/>
      <c r="S8" s="22"/>
      <c r="T8" s="201">
        <v>0</v>
      </c>
      <c r="U8" s="22"/>
      <c r="V8" s="22"/>
      <c r="W8" s="22"/>
    </row>
    <row r="9" spans="1:23" ht="14.25" hidden="1" x14ac:dyDescent="0.2">
      <c r="A9" s="191" t="str">
        <f>'Diffusive Flux'!A10</f>
        <v>Electrical Conductivity</v>
      </c>
      <c r="B9" s="182"/>
      <c r="C9" s="192">
        <f ca="1">IF(NOT('Leaching Mechanism'!L5="Non-Diffusion Based"),SQRT(64)*PRODUCT(Uxy!D7,Uxy!E7,Uxy!F7,Uxy!G7,Uxy!H7,Uxy!I7,Uxy!J7,Uxy!K7)^0.125,"")</f>
        <v>589731.2642101933</v>
      </c>
      <c r="D9" s="193">
        <f ca="1">IF(NOT('Leaching Mechanism'!L5="Non-Diffusion Based"),SUM(Normalisation!E6:L6),"")</f>
        <v>873311.77643405786</v>
      </c>
      <c r="E9" s="194">
        <f ca="1">IF(AND(D9&lt;C9,'rc'!G5&lt;0.35,'rc'!F5&lt;0.35),D9,C9)</f>
        <v>589731.2642101933</v>
      </c>
      <c r="F9" s="193" t="str">
        <f ca="1">IF(AND('Leaching Mechanism'!G5="Surface Wash-Off",OR('Leaching Mechanism'!B5="Diffusion", 'Leaching Mechanism'!C5="Diffusion",'Leaching Mechanism'!D5="Diffusion", 'Leaching Mechanism'!E5="Diffusion", 'Leaching Mechanism'!F5="Diffusion")),Normalisation!F6+Normalisation!G6-(C9*SQRT(1/64)),"")</f>
        <v/>
      </c>
      <c r="G9" s="195">
        <f ca="1">IF(AND(ISNUMBER(F9),F9&gt;0),E9+F9,E9)</f>
        <v>589731.2642101933</v>
      </c>
      <c r="H9" s="196" t="str">
        <f>IF(SUM('Analytical Data'!$F6:$M6)&lt;'Analytical Data'!E6*12,SUM(Normalisation!E6:L6)*SQRT(1),"")</f>
        <v/>
      </c>
      <c r="I9" s="196" t="str">
        <f ca="1">IF(AND(LOD!J5&gt;1.5,'rc'!I5&lt;0.35,LOD!F5&lt;1.5),(('Measured Cummulative'!F6-'Measured Cummulative'!E6)+('Measured Cummulative'!L6-'Measured Cummulative'!G6))*(SQRT(64)-SQRT(1))/(SQRT(64)-SQRT(1)),"")</f>
        <v/>
      </c>
      <c r="J9" s="196" t="str">
        <f ca="1">IF(AND('Leaching Mechanism'!H5:K5="Depletion",LOD!E5&gt;1.5,OR('rc'!E5&lt;0.35,'rc'!F5&lt;0.35,'rc'!G5&lt;0.35,'rc'!H5&lt;0.35)),('Measured Cummulative'!L6*(SQRT(64)-SQRT(1))/(SQRT(64)-SQRT(1))),"")</f>
        <v/>
      </c>
      <c r="K9" s="196" t="str">
        <f ca="1">IF(AND(ISBLANK(G9),OR('rc'!D5&gt;0.65,ISNUMBER(SEARCH("Dissolution",'Leaching Mechanism'!H5)))),2*'Measured Cummulative'!L6*SQRT(64/64),"")</f>
        <v/>
      </c>
      <c r="L9" s="197">
        <f ca="1">IF(AND(AVERAGE('rc'!D5:I5)&gt;0.5,SUM(H9:K9)&lt;0.000001,NOT('Leaching Mechanism'!L5="Non-Diffusion Based")),5*'Measured Cummulative'!L6*SQRT(64/64),"")</f>
        <v>4366558.8821702898</v>
      </c>
      <c r="M9" s="22"/>
      <c r="N9" s="22"/>
      <c r="O9" s="22"/>
      <c r="P9" s="22"/>
      <c r="Q9" s="22"/>
      <c r="R9" s="22"/>
      <c r="S9" s="22"/>
      <c r="T9" s="201">
        <v>1</v>
      </c>
      <c r="U9" s="22"/>
      <c r="V9" s="22"/>
      <c r="W9" s="22"/>
    </row>
    <row r="10" spans="1:23" ht="16.5" x14ac:dyDescent="0.2">
      <c r="A10" s="179" t="str">
        <f>'Diffusive Flux'!A11</f>
        <v>Redox potential</v>
      </c>
      <c r="B10" s="181" t="s">
        <v>100</v>
      </c>
      <c r="C10" s="267" t="e">
        <f ca="1">IF(NOT('Leaching Mechanism'!L6="Non-Diffusion Based"),SQRT(64)*PRODUCT(Uxy!D8,Uxy!E8,Uxy!F8,Uxy!G8,Uxy!H8,Uxy!I8,Uxy!J8,Uxy!K8)^0.125,"")</f>
        <v>#DIV/0!</v>
      </c>
      <c r="D10" s="198" t="e">
        <f ca="1">IF(NOT('Leaching Mechanism'!L6="Non-Diffusion Based"),SUM(Normalisation!E7:L7),"")</f>
        <v>#DIV/0!</v>
      </c>
      <c r="E10" s="199" t="e">
        <f ca="1">IF(AND(D10&lt;C10,'rc'!G6&lt;0.35,'rc'!F6&lt;0.35),D10,C10)</f>
        <v>#DIV/0!</v>
      </c>
      <c r="F10" s="198" t="e">
        <f ca="1">IF(AND('Leaching Mechanism'!G6="Surface Wash-Off",OR('Leaching Mechanism'!B6="Diffusion", 'Leaching Mechanism'!C6="Diffusion",'Leaching Mechanism'!D6="Diffusion", 'Leaching Mechanism'!E6="Diffusion", 'Leaching Mechanism'!F6="Diffusion")),Normalisation!F7+Normalisation!G7-(C10*SQRT(1/64)),"")</f>
        <v>#DIV/0!</v>
      </c>
      <c r="G10" s="266" t="e">
        <f ca="1">IF(AND(ISNUMBER(F10),F10&gt;0),E10+F10,E10)</f>
        <v>#DIV/0!</v>
      </c>
      <c r="H10" s="200" t="e">
        <f>IF(SUM('Analytical Data'!#REF!)&lt;'Analytical Data'!E7*12,SUM(Normalisation!E7:L7)*SQRT(1),"")</f>
        <v>#REF!</v>
      </c>
      <c r="I10" s="200" t="e">
        <f ca="1">IF(AND(LOD!J6&gt;1.5,'rc'!I6&lt;0.35,LOD!F6&lt;1.5),(('Measured Cummulative'!F7-'Measured Cummulative'!E7)+('Measured Cummulative'!L7-'Measured Cummulative'!G7))*(SQRT(64)-SQRT(1))/(SQRT(64)-SQRT(1)),"")</f>
        <v>#DIV/0!</v>
      </c>
      <c r="J10" s="200" t="e">
        <f ca="1">IF(AND('Leaching Mechanism'!H6:K6="Depletion",LOD!E6&gt;1.5,OR('rc'!E6&lt;0.35,'rc'!F6&lt;0.35,'rc'!G6&lt;0.35,'rc'!H6&lt;0.35)),('Measured Cummulative'!L7*(SQRT(64)-SQRT(1))/(SQRT(64)-SQRT(1))),"")</f>
        <v>#DIV/0!</v>
      </c>
      <c r="K10" s="200" t="e">
        <f ca="1">IF(AND(ISBLANK(G10),OR('rc'!D6&gt;0.65,ISNUMBER(SEARCH("Dissolution",'Leaching Mechanism'!H6)))),2*'Measured Cummulative'!L7*SQRT(64/64),"")</f>
        <v>#NUM!</v>
      </c>
      <c r="L10" s="190" t="e">
        <f ca="1">IF(SUM(G10:K10)&lt;0.000001,5*'Measured Cummulative'!L7*SQRT(36/36),"")</f>
        <v>#DIV/0!</v>
      </c>
      <c r="M10" s="22"/>
      <c r="N10" s="22"/>
      <c r="O10" s="22"/>
      <c r="P10" s="22"/>
      <c r="Q10" s="22"/>
      <c r="R10" s="22"/>
      <c r="S10" s="22"/>
      <c r="T10" s="201">
        <v>2</v>
      </c>
      <c r="U10" s="22"/>
      <c r="V10" s="22"/>
      <c r="W10" s="22"/>
    </row>
    <row r="11" spans="1:23" ht="16.5" x14ac:dyDescent="0.2">
      <c r="A11" s="180" t="str">
        <f>'Diffusive Flux'!A12</f>
        <v>Chloride</v>
      </c>
      <c r="B11" s="182" t="s">
        <v>100</v>
      </c>
      <c r="C11" s="268" t="str">
        <f ca="1">IF(NOT('Leaching Mechanism'!L7="Non-Diffusion Based"),SQRT(36)*PRODUCT(Uxy!D9,Uxy!E9,Uxy!F9,Uxy!G9,Uxy!H9,Uxy!I9,Uxy!J9,Uxy!K9)^0.125,"")</f>
        <v/>
      </c>
      <c r="D11" s="187" t="str">
        <f ca="1">IF(NOT('Leaching Mechanism'!L7="Non-Diffusion Based"),SUM(Normalisation!E8:L8),"")</f>
        <v/>
      </c>
      <c r="E11" s="188" t="str">
        <f ca="1">IF(AND(D11&lt;C11,'rc'!G7&lt;0.35,'rc'!F7&lt;0.35),D11,C11)</f>
        <v/>
      </c>
      <c r="F11" s="187" t="str">
        <f ca="1">IF(AND('Leaching Mechanism'!G7="Surface Wash-Off",OR('Leaching Mechanism'!B7="Diffusion", 'Leaching Mechanism'!C7="Diffusion",'Leaching Mechanism'!D7="Diffusion", 'Leaching Mechanism'!E7="Diffusion", 'Leaching Mechanism'!F7="Diffusion")),Normalisation!F8+Normalisation!G8-(C11*SQRT(1/36)),"")</f>
        <v/>
      </c>
      <c r="G11" s="187" t="str">
        <f ca="1">IF(AND(ISNUMBER(F11),F11&gt;0),E11+F11,E11)</f>
        <v/>
      </c>
      <c r="H11" s="189" t="str">
        <f>IF(SUM('Analytical Data'!$F8:$M8)&lt;'Analytical Data'!E8*12,SUM(Normalisation!E8:L8)*SQRT(1),"")</f>
        <v/>
      </c>
      <c r="I11" s="189" t="str">
        <f ca="1">IF(AND(LOD!J7&gt;1.5,'rc'!I7&lt;0.35,LOD!F7&lt;1.5),(('Measured Cummulative'!F8-'Measured Cummulative'!E8)+('Measured Cummulative'!L8-'Measured Cummulative'!G8))*(SQRT(64)-SQRT(1))/(SQRT(64)-SQRT(1)),"")</f>
        <v/>
      </c>
      <c r="J11" s="189" t="str">
        <f ca="1">IF(AND('Leaching Mechanism'!P7="Depletion",LOD!E7&gt;1.5),('Measured Cummulative'!L8*(SQRT(64)-SQRT(1))/(SQRT(64)-SQRT(1))),"")</f>
        <v/>
      </c>
      <c r="K11" s="189" t="str">
        <f ca="1">IF(AND(ISBLANK(G11),OR('rc'!D7&gt;0.65,ISNUMBER(SEARCH("Dissolution",'Leaching Mechanism'!H7)))),2*'Measured Cummulative'!L8*SQRT(64/64),"")</f>
        <v/>
      </c>
      <c r="L11" s="190">
        <f ca="1">IF(SUM(G11:K11)&lt;0.000001,5*'Measured Cummulative'!L8*SQRT(36/36),"")</f>
        <v>767079.26131720864</v>
      </c>
      <c r="M11" s="22"/>
      <c r="N11" s="22"/>
      <c r="O11" s="22"/>
      <c r="P11" s="22"/>
      <c r="Q11" s="22"/>
      <c r="R11" s="22"/>
      <c r="S11" s="22"/>
      <c r="T11" s="201">
        <v>3</v>
      </c>
      <c r="U11" s="22"/>
      <c r="V11" s="22"/>
      <c r="W11" s="22"/>
    </row>
    <row r="12" spans="1:23" ht="16.5" x14ac:dyDescent="0.2">
      <c r="A12" s="180" t="str">
        <f>'Diffusive Flux'!A13</f>
        <v>Sodium</v>
      </c>
      <c r="B12" s="182" t="s">
        <v>100</v>
      </c>
      <c r="C12" s="268">
        <f ca="1">IF(NOT('Leaching Mechanism'!L8="Non-Diffusion Based"),SQRT(36)*PRODUCT(Uxy!D10,Uxy!E10,Uxy!F10,Uxy!G10,Uxy!H10,Uxy!I10,Uxy!J10,Uxy!K10)^0.125,"")</f>
        <v>90055.693784155024</v>
      </c>
      <c r="D12" s="187">
        <f ca="1">IF(NOT('Leaching Mechanism'!L8="Non-Diffusion Based"),SUM(Normalisation!E9:L9),"")</f>
        <v>107592.74391240398</v>
      </c>
      <c r="E12" s="188">
        <f ca="1">IF(AND(D12&lt;C12,'rc'!G8&lt;0.35,'rc'!F8&lt;0.35),D12,C12)</f>
        <v>90055.693784155024</v>
      </c>
      <c r="F12" s="187" t="str">
        <f ca="1">IF(AND('Leaching Mechanism'!G8="Surface Wash-Off",OR('Leaching Mechanism'!B8="Diffusion", 'Leaching Mechanism'!C8="Diffusion",'Leaching Mechanism'!D8="Diffusion", 'Leaching Mechanism'!E8="Diffusion", 'Leaching Mechanism'!F8="Diffusion")),Normalisation!F9+Normalisation!G9-(C12*SQRT(1/36)),"")</f>
        <v/>
      </c>
      <c r="G12" s="187">
        <f ca="1">IF(AND(ISNUMBER(F12),F12&gt;0),E12+F12,E12)</f>
        <v>90055.693784155024</v>
      </c>
      <c r="H12" s="189" t="str">
        <f>IF(SUM('Analytical Data'!$F9:$M9)&lt;'Analytical Data'!E9*12,SUM(Normalisation!E9:L9)*SQRT(1),"")</f>
        <v/>
      </c>
      <c r="I12" s="189" t="str">
        <f ca="1">IF(AND(LOD!J8&gt;1.5,'rc'!I8&lt;0.35,LOD!F8&lt;1.5),(('Measured Cummulative'!F9-'Measured Cummulative'!E9)+('Measured Cummulative'!L9-'Measured Cummulative'!G9))*(SQRT(64)-SQRT(1))/(SQRT(64)-SQRT(1)),"")</f>
        <v/>
      </c>
      <c r="J12" s="189" t="str">
        <f ca="1">IF(AND('Leaching Mechanism'!P8="Depletion",LOD!E8&gt;1.5),('Measured Cummulative'!L9*(SQRT(64)-SQRT(1))/(SQRT(64)-SQRT(1))),"")</f>
        <v/>
      </c>
      <c r="K12" s="189" t="str">
        <f ca="1">IF(AND(ISBLANK(G12),OR('rc'!D8&gt;0.65,ISNUMBER(SEARCH("Dissolution",'Leaching Mechanism'!H8)))),2*'Measured Cummulative'!L9*SQRT(64/64),"")</f>
        <v/>
      </c>
      <c r="L12" s="190" t="str">
        <f ca="1">IF(SUM(G12:K12)&lt;0.000001,5*'Measured Cummulative'!L9*SQRT(36/36),"")</f>
        <v/>
      </c>
      <c r="M12" s="22"/>
      <c r="N12" s="22"/>
      <c r="O12" s="22"/>
      <c r="P12" s="22"/>
      <c r="Q12" s="22"/>
      <c r="R12" s="22"/>
      <c r="S12" s="22"/>
      <c r="T12" s="201">
        <v>4</v>
      </c>
      <c r="U12" s="22"/>
      <c r="V12" s="22"/>
      <c r="W12" s="22"/>
    </row>
    <row r="13" spans="1:23" ht="16.5" x14ac:dyDescent="0.2">
      <c r="A13" s="180">
        <f>'Diffusive Flux'!A14</f>
        <v>0</v>
      </c>
      <c r="B13" s="182" t="s">
        <v>100</v>
      </c>
      <c r="C13" s="268" t="e">
        <f ca="1">IF(NOT('Leaching Mechanism'!L9="Non-Diffusion Based"),SQRT(36)*PRODUCT(Uxy!D11,Uxy!E11,Uxy!F11,Uxy!G11,Uxy!H11,Uxy!I11,Uxy!J11,Uxy!K11)^0.125,"")</f>
        <v>#DIV/0!</v>
      </c>
      <c r="D13" s="187" t="e">
        <f ca="1">IF(NOT('Leaching Mechanism'!L9="Non-Diffusion Based"),SUM(Normalisation!E10:L10),"")</f>
        <v>#DIV/0!</v>
      </c>
      <c r="E13" s="188" t="e">
        <f ca="1">IF(AND(D13&lt;C13,'rc'!G9&lt;0.35,'rc'!F9&lt;0.35),D13,C13)</f>
        <v>#DIV/0!</v>
      </c>
      <c r="F13" s="187" t="e">
        <f ca="1">IF(AND('Leaching Mechanism'!G9="Surface Wash-Off",OR('Leaching Mechanism'!B9="Diffusion", 'Leaching Mechanism'!C9="Diffusion",'Leaching Mechanism'!D9="Diffusion", 'Leaching Mechanism'!E9="Diffusion", 'Leaching Mechanism'!F9="Diffusion")),Normalisation!F10+Normalisation!G10-(C13*SQRT(1/36)),"")</f>
        <v>#DIV/0!</v>
      </c>
      <c r="G13" s="187" t="e">
        <f t="shared" ref="G13:G76" ca="1" si="0">IF(AND(ISNUMBER(F13),F13&gt;0),E13+F13,E13)</f>
        <v>#DIV/0!</v>
      </c>
      <c r="H13" s="189" t="str">
        <f>IF(SUM('Analytical Data'!$F10:$M10)&lt;'Analytical Data'!E10*12,SUM(Normalisation!E10:L10)*SQRT(1),"")</f>
        <v/>
      </c>
      <c r="I13" s="189" t="e">
        <f ca="1">IF(AND(LOD!J9&gt;1.5,'rc'!I9&lt;0.35,LOD!F9&lt;1.5),(('Measured Cummulative'!F10-'Measured Cummulative'!E10)+('Measured Cummulative'!L10-'Measured Cummulative'!G10))*(SQRT(64)-SQRT(1))/(SQRT(64)-SQRT(1)),"")</f>
        <v>#DIV/0!</v>
      </c>
      <c r="J13" s="189" t="e">
        <f ca="1">IF(AND('Leaching Mechanism'!P9="Depletion",LOD!E9&gt;1.5),('Measured Cummulative'!L10*(SQRT(64)-SQRT(1))/(SQRT(64)-SQRT(1))),"")</f>
        <v>#DIV/0!</v>
      </c>
      <c r="K13" s="189" t="e">
        <f ca="1">IF(AND(ISBLANK(G13),OR('rc'!D9&gt;0.65,ISNUMBER(SEARCH("Dissolution",'Leaching Mechanism'!H9)))),2*'Measured Cummulative'!L10*SQRT(64/64),"")</f>
        <v>#NUM!</v>
      </c>
      <c r="L13" s="190" t="e">
        <f ca="1">IF(SUM(G13:K13)&lt;0.000001,5*'Measured Cummulative'!L10*SQRT(36/36),"")</f>
        <v>#DIV/0!</v>
      </c>
      <c r="M13" s="22"/>
      <c r="N13" s="22"/>
      <c r="O13" s="22"/>
      <c r="P13" s="22"/>
      <c r="Q13" s="22"/>
      <c r="R13" s="22"/>
      <c r="S13" s="22"/>
      <c r="T13" s="201">
        <v>5</v>
      </c>
      <c r="U13" s="22"/>
      <c r="V13" s="22"/>
      <c r="W13" s="22"/>
    </row>
    <row r="14" spans="1:23" ht="16.5" x14ac:dyDescent="0.2">
      <c r="A14" s="180">
        <f>'Diffusive Flux'!A15</f>
        <v>0</v>
      </c>
      <c r="B14" s="182" t="s">
        <v>100</v>
      </c>
      <c r="C14" s="268" t="e">
        <f ca="1">IF(NOT('Leaching Mechanism'!L10="Non-Diffusion Based"),SQRT(36)*PRODUCT(Uxy!D12,Uxy!E12,Uxy!F12,Uxy!G12,Uxy!H12,Uxy!I12,Uxy!J12,Uxy!K12)^0.125,"")</f>
        <v>#DIV/0!</v>
      </c>
      <c r="D14" s="187" t="e">
        <f ca="1">IF(NOT('Leaching Mechanism'!L10="Non-Diffusion Based"),SUM(Normalisation!E11:L11),"")</f>
        <v>#DIV/0!</v>
      </c>
      <c r="E14" s="188" t="e">
        <f ca="1">IF(AND(D14&lt;C14,'rc'!G10&lt;0.35,'rc'!F10&lt;0.35),D14,C14)</f>
        <v>#DIV/0!</v>
      </c>
      <c r="F14" s="187" t="e">
        <f ca="1">IF(AND('Leaching Mechanism'!G10="Surface Wash-Off",OR('Leaching Mechanism'!B10="Diffusion", 'Leaching Mechanism'!C10="Diffusion",'Leaching Mechanism'!D10="Diffusion", 'Leaching Mechanism'!E10="Diffusion", 'Leaching Mechanism'!F10="Diffusion")),Normalisation!F11+Normalisation!G11-(C14*SQRT(1/36)),"")</f>
        <v>#DIV/0!</v>
      </c>
      <c r="G14" s="187" t="e">
        <f t="shared" ca="1" si="0"/>
        <v>#DIV/0!</v>
      </c>
      <c r="H14" s="189" t="str">
        <f>IF(SUM('Analytical Data'!$F11:$M11)&lt;'Analytical Data'!E11*12,SUM(Normalisation!E11:L11)*SQRT(1),"")</f>
        <v/>
      </c>
      <c r="I14" s="189" t="e">
        <f ca="1">IF(AND(LOD!J10&gt;1.5,'rc'!I10&lt;0.35,LOD!F10&lt;1.5),(('Measured Cummulative'!F11-'Measured Cummulative'!E11)+('Measured Cummulative'!L11-'Measured Cummulative'!G11))*(SQRT(64)-SQRT(1))/(SQRT(64)-SQRT(1)),"")</f>
        <v>#DIV/0!</v>
      </c>
      <c r="J14" s="189" t="e">
        <f ca="1">IF(AND('Leaching Mechanism'!P10="Depletion",LOD!E10&gt;1.5),('Measured Cummulative'!L11*(SQRT(64)-SQRT(1))/(SQRT(64)-SQRT(1))),"")</f>
        <v>#DIV/0!</v>
      </c>
      <c r="K14" s="189" t="e">
        <f ca="1">IF(AND(ISBLANK(G14),OR('rc'!D10&gt;0.65,ISNUMBER(SEARCH("Dissolution",'Leaching Mechanism'!H10)))),2*'Measured Cummulative'!L11*SQRT(64/64),"")</f>
        <v>#NUM!</v>
      </c>
      <c r="L14" s="190" t="e">
        <f ca="1">IF(SUM(G14:K14)&lt;0.000001,5*'Measured Cummulative'!L11*SQRT(36/36),"")</f>
        <v>#DIV/0!</v>
      </c>
      <c r="M14" s="22"/>
      <c r="N14" s="22"/>
      <c r="O14" s="22"/>
      <c r="P14" s="22"/>
      <c r="Q14" s="22"/>
      <c r="R14" s="22"/>
      <c r="S14" s="22"/>
      <c r="T14" s="201">
        <v>6</v>
      </c>
      <c r="U14" s="22"/>
      <c r="V14" s="22"/>
      <c r="W14" s="22"/>
    </row>
    <row r="15" spans="1:23" ht="16.5" x14ac:dyDescent="0.2">
      <c r="A15" s="180">
        <f>'Diffusive Flux'!A16</f>
        <v>0</v>
      </c>
      <c r="B15" s="182" t="s">
        <v>100</v>
      </c>
      <c r="C15" s="268" t="e">
        <f ca="1">IF(NOT('Leaching Mechanism'!L11="Non-Diffusion Based"),SQRT(36)*PRODUCT(Uxy!D13,Uxy!E13,Uxy!F13,Uxy!G13,Uxy!H13,Uxy!I13,Uxy!J13,Uxy!K13)^0.125,"")</f>
        <v>#DIV/0!</v>
      </c>
      <c r="D15" s="187" t="e">
        <f ca="1">IF(NOT('Leaching Mechanism'!L11="Non-Diffusion Based"),SUM(Normalisation!E12:L12),"")</f>
        <v>#DIV/0!</v>
      </c>
      <c r="E15" s="188" t="e">
        <f ca="1">IF(AND(D15&lt;C15,'rc'!G11&lt;0.35,'rc'!F11&lt;0.35),D15,C15)</f>
        <v>#DIV/0!</v>
      </c>
      <c r="F15" s="187" t="e">
        <f ca="1">IF(AND('Leaching Mechanism'!G11="Surface Wash-Off",OR('Leaching Mechanism'!B11="Diffusion", 'Leaching Mechanism'!C11="Diffusion",'Leaching Mechanism'!D11="Diffusion", 'Leaching Mechanism'!E11="Diffusion", 'Leaching Mechanism'!F11="Diffusion")),Normalisation!F12+Normalisation!G12-(C15*SQRT(1/36)),"")</f>
        <v>#DIV/0!</v>
      </c>
      <c r="G15" s="187" t="e">
        <f t="shared" ca="1" si="0"/>
        <v>#DIV/0!</v>
      </c>
      <c r="H15" s="189" t="str">
        <f>IF(SUM('Analytical Data'!$F12:$M12)&lt;'Analytical Data'!E12*12,SUM(Normalisation!E12:L12)*SQRT(1),"")</f>
        <v/>
      </c>
      <c r="I15" s="189" t="e">
        <f ca="1">IF(AND(LOD!J11&gt;1.5,'rc'!I11&lt;0.35,LOD!F11&lt;1.5),(('Measured Cummulative'!F12-'Measured Cummulative'!E12)+('Measured Cummulative'!L12-'Measured Cummulative'!G12))*(SQRT(64)-SQRT(1))/(SQRT(64)-SQRT(1)),"")</f>
        <v>#DIV/0!</v>
      </c>
      <c r="J15" s="189" t="e">
        <f ca="1">IF(AND('Leaching Mechanism'!P11="Depletion",LOD!E11&gt;1.5),('Measured Cummulative'!L12*(SQRT(64)-SQRT(1))/(SQRT(64)-SQRT(1))),"")</f>
        <v>#DIV/0!</v>
      </c>
      <c r="K15" s="189" t="e">
        <f ca="1">IF(AND(ISBLANK(G15),OR('rc'!D11&gt;0.65,ISNUMBER(SEARCH("Dissolution",'Leaching Mechanism'!H11)))),2*'Measured Cummulative'!L12*SQRT(64/64),"")</f>
        <v>#NUM!</v>
      </c>
      <c r="L15" s="190" t="e">
        <f ca="1">IF(SUM(G15:K15)&lt;0.000001,5*'Measured Cummulative'!L12*SQRT(36/36),"")</f>
        <v>#DIV/0!</v>
      </c>
      <c r="M15" s="22"/>
      <c r="N15" s="22"/>
      <c r="O15" s="22"/>
      <c r="P15" s="22"/>
      <c r="Q15" s="22"/>
      <c r="R15" s="22"/>
      <c r="S15" s="22"/>
      <c r="T15" s="201">
        <v>7</v>
      </c>
      <c r="U15" s="22"/>
      <c r="V15" s="22"/>
      <c r="W15" s="22"/>
    </row>
    <row r="16" spans="1:23" ht="16.5" x14ac:dyDescent="0.2">
      <c r="A16" s="180">
        <f>'Diffusive Flux'!A17</f>
        <v>0</v>
      </c>
      <c r="B16" s="182" t="s">
        <v>100</v>
      </c>
      <c r="C16" s="268" t="e">
        <f ca="1">IF(NOT('Leaching Mechanism'!L12="Non-Diffusion Based"),SQRT(36)*PRODUCT(Uxy!D14,Uxy!E14,Uxy!F14,Uxy!G14,Uxy!H14,Uxy!I14,Uxy!J14,Uxy!K14)^0.125,"")</f>
        <v>#DIV/0!</v>
      </c>
      <c r="D16" s="187" t="e">
        <f ca="1">IF(NOT('Leaching Mechanism'!L12="Non-Diffusion Based"),SUM(Normalisation!E13:L13),"")</f>
        <v>#DIV/0!</v>
      </c>
      <c r="E16" s="188" t="e">
        <f ca="1">IF(AND(D16&lt;C16,'rc'!G12&lt;0.35,'rc'!F12&lt;0.35),D16,C16)</f>
        <v>#DIV/0!</v>
      </c>
      <c r="F16" s="187" t="e">
        <f ca="1">IF(AND('Leaching Mechanism'!G12="Surface Wash-Off",OR('Leaching Mechanism'!B12="Diffusion", 'Leaching Mechanism'!C12="Diffusion",'Leaching Mechanism'!D12="Diffusion", 'Leaching Mechanism'!E12="Diffusion", 'Leaching Mechanism'!F12="Diffusion")),Normalisation!F13+Normalisation!G13-(C16*SQRT(1/36)),"")</f>
        <v>#DIV/0!</v>
      </c>
      <c r="G16" s="187" t="e">
        <f t="shared" ca="1" si="0"/>
        <v>#DIV/0!</v>
      </c>
      <c r="H16" s="189" t="str">
        <f>IF(SUM('Analytical Data'!$F13:$M13)&lt;'Analytical Data'!E13*12,SUM(Normalisation!E13:L13)*SQRT(1),"")</f>
        <v/>
      </c>
      <c r="I16" s="189" t="e">
        <f ca="1">IF(AND(LOD!J12&gt;1.5,'rc'!I12&lt;0.35,LOD!F12&lt;1.5),(('Measured Cummulative'!F13-'Measured Cummulative'!E13)+('Measured Cummulative'!L13-'Measured Cummulative'!G13))*(SQRT(64)-SQRT(1))/(SQRT(64)-SQRT(1)),"")</f>
        <v>#DIV/0!</v>
      </c>
      <c r="J16" s="189" t="e">
        <f ca="1">IF(AND('Leaching Mechanism'!P12="Depletion",LOD!E12&gt;1.5),('Measured Cummulative'!L13*(SQRT(64)-SQRT(1))/(SQRT(64)-SQRT(1))),"")</f>
        <v>#DIV/0!</v>
      </c>
      <c r="K16" s="189" t="e">
        <f ca="1">IF(AND(ISBLANK(G16),OR('rc'!D12&gt;0.65,ISNUMBER(SEARCH("Dissolution",'Leaching Mechanism'!H12)))),2*'Measured Cummulative'!L13*SQRT(64/64),"")</f>
        <v>#NUM!</v>
      </c>
      <c r="L16" s="190" t="e">
        <f ca="1">IF(SUM(G16:K16)&lt;0.000001,5*'Measured Cummulative'!L13*SQRT(36/36),"")</f>
        <v>#DIV/0!</v>
      </c>
      <c r="M16" s="22"/>
      <c r="N16" s="22"/>
      <c r="O16" s="22"/>
      <c r="P16" s="22"/>
      <c r="Q16" s="22"/>
      <c r="R16" s="22"/>
      <c r="S16" s="22"/>
      <c r="T16" s="201">
        <v>8</v>
      </c>
      <c r="U16" s="22"/>
      <c r="V16" s="22"/>
      <c r="W16" s="22"/>
    </row>
    <row r="17" spans="1:23" ht="16.5" x14ac:dyDescent="0.2">
      <c r="A17" s="180">
        <f>'Diffusive Flux'!A18</f>
        <v>0</v>
      </c>
      <c r="B17" s="182" t="s">
        <v>100</v>
      </c>
      <c r="C17" s="268" t="e">
        <f ca="1">IF(NOT('Leaching Mechanism'!L13="Non-Diffusion Based"),SQRT(36)*PRODUCT(Uxy!D15,Uxy!E15,Uxy!F15,Uxy!G15,Uxy!H15,Uxy!I15,Uxy!J15,Uxy!K15)^0.125,"")</f>
        <v>#DIV/0!</v>
      </c>
      <c r="D17" s="187" t="e">
        <f ca="1">IF(NOT('Leaching Mechanism'!L13="Non-Diffusion Based"),SUM(Normalisation!E14:L14),"")</f>
        <v>#DIV/0!</v>
      </c>
      <c r="E17" s="188" t="e">
        <f ca="1">IF(AND(D17&lt;C17,'rc'!G13&lt;0.35,'rc'!F13&lt;0.35),D17,C17)</f>
        <v>#DIV/0!</v>
      </c>
      <c r="F17" s="187" t="e">
        <f ca="1">IF(AND('Leaching Mechanism'!G13="Surface Wash-Off",OR('Leaching Mechanism'!B13="Diffusion", 'Leaching Mechanism'!C13="Diffusion",'Leaching Mechanism'!D13="Diffusion", 'Leaching Mechanism'!E13="Diffusion", 'Leaching Mechanism'!F13="Diffusion")),Normalisation!F14+Normalisation!G14-(C17*SQRT(1/36)),"")</f>
        <v>#DIV/0!</v>
      </c>
      <c r="G17" s="187" t="e">
        <f t="shared" ca="1" si="0"/>
        <v>#DIV/0!</v>
      </c>
      <c r="H17" s="189" t="str">
        <f>IF(SUM('Analytical Data'!$F14:$M14)&lt;'Analytical Data'!E14*12,SUM(Normalisation!E14:L14)*SQRT(1),"")</f>
        <v/>
      </c>
      <c r="I17" s="189" t="e">
        <f ca="1">IF(AND(LOD!J13&gt;1.5,'rc'!I13&lt;0.35,LOD!F13&lt;1.5),(('Measured Cummulative'!F14-'Measured Cummulative'!E14)+('Measured Cummulative'!L14-'Measured Cummulative'!G14))*(SQRT(64)-SQRT(1))/(SQRT(64)-SQRT(1)),"")</f>
        <v>#DIV/0!</v>
      </c>
      <c r="J17" s="189" t="e">
        <f ca="1">IF(AND('Leaching Mechanism'!P13="Depletion",LOD!E13&gt;1.5),('Measured Cummulative'!L14*(SQRT(64)-SQRT(1))/(SQRT(64)-SQRT(1))),"")</f>
        <v>#DIV/0!</v>
      </c>
      <c r="K17" s="189" t="e">
        <f ca="1">IF(AND(ISBLANK(G17),OR('rc'!D13&gt;0.65,ISNUMBER(SEARCH("Dissolution",'Leaching Mechanism'!H13)))),2*'Measured Cummulative'!L14*SQRT(64/64),"")</f>
        <v>#NUM!</v>
      </c>
      <c r="L17" s="190" t="e">
        <f ca="1">IF(SUM(G17:K17)&lt;0.000001,5*'Measured Cummulative'!L14*SQRT(36/36),"")</f>
        <v>#DIV/0!</v>
      </c>
      <c r="M17" s="22"/>
      <c r="N17" s="22"/>
      <c r="O17" s="22"/>
      <c r="P17" s="22"/>
      <c r="Q17" s="22"/>
      <c r="R17" s="22"/>
      <c r="S17" s="22"/>
      <c r="T17" s="201">
        <v>9</v>
      </c>
      <c r="U17" s="22"/>
      <c r="V17" s="22"/>
      <c r="W17" s="22"/>
    </row>
    <row r="18" spans="1:23" ht="16.5" x14ac:dyDescent="0.2">
      <c r="A18" s="180">
        <f>'Diffusive Flux'!A19</f>
        <v>0</v>
      </c>
      <c r="B18" s="182" t="s">
        <v>100</v>
      </c>
      <c r="C18" s="268" t="e">
        <f ca="1">IF(NOT('Leaching Mechanism'!L14="Non-Diffusion Based"),SQRT(36)*PRODUCT(Uxy!D16,Uxy!E16,Uxy!F16,Uxy!G16,Uxy!H16,Uxy!I16,Uxy!J16,Uxy!K16)^0.125,"")</f>
        <v>#DIV/0!</v>
      </c>
      <c r="D18" s="187" t="e">
        <f ca="1">IF(NOT('Leaching Mechanism'!L14="Non-Diffusion Based"),SUM(Normalisation!E15:L15),"")</f>
        <v>#DIV/0!</v>
      </c>
      <c r="E18" s="188" t="e">
        <f ca="1">IF(AND(D18&lt;C18,'rc'!G14&lt;0.35,'rc'!F14&lt;0.35),D18,C18)</f>
        <v>#DIV/0!</v>
      </c>
      <c r="F18" s="187" t="e">
        <f ca="1">IF(AND('Leaching Mechanism'!G14="Surface Wash-Off",OR('Leaching Mechanism'!B14="Diffusion", 'Leaching Mechanism'!C14="Diffusion",'Leaching Mechanism'!D14="Diffusion", 'Leaching Mechanism'!E14="Diffusion", 'Leaching Mechanism'!F14="Diffusion")),Normalisation!F15+Normalisation!G15-(C18*SQRT(1/36)),"")</f>
        <v>#DIV/0!</v>
      </c>
      <c r="G18" s="187" t="e">
        <f t="shared" ca="1" si="0"/>
        <v>#DIV/0!</v>
      </c>
      <c r="H18" s="189" t="str">
        <f>IF(SUM('Analytical Data'!$F15:$M15)&lt;'Analytical Data'!E15*12,SUM(Normalisation!E15:L15)*SQRT(1),"")</f>
        <v/>
      </c>
      <c r="I18" s="189" t="e">
        <f ca="1">IF(AND(LOD!J14&gt;1.5,'rc'!I14&lt;0.35,LOD!F14&lt;1.5),(('Measured Cummulative'!F15-'Measured Cummulative'!E15)+('Measured Cummulative'!L15-'Measured Cummulative'!G15))*(SQRT(64)-SQRT(1))/(SQRT(64)-SQRT(1)),"")</f>
        <v>#DIV/0!</v>
      </c>
      <c r="J18" s="189" t="e">
        <f ca="1">IF(AND('Leaching Mechanism'!P14="Depletion",LOD!E14&gt;1.5),('Measured Cummulative'!L15*(SQRT(64)-SQRT(1))/(SQRT(64)-SQRT(1))),"")</f>
        <v>#DIV/0!</v>
      </c>
      <c r="K18" s="189" t="e">
        <f ca="1">IF(AND(ISBLANK(G18),OR('rc'!D14&gt;0.65,ISNUMBER(SEARCH("Dissolution",'Leaching Mechanism'!H14)))),2*'Measured Cummulative'!L15*SQRT(64/64),"")</f>
        <v>#NUM!</v>
      </c>
      <c r="L18" s="190" t="e">
        <f ca="1">IF(SUM(G18:K18)&lt;0.000001,5*'Measured Cummulative'!L15*SQRT(36/36),"")</f>
        <v>#DIV/0!</v>
      </c>
      <c r="M18" s="22"/>
      <c r="N18" s="22"/>
      <c r="O18" s="22"/>
      <c r="P18" s="22"/>
      <c r="Q18" s="22"/>
      <c r="R18" s="22"/>
      <c r="S18" s="22"/>
      <c r="T18" s="201">
        <v>10</v>
      </c>
      <c r="U18" s="22"/>
      <c r="V18" s="22"/>
      <c r="W18" s="22"/>
    </row>
    <row r="19" spans="1:23" ht="16.5" x14ac:dyDescent="0.2">
      <c r="A19" s="180">
        <f>'Diffusive Flux'!A20</f>
        <v>0</v>
      </c>
      <c r="B19" s="182" t="s">
        <v>100</v>
      </c>
      <c r="C19" s="268" t="e">
        <f ca="1">IF(NOT('Leaching Mechanism'!L15="Non-Diffusion Based"),SQRT(36)*PRODUCT(Uxy!D17,Uxy!E17,Uxy!F17,Uxy!G17,Uxy!H17,Uxy!I17,Uxy!J17,Uxy!K17)^0.125,"")</f>
        <v>#DIV/0!</v>
      </c>
      <c r="D19" s="187" t="e">
        <f ca="1">IF(NOT('Leaching Mechanism'!L15="Non-Diffusion Based"),SUM(Normalisation!E16:L16),"")</f>
        <v>#DIV/0!</v>
      </c>
      <c r="E19" s="188" t="e">
        <f ca="1">IF(AND(D19&lt;C19,'rc'!G15&lt;0.35,'rc'!F15&lt;0.35),D19,C19)</f>
        <v>#DIV/0!</v>
      </c>
      <c r="F19" s="187" t="e">
        <f ca="1">IF(AND('Leaching Mechanism'!G15="Surface Wash-Off",OR('Leaching Mechanism'!B15="Diffusion", 'Leaching Mechanism'!C15="Diffusion",'Leaching Mechanism'!D15="Diffusion", 'Leaching Mechanism'!E15="Diffusion", 'Leaching Mechanism'!F15="Diffusion")),Normalisation!F16+Normalisation!G16-(C19*SQRT(1/36)),"")</f>
        <v>#DIV/0!</v>
      </c>
      <c r="G19" s="187" t="e">
        <f t="shared" ca="1" si="0"/>
        <v>#DIV/0!</v>
      </c>
      <c r="H19" s="189" t="str">
        <f>IF(SUM('Analytical Data'!$F16:$M16)&lt;'Analytical Data'!E16*12,SUM(Normalisation!E16:L16)*SQRT(1),"")</f>
        <v/>
      </c>
      <c r="I19" s="189" t="e">
        <f ca="1">IF(AND(LOD!J15&gt;1.5,'rc'!I15&lt;0.35,LOD!F15&lt;1.5),(('Measured Cummulative'!F16-'Measured Cummulative'!E16)+('Measured Cummulative'!L16-'Measured Cummulative'!G16))*(SQRT(64)-SQRT(1))/(SQRT(64)-SQRT(1)),"")</f>
        <v>#DIV/0!</v>
      </c>
      <c r="J19" s="189" t="e">
        <f ca="1">IF(AND('Leaching Mechanism'!P15="Depletion",LOD!E15&gt;1.5),('Measured Cummulative'!L16*(SQRT(64)-SQRT(1))/(SQRT(64)-SQRT(1))),"")</f>
        <v>#DIV/0!</v>
      </c>
      <c r="K19" s="189" t="e">
        <f ca="1">IF(AND(ISBLANK(G19),OR('rc'!D15&gt;0.65,ISNUMBER(SEARCH("Dissolution",'Leaching Mechanism'!H15)))),2*'Measured Cummulative'!L16*SQRT(64/64),"")</f>
        <v>#NUM!</v>
      </c>
      <c r="L19" s="190" t="e">
        <f ca="1">IF(SUM(G19:K19)&lt;0.000001,5*'Measured Cummulative'!L16*SQRT(36/36),"")</f>
        <v>#DIV/0!</v>
      </c>
      <c r="M19" s="22"/>
      <c r="N19" s="22"/>
      <c r="O19" s="22"/>
      <c r="P19" s="22"/>
      <c r="Q19" s="22"/>
      <c r="R19" s="22"/>
      <c r="S19" s="22"/>
      <c r="T19" s="201">
        <v>11</v>
      </c>
      <c r="U19" s="22"/>
      <c r="V19" s="22"/>
      <c r="W19" s="22"/>
    </row>
    <row r="20" spans="1:23" ht="16.5" x14ac:dyDescent="0.2">
      <c r="A20" s="180">
        <f>'Diffusive Flux'!A21</f>
        <v>0</v>
      </c>
      <c r="B20" s="182" t="s">
        <v>100</v>
      </c>
      <c r="C20" s="268" t="e">
        <f ca="1">IF(NOT('Leaching Mechanism'!L16="Non-Diffusion Based"),SQRT(36)*PRODUCT(Uxy!D18,Uxy!E18,Uxy!F18,Uxy!G18,Uxy!H18,Uxy!I18,Uxy!J18,Uxy!K18)^0.125,"")</f>
        <v>#DIV/0!</v>
      </c>
      <c r="D20" s="187" t="e">
        <f ca="1">IF(NOT('Leaching Mechanism'!L16="Non-Diffusion Based"),SUM(Normalisation!E17:L17),"")</f>
        <v>#DIV/0!</v>
      </c>
      <c r="E20" s="188" t="e">
        <f ca="1">IF(AND(D20&lt;C20,'rc'!G16&lt;0.35,'rc'!F16&lt;0.35),D20,C20)</f>
        <v>#DIV/0!</v>
      </c>
      <c r="F20" s="187" t="e">
        <f ca="1">IF(AND('Leaching Mechanism'!G16="Surface Wash-Off",OR('Leaching Mechanism'!B16="Diffusion", 'Leaching Mechanism'!C16="Diffusion",'Leaching Mechanism'!D16="Diffusion", 'Leaching Mechanism'!E16="Diffusion", 'Leaching Mechanism'!F16="Diffusion")),Normalisation!F17+Normalisation!G17-(C20*SQRT(1/36)),"")</f>
        <v>#DIV/0!</v>
      </c>
      <c r="G20" s="187" t="e">
        <f t="shared" ca="1" si="0"/>
        <v>#DIV/0!</v>
      </c>
      <c r="H20" s="189" t="str">
        <f>IF(SUM('Analytical Data'!$F17:$M17)&lt;'Analytical Data'!E17*12,SUM(Normalisation!E17:L17)*SQRT(1),"")</f>
        <v/>
      </c>
      <c r="I20" s="189" t="e">
        <f ca="1">IF(AND(LOD!J16&gt;1.5,'rc'!I16&lt;0.35,LOD!F16&lt;1.5),(('Measured Cummulative'!F17-'Measured Cummulative'!E17)+('Measured Cummulative'!L17-'Measured Cummulative'!G17))*(SQRT(64)-SQRT(1))/(SQRT(64)-SQRT(1)),"")</f>
        <v>#DIV/0!</v>
      </c>
      <c r="J20" s="189" t="e">
        <f ca="1">IF(AND('Leaching Mechanism'!P16="Depletion",LOD!E16&gt;1.5),('Measured Cummulative'!L17*(SQRT(64)-SQRT(1))/(SQRT(64)-SQRT(1))),"")</f>
        <v>#DIV/0!</v>
      </c>
      <c r="K20" s="189" t="e">
        <f ca="1">IF(AND(ISBLANK(G20),OR('rc'!D16&gt;0.65,ISNUMBER(SEARCH("Dissolution",'Leaching Mechanism'!H16)))),2*'Measured Cummulative'!L17*SQRT(64/64),"")</f>
        <v>#NUM!</v>
      </c>
      <c r="L20" s="190" t="e">
        <f ca="1">IF(SUM(G20:K20)&lt;0.000001,5*'Measured Cummulative'!L17*SQRT(36/36),"")</f>
        <v>#DIV/0!</v>
      </c>
      <c r="M20" s="22"/>
      <c r="N20" s="22"/>
      <c r="O20" s="22"/>
      <c r="P20" s="22"/>
      <c r="Q20" s="22"/>
      <c r="R20" s="22"/>
      <c r="S20" s="22"/>
      <c r="T20" s="201">
        <v>12</v>
      </c>
      <c r="U20" s="22"/>
      <c r="V20" s="22"/>
      <c r="W20" s="22"/>
    </row>
    <row r="21" spans="1:23" ht="16.5" x14ac:dyDescent="0.2">
      <c r="A21" s="180">
        <f>'Diffusive Flux'!A22</f>
        <v>0</v>
      </c>
      <c r="B21" s="182" t="s">
        <v>100</v>
      </c>
      <c r="C21" s="268" t="e">
        <f ca="1">IF(NOT('Leaching Mechanism'!L17="Non-Diffusion Based"),SQRT(36)*PRODUCT(Uxy!D19,Uxy!E19,Uxy!F19,Uxy!G19,Uxy!H19,Uxy!I19,Uxy!J19,Uxy!K19)^0.125,"")</f>
        <v>#DIV/0!</v>
      </c>
      <c r="D21" s="187" t="e">
        <f ca="1">IF(NOT('Leaching Mechanism'!L17="Non-Diffusion Based"),SUM(Normalisation!E18:L18),"")</f>
        <v>#DIV/0!</v>
      </c>
      <c r="E21" s="188" t="e">
        <f ca="1">IF(AND(D21&lt;C21,'rc'!G17&lt;0.35,'rc'!F17&lt;0.35),D21,C21)</f>
        <v>#DIV/0!</v>
      </c>
      <c r="F21" s="187" t="e">
        <f ca="1">IF(AND('Leaching Mechanism'!G17="Surface Wash-Off",OR('Leaching Mechanism'!B17="Diffusion", 'Leaching Mechanism'!C17="Diffusion",'Leaching Mechanism'!D17="Diffusion", 'Leaching Mechanism'!E17="Diffusion", 'Leaching Mechanism'!F17="Diffusion")),Normalisation!F18+Normalisation!G18-(C21*SQRT(1/36)),"")</f>
        <v>#DIV/0!</v>
      </c>
      <c r="G21" s="187" t="e">
        <f t="shared" ca="1" si="0"/>
        <v>#DIV/0!</v>
      </c>
      <c r="H21" s="189" t="str">
        <f>IF(SUM('Analytical Data'!$F18:$M18)&lt;'Analytical Data'!E18*12,SUM(Normalisation!E18:L18)*SQRT(1),"")</f>
        <v/>
      </c>
      <c r="I21" s="189" t="e">
        <f ca="1">IF(AND(LOD!J17&gt;1.5,'rc'!I17&lt;0.35,LOD!F17&lt;1.5),(('Measured Cummulative'!F18-'Measured Cummulative'!E18)+('Measured Cummulative'!L18-'Measured Cummulative'!G18))*(SQRT(64)-SQRT(1))/(SQRT(64)-SQRT(1)),"")</f>
        <v>#DIV/0!</v>
      </c>
      <c r="J21" s="189" t="e">
        <f ca="1">IF(AND('Leaching Mechanism'!P17="Depletion",LOD!E17&gt;1.5),('Measured Cummulative'!L18*(SQRT(64)-SQRT(1))/(SQRT(64)-SQRT(1))),"")</f>
        <v>#DIV/0!</v>
      </c>
      <c r="K21" s="189" t="e">
        <f ca="1">IF(AND(ISBLANK(G21),OR('rc'!D17&gt;0.65,ISNUMBER(SEARCH("Dissolution",'Leaching Mechanism'!H17)))),2*'Measured Cummulative'!L18*SQRT(64/64),"")</f>
        <v>#NUM!</v>
      </c>
      <c r="L21" s="190" t="e">
        <f ca="1">IF(SUM(G21:K21)&lt;0.000001,5*'Measured Cummulative'!L18*SQRT(36/36),"")</f>
        <v>#DIV/0!</v>
      </c>
      <c r="M21" s="22"/>
      <c r="N21" s="22"/>
      <c r="O21" s="22"/>
      <c r="P21" s="22"/>
      <c r="Q21" s="22"/>
      <c r="R21" s="22"/>
      <c r="S21" s="22"/>
      <c r="T21" s="201">
        <v>13</v>
      </c>
      <c r="U21" s="22"/>
      <c r="V21" s="22"/>
      <c r="W21" s="22"/>
    </row>
    <row r="22" spans="1:23" ht="16.5" x14ac:dyDescent="0.2">
      <c r="A22" s="180">
        <f>'Diffusive Flux'!A23</f>
        <v>0</v>
      </c>
      <c r="B22" s="182" t="s">
        <v>100</v>
      </c>
      <c r="C22" s="268" t="e">
        <f ca="1">IF(NOT('Leaching Mechanism'!L18="Non-Diffusion Based"),SQRT(36)*PRODUCT(Uxy!D20,Uxy!E20,Uxy!F20,Uxy!G20,Uxy!H20,Uxy!I20,Uxy!J20,Uxy!K20)^0.125,"")</f>
        <v>#DIV/0!</v>
      </c>
      <c r="D22" s="187" t="e">
        <f ca="1">IF(NOT('Leaching Mechanism'!L18="Non-Diffusion Based"),SUM(Normalisation!E19:L19),"")</f>
        <v>#DIV/0!</v>
      </c>
      <c r="E22" s="188" t="e">
        <f ca="1">IF(AND(D22&lt;C22,'rc'!G18&lt;0.35,'rc'!F18&lt;0.35),D22,C22)</f>
        <v>#DIV/0!</v>
      </c>
      <c r="F22" s="187" t="e">
        <f ca="1">IF(AND('Leaching Mechanism'!G18="Surface Wash-Off",OR('Leaching Mechanism'!B18="Diffusion", 'Leaching Mechanism'!C18="Diffusion",'Leaching Mechanism'!D18="Diffusion", 'Leaching Mechanism'!E18="Diffusion", 'Leaching Mechanism'!F18="Diffusion")),Normalisation!F19+Normalisation!G19-(C22*SQRT(1/36)),"")</f>
        <v>#DIV/0!</v>
      </c>
      <c r="G22" s="187" t="e">
        <f t="shared" ca="1" si="0"/>
        <v>#DIV/0!</v>
      </c>
      <c r="H22" s="189" t="str">
        <f>IF(SUM('Analytical Data'!$F19:$M19)&lt;'Analytical Data'!E19*12,SUM(Normalisation!E19:L19)*SQRT(1),"")</f>
        <v/>
      </c>
      <c r="I22" s="189" t="e">
        <f ca="1">IF(AND(LOD!J18&gt;1.5,'rc'!I18&lt;0.35,LOD!F18&lt;1.5),(('Measured Cummulative'!F19-'Measured Cummulative'!E19)+('Measured Cummulative'!L19-'Measured Cummulative'!G19))*(SQRT(64)-SQRT(1))/(SQRT(64)-SQRT(1)),"")</f>
        <v>#DIV/0!</v>
      </c>
      <c r="J22" s="189" t="e">
        <f ca="1">IF(AND('Leaching Mechanism'!P18="Depletion",LOD!E18&gt;1.5),('Measured Cummulative'!L19*(SQRT(64)-SQRT(1))/(SQRT(64)-SQRT(1))),"")</f>
        <v>#DIV/0!</v>
      </c>
      <c r="K22" s="189" t="e">
        <f ca="1">IF(AND(ISBLANK(G22),OR('rc'!D18&gt;0.65,ISNUMBER(SEARCH("Dissolution",'Leaching Mechanism'!H18)))),2*'Measured Cummulative'!L19*SQRT(64/64),"")</f>
        <v>#NUM!</v>
      </c>
      <c r="L22" s="190" t="e">
        <f ca="1">IF(SUM(G22:K22)&lt;0.000001,5*'Measured Cummulative'!L19*SQRT(36/36),"")</f>
        <v>#DIV/0!</v>
      </c>
      <c r="M22" s="22"/>
      <c r="N22" s="22"/>
      <c r="O22" s="22"/>
      <c r="P22" s="22"/>
      <c r="Q22" s="22"/>
      <c r="R22" s="22"/>
      <c r="S22" s="22"/>
      <c r="T22" s="201">
        <v>14</v>
      </c>
      <c r="U22" s="22"/>
      <c r="V22" s="22"/>
      <c r="W22" s="22"/>
    </row>
    <row r="23" spans="1:23" ht="16.5" x14ac:dyDescent="0.2">
      <c r="A23" s="180">
        <f>'Diffusive Flux'!A24</f>
        <v>0</v>
      </c>
      <c r="B23" s="182" t="s">
        <v>100</v>
      </c>
      <c r="C23" s="268" t="e">
        <f ca="1">IF(NOT('Leaching Mechanism'!L19="Non-Diffusion Based"),SQRT(36)*PRODUCT(Uxy!D21,Uxy!E21,Uxy!F21,Uxy!G21,Uxy!H21,Uxy!I21,Uxy!J21,Uxy!K21)^0.125,"")</f>
        <v>#DIV/0!</v>
      </c>
      <c r="D23" s="187" t="e">
        <f ca="1">IF(NOT('Leaching Mechanism'!L19="Non-Diffusion Based"),SUM(Normalisation!E20:L20),"")</f>
        <v>#DIV/0!</v>
      </c>
      <c r="E23" s="188" t="e">
        <f ca="1">IF(AND(D23&lt;C23,'rc'!G19&lt;0.35,'rc'!F19&lt;0.35),D23,C23)</f>
        <v>#DIV/0!</v>
      </c>
      <c r="F23" s="187" t="e">
        <f ca="1">IF(AND('Leaching Mechanism'!G19="Surface Wash-Off",OR('Leaching Mechanism'!B19="Diffusion", 'Leaching Mechanism'!C19="Diffusion",'Leaching Mechanism'!D19="Diffusion", 'Leaching Mechanism'!E19="Diffusion", 'Leaching Mechanism'!F19="Diffusion")),Normalisation!F20+Normalisation!G20-(C23*SQRT(1/36)),"")</f>
        <v>#DIV/0!</v>
      </c>
      <c r="G23" s="187" t="e">
        <f t="shared" ca="1" si="0"/>
        <v>#DIV/0!</v>
      </c>
      <c r="H23" s="189" t="str">
        <f>IF(SUM('Analytical Data'!$F20:$M20)&lt;'Analytical Data'!E20*12,SUM(Normalisation!E20:L20)*SQRT(1),"")</f>
        <v/>
      </c>
      <c r="I23" s="189" t="e">
        <f ca="1">IF(AND(LOD!J19&gt;1.5,'rc'!I19&lt;0.35,LOD!F19&lt;1.5),(('Measured Cummulative'!F20-'Measured Cummulative'!E20)+('Measured Cummulative'!L20-'Measured Cummulative'!G20))*(SQRT(64)-SQRT(1))/(SQRT(64)-SQRT(1)),"")</f>
        <v>#DIV/0!</v>
      </c>
      <c r="J23" s="189" t="e">
        <f ca="1">IF(AND('Leaching Mechanism'!P19="Depletion",LOD!E19&gt;1.5),('Measured Cummulative'!L20*(SQRT(64)-SQRT(1))/(SQRT(64)-SQRT(1))),"")</f>
        <v>#DIV/0!</v>
      </c>
      <c r="K23" s="189" t="e">
        <f ca="1">IF(AND(ISBLANK(G23),OR('rc'!D19&gt;0.65,ISNUMBER(SEARCH("Dissolution",'Leaching Mechanism'!H19)))),2*'Measured Cummulative'!L20*SQRT(64/64),"")</f>
        <v>#NUM!</v>
      </c>
      <c r="L23" s="190" t="e">
        <f ca="1">IF(SUM(G23:K23)&lt;0.000001,5*'Measured Cummulative'!L20*SQRT(36/36),"")</f>
        <v>#DIV/0!</v>
      </c>
      <c r="M23" s="22"/>
      <c r="N23" s="22"/>
      <c r="O23" s="22"/>
      <c r="P23" s="22"/>
      <c r="Q23" s="22"/>
      <c r="R23" s="22"/>
      <c r="S23" s="22"/>
      <c r="T23" s="201">
        <v>15</v>
      </c>
      <c r="U23" s="22"/>
      <c r="V23" s="22"/>
      <c r="W23" s="22"/>
    </row>
    <row r="24" spans="1:23" ht="16.5" x14ac:dyDescent="0.2">
      <c r="A24" s="180">
        <f>'Diffusive Flux'!A25</f>
        <v>0</v>
      </c>
      <c r="B24" s="182" t="s">
        <v>100</v>
      </c>
      <c r="C24" s="268" t="e">
        <f ca="1">IF(NOT('Leaching Mechanism'!L20="Non-Diffusion Based"),SQRT(36)*PRODUCT(Uxy!D22,Uxy!E22,Uxy!F22,Uxy!G22,Uxy!H22,Uxy!I22,Uxy!J22,Uxy!K22)^0.125,"")</f>
        <v>#DIV/0!</v>
      </c>
      <c r="D24" s="187" t="e">
        <f ca="1">IF(NOT('Leaching Mechanism'!L20="Non-Diffusion Based"),SUM(Normalisation!E21:L21),"")</f>
        <v>#DIV/0!</v>
      </c>
      <c r="E24" s="188" t="e">
        <f ca="1">IF(AND(D24&lt;C24,'rc'!G20&lt;0.35,'rc'!F20&lt;0.35),D24,C24)</f>
        <v>#DIV/0!</v>
      </c>
      <c r="F24" s="187" t="e">
        <f ca="1">IF(AND('Leaching Mechanism'!G20="Surface Wash-Off",OR('Leaching Mechanism'!B20="Diffusion", 'Leaching Mechanism'!C20="Diffusion",'Leaching Mechanism'!D20="Diffusion", 'Leaching Mechanism'!E20="Diffusion", 'Leaching Mechanism'!F20="Diffusion")),Normalisation!F21+Normalisation!G21-(C24*SQRT(1/36)),"")</f>
        <v>#DIV/0!</v>
      </c>
      <c r="G24" s="187" t="e">
        <f t="shared" ca="1" si="0"/>
        <v>#DIV/0!</v>
      </c>
      <c r="H24" s="189" t="str">
        <f>IF(SUM('Analytical Data'!$F21:$M21)&lt;'Analytical Data'!E21*12,SUM(Normalisation!E21:L21)*SQRT(1),"")</f>
        <v/>
      </c>
      <c r="I24" s="189" t="e">
        <f ca="1">IF(AND(LOD!J20&gt;1.5,'rc'!I20&lt;0.35,LOD!F20&lt;1.5),(('Measured Cummulative'!F21-'Measured Cummulative'!E21)+('Measured Cummulative'!L21-'Measured Cummulative'!G21))*(SQRT(64)-SQRT(1))/(SQRT(64)-SQRT(1)),"")</f>
        <v>#DIV/0!</v>
      </c>
      <c r="J24" s="189" t="e">
        <f ca="1">IF(AND('Leaching Mechanism'!P20="Depletion",LOD!E20&gt;1.5),('Measured Cummulative'!L21*(SQRT(64)-SQRT(1))/(SQRT(64)-SQRT(1))),"")</f>
        <v>#DIV/0!</v>
      </c>
      <c r="K24" s="189" t="e">
        <f ca="1">IF(AND(ISBLANK(G24),OR('rc'!D20&gt;0.65,ISNUMBER(SEARCH("Dissolution",'Leaching Mechanism'!H20)))),2*'Measured Cummulative'!L21*SQRT(64/64),"")</f>
        <v>#NUM!</v>
      </c>
      <c r="L24" s="190" t="e">
        <f ca="1">IF(SUM(G24:K24)&lt;0.000001,5*'Measured Cummulative'!L21*SQRT(36/36),"")</f>
        <v>#DIV/0!</v>
      </c>
      <c r="M24" s="22"/>
      <c r="N24" s="22"/>
      <c r="O24" s="22"/>
      <c r="P24" s="22"/>
      <c r="Q24" s="22"/>
      <c r="R24" s="22"/>
      <c r="S24" s="22"/>
      <c r="T24" s="201">
        <v>16</v>
      </c>
      <c r="U24" s="22"/>
      <c r="V24" s="22"/>
      <c r="W24" s="22"/>
    </row>
    <row r="25" spans="1:23" ht="16.5" x14ac:dyDescent="0.2">
      <c r="A25" s="180">
        <f>'Diffusive Flux'!A26</f>
        <v>0</v>
      </c>
      <c r="B25" s="182" t="s">
        <v>100</v>
      </c>
      <c r="C25" s="268" t="e">
        <f ca="1">IF(NOT('Leaching Mechanism'!L21="Non-Diffusion Based"),SQRT(36)*PRODUCT(Uxy!D23,Uxy!E23,Uxy!F23,Uxy!G23,Uxy!H23,Uxy!I23,Uxy!J23,Uxy!K23)^0.125,"")</f>
        <v>#DIV/0!</v>
      </c>
      <c r="D25" s="187" t="e">
        <f ca="1">IF(NOT('Leaching Mechanism'!L21="Non-Diffusion Based"),SUM(Normalisation!E22:L22),"")</f>
        <v>#DIV/0!</v>
      </c>
      <c r="E25" s="188" t="e">
        <f ca="1">IF(AND(D25&lt;C25,'rc'!G21&lt;0.35,'rc'!F21&lt;0.35),D25,C25)</f>
        <v>#DIV/0!</v>
      </c>
      <c r="F25" s="187" t="e">
        <f ca="1">IF(AND('Leaching Mechanism'!G21="Surface Wash-Off",OR('Leaching Mechanism'!B21="Diffusion", 'Leaching Mechanism'!C21="Diffusion",'Leaching Mechanism'!D21="Diffusion", 'Leaching Mechanism'!E21="Diffusion", 'Leaching Mechanism'!F21="Diffusion")),Normalisation!F22+Normalisation!G22-(C25*SQRT(1/36)),"")</f>
        <v>#DIV/0!</v>
      </c>
      <c r="G25" s="187" t="e">
        <f t="shared" ca="1" si="0"/>
        <v>#DIV/0!</v>
      </c>
      <c r="H25" s="189" t="str">
        <f>IF(SUM('Analytical Data'!$F22:$M22)&lt;'Analytical Data'!E22*12,SUM(Normalisation!E22:L22)*SQRT(1),"")</f>
        <v/>
      </c>
      <c r="I25" s="189" t="e">
        <f ca="1">IF(AND(LOD!J21&gt;1.5,'rc'!I21&lt;0.35,LOD!F21&lt;1.5),(('Measured Cummulative'!F22-'Measured Cummulative'!E22)+('Measured Cummulative'!L22-'Measured Cummulative'!G22))*(SQRT(64)-SQRT(1))/(SQRT(64)-SQRT(1)),"")</f>
        <v>#DIV/0!</v>
      </c>
      <c r="J25" s="189" t="e">
        <f ca="1">IF(AND('Leaching Mechanism'!P21="Depletion",LOD!E21&gt;1.5),('Measured Cummulative'!L22*(SQRT(64)-SQRT(1))/(SQRT(64)-SQRT(1))),"")</f>
        <v>#DIV/0!</v>
      </c>
      <c r="K25" s="189" t="e">
        <f ca="1">IF(AND(ISBLANK(G25),OR('rc'!D21&gt;0.65,ISNUMBER(SEARCH("Dissolution",'Leaching Mechanism'!H21)))),2*'Measured Cummulative'!L22*SQRT(64/64),"")</f>
        <v>#NUM!</v>
      </c>
      <c r="L25" s="190" t="e">
        <f ca="1">IF(SUM(G25:K25)&lt;0.000001,5*'Measured Cummulative'!L22*SQRT(36/36),"")</f>
        <v>#DIV/0!</v>
      </c>
      <c r="M25" s="22"/>
      <c r="N25" s="22"/>
      <c r="O25" s="22"/>
      <c r="P25" s="22"/>
      <c r="Q25" s="22"/>
      <c r="R25" s="22"/>
      <c r="S25" s="22"/>
      <c r="T25" s="201">
        <v>17</v>
      </c>
      <c r="U25" s="22"/>
      <c r="V25" s="22"/>
      <c r="W25" s="22"/>
    </row>
    <row r="26" spans="1:23" ht="16.5" x14ac:dyDescent="0.2">
      <c r="A26" s="180">
        <f>'Diffusive Flux'!A27</f>
        <v>0</v>
      </c>
      <c r="B26" s="182" t="s">
        <v>100</v>
      </c>
      <c r="C26" s="268" t="e">
        <f ca="1">IF(NOT('Leaching Mechanism'!L22="Non-Diffusion Based"),SQRT(36)*PRODUCT(Uxy!D24,Uxy!E24,Uxy!F24,Uxy!G24,Uxy!H24,Uxy!I24,Uxy!J24,Uxy!K24)^0.125,"")</f>
        <v>#DIV/0!</v>
      </c>
      <c r="D26" s="187" t="e">
        <f ca="1">IF(NOT('Leaching Mechanism'!L22="Non-Diffusion Based"),SUM(Normalisation!E23:L23),"")</f>
        <v>#DIV/0!</v>
      </c>
      <c r="E26" s="188" t="e">
        <f ca="1">IF(AND(D26&lt;C26,'rc'!G22&lt;0.35,'rc'!F22&lt;0.35),D26,C26)</f>
        <v>#DIV/0!</v>
      </c>
      <c r="F26" s="187" t="e">
        <f ca="1">IF(AND('Leaching Mechanism'!G22="Surface Wash-Off",OR('Leaching Mechanism'!B22="Diffusion", 'Leaching Mechanism'!C22="Diffusion",'Leaching Mechanism'!D22="Diffusion", 'Leaching Mechanism'!E22="Diffusion", 'Leaching Mechanism'!F22="Diffusion")),Normalisation!F23+Normalisation!G23-(C26*SQRT(1/36)),"")</f>
        <v>#DIV/0!</v>
      </c>
      <c r="G26" s="187" t="e">
        <f t="shared" ca="1" si="0"/>
        <v>#DIV/0!</v>
      </c>
      <c r="H26" s="189" t="str">
        <f>IF(SUM('Analytical Data'!$F23:$M23)&lt;'Analytical Data'!E23*12,SUM(Normalisation!E23:L23)*SQRT(1),"")</f>
        <v/>
      </c>
      <c r="I26" s="189" t="e">
        <f ca="1">IF(AND(LOD!J22&gt;1.5,'rc'!I22&lt;0.35,LOD!F22&lt;1.5),(('Measured Cummulative'!F23-'Measured Cummulative'!E23)+('Measured Cummulative'!L23-'Measured Cummulative'!G23))*(SQRT(64)-SQRT(1))/(SQRT(64)-SQRT(1)),"")</f>
        <v>#DIV/0!</v>
      </c>
      <c r="J26" s="189" t="e">
        <f ca="1">IF(AND('Leaching Mechanism'!P22="Depletion",LOD!E22&gt;1.5),('Measured Cummulative'!L23*(SQRT(64)-SQRT(1))/(SQRT(64)-SQRT(1))),"")</f>
        <v>#DIV/0!</v>
      </c>
      <c r="K26" s="189" t="e">
        <f ca="1">IF(AND(ISBLANK(G26),OR('rc'!D22&gt;0.65,ISNUMBER(SEARCH("Dissolution",'Leaching Mechanism'!H22)))),2*'Measured Cummulative'!L23*SQRT(64/64),"")</f>
        <v>#NUM!</v>
      </c>
      <c r="L26" s="190" t="e">
        <f ca="1">IF(SUM(G26:K26)&lt;0.000001,5*'Measured Cummulative'!L23*SQRT(36/36),"")</f>
        <v>#DIV/0!</v>
      </c>
      <c r="M26" s="22"/>
      <c r="N26" s="22"/>
      <c r="O26" s="22"/>
      <c r="P26" s="22"/>
      <c r="Q26" s="22"/>
      <c r="R26" s="22"/>
      <c r="S26" s="22"/>
      <c r="T26" s="201">
        <v>18</v>
      </c>
      <c r="U26" s="22"/>
      <c r="V26" s="22"/>
      <c r="W26" s="22"/>
    </row>
    <row r="27" spans="1:23" ht="16.5" x14ac:dyDescent="0.2">
      <c r="A27" s="180">
        <f>'Diffusive Flux'!A28</f>
        <v>0</v>
      </c>
      <c r="B27" s="182" t="s">
        <v>100</v>
      </c>
      <c r="C27" s="268" t="e">
        <f ca="1">IF(NOT('Leaching Mechanism'!L23="Non-Diffusion Based"),SQRT(36)*PRODUCT(Uxy!D25,Uxy!E25,Uxy!F25,Uxy!G25,Uxy!H25,Uxy!I25,Uxy!J25,Uxy!K25)^0.125,"")</f>
        <v>#DIV/0!</v>
      </c>
      <c r="D27" s="187" t="e">
        <f ca="1">IF(NOT('Leaching Mechanism'!L23="Non-Diffusion Based"),SUM(Normalisation!E24:L24),"")</f>
        <v>#DIV/0!</v>
      </c>
      <c r="E27" s="188" t="e">
        <f ca="1">IF(AND(D27&lt;C27,'rc'!G23&lt;0.35,'rc'!F23&lt;0.35),D27,C27)</f>
        <v>#DIV/0!</v>
      </c>
      <c r="F27" s="187" t="e">
        <f ca="1">IF(AND('Leaching Mechanism'!G23="Surface Wash-Off",OR('Leaching Mechanism'!B23="Diffusion", 'Leaching Mechanism'!C23="Diffusion",'Leaching Mechanism'!D23="Diffusion", 'Leaching Mechanism'!E23="Diffusion", 'Leaching Mechanism'!F23="Diffusion")),Normalisation!F24+Normalisation!G24-(C27*SQRT(1/36)),"")</f>
        <v>#DIV/0!</v>
      </c>
      <c r="G27" s="187" t="e">
        <f t="shared" ca="1" si="0"/>
        <v>#DIV/0!</v>
      </c>
      <c r="H27" s="189" t="str">
        <f>IF(SUM('Analytical Data'!$F24:$M24)&lt;'Analytical Data'!E24*12,SUM(Normalisation!E24:L24)*SQRT(1),"")</f>
        <v/>
      </c>
      <c r="I27" s="189" t="e">
        <f ca="1">IF(AND(LOD!J23&gt;1.5,'rc'!I23&lt;0.35,LOD!F23&lt;1.5),(('Measured Cummulative'!F24-'Measured Cummulative'!E24)+('Measured Cummulative'!L24-'Measured Cummulative'!G24))*(SQRT(64)-SQRT(1))/(SQRT(64)-SQRT(1)),"")</f>
        <v>#DIV/0!</v>
      </c>
      <c r="J27" s="189" t="e">
        <f ca="1">IF(AND('Leaching Mechanism'!P23="Depletion",LOD!E23&gt;1.5),('Measured Cummulative'!L24*(SQRT(64)-SQRT(1))/(SQRT(64)-SQRT(1))),"")</f>
        <v>#DIV/0!</v>
      </c>
      <c r="K27" s="189" t="e">
        <f ca="1">IF(AND(ISBLANK(G27),OR('rc'!D23&gt;0.65,ISNUMBER(SEARCH("Dissolution",'Leaching Mechanism'!H23)))),2*'Measured Cummulative'!L24*SQRT(64/64),"")</f>
        <v>#NUM!</v>
      </c>
      <c r="L27" s="190" t="e">
        <f ca="1">IF(SUM(G27:K27)&lt;0.000001,5*'Measured Cummulative'!L24*SQRT(36/36),"")</f>
        <v>#DIV/0!</v>
      </c>
      <c r="M27" s="22"/>
      <c r="N27" s="22"/>
      <c r="O27" s="22"/>
      <c r="P27" s="22"/>
      <c r="Q27" s="22"/>
      <c r="R27" s="22"/>
      <c r="S27" s="22"/>
      <c r="T27" s="201">
        <v>19</v>
      </c>
      <c r="U27" s="22"/>
      <c r="V27" s="22"/>
      <c r="W27" s="22"/>
    </row>
    <row r="28" spans="1:23" ht="16.5" x14ac:dyDescent="0.2">
      <c r="A28" s="180">
        <f>'Diffusive Flux'!A29</f>
        <v>0</v>
      </c>
      <c r="B28" s="182" t="s">
        <v>100</v>
      </c>
      <c r="C28" s="268" t="e">
        <f ca="1">IF(NOT('Leaching Mechanism'!L24="Non-Diffusion Based"),SQRT(36)*PRODUCT(Uxy!D26,Uxy!E26,Uxy!F26,Uxy!G26,Uxy!H26,Uxy!I26,Uxy!J26,Uxy!K26)^0.125,"")</f>
        <v>#DIV/0!</v>
      </c>
      <c r="D28" s="187" t="e">
        <f ca="1">IF(NOT('Leaching Mechanism'!L24="Non-Diffusion Based"),SUM(Normalisation!E25:L25),"")</f>
        <v>#DIV/0!</v>
      </c>
      <c r="E28" s="188" t="e">
        <f ca="1">IF(AND(D28&lt;C28,'rc'!G24&lt;0.35,'rc'!F24&lt;0.35),D28,C28)</f>
        <v>#DIV/0!</v>
      </c>
      <c r="F28" s="187" t="e">
        <f ca="1">IF(AND('Leaching Mechanism'!G24="Surface Wash-Off",OR('Leaching Mechanism'!B24="Diffusion", 'Leaching Mechanism'!C24="Diffusion",'Leaching Mechanism'!D24="Diffusion", 'Leaching Mechanism'!E24="Diffusion", 'Leaching Mechanism'!F24="Diffusion")),Normalisation!F25+Normalisation!G25-(C28*SQRT(1/36)),"")</f>
        <v>#DIV/0!</v>
      </c>
      <c r="G28" s="187" t="e">
        <f t="shared" ca="1" si="0"/>
        <v>#DIV/0!</v>
      </c>
      <c r="H28" s="189" t="str">
        <f>IF(SUM('Analytical Data'!$F25:$M25)&lt;'Analytical Data'!E25*12,SUM(Normalisation!E25:L25)*SQRT(1),"")</f>
        <v/>
      </c>
      <c r="I28" s="189" t="e">
        <f ca="1">IF(AND(LOD!J24&gt;1.5,'rc'!I24&lt;0.35,LOD!F24&lt;1.5),(('Measured Cummulative'!F25-'Measured Cummulative'!E25)+('Measured Cummulative'!L25-'Measured Cummulative'!G25))*(SQRT(64)-SQRT(1))/(SQRT(64)-SQRT(1)),"")</f>
        <v>#DIV/0!</v>
      </c>
      <c r="J28" s="189" t="e">
        <f ca="1">IF(AND('Leaching Mechanism'!P24="Depletion",LOD!E24&gt;1.5),('Measured Cummulative'!L25*(SQRT(64)-SQRT(1))/(SQRT(64)-SQRT(1))),"")</f>
        <v>#DIV/0!</v>
      </c>
      <c r="K28" s="189" t="e">
        <f ca="1">IF(AND(ISBLANK(G28),OR('rc'!D24&gt;0.65,ISNUMBER(SEARCH("Dissolution",'Leaching Mechanism'!H24)))),2*'Measured Cummulative'!L25*SQRT(64/64),"")</f>
        <v>#NUM!</v>
      </c>
      <c r="L28" s="190" t="e">
        <f ca="1">IF(SUM(G28:K28)&lt;0.000001,5*'Measured Cummulative'!L25*SQRT(36/36),"")</f>
        <v>#DIV/0!</v>
      </c>
      <c r="M28" s="22"/>
      <c r="N28" s="22"/>
      <c r="O28" s="22"/>
      <c r="P28" s="22"/>
      <c r="Q28" s="22"/>
      <c r="R28" s="22"/>
      <c r="S28" s="22"/>
      <c r="T28" s="201">
        <v>20</v>
      </c>
      <c r="U28" s="22"/>
      <c r="V28" s="22"/>
      <c r="W28" s="22"/>
    </row>
    <row r="29" spans="1:23" ht="16.5" x14ac:dyDescent="0.2">
      <c r="A29" s="180">
        <f>'Diffusive Flux'!A30</f>
        <v>0</v>
      </c>
      <c r="B29" s="182" t="s">
        <v>100</v>
      </c>
      <c r="C29" s="268" t="e">
        <f ca="1">IF(NOT('Leaching Mechanism'!L25="Non-Diffusion Based"),SQRT(36)*PRODUCT(Uxy!D27,Uxy!E27,Uxy!F27,Uxy!G27,Uxy!H27,Uxy!I27,Uxy!J27,Uxy!K27)^0.125,"")</f>
        <v>#DIV/0!</v>
      </c>
      <c r="D29" s="187" t="e">
        <f ca="1">IF(NOT('Leaching Mechanism'!L25="Non-Diffusion Based"),SUM(Normalisation!E26:L26),"")</f>
        <v>#DIV/0!</v>
      </c>
      <c r="E29" s="188" t="e">
        <f ca="1">IF(AND(D29&lt;C29,'rc'!G25&lt;0.35,'rc'!F25&lt;0.35),D29,C29)</f>
        <v>#DIV/0!</v>
      </c>
      <c r="F29" s="187" t="e">
        <f ca="1">IF(AND('Leaching Mechanism'!G25="Surface Wash-Off",OR('Leaching Mechanism'!B25="Diffusion", 'Leaching Mechanism'!C25="Diffusion",'Leaching Mechanism'!D25="Diffusion", 'Leaching Mechanism'!E25="Diffusion", 'Leaching Mechanism'!F25="Diffusion")),Normalisation!F26+Normalisation!G26-(C29*SQRT(1/36)),"")</f>
        <v>#DIV/0!</v>
      </c>
      <c r="G29" s="187" t="e">
        <f t="shared" ca="1" si="0"/>
        <v>#DIV/0!</v>
      </c>
      <c r="H29" s="189" t="str">
        <f>IF(SUM('Analytical Data'!$F26:$M26)&lt;'Analytical Data'!E26*12,SUM(Normalisation!E26:L26)*SQRT(1),"")</f>
        <v/>
      </c>
      <c r="I29" s="189" t="e">
        <f ca="1">IF(AND(LOD!J25&gt;1.5,'rc'!I25&lt;0.35,LOD!F25&lt;1.5),(('Measured Cummulative'!F26-'Measured Cummulative'!E26)+('Measured Cummulative'!L26-'Measured Cummulative'!G26))*(SQRT(64)-SQRT(1))/(SQRT(64)-SQRT(1)),"")</f>
        <v>#DIV/0!</v>
      </c>
      <c r="J29" s="189" t="e">
        <f ca="1">IF(AND('Leaching Mechanism'!P25="Depletion",LOD!E25&gt;1.5),('Measured Cummulative'!L26*(SQRT(64)-SQRT(1))/(SQRT(64)-SQRT(1))),"")</f>
        <v>#DIV/0!</v>
      </c>
      <c r="K29" s="189" t="e">
        <f ca="1">IF(AND(ISBLANK(G29),OR('rc'!D25&gt;0.65,ISNUMBER(SEARCH("Dissolution",'Leaching Mechanism'!H25)))),2*'Measured Cummulative'!L26*SQRT(64/64),"")</f>
        <v>#NUM!</v>
      </c>
      <c r="L29" s="190" t="e">
        <f ca="1">IF(SUM(G29:K29)&lt;0.000001,5*'Measured Cummulative'!L26*SQRT(36/36),"")</f>
        <v>#DIV/0!</v>
      </c>
      <c r="M29" s="22"/>
      <c r="N29" s="22"/>
      <c r="O29" s="22"/>
      <c r="P29" s="22"/>
      <c r="Q29" s="22"/>
      <c r="R29" s="22"/>
      <c r="S29" s="22"/>
      <c r="T29" s="201">
        <v>21</v>
      </c>
      <c r="U29" s="22"/>
      <c r="V29" s="22"/>
      <c r="W29" s="22"/>
    </row>
    <row r="30" spans="1:23" ht="16.5" x14ac:dyDescent="0.2">
      <c r="A30" s="180">
        <f>'Diffusive Flux'!A31</f>
        <v>0</v>
      </c>
      <c r="B30" s="182" t="s">
        <v>132</v>
      </c>
      <c r="C30" s="268" t="e">
        <f ca="1">IF(NOT('Leaching Mechanism'!L26="Non-Diffusion Based"),SQRT(36)*PRODUCT(Uxy!D28,Uxy!E28,Uxy!F28,Uxy!G28,Uxy!H28,Uxy!I28,Uxy!J28,Uxy!K28)^0.125,"")</f>
        <v>#DIV/0!</v>
      </c>
      <c r="D30" s="187" t="e">
        <f ca="1">IF(NOT('Leaching Mechanism'!L26="Non-Diffusion Based"),SUM(Normalisation!E27:L27),"")</f>
        <v>#DIV/0!</v>
      </c>
      <c r="E30" s="188" t="e">
        <f ca="1">IF(AND(D30&lt;C30,'rc'!G26&lt;0.35,'rc'!F26&lt;0.35),D30,C30)</f>
        <v>#DIV/0!</v>
      </c>
      <c r="F30" s="187" t="e">
        <f ca="1">IF(AND('Leaching Mechanism'!G26="Surface Wash-Off",OR('Leaching Mechanism'!B26="Diffusion", 'Leaching Mechanism'!C26="Diffusion",'Leaching Mechanism'!D26="Diffusion", 'Leaching Mechanism'!E26="Diffusion", 'Leaching Mechanism'!F26="Diffusion")),Normalisation!F27+Normalisation!G27-(C30*SQRT(1/36)),"")</f>
        <v>#DIV/0!</v>
      </c>
      <c r="G30" s="187" t="e">
        <f t="shared" ca="1" si="0"/>
        <v>#DIV/0!</v>
      </c>
      <c r="H30" s="189" t="str">
        <f>IF(SUM('Analytical Data'!$F27:$M27)&lt;'Analytical Data'!E27*12,SUM(Normalisation!E27:L27)*SQRT(1),"")</f>
        <v/>
      </c>
      <c r="I30" s="189" t="e">
        <f ca="1">IF(AND(LOD!J26&gt;1.5,'rc'!I26&lt;0.35,LOD!F26&lt;1.5),(('Measured Cummulative'!F27-'Measured Cummulative'!E27)+('Measured Cummulative'!L27-'Measured Cummulative'!G27))*(SQRT(64)-SQRT(1))/(SQRT(64)-SQRT(1)),"")</f>
        <v>#DIV/0!</v>
      </c>
      <c r="J30" s="189" t="e">
        <f ca="1">IF(AND('Leaching Mechanism'!P26="Depletion",LOD!E26&gt;1.5),('Measured Cummulative'!L27*(SQRT(64)-SQRT(1))/(SQRT(64)-SQRT(1))),"")</f>
        <v>#DIV/0!</v>
      </c>
      <c r="K30" s="189" t="e">
        <f ca="1">IF(AND(ISBLANK(G30),OR('rc'!D26&gt;0.65,ISNUMBER(SEARCH("Dissolution",'Leaching Mechanism'!H26)))),2*'Measured Cummulative'!L27*SQRT(64/64),"")</f>
        <v>#NUM!</v>
      </c>
      <c r="L30" s="190" t="e">
        <f ca="1">IF(SUM(G30:K30)&lt;0.000001,5*'Measured Cummulative'!L27*SQRT(36/36),"")</f>
        <v>#DIV/0!</v>
      </c>
      <c r="M30" s="22"/>
      <c r="N30" s="22"/>
      <c r="O30" s="22"/>
      <c r="P30" s="22"/>
      <c r="Q30" s="22"/>
      <c r="R30" s="22"/>
      <c r="S30" s="22"/>
      <c r="T30" s="201">
        <v>22</v>
      </c>
      <c r="U30" s="22"/>
      <c r="V30" s="22"/>
      <c r="W30" s="22"/>
    </row>
    <row r="31" spans="1:23" ht="16.5" x14ac:dyDescent="0.2">
      <c r="A31" s="180">
        <f>'Diffusive Flux'!A32</f>
        <v>0</v>
      </c>
      <c r="B31" s="182" t="s">
        <v>132</v>
      </c>
      <c r="C31" s="268" t="e">
        <f ca="1">IF(NOT('Leaching Mechanism'!L27="Non-Diffusion Based"),SQRT(36)*PRODUCT(Uxy!D29,Uxy!E29,Uxy!F29,Uxy!G29,Uxy!H29,Uxy!I29,Uxy!J29,Uxy!K29)^0.125,"")</f>
        <v>#DIV/0!</v>
      </c>
      <c r="D31" s="187" t="e">
        <f ca="1">IF(NOT('Leaching Mechanism'!L27="Non-Diffusion Based"),SUM(Normalisation!E28:L28),"")</f>
        <v>#DIV/0!</v>
      </c>
      <c r="E31" s="188" t="e">
        <f ca="1">IF(AND(D31&lt;C31,'rc'!G27&lt;0.35,'rc'!F27&lt;0.35),D31,C31)</f>
        <v>#DIV/0!</v>
      </c>
      <c r="F31" s="187" t="e">
        <f ca="1">IF(AND('Leaching Mechanism'!G27="Surface Wash-Off",OR('Leaching Mechanism'!B27="Diffusion", 'Leaching Mechanism'!C27="Diffusion",'Leaching Mechanism'!D27="Diffusion", 'Leaching Mechanism'!E27="Diffusion", 'Leaching Mechanism'!F27="Diffusion")),Normalisation!F28+Normalisation!G28-(C31*SQRT(1/36)),"")</f>
        <v>#DIV/0!</v>
      </c>
      <c r="G31" s="187" t="e">
        <f t="shared" ca="1" si="0"/>
        <v>#DIV/0!</v>
      </c>
      <c r="H31" s="189" t="str">
        <f>IF(SUM('Analytical Data'!$F28:$M28)&lt;'Analytical Data'!E28*12,SUM(Normalisation!E28:L28)*SQRT(1),"")</f>
        <v/>
      </c>
      <c r="I31" s="189" t="e">
        <f ca="1">IF(AND(LOD!J27&gt;1.5,'rc'!I27&lt;0.35,LOD!F27&lt;1.5),(('Measured Cummulative'!F28-'Measured Cummulative'!E28)+('Measured Cummulative'!L28-'Measured Cummulative'!G28))*(SQRT(64)-SQRT(1))/(SQRT(64)-SQRT(1)),"")</f>
        <v>#DIV/0!</v>
      </c>
      <c r="J31" s="189" t="e">
        <f ca="1">IF(AND('Leaching Mechanism'!P27="Depletion",LOD!E27&gt;1.5),('Measured Cummulative'!L28*(SQRT(64)-SQRT(1))/(SQRT(64)-SQRT(1))),"")</f>
        <v>#DIV/0!</v>
      </c>
      <c r="K31" s="189" t="e">
        <f ca="1">IF(AND(ISBLANK(G31),OR('rc'!D27&gt;0.65,ISNUMBER(SEARCH("Dissolution",'Leaching Mechanism'!H27)))),2*'Measured Cummulative'!L28*SQRT(64/64),"")</f>
        <v>#NUM!</v>
      </c>
      <c r="L31" s="190" t="e">
        <f ca="1">IF(SUM(G31:K31)&lt;0.000001,5*'Measured Cummulative'!L28*SQRT(36/36),"")</f>
        <v>#DIV/0!</v>
      </c>
      <c r="M31" s="22"/>
      <c r="N31" s="22"/>
      <c r="O31" s="22"/>
      <c r="P31" s="22"/>
      <c r="Q31" s="22"/>
      <c r="R31" s="22"/>
      <c r="S31" s="22"/>
      <c r="T31" s="201">
        <v>23</v>
      </c>
      <c r="U31" s="22"/>
      <c r="V31" s="22"/>
      <c r="W31" s="22"/>
    </row>
    <row r="32" spans="1:23" ht="16.5" x14ac:dyDescent="0.2">
      <c r="A32" s="180">
        <f>'Diffusive Flux'!A33</f>
        <v>0</v>
      </c>
      <c r="B32" s="182" t="s">
        <v>132</v>
      </c>
      <c r="C32" s="268" t="e">
        <f ca="1">IF(NOT('Leaching Mechanism'!L28="Non-Diffusion Based"),SQRT(36)*PRODUCT(Uxy!D30,Uxy!E30,Uxy!F30,Uxy!G30,Uxy!H30,Uxy!I30,Uxy!J30,Uxy!K30)^0.125,"")</f>
        <v>#DIV/0!</v>
      </c>
      <c r="D32" s="187" t="e">
        <f ca="1">IF(NOT('Leaching Mechanism'!L28="Non-Diffusion Based"),SUM(Normalisation!E29:L29),"")</f>
        <v>#DIV/0!</v>
      </c>
      <c r="E32" s="188" t="e">
        <f ca="1">IF(AND(D32&lt;C32,'rc'!G28&lt;0.35,'rc'!F28&lt;0.35),D32,C32)</f>
        <v>#DIV/0!</v>
      </c>
      <c r="F32" s="187" t="e">
        <f ca="1">IF(AND('Leaching Mechanism'!G28="Surface Wash-Off",OR('Leaching Mechanism'!B28="Diffusion", 'Leaching Mechanism'!C28="Diffusion",'Leaching Mechanism'!D28="Diffusion", 'Leaching Mechanism'!E28="Diffusion", 'Leaching Mechanism'!F28="Diffusion")),Normalisation!F29+Normalisation!G29-(C32*SQRT(1/36)),"")</f>
        <v>#DIV/0!</v>
      </c>
      <c r="G32" s="187" t="e">
        <f t="shared" ca="1" si="0"/>
        <v>#DIV/0!</v>
      </c>
      <c r="H32" s="189" t="str">
        <f>IF(SUM('Analytical Data'!$F29:$M29)&lt;'Analytical Data'!E29*12,SUM(Normalisation!E29:L29)*SQRT(1),"")</f>
        <v/>
      </c>
      <c r="I32" s="189" t="e">
        <f ca="1">IF(AND(LOD!J28&gt;1.5,'rc'!I28&lt;0.35,LOD!F28&lt;1.5),(('Measured Cummulative'!F29-'Measured Cummulative'!E29)+('Measured Cummulative'!L29-'Measured Cummulative'!G29))*(SQRT(64)-SQRT(1))/(SQRT(64)-SQRT(1)),"")</f>
        <v>#DIV/0!</v>
      </c>
      <c r="J32" s="189" t="e">
        <f ca="1">IF(AND('Leaching Mechanism'!P28="Depletion",LOD!E28&gt;1.5),('Measured Cummulative'!L29*(SQRT(64)-SQRT(1))/(SQRT(64)-SQRT(1))),"")</f>
        <v>#DIV/0!</v>
      </c>
      <c r="K32" s="189" t="e">
        <f ca="1">IF(AND(ISBLANK(G32),OR('rc'!D28&gt;0.65,ISNUMBER(SEARCH("Dissolution",'Leaching Mechanism'!H28)))),2*'Measured Cummulative'!L29*SQRT(64/64),"")</f>
        <v>#NUM!</v>
      </c>
      <c r="L32" s="190" t="e">
        <f ca="1">IF(SUM(G32:K32)&lt;0.000001,5*'Measured Cummulative'!L29*SQRT(36/36),"")</f>
        <v>#DIV/0!</v>
      </c>
      <c r="M32" s="22"/>
      <c r="N32" s="22"/>
      <c r="O32" s="22"/>
      <c r="P32" s="22"/>
      <c r="Q32" s="22"/>
      <c r="R32" s="22"/>
      <c r="S32" s="22"/>
      <c r="T32" s="201">
        <v>24</v>
      </c>
      <c r="U32" s="22"/>
      <c r="V32" s="22"/>
      <c r="W32" s="22"/>
    </row>
    <row r="33" spans="1:23" ht="16.5" x14ac:dyDescent="0.2">
      <c r="A33" s="180">
        <f>'Diffusive Flux'!A34</f>
        <v>0</v>
      </c>
      <c r="B33" s="182" t="s">
        <v>132</v>
      </c>
      <c r="C33" s="268" t="e">
        <f ca="1">IF(NOT('Leaching Mechanism'!L29="Non-Diffusion Based"),SQRT(36)*PRODUCT(Uxy!D31,Uxy!E31,Uxy!F31,Uxy!G31,Uxy!H31,Uxy!I31,Uxy!J31,Uxy!K31)^0.125,"")</f>
        <v>#DIV/0!</v>
      </c>
      <c r="D33" s="187" t="e">
        <f ca="1">IF(NOT('Leaching Mechanism'!L29="Non-Diffusion Based"),SUM(Normalisation!E30:L30),"")</f>
        <v>#DIV/0!</v>
      </c>
      <c r="E33" s="188" t="e">
        <f ca="1">IF(AND(D33&lt;C33,'rc'!G29&lt;0.35,'rc'!F29&lt;0.35),D33,C33)</f>
        <v>#DIV/0!</v>
      </c>
      <c r="F33" s="187" t="e">
        <f ca="1">IF(AND('Leaching Mechanism'!G29="Surface Wash-Off",OR('Leaching Mechanism'!B29="Diffusion", 'Leaching Mechanism'!C29="Diffusion",'Leaching Mechanism'!D29="Diffusion", 'Leaching Mechanism'!E29="Diffusion", 'Leaching Mechanism'!F29="Diffusion")),Normalisation!F30+Normalisation!G30-(C33*SQRT(1/36)),"")</f>
        <v>#DIV/0!</v>
      </c>
      <c r="G33" s="187" t="e">
        <f t="shared" ca="1" si="0"/>
        <v>#DIV/0!</v>
      </c>
      <c r="H33" s="189" t="str">
        <f>IF(SUM('Analytical Data'!$F30:$M30)&lt;'Analytical Data'!E30*12,SUM(Normalisation!E30:L30)*SQRT(1),"")</f>
        <v/>
      </c>
      <c r="I33" s="189" t="e">
        <f ca="1">IF(AND(LOD!J29&gt;1.5,'rc'!I29&lt;0.35,LOD!F29&lt;1.5),(('Measured Cummulative'!F30-'Measured Cummulative'!E30)+('Measured Cummulative'!L30-'Measured Cummulative'!G30))*(SQRT(64)-SQRT(1))/(SQRT(64)-SQRT(1)),"")</f>
        <v>#DIV/0!</v>
      </c>
      <c r="J33" s="189" t="e">
        <f ca="1">IF(AND('Leaching Mechanism'!P29="Depletion",LOD!E29&gt;1.5),('Measured Cummulative'!L30*(SQRT(64)-SQRT(1))/(SQRT(64)-SQRT(1))),"")</f>
        <v>#DIV/0!</v>
      </c>
      <c r="K33" s="189" t="e">
        <f ca="1">IF(AND(ISBLANK(G33),OR('rc'!D29&gt;0.65,ISNUMBER(SEARCH("Dissolution",'Leaching Mechanism'!H29)))),2*'Measured Cummulative'!L30*SQRT(64/64),"")</f>
        <v>#NUM!</v>
      </c>
      <c r="L33" s="190" t="e">
        <f ca="1">IF(SUM(G33:K33)&lt;0.000001,5*'Measured Cummulative'!L30*SQRT(36/36),"")</f>
        <v>#DIV/0!</v>
      </c>
      <c r="M33" s="22"/>
      <c r="N33" s="22"/>
      <c r="O33" s="22"/>
      <c r="P33" s="22"/>
      <c r="Q33" s="22"/>
      <c r="R33" s="22"/>
      <c r="S33" s="22"/>
      <c r="T33" s="201"/>
      <c r="U33" s="22"/>
      <c r="V33" s="22"/>
      <c r="W33" s="22"/>
    </row>
    <row r="34" spans="1:23" ht="16.5" x14ac:dyDescent="0.2">
      <c r="A34" s="180">
        <f>'Diffusive Flux'!A35</f>
        <v>0</v>
      </c>
      <c r="B34" s="182" t="s">
        <v>132</v>
      </c>
      <c r="C34" s="268" t="e">
        <f ca="1">IF(NOT('Leaching Mechanism'!L30="Non-Diffusion Based"),SQRT(36)*PRODUCT(Uxy!D32,Uxy!E32,Uxy!F32,Uxy!G32,Uxy!H32,Uxy!I32,Uxy!J32,Uxy!K32)^0.125,"")</f>
        <v>#DIV/0!</v>
      </c>
      <c r="D34" s="187" t="e">
        <f ca="1">IF(NOT('Leaching Mechanism'!L30="Non-Diffusion Based"),SUM(Normalisation!E31:L31),"")</f>
        <v>#DIV/0!</v>
      </c>
      <c r="E34" s="188" t="e">
        <f ca="1">IF(AND(D34&lt;C34,'rc'!G30&lt;0.35,'rc'!F30&lt;0.35),D34,C34)</f>
        <v>#DIV/0!</v>
      </c>
      <c r="F34" s="187" t="e">
        <f ca="1">IF(AND('Leaching Mechanism'!G30="Surface Wash-Off",OR('Leaching Mechanism'!B30="Diffusion", 'Leaching Mechanism'!C30="Diffusion",'Leaching Mechanism'!D30="Diffusion", 'Leaching Mechanism'!E30="Diffusion", 'Leaching Mechanism'!F30="Diffusion")),Normalisation!F31+Normalisation!G31-(C34*SQRT(1/36)),"")</f>
        <v>#DIV/0!</v>
      </c>
      <c r="G34" s="187" t="e">
        <f t="shared" ca="1" si="0"/>
        <v>#DIV/0!</v>
      </c>
      <c r="H34" s="189" t="str">
        <f>IF(SUM('Analytical Data'!$F31:$M31)&lt;'Analytical Data'!E31*12,SUM(Normalisation!E31:L31)*SQRT(1),"")</f>
        <v/>
      </c>
      <c r="I34" s="189" t="e">
        <f ca="1">IF(AND(LOD!J30&gt;1.5,'rc'!I30&lt;0.35,LOD!F30&lt;1.5),(('Measured Cummulative'!F31-'Measured Cummulative'!E31)+('Measured Cummulative'!L31-'Measured Cummulative'!G31))*(SQRT(64)-SQRT(1))/(SQRT(64)-SQRT(1)),"")</f>
        <v>#DIV/0!</v>
      </c>
      <c r="J34" s="189" t="e">
        <f ca="1">IF(AND('Leaching Mechanism'!P30="Depletion",LOD!E30&gt;1.5),('Measured Cummulative'!L31*(SQRT(64)-SQRT(1))/(SQRT(64)-SQRT(1))),"")</f>
        <v>#DIV/0!</v>
      </c>
      <c r="K34" s="189" t="e">
        <f ca="1">IF(AND(ISBLANK(G34),OR('rc'!D30&gt;0.65,ISNUMBER(SEARCH("Dissolution",'Leaching Mechanism'!H30)))),2*'Measured Cummulative'!L31*SQRT(64/64),"")</f>
        <v>#NUM!</v>
      </c>
      <c r="L34" s="190" t="e">
        <f ca="1">IF(SUM(G34:K34)&lt;0.000001,5*'Measured Cummulative'!L31*SQRT(36/36),"")</f>
        <v>#DIV/0!</v>
      </c>
      <c r="M34" s="22"/>
      <c r="N34" s="22"/>
      <c r="O34" s="22"/>
      <c r="P34" s="22"/>
      <c r="Q34" s="22"/>
      <c r="R34" s="22"/>
      <c r="S34" s="22"/>
      <c r="T34" s="201"/>
      <c r="U34" s="22"/>
      <c r="V34" s="22"/>
      <c r="W34" s="22"/>
    </row>
    <row r="35" spans="1:23" ht="16.5" x14ac:dyDescent="0.2">
      <c r="A35" s="180">
        <f>'Diffusive Flux'!A36</f>
        <v>0</v>
      </c>
      <c r="B35" s="182" t="s">
        <v>132</v>
      </c>
      <c r="C35" s="268" t="e">
        <f ca="1">IF(NOT('Leaching Mechanism'!L31="Non-Diffusion Based"),SQRT(36)*PRODUCT(Uxy!D33,Uxy!E33,Uxy!F33,Uxy!G33,Uxy!H33,Uxy!I33,Uxy!J33,Uxy!K33)^0.125,"")</f>
        <v>#DIV/0!</v>
      </c>
      <c r="D35" s="187" t="e">
        <f ca="1">IF(NOT('Leaching Mechanism'!L31="Non-Diffusion Based"),SUM(Normalisation!E32:L32),"")</f>
        <v>#DIV/0!</v>
      </c>
      <c r="E35" s="188" t="e">
        <f ca="1">IF(AND(D35&lt;C35,'rc'!G31&lt;0.35,'rc'!F31&lt;0.35),D35,C35)</f>
        <v>#DIV/0!</v>
      </c>
      <c r="F35" s="187" t="e">
        <f ca="1">IF(AND('Leaching Mechanism'!G31="Surface Wash-Off",OR('Leaching Mechanism'!B31="Diffusion", 'Leaching Mechanism'!C31="Diffusion",'Leaching Mechanism'!D31="Diffusion", 'Leaching Mechanism'!E31="Diffusion", 'Leaching Mechanism'!F31="Diffusion")),Normalisation!F32+Normalisation!G32-(C35*SQRT(1/36)),"")</f>
        <v>#DIV/0!</v>
      </c>
      <c r="G35" s="187" t="e">
        <f t="shared" ca="1" si="0"/>
        <v>#DIV/0!</v>
      </c>
      <c r="H35" s="189" t="str">
        <f>IF(SUM('Analytical Data'!$F32:$M32)&lt;'Analytical Data'!E32*12,SUM(Normalisation!E32:L32)*SQRT(1),"")</f>
        <v/>
      </c>
      <c r="I35" s="189" t="e">
        <f ca="1">IF(AND(LOD!J31&gt;1.5,'rc'!I31&lt;0.35,LOD!F31&lt;1.5),(('Measured Cummulative'!F32-'Measured Cummulative'!E32)+('Measured Cummulative'!L32-'Measured Cummulative'!G32))*(SQRT(64)-SQRT(1))/(SQRT(64)-SQRT(1)),"")</f>
        <v>#DIV/0!</v>
      </c>
      <c r="J35" s="189" t="e">
        <f ca="1">IF(AND('Leaching Mechanism'!P31="Depletion",LOD!E31&gt;1.5),('Measured Cummulative'!L32*(SQRT(64)-SQRT(1))/(SQRT(64)-SQRT(1))),"")</f>
        <v>#DIV/0!</v>
      </c>
      <c r="K35" s="189" t="e">
        <f ca="1">IF(AND(ISBLANK(G35),OR('rc'!D31&gt;0.65,ISNUMBER(SEARCH("Dissolution",'Leaching Mechanism'!H31)))),2*'Measured Cummulative'!L32*SQRT(64/64),"")</f>
        <v>#NUM!</v>
      </c>
      <c r="L35" s="190" t="e">
        <f ca="1">IF(SUM(G35:K35)&lt;0.000001,5*'Measured Cummulative'!L32*SQRT(36/36),"")</f>
        <v>#DIV/0!</v>
      </c>
    </row>
    <row r="36" spans="1:23" ht="16.5" x14ac:dyDescent="0.2">
      <c r="A36" s="180">
        <f>'Diffusive Flux'!A37</f>
        <v>0</v>
      </c>
      <c r="B36" s="182" t="s">
        <v>132</v>
      </c>
      <c r="C36" s="268" t="e">
        <f ca="1">IF(NOT('Leaching Mechanism'!L32="Non-Diffusion Based"),SQRT(36)*PRODUCT(Uxy!D34,Uxy!E34,Uxy!F34,Uxy!G34,Uxy!H34,Uxy!I34,Uxy!J34,Uxy!K34)^0.125,"")</f>
        <v>#DIV/0!</v>
      </c>
      <c r="D36" s="187" t="e">
        <f ca="1">IF(NOT('Leaching Mechanism'!L32="Non-Diffusion Based"),SUM(Normalisation!E33:L33),"")</f>
        <v>#DIV/0!</v>
      </c>
      <c r="E36" s="188" t="e">
        <f ca="1">IF(AND(D36&lt;C36,'rc'!G32&lt;0.35,'rc'!F32&lt;0.35),D36,C36)</f>
        <v>#DIV/0!</v>
      </c>
      <c r="F36" s="187" t="e">
        <f ca="1">IF(AND('Leaching Mechanism'!G32="Surface Wash-Off",OR('Leaching Mechanism'!B32="Diffusion", 'Leaching Mechanism'!C32="Diffusion",'Leaching Mechanism'!D32="Diffusion", 'Leaching Mechanism'!E32="Diffusion", 'Leaching Mechanism'!F32="Diffusion")),Normalisation!F33+Normalisation!G33-(C36*SQRT(1/36)),"")</f>
        <v>#DIV/0!</v>
      </c>
      <c r="G36" s="187" t="e">
        <f t="shared" ca="1" si="0"/>
        <v>#DIV/0!</v>
      </c>
      <c r="H36" s="189" t="str">
        <f>IF(SUM('Analytical Data'!$F33:$M33)&lt;'Analytical Data'!E33*12,SUM(Normalisation!E33:L33)*SQRT(1),"")</f>
        <v/>
      </c>
      <c r="I36" s="189" t="e">
        <f ca="1">IF(AND(LOD!J32&gt;1.5,'rc'!I32&lt;0.35,LOD!F32&lt;1.5),(('Measured Cummulative'!F33-'Measured Cummulative'!E33)+('Measured Cummulative'!L33-'Measured Cummulative'!G33))*(SQRT(64)-SQRT(1))/(SQRT(64)-SQRT(1)),"")</f>
        <v>#DIV/0!</v>
      </c>
      <c r="J36" s="189" t="e">
        <f ca="1">IF(AND('Leaching Mechanism'!P32="Depletion",LOD!E32&gt;1.5),('Measured Cummulative'!L33*(SQRT(64)-SQRT(1))/(SQRT(64)-SQRT(1))),"")</f>
        <v>#DIV/0!</v>
      </c>
      <c r="K36" s="189" t="e">
        <f ca="1">IF(AND(ISBLANK(G36),OR('rc'!D32&gt;0.65,ISNUMBER(SEARCH("Dissolution",'Leaching Mechanism'!H32)))),2*'Measured Cummulative'!L33*SQRT(64/64),"")</f>
        <v>#NUM!</v>
      </c>
      <c r="L36" s="190" t="e">
        <f ca="1">IF(SUM(G36:K36)&lt;0.000001,5*'Measured Cummulative'!L33*SQRT(36/36),"")</f>
        <v>#DIV/0!</v>
      </c>
    </row>
    <row r="37" spans="1:23" ht="16.5" x14ac:dyDescent="0.2">
      <c r="A37" s="180">
        <f>'Diffusive Flux'!A38</f>
        <v>0</v>
      </c>
      <c r="B37" s="182" t="s">
        <v>132</v>
      </c>
      <c r="C37" s="268" t="e">
        <f ca="1">IF(NOT('Leaching Mechanism'!L33="Non-Diffusion Based"),SQRT(36)*PRODUCT(Uxy!D35,Uxy!E35,Uxy!F35,Uxy!G35,Uxy!H35,Uxy!I35,Uxy!J35,Uxy!K35)^0.125,"")</f>
        <v>#DIV/0!</v>
      </c>
      <c r="D37" s="187" t="e">
        <f ca="1">IF(NOT('Leaching Mechanism'!L33="Non-Diffusion Based"),SUM(Normalisation!E34:L34),"")</f>
        <v>#DIV/0!</v>
      </c>
      <c r="E37" s="188" t="e">
        <f ca="1">IF(AND(D37&lt;C37,'rc'!G33&lt;0.35,'rc'!F33&lt;0.35),D37,C37)</f>
        <v>#DIV/0!</v>
      </c>
      <c r="F37" s="187" t="e">
        <f ca="1">IF(AND('Leaching Mechanism'!G33="Surface Wash-Off",OR('Leaching Mechanism'!B33="Diffusion", 'Leaching Mechanism'!C33="Diffusion",'Leaching Mechanism'!D33="Diffusion", 'Leaching Mechanism'!E33="Diffusion", 'Leaching Mechanism'!F33="Diffusion")),Normalisation!F34+Normalisation!G34-(C37*SQRT(1/36)),"")</f>
        <v>#DIV/0!</v>
      </c>
      <c r="G37" s="187" t="e">
        <f t="shared" ca="1" si="0"/>
        <v>#DIV/0!</v>
      </c>
      <c r="H37" s="189" t="str">
        <f>IF(SUM('Analytical Data'!$F34:$M34)&lt;'Analytical Data'!E34*12,SUM(Normalisation!E34:L34)*SQRT(1),"")</f>
        <v/>
      </c>
      <c r="I37" s="189" t="e">
        <f ca="1">IF(AND(LOD!J33&gt;1.5,'rc'!I33&lt;0.35,LOD!F33&lt;1.5),(('Measured Cummulative'!F34-'Measured Cummulative'!E34)+('Measured Cummulative'!L34-'Measured Cummulative'!G34))*(SQRT(64)-SQRT(1))/(SQRT(64)-SQRT(1)),"")</f>
        <v>#DIV/0!</v>
      </c>
      <c r="J37" s="189" t="e">
        <f ca="1">IF(AND('Leaching Mechanism'!P33="Depletion",LOD!E33&gt;1.5),('Measured Cummulative'!L34*(SQRT(64)-SQRT(1))/(SQRT(64)-SQRT(1))),"")</f>
        <v>#DIV/0!</v>
      </c>
      <c r="K37" s="189" t="e">
        <f ca="1">IF(AND(ISBLANK(G37),OR('rc'!D33&gt;0.65,ISNUMBER(SEARCH("Dissolution",'Leaching Mechanism'!H33)))),2*'Measured Cummulative'!L34*SQRT(64/64),"")</f>
        <v>#NUM!</v>
      </c>
      <c r="L37" s="190" t="e">
        <f ca="1">IF(SUM(G37:K37)&lt;0.000001,5*'Measured Cummulative'!L34*SQRT(36/36),"")</f>
        <v>#DIV/0!</v>
      </c>
    </row>
    <row r="38" spans="1:23" ht="16.5" x14ac:dyDescent="0.2">
      <c r="A38" s="180">
        <f>'Diffusive Flux'!A39</f>
        <v>0</v>
      </c>
      <c r="B38" s="182" t="s">
        <v>132</v>
      </c>
      <c r="C38" s="268" t="e">
        <f ca="1">IF(NOT('Leaching Mechanism'!L34="Non-Diffusion Based"),SQRT(36)*PRODUCT(Uxy!D36,Uxy!E36,Uxy!F36,Uxy!G36,Uxy!H36,Uxy!I36,Uxy!J36,Uxy!K36)^0.125,"")</f>
        <v>#DIV/0!</v>
      </c>
      <c r="D38" s="187" t="e">
        <f ca="1">IF(NOT('Leaching Mechanism'!L34="Non-Diffusion Based"),SUM(Normalisation!E35:L35),"")</f>
        <v>#DIV/0!</v>
      </c>
      <c r="E38" s="188" t="e">
        <f ca="1">IF(AND(D38&lt;C38,'rc'!G34&lt;0.35,'rc'!F34&lt;0.35),D38,C38)</f>
        <v>#DIV/0!</v>
      </c>
      <c r="F38" s="187" t="e">
        <f ca="1">IF(AND('Leaching Mechanism'!G34="Surface Wash-Off",OR('Leaching Mechanism'!B34="Diffusion", 'Leaching Mechanism'!C34="Diffusion",'Leaching Mechanism'!D34="Diffusion", 'Leaching Mechanism'!E34="Diffusion", 'Leaching Mechanism'!F34="Diffusion")),Normalisation!F35+Normalisation!G35-(C38*SQRT(1/36)),"")</f>
        <v>#DIV/0!</v>
      </c>
      <c r="G38" s="187" t="e">
        <f t="shared" ca="1" si="0"/>
        <v>#DIV/0!</v>
      </c>
      <c r="H38" s="189" t="str">
        <f>IF(SUM('Analytical Data'!$F35:$M35)&lt;'Analytical Data'!E35*12,SUM(Normalisation!E35:L35)*SQRT(1),"")</f>
        <v/>
      </c>
      <c r="I38" s="189" t="e">
        <f ca="1">IF(AND(LOD!J34&gt;1.5,'rc'!I34&lt;0.35,LOD!F34&lt;1.5),(('Measured Cummulative'!F35-'Measured Cummulative'!E35)+('Measured Cummulative'!L35-'Measured Cummulative'!G35))*(SQRT(64)-SQRT(1))/(SQRT(64)-SQRT(1)),"")</f>
        <v>#DIV/0!</v>
      </c>
      <c r="J38" s="189" t="e">
        <f ca="1">IF(AND('Leaching Mechanism'!P34="Depletion",LOD!E34&gt;1.5),('Measured Cummulative'!L35*(SQRT(64)-SQRT(1))/(SQRT(64)-SQRT(1))),"")</f>
        <v>#DIV/0!</v>
      </c>
      <c r="K38" s="189" t="e">
        <f ca="1">IF(AND(ISBLANK(G38),OR('rc'!D34&gt;0.65,ISNUMBER(SEARCH("Dissolution",'Leaching Mechanism'!H34)))),2*'Measured Cummulative'!L35*SQRT(64/64),"")</f>
        <v>#NUM!</v>
      </c>
      <c r="L38" s="190" t="e">
        <f ca="1">IF(SUM(G38:K38)&lt;0.000001,5*'Measured Cummulative'!L35*SQRT(36/36),"")</f>
        <v>#DIV/0!</v>
      </c>
    </row>
    <row r="39" spans="1:23" ht="16.5" x14ac:dyDescent="0.2">
      <c r="A39" s="180">
        <f>'Diffusive Flux'!A40</f>
        <v>0</v>
      </c>
      <c r="B39" s="182" t="s">
        <v>132</v>
      </c>
      <c r="C39" s="268" t="e">
        <f ca="1">IF(NOT('Leaching Mechanism'!L35="Non-Diffusion Based"),SQRT(36)*PRODUCT(Uxy!D37,Uxy!E37,Uxy!F37,Uxy!G37,Uxy!H37,Uxy!I37,Uxy!J37,Uxy!K37)^0.125,"")</f>
        <v>#DIV/0!</v>
      </c>
      <c r="D39" s="187" t="e">
        <f ca="1">IF(NOT('Leaching Mechanism'!L35="Non-Diffusion Based"),SUM(Normalisation!E36:L36),"")</f>
        <v>#DIV/0!</v>
      </c>
      <c r="E39" s="188" t="e">
        <f ca="1">IF(AND(D39&lt;C39,'rc'!G35&lt;0.35,'rc'!F35&lt;0.35),D39,C39)</f>
        <v>#DIV/0!</v>
      </c>
      <c r="F39" s="187" t="e">
        <f ca="1">IF(AND('Leaching Mechanism'!G35="Surface Wash-Off",OR('Leaching Mechanism'!B35="Diffusion", 'Leaching Mechanism'!C35="Diffusion",'Leaching Mechanism'!D35="Diffusion", 'Leaching Mechanism'!E35="Diffusion", 'Leaching Mechanism'!F35="Diffusion")),Normalisation!F36+Normalisation!G36-(C39*SQRT(1/36)),"")</f>
        <v>#DIV/0!</v>
      </c>
      <c r="G39" s="187" t="e">
        <f t="shared" ca="1" si="0"/>
        <v>#DIV/0!</v>
      </c>
      <c r="H39" s="189" t="str">
        <f>IF(SUM('Analytical Data'!$F36:$M36)&lt;'Analytical Data'!E36*12,SUM(Normalisation!E36:L36)*SQRT(1),"")</f>
        <v/>
      </c>
      <c r="I39" s="189" t="e">
        <f ca="1">IF(AND(LOD!J35&gt;1.5,'rc'!I35&lt;0.35,LOD!F35&lt;1.5),(('Measured Cummulative'!F36-'Measured Cummulative'!E36)+('Measured Cummulative'!L36-'Measured Cummulative'!G36))*(SQRT(64)-SQRT(1))/(SQRT(64)-SQRT(1)),"")</f>
        <v>#DIV/0!</v>
      </c>
      <c r="J39" s="189" t="e">
        <f ca="1">IF(AND('Leaching Mechanism'!P35="Depletion",LOD!E35&gt;1.5),('Measured Cummulative'!L36*(SQRT(64)-SQRT(1))/(SQRT(64)-SQRT(1))),"")</f>
        <v>#DIV/0!</v>
      </c>
      <c r="K39" s="189" t="e">
        <f ca="1">IF(AND(ISBLANK(G39),OR('rc'!D35&gt;0.65,ISNUMBER(SEARCH("Dissolution",'Leaching Mechanism'!H35)))),2*'Measured Cummulative'!L36*SQRT(64/64),"")</f>
        <v>#NUM!</v>
      </c>
      <c r="L39" s="190" t="e">
        <f ca="1">IF(SUM(G39:K39)&lt;0.000001,5*'Measured Cummulative'!L36*SQRT(36/36),"")</f>
        <v>#DIV/0!</v>
      </c>
    </row>
    <row r="40" spans="1:23" ht="16.5" x14ac:dyDescent="0.2">
      <c r="A40" s="180">
        <f>'Diffusive Flux'!A41</f>
        <v>0</v>
      </c>
      <c r="B40" s="182" t="s">
        <v>132</v>
      </c>
      <c r="C40" s="268" t="e">
        <f ca="1">IF(NOT('Leaching Mechanism'!L36="Non-Diffusion Based"),SQRT(36)*PRODUCT(Uxy!D38,Uxy!E38,Uxy!F38,Uxy!G38,Uxy!H38,Uxy!I38,Uxy!J38,Uxy!K38)^0.125,"")</f>
        <v>#DIV/0!</v>
      </c>
      <c r="D40" s="187" t="e">
        <f ca="1">IF(NOT('Leaching Mechanism'!L36="Non-Diffusion Based"),SUM(Normalisation!E37:L37),"")</f>
        <v>#DIV/0!</v>
      </c>
      <c r="E40" s="188" t="e">
        <f ca="1">IF(AND(D40&lt;C40,'rc'!G36&lt;0.35,'rc'!F36&lt;0.35),D40,C40)</f>
        <v>#DIV/0!</v>
      </c>
      <c r="F40" s="187" t="e">
        <f ca="1">IF(AND('Leaching Mechanism'!G36="Surface Wash-Off",OR('Leaching Mechanism'!B36="Diffusion", 'Leaching Mechanism'!C36="Diffusion",'Leaching Mechanism'!D36="Diffusion", 'Leaching Mechanism'!E36="Diffusion", 'Leaching Mechanism'!F36="Diffusion")),Normalisation!F37+Normalisation!G37-(C40*SQRT(1/36)),"")</f>
        <v>#DIV/0!</v>
      </c>
      <c r="G40" s="187" t="e">
        <f t="shared" ca="1" si="0"/>
        <v>#DIV/0!</v>
      </c>
      <c r="H40" s="189" t="str">
        <f>IF(SUM('Analytical Data'!$F37:$M37)&lt;'Analytical Data'!E37*12,SUM(Normalisation!E37:L37)*SQRT(1),"")</f>
        <v/>
      </c>
      <c r="I40" s="189" t="e">
        <f ca="1">IF(AND(LOD!J36&gt;1.5,'rc'!I36&lt;0.35,LOD!F36&lt;1.5),(('Measured Cummulative'!F37-'Measured Cummulative'!E37)+('Measured Cummulative'!L37-'Measured Cummulative'!G37))*(SQRT(64)-SQRT(1))/(SQRT(64)-SQRT(1)),"")</f>
        <v>#DIV/0!</v>
      </c>
      <c r="J40" s="189" t="e">
        <f ca="1">IF(AND('Leaching Mechanism'!P36="Depletion",LOD!E36&gt;1.5),('Measured Cummulative'!L37*(SQRT(64)-SQRT(1))/(SQRT(64)-SQRT(1))),"")</f>
        <v>#DIV/0!</v>
      </c>
      <c r="K40" s="189" t="e">
        <f ca="1">IF(AND(ISBLANK(G40),OR('rc'!D36&gt;0.65,ISNUMBER(SEARCH("Dissolution",'Leaching Mechanism'!H36)))),2*'Measured Cummulative'!L37*SQRT(64/64),"")</f>
        <v>#NUM!</v>
      </c>
      <c r="L40" s="190" t="e">
        <f ca="1">IF(SUM(G40:K40)&lt;0.000001,5*'Measured Cummulative'!L37*SQRT(36/36),"")</f>
        <v>#DIV/0!</v>
      </c>
    </row>
    <row r="41" spans="1:23" ht="16.5" x14ac:dyDescent="0.2">
      <c r="A41" s="180">
        <f>'Diffusive Flux'!A42</f>
        <v>0</v>
      </c>
      <c r="B41" s="182" t="s">
        <v>132</v>
      </c>
      <c r="C41" s="268" t="e">
        <f ca="1">IF(NOT('Leaching Mechanism'!L37="Non-Diffusion Based"),SQRT(36)*PRODUCT(Uxy!D39,Uxy!E39,Uxy!F39,Uxy!G39,Uxy!H39,Uxy!I39,Uxy!J39,Uxy!K39)^0.125,"")</f>
        <v>#DIV/0!</v>
      </c>
      <c r="D41" s="187" t="e">
        <f ca="1">IF(NOT('Leaching Mechanism'!L37="Non-Diffusion Based"),SUM(Normalisation!E38:L38),"")</f>
        <v>#DIV/0!</v>
      </c>
      <c r="E41" s="188" t="e">
        <f ca="1">IF(AND(D41&lt;C41,'rc'!G37&lt;0.35,'rc'!F37&lt;0.35),D41,C41)</f>
        <v>#DIV/0!</v>
      </c>
      <c r="F41" s="187" t="e">
        <f ca="1">IF(AND('Leaching Mechanism'!G37="Surface Wash-Off",OR('Leaching Mechanism'!B37="Diffusion", 'Leaching Mechanism'!C37="Diffusion",'Leaching Mechanism'!D37="Diffusion", 'Leaching Mechanism'!E37="Diffusion", 'Leaching Mechanism'!F37="Diffusion")),Normalisation!F38+Normalisation!G38-(C41*SQRT(1/36)),"")</f>
        <v>#DIV/0!</v>
      </c>
      <c r="G41" s="187" t="e">
        <f t="shared" ca="1" si="0"/>
        <v>#DIV/0!</v>
      </c>
      <c r="H41" s="189" t="str">
        <f>IF(SUM('Analytical Data'!$F38:$M38)&lt;'Analytical Data'!E38*12,SUM(Normalisation!E38:L38)*SQRT(1),"")</f>
        <v/>
      </c>
      <c r="I41" s="189" t="e">
        <f ca="1">IF(AND(LOD!J37&gt;1.5,'rc'!I37&lt;0.35,LOD!F37&lt;1.5),(('Measured Cummulative'!F38-'Measured Cummulative'!E38)+('Measured Cummulative'!L38-'Measured Cummulative'!G38))*(SQRT(64)-SQRT(1))/(SQRT(64)-SQRT(1)),"")</f>
        <v>#DIV/0!</v>
      </c>
      <c r="J41" s="189" t="e">
        <f ca="1">IF(AND('Leaching Mechanism'!P37="Depletion",LOD!E37&gt;1.5),('Measured Cummulative'!L38*(SQRT(64)-SQRT(1))/(SQRT(64)-SQRT(1))),"")</f>
        <v>#DIV/0!</v>
      </c>
      <c r="K41" s="189" t="e">
        <f ca="1">IF(AND(ISBLANK(G41),OR('rc'!D37&gt;0.65,ISNUMBER(SEARCH("Dissolution",'Leaching Mechanism'!H37)))),2*'Measured Cummulative'!L38*SQRT(64/64),"")</f>
        <v>#NUM!</v>
      </c>
      <c r="L41" s="190" t="e">
        <f ca="1">IF(SUM(G41:K41)&lt;0.000001,5*'Measured Cummulative'!L38*SQRT(36/36),"")</f>
        <v>#DIV/0!</v>
      </c>
    </row>
    <row r="42" spans="1:23" ht="16.5" x14ac:dyDescent="0.2">
      <c r="A42" s="180">
        <f>'Diffusive Flux'!A43</f>
        <v>0</v>
      </c>
      <c r="B42" s="182" t="s">
        <v>132</v>
      </c>
      <c r="C42" s="268" t="e">
        <f ca="1">IF(NOT('Leaching Mechanism'!L38="Non-Diffusion Based"),SQRT(36)*PRODUCT(Uxy!D40,Uxy!E40,Uxy!F40,Uxy!G40,Uxy!H40,Uxy!I40,Uxy!J40,Uxy!K40)^0.125,"")</f>
        <v>#DIV/0!</v>
      </c>
      <c r="D42" s="187" t="e">
        <f ca="1">IF(NOT('Leaching Mechanism'!L38="Non-Diffusion Based"),SUM(Normalisation!E39:L39),"")</f>
        <v>#DIV/0!</v>
      </c>
      <c r="E42" s="188" t="e">
        <f ca="1">IF(AND(D42&lt;C42,'rc'!G38&lt;0.35,'rc'!F38&lt;0.35),D42,C42)</f>
        <v>#DIV/0!</v>
      </c>
      <c r="F42" s="187" t="e">
        <f ca="1">IF(AND('Leaching Mechanism'!G38="Surface Wash-Off",OR('Leaching Mechanism'!B38="Diffusion", 'Leaching Mechanism'!C38="Diffusion",'Leaching Mechanism'!D38="Diffusion", 'Leaching Mechanism'!E38="Diffusion", 'Leaching Mechanism'!F38="Diffusion")),Normalisation!F39+Normalisation!G39-(C42*SQRT(1/36)),"")</f>
        <v>#DIV/0!</v>
      </c>
      <c r="G42" s="187" t="e">
        <f t="shared" ca="1" si="0"/>
        <v>#DIV/0!</v>
      </c>
      <c r="H42" s="189" t="str">
        <f>IF(SUM('Analytical Data'!$F39:$M39)&lt;'Analytical Data'!E39*12,SUM(Normalisation!E39:L39)*SQRT(1),"")</f>
        <v/>
      </c>
      <c r="I42" s="189" t="e">
        <f ca="1">IF(AND(LOD!J38&gt;1.5,'rc'!I38&lt;0.35,LOD!F38&lt;1.5),(('Measured Cummulative'!F39-'Measured Cummulative'!E39)+('Measured Cummulative'!L39-'Measured Cummulative'!G39))*(SQRT(64)-SQRT(1))/(SQRT(64)-SQRT(1)),"")</f>
        <v>#DIV/0!</v>
      </c>
      <c r="J42" s="189" t="e">
        <f ca="1">IF(AND('Leaching Mechanism'!P38="Depletion",LOD!E38&gt;1.5),('Measured Cummulative'!L39*(SQRT(64)-SQRT(1))/(SQRT(64)-SQRT(1))),"")</f>
        <v>#DIV/0!</v>
      </c>
      <c r="K42" s="189" t="e">
        <f ca="1">IF(AND(ISBLANK(G42),OR('rc'!D38&gt;0.65,ISNUMBER(SEARCH("Dissolution",'Leaching Mechanism'!H38)))),2*'Measured Cummulative'!L39*SQRT(64/64),"")</f>
        <v>#NUM!</v>
      </c>
      <c r="L42" s="190" t="e">
        <f ca="1">IF(SUM(G42:K42)&lt;0.000001,5*'Measured Cummulative'!L39*SQRT(36/36),"")</f>
        <v>#DIV/0!</v>
      </c>
    </row>
    <row r="43" spans="1:23" ht="16.5" x14ac:dyDescent="0.2">
      <c r="A43" s="180">
        <f>'Diffusive Flux'!A44</f>
        <v>0</v>
      </c>
      <c r="B43" s="182" t="s">
        <v>132</v>
      </c>
      <c r="C43" s="268" t="e">
        <f ca="1">IF(NOT('Leaching Mechanism'!L39="Non-Diffusion Based"),SQRT(36)*PRODUCT(Uxy!D41,Uxy!E41,Uxy!F41,Uxy!G41,Uxy!H41,Uxy!I41,Uxy!J41,Uxy!K41)^0.125,"")</f>
        <v>#DIV/0!</v>
      </c>
      <c r="D43" s="187" t="e">
        <f ca="1">IF(NOT('Leaching Mechanism'!L39="Non-Diffusion Based"),SUM(Normalisation!E40:L40),"")</f>
        <v>#DIV/0!</v>
      </c>
      <c r="E43" s="188" t="e">
        <f ca="1">IF(AND(D43&lt;C43,'rc'!G39&lt;0.35,'rc'!F39&lt;0.35),D43,C43)</f>
        <v>#DIV/0!</v>
      </c>
      <c r="F43" s="187" t="e">
        <f ca="1">IF(AND('Leaching Mechanism'!G39="Surface Wash-Off",OR('Leaching Mechanism'!B39="Diffusion", 'Leaching Mechanism'!C39="Diffusion",'Leaching Mechanism'!D39="Diffusion", 'Leaching Mechanism'!E39="Diffusion", 'Leaching Mechanism'!F39="Diffusion")),Normalisation!F40+Normalisation!G40-(C43*SQRT(1/36)),"")</f>
        <v>#DIV/0!</v>
      </c>
      <c r="G43" s="187" t="e">
        <f t="shared" ca="1" si="0"/>
        <v>#DIV/0!</v>
      </c>
      <c r="H43" s="189" t="str">
        <f>IF(SUM('Analytical Data'!$F40:$M40)&lt;'Analytical Data'!E40*12,SUM(Normalisation!E40:L40)*SQRT(1),"")</f>
        <v/>
      </c>
      <c r="I43" s="189" t="e">
        <f ca="1">IF(AND(LOD!J39&gt;1.5,'rc'!I39&lt;0.35,LOD!F39&lt;1.5),(('Measured Cummulative'!F40-'Measured Cummulative'!E40)+('Measured Cummulative'!L40-'Measured Cummulative'!G40))*(SQRT(64)-SQRT(1))/(SQRT(64)-SQRT(1)),"")</f>
        <v>#DIV/0!</v>
      </c>
      <c r="J43" s="189" t="e">
        <f ca="1">IF(AND('Leaching Mechanism'!P39="Depletion",LOD!E39&gt;1.5),('Measured Cummulative'!L40*(SQRT(64)-SQRT(1))/(SQRT(64)-SQRT(1))),"")</f>
        <v>#DIV/0!</v>
      </c>
      <c r="K43" s="189" t="e">
        <f ca="1">IF(AND(ISBLANK(G43),OR('rc'!D39&gt;0.65,ISNUMBER(SEARCH("Dissolution",'Leaching Mechanism'!H39)))),2*'Measured Cummulative'!L40*SQRT(64/64),"")</f>
        <v>#NUM!</v>
      </c>
      <c r="L43" s="190" t="e">
        <f ca="1">IF(SUM(G43:K43)&lt;0.000001,5*'Measured Cummulative'!L40*SQRT(36/36),"")</f>
        <v>#DIV/0!</v>
      </c>
    </row>
    <row r="44" spans="1:23" ht="16.5" x14ac:dyDescent="0.2">
      <c r="A44" s="180">
        <f>'Diffusive Flux'!A45</f>
        <v>0</v>
      </c>
      <c r="B44" s="182" t="s">
        <v>132</v>
      </c>
      <c r="C44" s="268" t="e">
        <f ca="1">IF(NOT('Leaching Mechanism'!L40="Non-Diffusion Based"),SQRT(36)*PRODUCT(Uxy!D42,Uxy!E42,Uxy!F42,Uxy!G42,Uxy!H42,Uxy!I42,Uxy!J42,Uxy!K42)^0.125,"")</f>
        <v>#DIV/0!</v>
      </c>
      <c r="D44" s="187" t="e">
        <f ca="1">IF(NOT('Leaching Mechanism'!L40="Non-Diffusion Based"),SUM(Normalisation!E41:L41),"")</f>
        <v>#DIV/0!</v>
      </c>
      <c r="E44" s="188" t="e">
        <f ca="1">IF(AND(D44&lt;C44,'rc'!G40&lt;0.35,'rc'!F40&lt;0.35),D44,C44)</f>
        <v>#DIV/0!</v>
      </c>
      <c r="F44" s="187" t="e">
        <f ca="1">IF(AND('Leaching Mechanism'!G40="Surface Wash-Off",OR('Leaching Mechanism'!B40="Diffusion", 'Leaching Mechanism'!C40="Diffusion",'Leaching Mechanism'!D40="Diffusion", 'Leaching Mechanism'!E40="Diffusion", 'Leaching Mechanism'!F40="Diffusion")),Normalisation!F41+Normalisation!G41-(C44*SQRT(1/36)),"")</f>
        <v>#DIV/0!</v>
      </c>
      <c r="G44" s="187" t="e">
        <f t="shared" ca="1" si="0"/>
        <v>#DIV/0!</v>
      </c>
      <c r="H44" s="189" t="str">
        <f>IF(SUM('Analytical Data'!$F41:$M41)&lt;'Analytical Data'!E41*12,SUM(Normalisation!E41:L41)*SQRT(1),"")</f>
        <v/>
      </c>
      <c r="I44" s="189" t="e">
        <f ca="1">IF(AND(LOD!J40&gt;1.5,'rc'!I40&lt;0.35,LOD!F40&lt;1.5),(('Measured Cummulative'!F41-'Measured Cummulative'!E41)+('Measured Cummulative'!L41-'Measured Cummulative'!G41))*(SQRT(64)-SQRT(1))/(SQRT(64)-SQRT(1)),"")</f>
        <v>#DIV/0!</v>
      </c>
      <c r="J44" s="189" t="e">
        <f ca="1">IF(AND('Leaching Mechanism'!P40="Depletion",LOD!E40&gt;1.5),('Measured Cummulative'!L41*(SQRT(64)-SQRT(1))/(SQRT(64)-SQRT(1))),"")</f>
        <v>#DIV/0!</v>
      </c>
      <c r="K44" s="189" t="e">
        <f ca="1">IF(AND(ISBLANK(G44),OR('rc'!D40&gt;0.65,ISNUMBER(SEARCH("Dissolution",'Leaching Mechanism'!H40)))),2*'Measured Cummulative'!L41*SQRT(64/64),"")</f>
        <v>#NUM!</v>
      </c>
      <c r="L44" s="190" t="e">
        <f ca="1">IF(SUM(G44:K44)&lt;0.000001,5*'Measured Cummulative'!L41*SQRT(36/36),"")</f>
        <v>#DIV/0!</v>
      </c>
    </row>
    <row r="45" spans="1:23" ht="16.5" x14ac:dyDescent="0.2">
      <c r="A45" s="180">
        <f>'Diffusive Flux'!A46</f>
        <v>0</v>
      </c>
      <c r="B45" s="182" t="s">
        <v>132</v>
      </c>
      <c r="C45" s="268" t="e">
        <f ca="1">IF(NOT('Leaching Mechanism'!L41="Non-Diffusion Based"),SQRT(36)*PRODUCT(Uxy!D43,Uxy!E43,Uxy!F43,Uxy!G43,Uxy!H43,Uxy!I43,Uxy!J43,Uxy!K43)^0.125,"")</f>
        <v>#DIV/0!</v>
      </c>
      <c r="D45" s="187" t="e">
        <f ca="1">IF(NOT('Leaching Mechanism'!L41="Non-Diffusion Based"),SUM(Normalisation!E42:L42),"")</f>
        <v>#DIV/0!</v>
      </c>
      <c r="E45" s="188" t="e">
        <f ca="1">IF(AND(D45&lt;C45,'rc'!G41&lt;0.35,'rc'!F41&lt;0.35),D45,C45)</f>
        <v>#DIV/0!</v>
      </c>
      <c r="F45" s="187" t="e">
        <f ca="1">IF(AND('Leaching Mechanism'!G41="Surface Wash-Off",OR('Leaching Mechanism'!B41="Diffusion", 'Leaching Mechanism'!C41="Diffusion",'Leaching Mechanism'!D41="Diffusion", 'Leaching Mechanism'!E41="Diffusion", 'Leaching Mechanism'!F41="Diffusion")),Normalisation!F42+Normalisation!G42-(C45*SQRT(1/36)),"")</f>
        <v>#DIV/0!</v>
      </c>
      <c r="G45" s="187" t="e">
        <f t="shared" ca="1" si="0"/>
        <v>#DIV/0!</v>
      </c>
      <c r="H45" s="189" t="str">
        <f>IF(SUM('Analytical Data'!$F42:$M42)&lt;'Analytical Data'!E42*12,SUM(Normalisation!E42:L42)*SQRT(1),"")</f>
        <v/>
      </c>
      <c r="I45" s="189" t="e">
        <f ca="1">IF(AND(LOD!J41&gt;1.5,'rc'!I41&lt;0.35,LOD!F41&lt;1.5),(('Measured Cummulative'!F42-'Measured Cummulative'!E42)+('Measured Cummulative'!L42-'Measured Cummulative'!G42))*(SQRT(64)-SQRT(1))/(SQRT(64)-SQRT(1)),"")</f>
        <v>#DIV/0!</v>
      </c>
      <c r="J45" s="189" t="e">
        <f ca="1">IF(AND('Leaching Mechanism'!P41="Depletion",LOD!E41&gt;1.5),('Measured Cummulative'!L42*(SQRT(64)-SQRT(1))/(SQRT(64)-SQRT(1))),"")</f>
        <v>#DIV/0!</v>
      </c>
      <c r="K45" s="189" t="e">
        <f ca="1">IF(AND(ISBLANK(G45),OR('rc'!D41&gt;0.65,ISNUMBER(SEARCH("Dissolution",'Leaching Mechanism'!H41)))),2*'Measured Cummulative'!L42*SQRT(64/64),"")</f>
        <v>#NUM!</v>
      </c>
      <c r="L45" s="190" t="e">
        <f ca="1">IF(SUM(G45:K45)&lt;0.000001,5*'Measured Cummulative'!L42*SQRT(36/36),"")</f>
        <v>#DIV/0!</v>
      </c>
    </row>
    <row r="46" spans="1:23" ht="16.5" x14ac:dyDescent="0.2">
      <c r="A46" s="180">
        <f>'Diffusive Flux'!A47</f>
        <v>0</v>
      </c>
      <c r="B46" s="182" t="s">
        <v>132</v>
      </c>
      <c r="C46" s="268" t="e">
        <f ca="1">IF(NOT('Leaching Mechanism'!L42="Non-Diffusion Based"),SQRT(36)*PRODUCT(Uxy!D44,Uxy!E44,Uxy!F44,Uxy!G44,Uxy!H44,Uxy!I44,Uxy!J44,Uxy!K44)^0.125,"")</f>
        <v>#DIV/0!</v>
      </c>
      <c r="D46" s="187" t="e">
        <f ca="1">IF(NOT('Leaching Mechanism'!L42="Non-Diffusion Based"),SUM(Normalisation!E43:L43),"")</f>
        <v>#DIV/0!</v>
      </c>
      <c r="E46" s="188" t="e">
        <f ca="1">IF(AND(D46&lt;C46,'rc'!G42&lt;0.35,'rc'!F42&lt;0.35),D46,C46)</f>
        <v>#DIV/0!</v>
      </c>
      <c r="F46" s="187" t="e">
        <f ca="1">IF(AND('Leaching Mechanism'!G42="Surface Wash-Off",OR('Leaching Mechanism'!B42="Diffusion", 'Leaching Mechanism'!C42="Diffusion",'Leaching Mechanism'!D42="Diffusion", 'Leaching Mechanism'!E42="Diffusion", 'Leaching Mechanism'!F42="Diffusion")),Normalisation!F43+Normalisation!G43-(C46*SQRT(1/36)),"")</f>
        <v>#DIV/0!</v>
      </c>
      <c r="G46" s="187" t="e">
        <f t="shared" ca="1" si="0"/>
        <v>#DIV/0!</v>
      </c>
      <c r="H46" s="189" t="str">
        <f>IF(SUM('Analytical Data'!$F43:$M43)&lt;'Analytical Data'!E43*12,SUM(Normalisation!E43:L43)*SQRT(1),"")</f>
        <v/>
      </c>
      <c r="I46" s="189" t="e">
        <f ca="1">IF(AND(LOD!J42&gt;1.5,'rc'!I42&lt;0.35,LOD!F42&lt;1.5),(('Measured Cummulative'!F43-'Measured Cummulative'!E43)+('Measured Cummulative'!L43-'Measured Cummulative'!G43))*(SQRT(64)-SQRT(1))/(SQRT(64)-SQRT(1)),"")</f>
        <v>#DIV/0!</v>
      </c>
      <c r="J46" s="189" t="e">
        <f ca="1">IF(AND('Leaching Mechanism'!P42="Depletion",LOD!E42&gt;1.5),('Measured Cummulative'!L43*(SQRT(64)-SQRT(1))/(SQRT(64)-SQRT(1))),"")</f>
        <v>#DIV/0!</v>
      </c>
      <c r="K46" s="189" t="e">
        <f ca="1">IF(AND(ISBLANK(G46),OR('rc'!D42&gt;0.65,ISNUMBER(SEARCH("Dissolution",'Leaching Mechanism'!H42)))),2*'Measured Cummulative'!L43*SQRT(64/64),"")</f>
        <v>#NUM!</v>
      </c>
      <c r="L46" s="190" t="e">
        <f ca="1">IF(SUM(G46:K46)&lt;0.000001,5*'Measured Cummulative'!L43*SQRT(36/36),"")</f>
        <v>#DIV/0!</v>
      </c>
    </row>
    <row r="47" spans="1:23" ht="16.5" x14ac:dyDescent="0.2">
      <c r="A47" s="180">
        <f>'Diffusive Flux'!A48</f>
        <v>0</v>
      </c>
      <c r="B47" s="182" t="s">
        <v>132</v>
      </c>
      <c r="C47" s="268" t="e">
        <f ca="1">IF(NOT('Leaching Mechanism'!L43="Non-Diffusion Based"),SQRT(36)*PRODUCT(Uxy!D45,Uxy!E45,Uxy!F45,Uxy!G45,Uxy!H45,Uxy!I45,Uxy!J45,Uxy!K45)^0.125,"")</f>
        <v>#DIV/0!</v>
      </c>
      <c r="D47" s="187" t="e">
        <f ca="1">IF(NOT('Leaching Mechanism'!L43="Non-Diffusion Based"),SUM(Normalisation!E44:L44),"")</f>
        <v>#DIV/0!</v>
      </c>
      <c r="E47" s="188" t="e">
        <f ca="1">IF(AND(D47&lt;C47,'rc'!G43&lt;0.35,'rc'!F43&lt;0.35),D47,C47)</f>
        <v>#DIV/0!</v>
      </c>
      <c r="F47" s="187" t="e">
        <f ca="1">IF(AND('Leaching Mechanism'!G43="Surface Wash-Off",OR('Leaching Mechanism'!B43="Diffusion", 'Leaching Mechanism'!C43="Diffusion",'Leaching Mechanism'!D43="Diffusion", 'Leaching Mechanism'!E43="Diffusion", 'Leaching Mechanism'!F43="Diffusion")),Normalisation!F44+Normalisation!G44-(C47*SQRT(1/36)),"")</f>
        <v>#DIV/0!</v>
      </c>
      <c r="G47" s="187" t="e">
        <f t="shared" ca="1" si="0"/>
        <v>#DIV/0!</v>
      </c>
      <c r="H47" s="189" t="str">
        <f>IF(SUM('Analytical Data'!$F44:$M44)&lt;'Analytical Data'!E44*12,SUM(Normalisation!E44:L44)*SQRT(1),"")</f>
        <v/>
      </c>
      <c r="I47" s="189" t="e">
        <f ca="1">IF(AND(LOD!J43&gt;1.5,'rc'!I43&lt;0.35,LOD!F43&lt;1.5),(('Measured Cummulative'!F44-'Measured Cummulative'!E44)+('Measured Cummulative'!L44-'Measured Cummulative'!G44))*(SQRT(64)-SQRT(1))/(SQRT(64)-SQRT(1)),"")</f>
        <v>#DIV/0!</v>
      </c>
      <c r="J47" s="189" t="e">
        <f ca="1">IF(AND('Leaching Mechanism'!P43="Depletion",LOD!E43&gt;1.5),('Measured Cummulative'!L44*(SQRT(64)-SQRT(1))/(SQRT(64)-SQRT(1))),"")</f>
        <v>#DIV/0!</v>
      </c>
      <c r="K47" s="189" t="e">
        <f ca="1">IF(AND(ISBLANK(G47),OR('rc'!D43&gt;0.65,ISNUMBER(SEARCH("Dissolution",'Leaching Mechanism'!H43)))),2*'Measured Cummulative'!L44*SQRT(64/64),"")</f>
        <v>#NUM!</v>
      </c>
      <c r="L47" s="190" t="e">
        <f ca="1">IF(SUM(G47:K47)&lt;0.000001,5*'Measured Cummulative'!L44*SQRT(36/36),"")</f>
        <v>#DIV/0!</v>
      </c>
    </row>
    <row r="48" spans="1:23" ht="16.5" x14ac:dyDescent="0.2">
      <c r="A48" s="180">
        <f>'Diffusive Flux'!A49</f>
        <v>0</v>
      </c>
      <c r="B48" s="182" t="s">
        <v>132</v>
      </c>
      <c r="C48" s="268" t="e">
        <f ca="1">IF(NOT('Leaching Mechanism'!L44="Non-Diffusion Based"),SQRT(36)*PRODUCT(Uxy!D46,Uxy!E46,Uxy!F46,Uxy!G46,Uxy!H46,Uxy!I46,Uxy!J46,Uxy!K46)^0.125,"")</f>
        <v>#DIV/0!</v>
      </c>
      <c r="D48" s="187" t="e">
        <f ca="1">IF(NOT('Leaching Mechanism'!L44="Non-Diffusion Based"),SUM(Normalisation!E45:L45),"")</f>
        <v>#DIV/0!</v>
      </c>
      <c r="E48" s="188" t="e">
        <f ca="1">IF(AND(D48&lt;C48,'rc'!G44&lt;0.35,'rc'!F44&lt;0.35),D48,C48)</f>
        <v>#DIV/0!</v>
      </c>
      <c r="F48" s="187" t="e">
        <f ca="1">IF(AND('Leaching Mechanism'!G44="Surface Wash-Off",OR('Leaching Mechanism'!B44="Diffusion", 'Leaching Mechanism'!C44="Diffusion",'Leaching Mechanism'!D44="Diffusion", 'Leaching Mechanism'!E44="Diffusion", 'Leaching Mechanism'!F44="Diffusion")),Normalisation!F45+Normalisation!G45-(C48*SQRT(1/36)),"")</f>
        <v>#DIV/0!</v>
      </c>
      <c r="G48" s="187" t="e">
        <f t="shared" ca="1" si="0"/>
        <v>#DIV/0!</v>
      </c>
      <c r="H48" s="189" t="str">
        <f>IF(SUM('Analytical Data'!$F45:$M45)&lt;'Analytical Data'!E45*12,SUM(Normalisation!E45:L45)*SQRT(1),"")</f>
        <v/>
      </c>
      <c r="I48" s="189" t="e">
        <f ca="1">IF(AND(LOD!J44&gt;1.5,'rc'!I44&lt;0.35,LOD!F44&lt;1.5),(('Measured Cummulative'!F45-'Measured Cummulative'!E45)+('Measured Cummulative'!L45-'Measured Cummulative'!G45))*(SQRT(64)-SQRT(1))/(SQRT(64)-SQRT(1)),"")</f>
        <v>#DIV/0!</v>
      </c>
      <c r="J48" s="189" t="e">
        <f ca="1">IF(AND('Leaching Mechanism'!P44="Depletion",LOD!E44&gt;1.5),('Measured Cummulative'!L45*(SQRT(64)-SQRT(1))/(SQRT(64)-SQRT(1))),"")</f>
        <v>#DIV/0!</v>
      </c>
      <c r="K48" s="189" t="e">
        <f ca="1">IF(AND(ISBLANK(G48),OR('rc'!D44&gt;0.65,ISNUMBER(SEARCH("Dissolution",'Leaching Mechanism'!H44)))),2*'Measured Cummulative'!L45*SQRT(64/64),"")</f>
        <v>#NUM!</v>
      </c>
      <c r="L48" s="190" t="e">
        <f ca="1">IF(SUM(G48:K48)&lt;0.000001,5*'Measured Cummulative'!L45*SQRT(36/36),"")</f>
        <v>#DIV/0!</v>
      </c>
    </row>
    <row r="49" spans="1:12" ht="16.5" x14ac:dyDescent="0.2">
      <c r="A49" s="180">
        <f>'Diffusive Flux'!A50</f>
        <v>0</v>
      </c>
      <c r="B49" s="182" t="s">
        <v>132</v>
      </c>
      <c r="C49" s="268" t="e">
        <f ca="1">IF(NOT('Leaching Mechanism'!L45="Non-Diffusion Based"),SQRT(36)*PRODUCT(Uxy!D47,Uxy!E47,Uxy!F47,Uxy!G47,Uxy!H47,Uxy!I47,Uxy!J47,Uxy!K47)^0.125,"")</f>
        <v>#DIV/0!</v>
      </c>
      <c r="D49" s="187" t="e">
        <f ca="1">IF(NOT('Leaching Mechanism'!L45="Non-Diffusion Based"),SUM(Normalisation!E46:L46),"")</f>
        <v>#DIV/0!</v>
      </c>
      <c r="E49" s="188" t="e">
        <f ca="1">IF(AND(D49&lt;C49,'rc'!G45&lt;0.35,'rc'!F45&lt;0.35),D49,C49)</f>
        <v>#DIV/0!</v>
      </c>
      <c r="F49" s="187" t="e">
        <f ca="1">IF(AND('Leaching Mechanism'!G45="Surface Wash-Off",OR('Leaching Mechanism'!B45="Diffusion", 'Leaching Mechanism'!C45="Diffusion",'Leaching Mechanism'!D45="Diffusion", 'Leaching Mechanism'!E45="Diffusion", 'Leaching Mechanism'!F45="Diffusion")),Normalisation!F46+Normalisation!G46-(C49*SQRT(1/36)),"")</f>
        <v>#DIV/0!</v>
      </c>
      <c r="G49" s="187" t="e">
        <f t="shared" ca="1" si="0"/>
        <v>#DIV/0!</v>
      </c>
      <c r="H49" s="189" t="str">
        <f>IF(SUM('Analytical Data'!$F46:$M46)&lt;'Analytical Data'!E46*12,SUM(Normalisation!E46:L46)*SQRT(1),"")</f>
        <v/>
      </c>
      <c r="I49" s="189" t="e">
        <f ca="1">IF(AND(LOD!J45&gt;1.5,'rc'!I45&lt;0.35,LOD!F45&lt;1.5),(('Measured Cummulative'!F46-'Measured Cummulative'!E46)+('Measured Cummulative'!L46-'Measured Cummulative'!G46))*(SQRT(64)-SQRT(1))/(SQRT(64)-SQRT(1)),"")</f>
        <v>#DIV/0!</v>
      </c>
      <c r="J49" s="189" t="e">
        <f ca="1">IF(AND('Leaching Mechanism'!P45="Depletion",LOD!E45&gt;1.5),('Measured Cummulative'!L46*(SQRT(64)-SQRT(1))/(SQRT(64)-SQRT(1))),"")</f>
        <v>#DIV/0!</v>
      </c>
      <c r="K49" s="189" t="e">
        <f ca="1">IF(AND(ISBLANK(G49),OR('rc'!D45&gt;0.65,ISNUMBER(SEARCH("Dissolution",'Leaching Mechanism'!H45)))),2*'Measured Cummulative'!L46*SQRT(64/64),"")</f>
        <v>#NUM!</v>
      </c>
      <c r="L49" s="190" t="e">
        <f ca="1">IF(SUM(G49:K49)&lt;0.000001,5*'Measured Cummulative'!L46*SQRT(36/36),"")</f>
        <v>#DIV/0!</v>
      </c>
    </row>
    <row r="50" spans="1:12" ht="16.5" x14ac:dyDescent="0.2">
      <c r="A50" s="180">
        <f>'Diffusive Flux'!A51</f>
        <v>0</v>
      </c>
      <c r="B50" s="182" t="s">
        <v>132</v>
      </c>
      <c r="C50" s="268" t="e">
        <f ca="1">IF(NOT('Leaching Mechanism'!L46="Non-Diffusion Based"),SQRT(36)*PRODUCT(Uxy!D48,Uxy!E48,Uxy!F48,Uxy!G48,Uxy!H48,Uxy!I48,Uxy!J48,Uxy!K48)^0.125,"")</f>
        <v>#DIV/0!</v>
      </c>
      <c r="D50" s="187" t="e">
        <f ca="1">IF(NOT('Leaching Mechanism'!L46="Non-Diffusion Based"),SUM(Normalisation!E47:L47),"")</f>
        <v>#DIV/0!</v>
      </c>
      <c r="E50" s="188" t="e">
        <f ca="1">IF(AND(D50&lt;C50,'rc'!G46&lt;0.35,'rc'!F46&lt;0.35),D50,C50)</f>
        <v>#DIV/0!</v>
      </c>
      <c r="F50" s="187" t="e">
        <f ca="1">IF(AND('Leaching Mechanism'!G46="Surface Wash-Off",OR('Leaching Mechanism'!B46="Diffusion", 'Leaching Mechanism'!C46="Diffusion",'Leaching Mechanism'!D46="Diffusion", 'Leaching Mechanism'!E46="Diffusion", 'Leaching Mechanism'!F46="Diffusion")),Normalisation!F47+Normalisation!G47-(C50*SQRT(1/36)),"")</f>
        <v>#DIV/0!</v>
      </c>
      <c r="G50" s="187" t="e">
        <f t="shared" ca="1" si="0"/>
        <v>#DIV/0!</v>
      </c>
      <c r="H50" s="189" t="str">
        <f>IF(SUM('Analytical Data'!$F47:$M47)&lt;'Analytical Data'!E47*12,SUM(Normalisation!E47:L47)*SQRT(1),"")</f>
        <v/>
      </c>
      <c r="I50" s="189" t="e">
        <f ca="1">IF(AND(LOD!J46&gt;1.5,'rc'!I46&lt;0.35,LOD!F46&lt;1.5),(('Measured Cummulative'!F47-'Measured Cummulative'!E47)+('Measured Cummulative'!L47-'Measured Cummulative'!G47))*(SQRT(64)-SQRT(1))/(SQRT(64)-SQRT(1)),"")</f>
        <v>#DIV/0!</v>
      </c>
      <c r="J50" s="189" t="e">
        <f ca="1">IF(AND('Leaching Mechanism'!P46="Depletion",LOD!E46&gt;1.5),('Measured Cummulative'!L47*(SQRT(64)-SQRT(1))/(SQRT(64)-SQRT(1))),"")</f>
        <v>#DIV/0!</v>
      </c>
      <c r="K50" s="189" t="e">
        <f ca="1">IF(AND(ISBLANK(G50),OR('rc'!D46&gt;0.65,ISNUMBER(SEARCH("Dissolution",'Leaching Mechanism'!H46)))),2*'Measured Cummulative'!L47*SQRT(64/64),"")</f>
        <v>#NUM!</v>
      </c>
      <c r="L50" s="190" t="e">
        <f ca="1">IF(SUM(G50:K50)&lt;0.000001,5*'Measured Cummulative'!L47*SQRT(36/36),"")</f>
        <v>#DIV/0!</v>
      </c>
    </row>
    <row r="51" spans="1:12" ht="16.5" x14ac:dyDescent="0.2">
      <c r="A51" s="180">
        <f>'Diffusive Flux'!A52</f>
        <v>0</v>
      </c>
      <c r="B51" s="182" t="s">
        <v>132</v>
      </c>
      <c r="C51" s="268" t="e">
        <f ca="1">IF(NOT('Leaching Mechanism'!L47="Non-Diffusion Based"),SQRT(36)*PRODUCT(Uxy!D49,Uxy!E49,Uxy!F49,Uxy!G49,Uxy!H49,Uxy!I49,Uxy!J49,Uxy!K49)^0.125,"")</f>
        <v>#DIV/0!</v>
      </c>
      <c r="D51" s="187" t="e">
        <f ca="1">IF(NOT('Leaching Mechanism'!L47="Non-Diffusion Based"),SUM(Normalisation!E48:L48),"")</f>
        <v>#DIV/0!</v>
      </c>
      <c r="E51" s="188" t="e">
        <f ca="1">IF(AND(D51&lt;C51,'rc'!G47&lt;0.35,'rc'!F47&lt;0.35),D51,C51)</f>
        <v>#DIV/0!</v>
      </c>
      <c r="F51" s="187" t="e">
        <f ca="1">IF(AND('Leaching Mechanism'!G47="Surface Wash-Off",OR('Leaching Mechanism'!B47="Diffusion", 'Leaching Mechanism'!C47="Diffusion",'Leaching Mechanism'!D47="Diffusion", 'Leaching Mechanism'!E47="Diffusion", 'Leaching Mechanism'!F47="Diffusion")),Normalisation!F48+Normalisation!G48-(C51*SQRT(1/36)),"")</f>
        <v>#DIV/0!</v>
      </c>
      <c r="G51" s="187" t="e">
        <f t="shared" ca="1" si="0"/>
        <v>#DIV/0!</v>
      </c>
      <c r="H51" s="189" t="str">
        <f>IF(SUM('Analytical Data'!$F48:$M48)&lt;'Analytical Data'!E48*12,SUM(Normalisation!E48:L48)*SQRT(1),"")</f>
        <v/>
      </c>
      <c r="I51" s="189" t="e">
        <f ca="1">IF(AND(LOD!J47&gt;1.5,'rc'!I47&lt;0.35,LOD!F47&lt;1.5),(('Measured Cummulative'!F48-'Measured Cummulative'!E48)+('Measured Cummulative'!L48-'Measured Cummulative'!G48))*(SQRT(64)-SQRT(1))/(SQRT(64)-SQRT(1)),"")</f>
        <v>#DIV/0!</v>
      </c>
      <c r="J51" s="189" t="e">
        <f ca="1">IF(AND('Leaching Mechanism'!P47="Depletion",LOD!E47&gt;1.5),('Measured Cummulative'!L48*(SQRT(64)-SQRT(1))/(SQRT(64)-SQRT(1))),"")</f>
        <v>#DIV/0!</v>
      </c>
      <c r="K51" s="189" t="e">
        <f ca="1">IF(AND(ISBLANK(G51),OR('rc'!D47&gt;0.65,ISNUMBER(SEARCH("Dissolution",'Leaching Mechanism'!H47)))),2*'Measured Cummulative'!L48*SQRT(64/64),"")</f>
        <v>#NUM!</v>
      </c>
      <c r="L51" s="190" t="e">
        <f ca="1">IF(SUM(G51:K51)&lt;0.000001,5*'Measured Cummulative'!L48*SQRT(36/36),"")</f>
        <v>#DIV/0!</v>
      </c>
    </row>
    <row r="52" spans="1:12" ht="16.5" x14ac:dyDescent="0.2">
      <c r="A52" s="180">
        <f>'Diffusive Flux'!A53</f>
        <v>0</v>
      </c>
      <c r="B52" s="182" t="s">
        <v>132</v>
      </c>
      <c r="C52" s="268" t="e">
        <f ca="1">IF(NOT('Leaching Mechanism'!L48="Non-Diffusion Based"),SQRT(36)*PRODUCT(Uxy!D50,Uxy!E50,Uxy!F50,Uxy!G50,Uxy!H50,Uxy!I50,Uxy!J50,Uxy!K50)^0.125,"")</f>
        <v>#DIV/0!</v>
      </c>
      <c r="D52" s="187" t="e">
        <f ca="1">IF(NOT('Leaching Mechanism'!L48="Non-Diffusion Based"),SUM(Normalisation!E49:L49),"")</f>
        <v>#DIV/0!</v>
      </c>
      <c r="E52" s="188" t="e">
        <f ca="1">IF(AND(D52&lt;C52,'rc'!G48&lt;0.35,'rc'!F48&lt;0.35),D52,C52)</f>
        <v>#DIV/0!</v>
      </c>
      <c r="F52" s="187" t="e">
        <f ca="1">IF(AND('Leaching Mechanism'!G48="Surface Wash-Off",OR('Leaching Mechanism'!B48="Diffusion", 'Leaching Mechanism'!C48="Diffusion",'Leaching Mechanism'!D48="Diffusion", 'Leaching Mechanism'!E48="Diffusion", 'Leaching Mechanism'!F48="Diffusion")),Normalisation!F49+Normalisation!G49-(C52*SQRT(1/36)),"")</f>
        <v>#DIV/0!</v>
      </c>
      <c r="G52" s="187" t="e">
        <f t="shared" ca="1" si="0"/>
        <v>#DIV/0!</v>
      </c>
      <c r="H52" s="189" t="str">
        <f>IF(SUM('Analytical Data'!$F49:$M49)&lt;'Analytical Data'!E49*12,SUM(Normalisation!E49:L49)*SQRT(1),"")</f>
        <v/>
      </c>
      <c r="I52" s="189" t="e">
        <f ca="1">IF(AND(LOD!J48&gt;1.5,'rc'!I48&lt;0.35,LOD!F48&lt;1.5),(('Measured Cummulative'!F49-'Measured Cummulative'!E49)+('Measured Cummulative'!L49-'Measured Cummulative'!G49))*(SQRT(64)-SQRT(1))/(SQRT(64)-SQRT(1)),"")</f>
        <v>#DIV/0!</v>
      </c>
      <c r="J52" s="189" t="e">
        <f ca="1">IF(AND('Leaching Mechanism'!P48="Depletion",LOD!E48&gt;1.5),('Measured Cummulative'!L49*(SQRT(64)-SQRT(1))/(SQRT(64)-SQRT(1))),"")</f>
        <v>#DIV/0!</v>
      </c>
      <c r="K52" s="189" t="e">
        <f ca="1">IF(AND(ISBLANK(G52),OR('rc'!D48&gt;0.65,ISNUMBER(SEARCH("Dissolution",'Leaching Mechanism'!H48)))),2*'Measured Cummulative'!L49*SQRT(64/64),"")</f>
        <v>#NUM!</v>
      </c>
      <c r="L52" s="190" t="e">
        <f ca="1">IF(SUM(G52:K52)&lt;0.000001,5*'Measured Cummulative'!L49*SQRT(36/36),"")</f>
        <v>#DIV/0!</v>
      </c>
    </row>
    <row r="53" spans="1:12" ht="16.5" x14ac:dyDescent="0.2">
      <c r="A53" s="180">
        <f>'Diffusive Flux'!A54</f>
        <v>0</v>
      </c>
      <c r="B53" s="182" t="s">
        <v>132</v>
      </c>
      <c r="C53" s="268" t="e">
        <f ca="1">IF(NOT('Leaching Mechanism'!L49="Non-Diffusion Based"),SQRT(36)*PRODUCT(Uxy!D51,Uxy!E51,Uxy!F51,Uxy!G51,Uxy!H51,Uxy!I51,Uxy!J51,Uxy!K51)^0.125,"")</f>
        <v>#DIV/0!</v>
      </c>
      <c r="D53" s="187" t="e">
        <f ca="1">IF(NOT('Leaching Mechanism'!L49="Non-Diffusion Based"),SUM(Normalisation!E50:L50),"")</f>
        <v>#DIV/0!</v>
      </c>
      <c r="E53" s="188" t="e">
        <f ca="1">IF(AND(D53&lt;C53,'rc'!G49&lt;0.35,'rc'!F49&lt;0.35),D53,C53)</f>
        <v>#DIV/0!</v>
      </c>
      <c r="F53" s="187" t="e">
        <f ca="1">IF(AND('Leaching Mechanism'!G49="Surface Wash-Off",OR('Leaching Mechanism'!B49="Diffusion", 'Leaching Mechanism'!C49="Diffusion",'Leaching Mechanism'!D49="Diffusion", 'Leaching Mechanism'!E49="Diffusion", 'Leaching Mechanism'!F49="Diffusion")),Normalisation!F50+Normalisation!G50-(C53*SQRT(1/36)),"")</f>
        <v>#DIV/0!</v>
      </c>
      <c r="G53" s="187" t="e">
        <f t="shared" ca="1" si="0"/>
        <v>#DIV/0!</v>
      </c>
      <c r="H53" s="189" t="str">
        <f>IF(SUM('Analytical Data'!$F50:$M50)&lt;'Analytical Data'!E50*12,SUM(Normalisation!E50:L50)*SQRT(1),"")</f>
        <v/>
      </c>
      <c r="I53" s="189" t="e">
        <f ca="1">IF(AND(LOD!J49&gt;1.5,'rc'!I49&lt;0.35,LOD!F49&lt;1.5),(('Measured Cummulative'!F50-'Measured Cummulative'!E50)+('Measured Cummulative'!L50-'Measured Cummulative'!G50))*(SQRT(64)-SQRT(1))/(SQRT(64)-SQRT(1)),"")</f>
        <v>#DIV/0!</v>
      </c>
      <c r="J53" s="189" t="e">
        <f ca="1">IF(AND('Leaching Mechanism'!P49="Depletion",LOD!E49&gt;1.5),('Measured Cummulative'!L50*(SQRT(64)-SQRT(1))/(SQRT(64)-SQRT(1))),"")</f>
        <v>#DIV/0!</v>
      </c>
      <c r="K53" s="189" t="e">
        <f ca="1">IF(AND(ISBLANK(G53),OR('rc'!D49&gt;0.65,ISNUMBER(SEARCH("Dissolution",'Leaching Mechanism'!H49)))),2*'Measured Cummulative'!L50*SQRT(64/64),"")</f>
        <v>#NUM!</v>
      </c>
      <c r="L53" s="190" t="e">
        <f ca="1">IF(SUM(G53:K53)&lt;0.000001,5*'Measured Cummulative'!L50*SQRT(36/36),"")</f>
        <v>#DIV/0!</v>
      </c>
    </row>
    <row r="54" spans="1:12" ht="16.5" x14ac:dyDescent="0.2">
      <c r="A54" s="180">
        <f>'Diffusive Flux'!A55</f>
        <v>0</v>
      </c>
      <c r="B54" s="182" t="s">
        <v>132</v>
      </c>
      <c r="C54" s="268" t="e">
        <f ca="1">IF(NOT('Leaching Mechanism'!L50="Non-Diffusion Based"),SQRT(36)*PRODUCT(Uxy!D52,Uxy!E52,Uxy!F52,Uxy!G52,Uxy!H52,Uxy!I52,Uxy!J52,Uxy!K52)^0.125,"")</f>
        <v>#DIV/0!</v>
      </c>
      <c r="D54" s="187" t="e">
        <f ca="1">IF(NOT('Leaching Mechanism'!L50="Non-Diffusion Based"),SUM(Normalisation!E51:L51),"")</f>
        <v>#DIV/0!</v>
      </c>
      <c r="E54" s="188" t="e">
        <f ca="1">IF(AND(D54&lt;C54,'rc'!G50&lt;0.35,'rc'!F50&lt;0.35),D54,C54)</f>
        <v>#DIV/0!</v>
      </c>
      <c r="F54" s="187" t="e">
        <f ca="1">IF(AND('Leaching Mechanism'!G50="Surface Wash-Off",OR('Leaching Mechanism'!B50="Diffusion", 'Leaching Mechanism'!C50="Diffusion",'Leaching Mechanism'!D50="Diffusion", 'Leaching Mechanism'!E50="Diffusion", 'Leaching Mechanism'!F50="Diffusion")),Normalisation!F51+Normalisation!G51-(C54*SQRT(1/36)),"")</f>
        <v>#DIV/0!</v>
      </c>
      <c r="G54" s="187" t="e">
        <f t="shared" ca="1" si="0"/>
        <v>#DIV/0!</v>
      </c>
      <c r="H54" s="189" t="str">
        <f>IF(SUM('Analytical Data'!$F51:$M51)&lt;'Analytical Data'!E51*12,SUM(Normalisation!E51:L51)*SQRT(1),"")</f>
        <v/>
      </c>
      <c r="I54" s="189" t="e">
        <f ca="1">IF(AND(LOD!J50&gt;1.5,'rc'!I50&lt;0.35,LOD!F50&lt;1.5),(('Measured Cummulative'!F51-'Measured Cummulative'!E51)+('Measured Cummulative'!L51-'Measured Cummulative'!G51))*(SQRT(64)-SQRT(1))/(SQRT(64)-SQRT(1)),"")</f>
        <v>#DIV/0!</v>
      </c>
      <c r="J54" s="189" t="e">
        <f ca="1">IF(AND('Leaching Mechanism'!P50="Depletion",LOD!E50&gt;1.5),('Measured Cummulative'!L51*(SQRT(64)-SQRT(1))/(SQRT(64)-SQRT(1))),"")</f>
        <v>#DIV/0!</v>
      </c>
      <c r="K54" s="189" t="e">
        <f ca="1">IF(AND(ISBLANK(G54),OR('rc'!D50&gt;0.65,ISNUMBER(SEARCH("Dissolution",'Leaching Mechanism'!H50)))),2*'Measured Cummulative'!L51*SQRT(64/64),"")</f>
        <v>#NUM!</v>
      </c>
      <c r="L54" s="190" t="e">
        <f ca="1">IF(SUM(G54:K54)&lt;0.000001,5*'Measured Cummulative'!L51*SQRT(36/36),"")</f>
        <v>#DIV/0!</v>
      </c>
    </row>
    <row r="55" spans="1:12" ht="16.5" x14ac:dyDescent="0.2">
      <c r="A55" s="180">
        <f>'Diffusive Flux'!A56</f>
        <v>0</v>
      </c>
      <c r="B55" s="182" t="s">
        <v>157</v>
      </c>
      <c r="C55" s="268" t="e">
        <f ca="1">IF(NOT('Leaching Mechanism'!L51="Non-Diffusion Based"),SQRT(36)*PRODUCT(Uxy!D53,Uxy!E53,Uxy!F53,Uxy!G53,Uxy!H53,Uxy!I53,Uxy!J53,Uxy!K53)^0.125,"")</f>
        <v>#DIV/0!</v>
      </c>
      <c r="D55" s="187" t="e">
        <f ca="1">IF(NOT('Leaching Mechanism'!L51="Non-Diffusion Based"),SUM(Normalisation!E52:L52),"")</f>
        <v>#DIV/0!</v>
      </c>
      <c r="E55" s="188" t="e">
        <f ca="1">IF(AND(D55&lt;C55,'rc'!G51&lt;0.35,'rc'!F51&lt;0.35),D55,C55)</f>
        <v>#DIV/0!</v>
      </c>
      <c r="F55" s="187" t="e">
        <f ca="1">IF(AND('Leaching Mechanism'!G51="Surface Wash-Off",OR('Leaching Mechanism'!B51="Diffusion", 'Leaching Mechanism'!C51="Diffusion",'Leaching Mechanism'!D51="Diffusion", 'Leaching Mechanism'!E51="Diffusion", 'Leaching Mechanism'!F51="Diffusion")),Normalisation!F52+Normalisation!G52-(C55*SQRT(1/36)),"")</f>
        <v>#DIV/0!</v>
      </c>
      <c r="G55" s="187" t="e">
        <f t="shared" ca="1" si="0"/>
        <v>#DIV/0!</v>
      </c>
      <c r="H55" s="189" t="str">
        <f>IF(SUM('Analytical Data'!$F52:$M52)&lt;'Analytical Data'!E52*12,SUM(Normalisation!E52:L52)*SQRT(1),"")</f>
        <v/>
      </c>
      <c r="I55" s="189" t="e">
        <f ca="1">IF(AND(LOD!J51&gt;1.5,'rc'!I51&lt;0.35,LOD!F51&lt;1.5),(('Measured Cummulative'!F52-'Measured Cummulative'!E52)+('Measured Cummulative'!L52-'Measured Cummulative'!G52))*(SQRT(64)-SQRT(1))/(SQRT(64)-SQRT(1)),"")</f>
        <v>#DIV/0!</v>
      </c>
      <c r="J55" s="189" t="e">
        <f ca="1">IF(AND('Leaching Mechanism'!P51="Depletion",LOD!E51&gt;1.5),('Measured Cummulative'!L52*(SQRT(64)-SQRT(1))/(SQRT(64)-SQRT(1))),"")</f>
        <v>#DIV/0!</v>
      </c>
      <c r="K55" s="189" t="e">
        <f ca="1">IF(AND(ISBLANK(G55),OR('rc'!D51&gt;0.65,ISNUMBER(SEARCH("Dissolution",'Leaching Mechanism'!H51)))),2*'Measured Cummulative'!L52*SQRT(64/64),"")</f>
        <v>#NUM!</v>
      </c>
      <c r="L55" s="190" t="e">
        <f ca="1">IF(SUM(G55:K55)&lt;0.000001,5*'Measured Cummulative'!L52*SQRT(36/36),"")</f>
        <v>#DIV/0!</v>
      </c>
    </row>
    <row r="56" spans="1:12" ht="16.5" x14ac:dyDescent="0.2">
      <c r="A56" s="180">
        <f>'Diffusive Flux'!A57</f>
        <v>0</v>
      </c>
      <c r="B56" s="182" t="s">
        <v>158</v>
      </c>
      <c r="C56" s="268" t="e">
        <f ca="1">IF(NOT('Leaching Mechanism'!L52="Non-Diffusion Based"),SQRT(36)*PRODUCT(Uxy!D54,Uxy!E54,Uxy!F54,Uxy!G54,Uxy!H54,Uxy!I54,Uxy!J54,Uxy!K54)^0.125,"")</f>
        <v>#DIV/0!</v>
      </c>
      <c r="D56" s="187" t="e">
        <f ca="1">IF(NOT('Leaching Mechanism'!L52="Non-Diffusion Based"),SUM(Normalisation!E53:L53),"")</f>
        <v>#DIV/0!</v>
      </c>
      <c r="E56" s="188" t="e">
        <f ca="1">IF(AND(D56&lt;C56,'rc'!G52&lt;0.35,'rc'!F52&lt;0.35),D56,C56)</f>
        <v>#DIV/0!</v>
      </c>
      <c r="F56" s="187" t="e">
        <f ca="1">IF(AND('Leaching Mechanism'!G52="Surface Wash-Off",OR('Leaching Mechanism'!B52="Diffusion", 'Leaching Mechanism'!C52="Diffusion",'Leaching Mechanism'!D52="Diffusion", 'Leaching Mechanism'!E52="Diffusion", 'Leaching Mechanism'!F52="Diffusion")),Normalisation!F53+Normalisation!G53-(C56*SQRT(1/36)),"")</f>
        <v>#DIV/0!</v>
      </c>
      <c r="G56" s="187" t="e">
        <f t="shared" ca="1" si="0"/>
        <v>#DIV/0!</v>
      </c>
      <c r="H56" s="189" t="str">
        <f>IF(SUM('Analytical Data'!$F53:$M53)&lt;'Analytical Data'!E53*12,SUM(Normalisation!E53:L53)*SQRT(1),"")</f>
        <v/>
      </c>
      <c r="I56" s="189" t="e">
        <f ca="1">IF(AND(LOD!J52&gt;1.5,'rc'!I52&lt;0.35,LOD!F52&lt;1.5),(('Measured Cummulative'!F53-'Measured Cummulative'!E53)+('Measured Cummulative'!L53-'Measured Cummulative'!G53))*(SQRT(64)-SQRT(1))/(SQRT(64)-SQRT(1)),"")</f>
        <v>#DIV/0!</v>
      </c>
      <c r="J56" s="189" t="e">
        <f ca="1">IF(AND('Leaching Mechanism'!P52="Depletion",LOD!E52&gt;1.5),('Measured Cummulative'!L53*(SQRT(64)-SQRT(1))/(SQRT(64)-SQRT(1))),"")</f>
        <v>#DIV/0!</v>
      </c>
      <c r="K56" s="189" t="e">
        <f ca="1">IF(AND(ISBLANK(G56),OR('rc'!D52&gt;0.65,ISNUMBER(SEARCH("Dissolution",'Leaching Mechanism'!H52)))),2*'Measured Cummulative'!L53*SQRT(64/64),"")</f>
        <v>#NUM!</v>
      </c>
      <c r="L56" s="190" t="e">
        <f ca="1">IF(SUM(G56:K56)&lt;0.000001,5*'Measured Cummulative'!L53*SQRT(36/36),"")</f>
        <v>#DIV/0!</v>
      </c>
    </row>
    <row r="57" spans="1:12" ht="16.5" x14ac:dyDescent="0.2">
      <c r="A57" s="180">
        <f>'Diffusive Flux'!A58</f>
        <v>0</v>
      </c>
      <c r="B57" s="182" t="s">
        <v>159</v>
      </c>
      <c r="C57" s="268" t="e">
        <f ca="1">IF(NOT('Leaching Mechanism'!L53="Non-Diffusion Based"),SQRT(36)*PRODUCT(Uxy!D55,Uxy!E55,Uxy!F55,Uxy!G55,Uxy!H55,Uxy!I55,Uxy!J55,Uxy!K55)^0.125,"")</f>
        <v>#DIV/0!</v>
      </c>
      <c r="D57" s="187" t="e">
        <f ca="1">IF(NOT('Leaching Mechanism'!L53="Non-Diffusion Based"),SUM(Normalisation!E54:L54),"")</f>
        <v>#DIV/0!</v>
      </c>
      <c r="E57" s="188" t="e">
        <f ca="1">IF(AND(D57&lt;C57,'rc'!G53&lt;0.35,'rc'!F53&lt;0.35),D57,C57)</f>
        <v>#DIV/0!</v>
      </c>
      <c r="F57" s="187" t="e">
        <f ca="1">IF(AND('Leaching Mechanism'!G53="Surface Wash-Off",OR('Leaching Mechanism'!B53="Diffusion", 'Leaching Mechanism'!C53="Diffusion",'Leaching Mechanism'!D53="Diffusion", 'Leaching Mechanism'!E53="Diffusion", 'Leaching Mechanism'!F53="Diffusion")),Normalisation!F54+Normalisation!G54-(C57*SQRT(1/36)),"")</f>
        <v>#DIV/0!</v>
      </c>
      <c r="G57" s="187" t="e">
        <f t="shared" ca="1" si="0"/>
        <v>#DIV/0!</v>
      </c>
      <c r="H57" s="189" t="str">
        <f>IF(SUM('Analytical Data'!$F54:$M54)&lt;'Analytical Data'!E54*12,SUM(Normalisation!E54:L54)*SQRT(1),"")</f>
        <v/>
      </c>
      <c r="I57" s="189" t="e">
        <f ca="1">IF(AND(LOD!J53&gt;1.5,'rc'!I53&lt;0.35,LOD!F53&lt;1.5),(('Measured Cummulative'!F54-'Measured Cummulative'!E54)+('Measured Cummulative'!L54-'Measured Cummulative'!G54))*(SQRT(64)-SQRT(1))/(SQRT(64)-SQRT(1)),"")</f>
        <v>#DIV/0!</v>
      </c>
      <c r="J57" s="189" t="e">
        <f ca="1">IF(AND('Leaching Mechanism'!P53="Depletion",LOD!E53&gt;1.5),('Measured Cummulative'!L54*(SQRT(64)-SQRT(1))/(SQRT(64)-SQRT(1))),"")</f>
        <v>#DIV/0!</v>
      </c>
      <c r="K57" s="189" t="e">
        <f ca="1">IF(AND(ISBLANK(G57),OR('rc'!D53&gt;0.65,ISNUMBER(SEARCH("Dissolution",'Leaching Mechanism'!H53)))),2*'Measured Cummulative'!L54*SQRT(64/64),"")</f>
        <v>#NUM!</v>
      </c>
      <c r="L57" s="190" t="e">
        <f ca="1">IF(SUM(G57:K57)&lt;0.000001,5*'Measured Cummulative'!L54*SQRT(36/36),"")</f>
        <v>#DIV/0!</v>
      </c>
    </row>
    <row r="58" spans="1:12" ht="16.5" x14ac:dyDescent="0.2">
      <c r="A58" s="180">
        <f>'Diffusive Flux'!A59</f>
        <v>0</v>
      </c>
      <c r="B58" s="182" t="s">
        <v>160</v>
      </c>
      <c r="C58" s="268" t="e">
        <f ca="1">IF(NOT('Leaching Mechanism'!L54="Non-Diffusion Based"),SQRT(36)*PRODUCT(Uxy!D56,Uxy!E56,Uxy!F56,Uxy!G56,Uxy!H56,Uxy!I56,Uxy!J56,Uxy!K56)^0.125,"")</f>
        <v>#DIV/0!</v>
      </c>
      <c r="D58" s="187" t="e">
        <f ca="1">IF(NOT('Leaching Mechanism'!L54="Non-Diffusion Based"),SUM(Normalisation!E55:L55),"")</f>
        <v>#DIV/0!</v>
      </c>
      <c r="E58" s="188" t="e">
        <f ca="1">IF(AND(D58&lt;C58,'rc'!G54&lt;0.35,'rc'!F54&lt;0.35),D58,C58)</f>
        <v>#DIV/0!</v>
      </c>
      <c r="F58" s="187" t="e">
        <f ca="1">IF(AND('Leaching Mechanism'!G54="Surface Wash-Off",OR('Leaching Mechanism'!B54="Diffusion", 'Leaching Mechanism'!C54="Diffusion",'Leaching Mechanism'!D54="Diffusion", 'Leaching Mechanism'!E54="Diffusion", 'Leaching Mechanism'!F54="Diffusion")),Normalisation!F55+Normalisation!G55-(C58*SQRT(1/36)),"")</f>
        <v>#DIV/0!</v>
      </c>
      <c r="G58" s="187" t="e">
        <f t="shared" ca="1" si="0"/>
        <v>#DIV/0!</v>
      </c>
      <c r="H58" s="189" t="str">
        <f>IF(SUM('Analytical Data'!$F55:$M55)&lt;'Analytical Data'!E55*12,SUM(Normalisation!E55:L55)*SQRT(1),"")</f>
        <v/>
      </c>
      <c r="I58" s="189" t="e">
        <f ca="1">IF(AND(LOD!J54&gt;1.5,'rc'!I54&lt;0.35,LOD!F54&lt;1.5),(('Measured Cummulative'!F55-'Measured Cummulative'!E55)+('Measured Cummulative'!L55-'Measured Cummulative'!G55))*(SQRT(64)-SQRT(1))/(SQRT(64)-SQRT(1)),"")</f>
        <v>#DIV/0!</v>
      </c>
      <c r="J58" s="189" t="e">
        <f ca="1">IF(AND('Leaching Mechanism'!P54="Depletion",LOD!E54&gt;1.5),('Measured Cummulative'!L55*(SQRT(64)-SQRT(1))/(SQRT(64)-SQRT(1))),"")</f>
        <v>#DIV/0!</v>
      </c>
      <c r="K58" s="189" t="e">
        <f ca="1">IF(AND(ISBLANK(G58),OR('rc'!D54&gt;0.65,ISNUMBER(SEARCH("Dissolution",'Leaching Mechanism'!H54)))),2*'Measured Cummulative'!L55*SQRT(64/64),"")</f>
        <v>#NUM!</v>
      </c>
      <c r="L58" s="190" t="e">
        <f ca="1">IF(SUM(G58:K58)&lt;0.000001,5*'Measured Cummulative'!L55*SQRT(36/36),"")</f>
        <v>#DIV/0!</v>
      </c>
    </row>
    <row r="59" spans="1:12" ht="16.5" x14ac:dyDescent="0.2">
      <c r="A59" s="180">
        <f>'Diffusive Flux'!A60</f>
        <v>0</v>
      </c>
      <c r="B59" s="182" t="s">
        <v>161</v>
      </c>
      <c r="C59" s="268" t="e">
        <f ca="1">IF(NOT('Leaching Mechanism'!L55="Non-Diffusion Based"),SQRT(36)*PRODUCT(Uxy!D57,Uxy!E57,Uxy!F57,Uxy!G57,Uxy!H57,Uxy!I57,Uxy!J57,Uxy!K57)^0.125,"")</f>
        <v>#DIV/0!</v>
      </c>
      <c r="D59" s="187" t="e">
        <f ca="1">IF(NOT('Leaching Mechanism'!L55="Non-Diffusion Based"),SUM(Normalisation!E56:L56),"")</f>
        <v>#DIV/0!</v>
      </c>
      <c r="E59" s="188" t="e">
        <f ca="1">IF(AND(D59&lt;C59,'rc'!G55&lt;0.35,'rc'!F55&lt;0.35),D59,C59)</f>
        <v>#DIV/0!</v>
      </c>
      <c r="F59" s="187" t="e">
        <f ca="1">IF(AND('Leaching Mechanism'!G55="Surface Wash-Off",OR('Leaching Mechanism'!B55="Diffusion", 'Leaching Mechanism'!C55="Diffusion",'Leaching Mechanism'!D55="Diffusion", 'Leaching Mechanism'!E55="Diffusion", 'Leaching Mechanism'!F55="Diffusion")),Normalisation!F56+Normalisation!G56-(C59*SQRT(1/36)),"")</f>
        <v>#DIV/0!</v>
      </c>
      <c r="G59" s="187" t="e">
        <f t="shared" ca="1" si="0"/>
        <v>#DIV/0!</v>
      </c>
      <c r="H59" s="189" t="str">
        <f>IF(SUM('Analytical Data'!$F56:$M56)&lt;'Analytical Data'!E56*12,SUM(Normalisation!E56:L56)*SQRT(1),"")</f>
        <v/>
      </c>
      <c r="I59" s="189" t="e">
        <f ca="1">IF(AND(LOD!J55&gt;1.5,'rc'!I55&lt;0.35,LOD!F55&lt;1.5),(('Measured Cummulative'!F56-'Measured Cummulative'!E56)+('Measured Cummulative'!L56-'Measured Cummulative'!G56))*(SQRT(64)-SQRT(1))/(SQRT(64)-SQRT(1)),"")</f>
        <v>#DIV/0!</v>
      </c>
      <c r="J59" s="189" t="e">
        <f ca="1">IF(AND('Leaching Mechanism'!P55="Depletion",LOD!E55&gt;1.5),('Measured Cummulative'!L56*(SQRT(64)-SQRT(1))/(SQRT(64)-SQRT(1))),"")</f>
        <v>#DIV/0!</v>
      </c>
      <c r="K59" s="189" t="e">
        <f ca="1">IF(AND(ISBLANK(G59),OR('rc'!D55&gt;0.65,ISNUMBER(SEARCH("Dissolution",'Leaching Mechanism'!H55)))),2*'Measured Cummulative'!L56*SQRT(64/64),"")</f>
        <v>#NUM!</v>
      </c>
      <c r="L59" s="190" t="e">
        <f ca="1">IF(SUM(G59:K59)&lt;0.000001,5*'Measured Cummulative'!L56*SQRT(36/36),"")</f>
        <v>#DIV/0!</v>
      </c>
    </row>
    <row r="60" spans="1:12" ht="17.25" thickBot="1" x14ac:dyDescent="0.25">
      <c r="A60" s="242">
        <f>'Diffusive Flux'!A61</f>
        <v>0</v>
      </c>
      <c r="B60" s="270" t="s">
        <v>162</v>
      </c>
      <c r="C60" s="269" t="e">
        <f ca="1">IF(NOT('Leaching Mechanism'!L56="Non-Diffusion Based"),SQRT(36)*PRODUCT(Uxy!D58,Uxy!E58,Uxy!F58,Uxy!G58,Uxy!H58,Uxy!I58,Uxy!J58,Uxy!K58)^0.125,"")</f>
        <v>#DIV/0!</v>
      </c>
      <c r="D60" s="243" t="e">
        <f ca="1">IF(NOT('Leaching Mechanism'!L56="Non-Diffusion Based"),SUM(Normalisation!E57:L57),"")</f>
        <v>#DIV/0!</v>
      </c>
      <c r="E60" s="244" t="e">
        <f ca="1">IF(AND(D60&lt;C60,'rc'!G56&lt;0.35,'rc'!F56&lt;0.35),D60,C60)</f>
        <v>#DIV/0!</v>
      </c>
      <c r="F60" s="243" t="e">
        <f ca="1">IF(AND('Leaching Mechanism'!G56="Surface Wash-Off",OR('Leaching Mechanism'!B56="Diffusion", 'Leaching Mechanism'!C56="Diffusion",'Leaching Mechanism'!D56="Diffusion", 'Leaching Mechanism'!E56="Diffusion", 'Leaching Mechanism'!F56="Diffusion")),Normalisation!F57+Normalisation!G57-(C60*SQRT(1/36)),"")</f>
        <v>#DIV/0!</v>
      </c>
      <c r="G60" s="243" t="e">
        <f t="shared" ca="1" si="0"/>
        <v>#DIV/0!</v>
      </c>
      <c r="H60" s="245" t="str">
        <f>IF(SUM('Analytical Data'!$F57:$M57)&lt;'Analytical Data'!E57*12,SUM(Normalisation!E57:L57)*SQRT(1),"")</f>
        <v/>
      </c>
      <c r="I60" s="245" t="e">
        <f ca="1">IF(AND(LOD!J56&gt;1.5,'rc'!I56&lt;0.35,LOD!F56&lt;1.5),(('Measured Cummulative'!F57-'Measured Cummulative'!E57)+('Measured Cummulative'!L57-'Measured Cummulative'!G57))*(SQRT(64)-SQRT(1))/(SQRT(64)-SQRT(1)),"")</f>
        <v>#DIV/0!</v>
      </c>
      <c r="J60" s="189" t="e">
        <f ca="1">IF(AND('Leaching Mechanism'!P56="Depletion",LOD!E56&gt;1.5),('Measured Cummulative'!L57*(SQRT(64)-SQRT(1))/(SQRT(64)-SQRT(1))),"")</f>
        <v>#DIV/0!</v>
      </c>
      <c r="K60" s="245" t="e">
        <f ca="1">IF(AND(ISBLANK(G60),OR('rc'!D56&gt;0.65,ISNUMBER(SEARCH("Dissolution",'Leaching Mechanism'!H56)))),2*'Measured Cummulative'!L57*SQRT(64/64),"")</f>
        <v>#NUM!</v>
      </c>
      <c r="L60" s="190" t="e">
        <f ca="1">IF(SUM(G60:K60)&lt;0.000001,5*'Measured Cummulative'!L57*SQRT(36/36),"")</f>
        <v>#DIV/0!</v>
      </c>
    </row>
    <row r="61" spans="1:12" ht="16.5" x14ac:dyDescent="0.2">
      <c r="A61" s="261">
        <f>'Diffusive Flux'!A62</f>
        <v>0</v>
      </c>
      <c r="B61" s="110" t="s">
        <v>163</v>
      </c>
      <c r="C61" s="262" t="e">
        <f ca="1">IF(NOT('Leaching Mechanism'!L57="Non-Diffusion Based"),SQRT(36)*PRODUCT(Uxy!D59,Uxy!E59,Uxy!F59,Uxy!G59,Uxy!H59,Uxy!I59,Uxy!J59,Uxy!K59)^0.125,"")</f>
        <v>#DIV/0!</v>
      </c>
      <c r="D61" s="262" t="e">
        <f ca="1">IF(NOT('Leaching Mechanism'!L57="Non-Diffusion Based"),SUM(Normalisation!E58:L58),"")</f>
        <v>#DIV/0!</v>
      </c>
      <c r="E61" s="263" t="e">
        <f ca="1">IF(AND(D61&lt;C61,'rc'!G57&lt;0.35,'rc'!F57&lt;0.35),D61,C61)</f>
        <v>#DIV/0!</v>
      </c>
      <c r="F61" s="262" t="e">
        <f ca="1">IF(AND('Leaching Mechanism'!G57="Surface Wash-Off",OR('Leaching Mechanism'!B57="Diffusion", 'Leaching Mechanism'!C57="Diffusion",'Leaching Mechanism'!D57="Diffusion", 'Leaching Mechanism'!E57="Diffusion", 'Leaching Mechanism'!F57="Diffusion")),Normalisation!F58+Normalisation!G58-(C61*SQRT(1/36)),"")</f>
        <v>#DIV/0!</v>
      </c>
      <c r="G61" s="262" t="e">
        <f t="shared" ca="1" si="0"/>
        <v>#DIV/0!</v>
      </c>
      <c r="H61" s="264" t="str">
        <f>IF(SUM('Analytical Data'!$F58:$M58)&lt;'Analytical Data'!E58*12,SUM(Normalisation!E58:L58)*SQRT(1),"")</f>
        <v/>
      </c>
      <c r="I61" s="264" t="e">
        <f ca="1">IF(AND(LOD!J57&gt;1.5,'rc'!I57&lt;0.35,LOD!F57&lt;1.5),(('Measured Cummulative'!F58-'Measured Cummulative'!E58)+('Measured Cummulative'!L58-'Measured Cummulative'!G58))*(SQRT(64)-SQRT(1))/(SQRT(64)-SQRT(1)),"")</f>
        <v>#DIV/0!</v>
      </c>
      <c r="J61" s="264" t="e">
        <f ca="1">IF(AND('Leaching Mechanism'!P57="Depletion",LOD!E57&gt;1.5),('Measured Cummulative'!L58*(SQRT(64)-SQRT(1))/(SQRT(64)-SQRT(1))),"")</f>
        <v>#DIV/0!</v>
      </c>
      <c r="K61" s="264" t="e">
        <f ca="1">IF(AND(ISBLANK(G61),OR('rc'!D57&gt;0.65,ISNUMBER(SEARCH("Dissolution",'Leaching Mechanism'!H57)))),2*'Measured Cummulative'!L58*SQRT(64/64),"")</f>
        <v>#NUM!</v>
      </c>
      <c r="L61" s="265" t="e">
        <f ca="1">IF(AND(AVERAGE('rc'!D57:I57)&gt;0.5,SUM(H61:K61)&lt;0.000001,NOT('Leaching Mechanism'!L57="Non-Diffusion Based")),5*'Measured Cummulative'!L58*SQRT(64/64),"")</f>
        <v>#NUM!</v>
      </c>
    </row>
    <row r="62" spans="1:12" ht="16.5" x14ac:dyDescent="0.2">
      <c r="A62" s="180">
        <f>'Diffusive Flux'!A63</f>
        <v>0</v>
      </c>
      <c r="B62" s="110" t="s">
        <v>164</v>
      </c>
      <c r="C62" s="187" t="e">
        <f ca="1">IF(NOT('Leaching Mechanism'!L58="Non-Diffusion Based"),SQRT(36)*PRODUCT(Uxy!D60,Uxy!E60,Uxy!F60,Uxy!G60,Uxy!H60,Uxy!I60,Uxy!J60,Uxy!K60)^0.125,"")</f>
        <v>#DIV/0!</v>
      </c>
      <c r="D62" s="187" t="e">
        <f ca="1">IF(NOT('Leaching Mechanism'!L58="Non-Diffusion Based"),SUM(Normalisation!E59:L59),"")</f>
        <v>#DIV/0!</v>
      </c>
      <c r="E62" s="188" t="e">
        <f ca="1">IF(AND(D62&lt;C62,'rc'!G58&lt;0.35,'rc'!F58&lt;0.35),D62,C62)</f>
        <v>#DIV/0!</v>
      </c>
      <c r="F62" s="187" t="e">
        <f ca="1">IF(AND('Leaching Mechanism'!G58="Surface Wash-Off",OR('Leaching Mechanism'!B58="Diffusion", 'Leaching Mechanism'!C58="Diffusion",'Leaching Mechanism'!D58="Diffusion", 'Leaching Mechanism'!E58="Diffusion", 'Leaching Mechanism'!F58="Diffusion")),Normalisation!F59+Normalisation!G59-(C62*SQRT(1/36)),"")</f>
        <v>#DIV/0!</v>
      </c>
      <c r="G62" s="187" t="e">
        <f t="shared" ca="1" si="0"/>
        <v>#DIV/0!</v>
      </c>
      <c r="H62" s="189" t="str">
        <f>IF(SUM('Analytical Data'!$F59:$M59)&lt;'Analytical Data'!E59*12,SUM(Normalisation!E59:L59)*SQRT(1),"")</f>
        <v/>
      </c>
      <c r="I62" s="189" t="e">
        <f ca="1">IF(AND(LOD!J58&gt;1.5,'rc'!I58&lt;0.35,LOD!F58&lt;1.5),(('Measured Cummulative'!F59-'Measured Cummulative'!E59)+('Measured Cummulative'!L59-'Measured Cummulative'!G59))*(SQRT(64)-SQRT(1))/(SQRT(64)-SQRT(1)),"")</f>
        <v>#DIV/0!</v>
      </c>
      <c r="J62" s="189" t="e">
        <f ca="1">IF(AND('Leaching Mechanism'!P58="Depletion",LOD!E58&gt;1.5),('Measured Cummulative'!L59*(SQRT(64)-SQRT(1))/(SQRT(64)-SQRT(1))),"")</f>
        <v>#DIV/0!</v>
      </c>
      <c r="K62" s="189" t="e">
        <f ca="1">IF(AND(ISBLANK(G62),OR('rc'!D58&gt;0.65,ISNUMBER(SEARCH("Dissolution",'Leaching Mechanism'!H58)))),2*'Measured Cummulative'!L59*SQRT(64/64),"")</f>
        <v>#NUM!</v>
      </c>
      <c r="L62" s="190" t="e">
        <f ca="1">IF(AND(AVERAGE('rc'!D58:I58)&gt;0.5,SUM(H62:K62)&lt;0.000001,NOT('Leaching Mechanism'!L58="Non-Diffusion Based")),5*'Measured Cummulative'!L59*SQRT(64/64),"")</f>
        <v>#NUM!</v>
      </c>
    </row>
    <row r="63" spans="1:12" ht="16.5" x14ac:dyDescent="0.2">
      <c r="A63" s="180">
        <f>'Diffusive Flux'!A64</f>
        <v>0</v>
      </c>
      <c r="B63" s="110" t="s">
        <v>165</v>
      </c>
      <c r="C63" s="187" t="e">
        <f ca="1">IF(NOT('Leaching Mechanism'!L59="Non-Diffusion Based"),SQRT(36)*PRODUCT(Uxy!D61,Uxy!E61,Uxy!F61,Uxy!G61,Uxy!H61,Uxy!I61,Uxy!J61,Uxy!K61)^0.125,"")</f>
        <v>#DIV/0!</v>
      </c>
      <c r="D63" s="187" t="e">
        <f ca="1">IF(NOT('Leaching Mechanism'!L59="Non-Diffusion Based"),SUM(Normalisation!E60:L60),"")</f>
        <v>#DIV/0!</v>
      </c>
      <c r="E63" s="188" t="e">
        <f ca="1">IF(AND(D63&lt;C63,'rc'!G59&lt;0.35,'rc'!F59&lt;0.35),D63,C63)</f>
        <v>#DIV/0!</v>
      </c>
      <c r="F63" s="187" t="e">
        <f ca="1">IF(AND('Leaching Mechanism'!G59="Surface Wash-Off",OR('Leaching Mechanism'!B59="Diffusion", 'Leaching Mechanism'!C59="Diffusion",'Leaching Mechanism'!D59="Diffusion", 'Leaching Mechanism'!E59="Diffusion", 'Leaching Mechanism'!F59="Diffusion")),Normalisation!F60+Normalisation!G60-(C63*SQRT(1/36)),"")</f>
        <v>#DIV/0!</v>
      </c>
      <c r="G63" s="187" t="e">
        <f t="shared" ca="1" si="0"/>
        <v>#DIV/0!</v>
      </c>
      <c r="H63" s="189" t="str">
        <f>IF(SUM('Analytical Data'!$F60:$M60)&lt;'Analytical Data'!E60*12,SUM(Normalisation!E60:L60)*SQRT(1),"")</f>
        <v/>
      </c>
      <c r="I63" s="189" t="e">
        <f ca="1">IF(AND(LOD!J59&gt;1.5,'rc'!I59&lt;0.35,LOD!F59&lt;1.5),(('Measured Cummulative'!F60-'Measured Cummulative'!E60)+('Measured Cummulative'!L60-'Measured Cummulative'!G60))*(SQRT(64)-SQRT(1))/(SQRT(64)-SQRT(1)),"")</f>
        <v>#DIV/0!</v>
      </c>
      <c r="J63" s="189" t="e">
        <f ca="1">IF(AND('Leaching Mechanism'!P59="Depletion",LOD!E59&gt;1.5),('Measured Cummulative'!L60*(SQRT(64)-SQRT(1))/(SQRT(64)-SQRT(1))),"")</f>
        <v>#DIV/0!</v>
      </c>
      <c r="K63" s="189" t="e">
        <f ca="1">IF(AND(ISBLANK(G63),OR('rc'!D59&gt;0.65,ISNUMBER(SEARCH("Dissolution",'Leaching Mechanism'!H59)))),2*'Measured Cummulative'!L60*SQRT(64/64),"")</f>
        <v>#NUM!</v>
      </c>
      <c r="L63" s="190" t="e">
        <f ca="1">IF(AND(AVERAGE('rc'!D59:I59)&gt;0.5,SUM(H63:K63)&lt;0.000001,NOT('Leaching Mechanism'!L59="Non-Diffusion Based")),5*'Measured Cummulative'!L60*SQRT(64/64),"")</f>
        <v>#NUM!</v>
      </c>
    </row>
    <row r="64" spans="1:12" ht="16.5" x14ac:dyDescent="0.2">
      <c r="A64" s="180">
        <f>'Diffusive Flux'!A65</f>
        <v>0</v>
      </c>
      <c r="B64" s="110" t="s">
        <v>166</v>
      </c>
      <c r="C64" s="187" t="e">
        <f ca="1">IF(NOT('Leaching Mechanism'!L60="Non-Diffusion Based"),SQRT(36)*PRODUCT(Uxy!D62,Uxy!E62,Uxy!F62,Uxy!G62,Uxy!H62,Uxy!I62,Uxy!J62,Uxy!K62)^0.125,"")</f>
        <v>#DIV/0!</v>
      </c>
      <c r="D64" s="187" t="e">
        <f ca="1">IF(NOT('Leaching Mechanism'!L60="Non-Diffusion Based"),SUM(Normalisation!E61:L61),"")</f>
        <v>#DIV/0!</v>
      </c>
      <c r="E64" s="188" t="e">
        <f ca="1">IF(AND(D64&lt;C64,'rc'!G60&lt;0.35,'rc'!F60&lt;0.35),D64,C64)</f>
        <v>#DIV/0!</v>
      </c>
      <c r="F64" s="187" t="e">
        <f ca="1">IF(AND('Leaching Mechanism'!G60="Surface Wash-Off",OR('Leaching Mechanism'!B60="Diffusion", 'Leaching Mechanism'!C60="Diffusion",'Leaching Mechanism'!D60="Diffusion", 'Leaching Mechanism'!E60="Diffusion", 'Leaching Mechanism'!F60="Diffusion")),Normalisation!F61+Normalisation!G61-(C64*SQRT(1/36)),"")</f>
        <v>#DIV/0!</v>
      </c>
      <c r="G64" s="187" t="e">
        <f t="shared" ca="1" si="0"/>
        <v>#DIV/0!</v>
      </c>
      <c r="H64" s="189" t="str">
        <f>IF(SUM('Analytical Data'!$F61:$M61)&lt;'Analytical Data'!E61*12,SUM(Normalisation!E61:L61)*SQRT(1),"")</f>
        <v/>
      </c>
      <c r="I64" s="189" t="e">
        <f ca="1">IF(AND(LOD!J60&gt;1.5,'rc'!I60&lt;0.35,LOD!F60&lt;1.5),(('Measured Cummulative'!F61-'Measured Cummulative'!E61)+('Measured Cummulative'!L61-'Measured Cummulative'!G61))*(SQRT(64)-SQRT(1))/(SQRT(64)-SQRT(1)),"")</f>
        <v>#DIV/0!</v>
      </c>
      <c r="J64" s="189" t="e">
        <f ca="1">IF(AND('Leaching Mechanism'!P60="Depletion",LOD!E60&gt;1.5),('Measured Cummulative'!L61*(SQRT(64)-SQRT(1))/(SQRT(64)-SQRT(1))),"")</f>
        <v>#DIV/0!</v>
      </c>
      <c r="K64" s="189" t="e">
        <f ca="1">IF(AND(ISBLANK(G64),OR('rc'!D60&gt;0.65,ISNUMBER(SEARCH("Dissolution",'Leaching Mechanism'!H60)))),2*'Measured Cummulative'!L61*SQRT(64/64),"")</f>
        <v>#NUM!</v>
      </c>
      <c r="L64" s="190" t="e">
        <f ca="1">IF(AND(AVERAGE('rc'!D60:I60)&gt;0.5,SUM(H64:K64)&lt;0.000001,NOT('Leaching Mechanism'!L60="Non-Diffusion Based")),5*'Measured Cummulative'!L61*SQRT(64/64),"")</f>
        <v>#NUM!</v>
      </c>
    </row>
    <row r="65" spans="1:12" ht="16.5" x14ac:dyDescent="0.2">
      <c r="A65" s="180">
        <f>'Diffusive Flux'!A66</f>
        <v>0</v>
      </c>
      <c r="B65" s="110" t="s">
        <v>167</v>
      </c>
      <c r="C65" s="187" t="e">
        <f ca="1">IF(NOT('Leaching Mechanism'!L61="Non-Diffusion Based"),SQRT(36)*PRODUCT(Uxy!D63,Uxy!E63,Uxy!F63,Uxy!G63,Uxy!H63,Uxy!I63,Uxy!J63,Uxy!K63)^0.125,"")</f>
        <v>#DIV/0!</v>
      </c>
      <c r="D65" s="187" t="e">
        <f ca="1">IF(NOT('Leaching Mechanism'!L61="Non-Diffusion Based"),SUM(Normalisation!E62:L62),"")</f>
        <v>#DIV/0!</v>
      </c>
      <c r="E65" s="188" t="e">
        <f ca="1">IF(AND(D65&lt;C65,'rc'!G61&lt;0.35,'rc'!F61&lt;0.35),D65,C65)</f>
        <v>#DIV/0!</v>
      </c>
      <c r="F65" s="187" t="e">
        <f ca="1">IF(AND('Leaching Mechanism'!G61="Surface Wash-Off",OR('Leaching Mechanism'!B61="Diffusion", 'Leaching Mechanism'!C61="Diffusion",'Leaching Mechanism'!D61="Diffusion", 'Leaching Mechanism'!E61="Diffusion", 'Leaching Mechanism'!F61="Diffusion")),Normalisation!F62+Normalisation!G62-(C65*SQRT(1/36)),"")</f>
        <v>#DIV/0!</v>
      </c>
      <c r="G65" s="187" t="e">
        <f t="shared" ca="1" si="0"/>
        <v>#DIV/0!</v>
      </c>
      <c r="H65" s="189" t="str">
        <f>IF(SUM('Analytical Data'!$F62:$M62)&lt;'Analytical Data'!E62*12,SUM(Normalisation!E62:L62)*SQRT(1),"")</f>
        <v/>
      </c>
      <c r="I65" s="189" t="e">
        <f ca="1">IF(AND(LOD!J61&gt;1.5,'rc'!I61&lt;0.35,LOD!F61&lt;1.5),(('Measured Cummulative'!F62-'Measured Cummulative'!E62)+('Measured Cummulative'!L62-'Measured Cummulative'!G62))*(SQRT(64)-SQRT(1))/(SQRT(64)-SQRT(1)),"")</f>
        <v>#DIV/0!</v>
      </c>
      <c r="J65" s="189" t="e">
        <f ca="1">IF(AND('Leaching Mechanism'!P61="Depletion",LOD!E61&gt;1.5),('Measured Cummulative'!L62*(SQRT(64)-SQRT(1))/(SQRT(64)-SQRT(1))),"")</f>
        <v>#DIV/0!</v>
      </c>
      <c r="K65" s="189" t="e">
        <f ca="1">IF(AND(ISBLANK(G65),OR('rc'!D61&gt;0.65,ISNUMBER(SEARCH("Dissolution",'Leaching Mechanism'!H61)))),2*'Measured Cummulative'!L62*SQRT(64/64),"")</f>
        <v>#NUM!</v>
      </c>
      <c r="L65" s="190" t="e">
        <f ca="1">IF(AND(AVERAGE('rc'!D61:I61)&gt;0.5,SUM(H65:K65)&lt;0.000001,NOT('Leaching Mechanism'!L61="Non-Diffusion Based")),5*'Measured Cummulative'!L62*SQRT(64/64),"")</f>
        <v>#NUM!</v>
      </c>
    </row>
    <row r="66" spans="1:12" ht="16.5" x14ac:dyDescent="0.2">
      <c r="A66" s="180">
        <f>'Diffusive Flux'!A67</f>
        <v>0</v>
      </c>
      <c r="B66" s="110" t="s">
        <v>168</v>
      </c>
      <c r="C66" s="187" t="e">
        <f ca="1">IF(NOT('Leaching Mechanism'!L62="Non-Diffusion Based"),SQRT(36)*PRODUCT(Uxy!D64,Uxy!E64,Uxy!F64,Uxy!G64,Uxy!H64,Uxy!I64,Uxy!J64,Uxy!K64)^0.125,"")</f>
        <v>#DIV/0!</v>
      </c>
      <c r="D66" s="187" t="e">
        <f ca="1">IF(NOT('Leaching Mechanism'!L62="Non-Diffusion Based"),SUM(Normalisation!E63:L63),"")</f>
        <v>#DIV/0!</v>
      </c>
      <c r="E66" s="188" t="e">
        <f ca="1">IF(AND(D66&lt;C66,'rc'!G62&lt;0.35,'rc'!F62&lt;0.35),D66,C66)</f>
        <v>#DIV/0!</v>
      </c>
      <c r="F66" s="187" t="e">
        <f ca="1">IF(AND('Leaching Mechanism'!G62="Surface Wash-Off",OR('Leaching Mechanism'!B62="Diffusion", 'Leaching Mechanism'!C62="Diffusion",'Leaching Mechanism'!D62="Diffusion", 'Leaching Mechanism'!E62="Diffusion", 'Leaching Mechanism'!F62="Diffusion")),Normalisation!F63+Normalisation!G63-(C66*SQRT(1/36)),"")</f>
        <v>#DIV/0!</v>
      </c>
      <c r="G66" s="187" t="e">
        <f t="shared" ca="1" si="0"/>
        <v>#DIV/0!</v>
      </c>
      <c r="H66" s="189" t="str">
        <f>IF(SUM('Analytical Data'!$F63:$M63)&lt;'Analytical Data'!E63*12,SUM(Normalisation!E63:L63)*SQRT(1),"")</f>
        <v/>
      </c>
      <c r="I66" s="189" t="e">
        <f ca="1">IF(AND(LOD!J62&gt;1.5,'rc'!I62&lt;0.35,LOD!F62&lt;1.5),(('Measured Cummulative'!F63-'Measured Cummulative'!E63)+('Measured Cummulative'!L63-'Measured Cummulative'!G63))*(SQRT(64)-SQRT(1))/(SQRT(64)-SQRT(1)),"")</f>
        <v>#DIV/0!</v>
      </c>
      <c r="J66" s="189" t="e">
        <f ca="1">IF(AND('Leaching Mechanism'!P62="Depletion",LOD!E62&gt;1.5),('Measured Cummulative'!L63*(SQRT(64)-SQRT(1))/(SQRT(64)-SQRT(1))),"")</f>
        <v>#DIV/0!</v>
      </c>
      <c r="K66" s="189">
        <f>2*'Measured Cummulative'!L63*SQRT(64/64)</f>
        <v>0</v>
      </c>
      <c r="L66" s="190" t="e">
        <f ca="1">IF(AND(AVERAGE('rc'!D62:I62)&gt;0.5,SUM(H66:K66)&lt;0.000001,NOT('Leaching Mechanism'!L62="Non-Diffusion Based")),5*'Measured Cummulative'!L63*SQRT(64/64),"")</f>
        <v>#NUM!</v>
      </c>
    </row>
    <row r="67" spans="1:12" ht="16.5" x14ac:dyDescent="0.2">
      <c r="A67" s="180">
        <f>'Diffusive Flux'!A68</f>
        <v>0</v>
      </c>
      <c r="B67" s="110" t="s">
        <v>169</v>
      </c>
      <c r="C67" s="187" t="e">
        <f ca="1">IF(NOT('Leaching Mechanism'!L63="Non-Diffusion Based"),SQRT(36)*PRODUCT(Uxy!D65,Uxy!E65,Uxy!F65,Uxy!G65,Uxy!H65,Uxy!I65,Uxy!J65,Uxy!K65)^0.125,"")</f>
        <v>#DIV/0!</v>
      </c>
      <c r="D67" s="187" t="e">
        <f ca="1">IF(NOT('Leaching Mechanism'!L63="Non-Diffusion Based"),SUM(Normalisation!E64:L64),"")</f>
        <v>#DIV/0!</v>
      </c>
      <c r="E67" s="188" t="e">
        <f ca="1">IF(AND(D67&lt;C67,'rc'!G63&lt;0.35,'rc'!F63&lt;0.35),D67,C67)</f>
        <v>#DIV/0!</v>
      </c>
      <c r="F67" s="187" t="e">
        <f ca="1">IF(AND('Leaching Mechanism'!G63="Surface Wash-Off",OR('Leaching Mechanism'!B63="Diffusion", 'Leaching Mechanism'!C63="Diffusion",'Leaching Mechanism'!D63="Diffusion", 'Leaching Mechanism'!E63="Diffusion", 'Leaching Mechanism'!F63="Diffusion")),Normalisation!F64+Normalisation!G64-(C67*SQRT(1/36)),"")</f>
        <v>#DIV/0!</v>
      </c>
      <c r="G67" s="187" t="e">
        <f t="shared" ca="1" si="0"/>
        <v>#DIV/0!</v>
      </c>
      <c r="H67" s="189" t="str">
        <f>IF(SUM('Analytical Data'!$F64:$M64)&lt;'Analytical Data'!E64*12,SUM(Normalisation!E64:L64)*SQRT(1),"")</f>
        <v/>
      </c>
      <c r="I67" s="189" t="e">
        <f ca="1">IF(AND(LOD!J63&gt;1.5,'rc'!I63&lt;0.35,LOD!F63&lt;1.5),(('Measured Cummulative'!F64-'Measured Cummulative'!E64)+('Measured Cummulative'!L64-'Measured Cummulative'!G64))*(SQRT(64)-SQRT(1))/(SQRT(64)-SQRT(1)),"")</f>
        <v>#DIV/0!</v>
      </c>
      <c r="J67" s="189" t="e">
        <f ca="1">IF(AND('Leaching Mechanism'!P63="Depletion",LOD!E63&gt;1.5),('Measured Cummulative'!L64*(SQRT(64)-SQRT(1))/(SQRT(64)-SQRT(1))),"")</f>
        <v>#DIV/0!</v>
      </c>
      <c r="K67" s="189" t="e">
        <f ca="1">IF(AND(ISBLANK(G67),OR('rc'!D63&gt;0.65,ISNUMBER(SEARCH("Dissolution",'Leaching Mechanism'!H63)))),2*'Measured Cummulative'!L64*SQRT(36/36),"")</f>
        <v>#NUM!</v>
      </c>
      <c r="L67" s="190" t="e">
        <f ca="1">IF(AND(AVERAGE('rc'!D63:I63)&gt;0.5,SUM(H67:K67)&lt;0.000001,NOT('Leaching Mechanism'!L63="Non-Diffusion Based")),5*'Measured Cummulative'!L64*SQRT(64/64),"")</f>
        <v>#NUM!</v>
      </c>
    </row>
    <row r="68" spans="1:12" ht="16.5" x14ac:dyDescent="0.2">
      <c r="A68" s="180">
        <f>'Diffusive Flux'!A69</f>
        <v>0</v>
      </c>
      <c r="B68" s="110" t="s">
        <v>170</v>
      </c>
      <c r="C68" s="187" t="e">
        <f ca="1">IF(NOT('Leaching Mechanism'!L64="Non-Diffusion Based"),SQRT(36)*PRODUCT(Uxy!D66,Uxy!E66,Uxy!F66,Uxy!G66,Uxy!H66,Uxy!I66,Uxy!J66,Uxy!K66)^0.125,"")</f>
        <v>#DIV/0!</v>
      </c>
      <c r="D68" s="187" t="e">
        <f ca="1">IF(NOT('Leaching Mechanism'!L64="Non-Diffusion Based"),SUM(Normalisation!E65:L65),"")</f>
        <v>#DIV/0!</v>
      </c>
      <c r="E68" s="188" t="e">
        <f ca="1">IF(AND(D68&lt;C68,'rc'!G64&lt;0.35,'rc'!F64&lt;0.35),D68,C68)</f>
        <v>#DIV/0!</v>
      </c>
      <c r="F68" s="187" t="e">
        <f ca="1">IF(AND('Leaching Mechanism'!G64="Surface Wash-Off",OR('Leaching Mechanism'!B64="Diffusion", 'Leaching Mechanism'!C64="Diffusion",'Leaching Mechanism'!D64="Diffusion", 'Leaching Mechanism'!E64="Diffusion", 'Leaching Mechanism'!F64="Diffusion")),Normalisation!F65+Normalisation!G65-(C68*SQRT(1/36)),"")</f>
        <v>#DIV/0!</v>
      </c>
      <c r="G68" s="187" t="e">
        <f t="shared" ca="1" si="0"/>
        <v>#DIV/0!</v>
      </c>
      <c r="H68" s="189" t="str">
        <f>IF(SUM('Analytical Data'!$F65:$M65)&lt;'Analytical Data'!E65*12,SUM(Normalisation!E65:L65)*SQRT(1),"")</f>
        <v/>
      </c>
      <c r="I68" s="189" t="e">
        <f ca="1">IF(AND(LOD!J64&gt;1.5,'rc'!I64&lt;0.35,LOD!F64&lt;1.5),(('Measured Cummulative'!F65-'Measured Cummulative'!E65)+('Measured Cummulative'!L65-'Measured Cummulative'!G65))*(SQRT(64)-SQRT(1))/(SQRT(64)-SQRT(1)),"")</f>
        <v>#DIV/0!</v>
      </c>
      <c r="J68" s="189" t="e">
        <f ca="1">IF(AND('Leaching Mechanism'!P64="Depletion",LOD!E64&gt;1.5),('Measured Cummulative'!L65*(SQRT(64)-SQRT(1))/(SQRT(64)-SQRT(1))),"")</f>
        <v>#DIV/0!</v>
      </c>
      <c r="K68" s="189" t="e">
        <f ca="1">IF(AND(ISBLANK(G68),OR('rc'!D64&gt;0.65,ISNUMBER(SEARCH("Dissolution",'Leaching Mechanism'!H64)))),2*'Measured Cummulative'!L65*SQRT(64/64),"")</f>
        <v>#NUM!</v>
      </c>
      <c r="L68" s="190" t="e">
        <f ca="1">IF(AND(AVERAGE('rc'!D64:I64)&gt;0.5,SUM(H68:K68)&lt;0.000001,NOT('Leaching Mechanism'!L64="Non-Diffusion Based")),5*'Measured Cummulative'!L65*SQRT(64/64),"")</f>
        <v>#NUM!</v>
      </c>
    </row>
    <row r="69" spans="1:12" ht="16.5" x14ac:dyDescent="0.2">
      <c r="A69" s="180">
        <f>'Diffusive Flux'!A70</f>
        <v>0</v>
      </c>
      <c r="B69" s="110" t="s">
        <v>171</v>
      </c>
      <c r="C69" s="187" t="e">
        <f ca="1">IF(NOT('Leaching Mechanism'!L65="Non-Diffusion Based"),SQRT(36)*PRODUCT(Uxy!D67,Uxy!E67,Uxy!F67,Uxy!G67,Uxy!H67,Uxy!I67,Uxy!J67,Uxy!K67)^0.125,"")</f>
        <v>#DIV/0!</v>
      </c>
      <c r="D69" s="187" t="e">
        <f ca="1">IF(NOT('Leaching Mechanism'!L65="Non-Diffusion Based"),SUM(Normalisation!E66:L66),"")</f>
        <v>#DIV/0!</v>
      </c>
      <c r="E69" s="188" t="e">
        <f ca="1">IF(AND(D69&lt;C69,'rc'!G65&lt;0.35,'rc'!F65&lt;0.35),D69,C69)</f>
        <v>#DIV/0!</v>
      </c>
      <c r="F69" s="187" t="e">
        <f ca="1">IF(AND('Leaching Mechanism'!G65="Surface Wash-Off",OR('Leaching Mechanism'!B65="Diffusion", 'Leaching Mechanism'!C65="Diffusion",'Leaching Mechanism'!D65="Diffusion", 'Leaching Mechanism'!E65="Diffusion", 'Leaching Mechanism'!F65="Diffusion")),Normalisation!F66+Normalisation!G66-(C69*SQRT(1/36)),"")</f>
        <v>#DIV/0!</v>
      </c>
      <c r="G69" s="187" t="e">
        <f t="shared" ca="1" si="0"/>
        <v>#DIV/0!</v>
      </c>
      <c r="H69" s="189" t="str">
        <f>IF(SUM('Analytical Data'!$F66:$M66)&lt;'Analytical Data'!E66*12,SUM(Normalisation!E66:L66)*SQRT(1),"")</f>
        <v/>
      </c>
      <c r="I69" s="189" t="e">
        <f ca="1">IF(AND(LOD!J65&gt;1.5,'rc'!I65&lt;0.35,LOD!F65&lt;1.5),(('Measured Cummulative'!F66-'Measured Cummulative'!E66)+('Measured Cummulative'!L66-'Measured Cummulative'!G66))*(SQRT(64)-SQRT(1))/(SQRT(64)-SQRT(1)),"")</f>
        <v>#DIV/0!</v>
      </c>
      <c r="J69" s="189" t="e">
        <f ca="1">IF(AND('Leaching Mechanism'!P65="Depletion",LOD!E65&gt;1.5),('Measured Cummulative'!L66*(SQRT(64)-SQRT(1))/(SQRT(64)-SQRT(1))),"")</f>
        <v>#DIV/0!</v>
      </c>
      <c r="K69" s="189" t="e">
        <f ca="1">IF(AND(ISBLANK(G69),OR('rc'!D65&gt;0.65,ISNUMBER(SEARCH("Dissolution",'Leaching Mechanism'!H65)))),2*'Measured Cummulative'!L66*SQRT(64/64),"")</f>
        <v>#NUM!</v>
      </c>
      <c r="L69" s="190" t="e">
        <f ca="1">IF(AND(AVERAGE('rc'!D65:I65)&gt;0.5,SUM(H69:K69)&lt;0.000001,NOT('Leaching Mechanism'!L65="Non-Diffusion Based")),5*'Measured Cummulative'!L66*SQRT(64/64),"")</f>
        <v>#NUM!</v>
      </c>
    </row>
    <row r="70" spans="1:12" ht="16.5" x14ac:dyDescent="0.2">
      <c r="A70" s="180">
        <f>'Diffusive Flux'!A71</f>
        <v>0</v>
      </c>
      <c r="B70" s="110" t="s">
        <v>172</v>
      </c>
      <c r="C70" s="187" t="e">
        <f ca="1">IF(NOT('Leaching Mechanism'!L66="Non-Diffusion Based"),SQRT(36)*PRODUCT(Uxy!D68,Uxy!E68,Uxy!F68,Uxy!G68,Uxy!H68,Uxy!I68,Uxy!J68,Uxy!K68)^0.125,"")</f>
        <v>#DIV/0!</v>
      </c>
      <c r="D70" s="187" t="e">
        <f ca="1">IF(NOT('Leaching Mechanism'!L66="Non-Diffusion Based"),SUM(Normalisation!E67:L67),"")</f>
        <v>#DIV/0!</v>
      </c>
      <c r="E70" s="188" t="e">
        <f ca="1">IF(AND(D70&lt;C70,'rc'!G66&lt;0.35,'rc'!F66&lt;0.35),D70,C70)</f>
        <v>#DIV/0!</v>
      </c>
      <c r="F70" s="187" t="e">
        <f ca="1">IF(AND('Leaching Mechanism'!G66="Surface Wash-Off",OR('Leaching Mechanism'!B66="Diffusion", 'Leaching Mechanism'!C66="Diffusion",'Leaching Mechanism'!D66="Diffusion", 'Leaching Mechanism'!E66="Diffusion", 'Leaching Mechanism'!F66="Diffusion")),Normalisation!F67+Normalisation!G67-(C70*SQRT(1/36)),"")</f>
        <v>#DIV/0!</v>
      </c>
      <c r="G70" s="187" t="e">
        <f t="shared" ca="1" si="0"/>
        <v>#DIV/0!</v>
      </c>
      <c r="H70" s="189" t="str">
        <f>IF(SUM('Analytical Data'!$F67:$M67)&lt;'Analytical Data'!E67*12,SUM(Normalisation!E67:L67)*SQRT(1),"")</f>
        <v/>
      </c>
      <c r="I70" s="189" t="e">
        <f ca="1">IF(AND(LOD!J66&gt;1.5,'rc'!I66&lt;0.35,LOD!F66&lt;1.5),(('Measured Cummulative'!F67-'Measured Cummulative'!E67)+('Measured Cummulative'!L67-'Measured Cummulative'!G67))*(SQRT(64)-SQRT(1))/(SQRT(64)-SQRT(1)),"")</f>
        <v>#DIV/0!</v>
      </c>
      <c r="J70" s="189" t="e">
        <f ca="1">IF(AND('Leaching Mechanism'!P66="Depletion",LOD!E66&gt;1.5),('Measured Cummulative'!L67*(SQRT(64)-SQRT(1))/(SQRT(64)-SQRT(1))),"")</f>
        <v>#DIV/0!</v>
      </c>
      <c r="K70" s="189" t="e">
        <f ca="1">IF(AND(ISBLANK(G70),OR('rc'!D66&gt;0.65,ISNUMBER(SEARCH("Dissolution",'Leaching Mechanism'!H66)))),2*'Measured Cummulative'!L67*SQRT(64/64),"")</f>
        <v>#NUM!</v>
      </c>
      <c r="L70" s="190" t="e">
        <f ca="1">IF(AND(AVERAGE('rc'!D66:I66)&gt;0.5,SUM(H70:K70)&lt;0.000001,NOT('Leaching Mechanism'!L66="Non-Diffusion Based")),5*'Measured Cummulative'!L67*SQRT(64/64),"")</f>
        <v>#NUM!</v>
      </c>
    </row>
    <row r="71" spans="1:12" ht="16.5" x14ac:dyDescent="0.2">
      <c r="A71" s="180">
        <f>'Diffusive Flux'!A72</f>
        <v>0</v>
      </c>
      <c r="B71" s="110" t="s">
        <v>173</v>
      </c>
      <c r="C71" s="187" t="e">
        <f ca="1">IF(NOT('Leaching Mechanism'!L67="Non-Diffusion Based"),SQRT(36)*PRODUCT(Uxy!D69,Uxy!E69,Uxy!F69,Uxy!G69,Uxy!H69,Uxy!I69,Uxy!J69,Uxy!K69)^0.125,"")</f>
        <v>#DIV/0!</v>
      </c>
      <c r="D71" s="187" t="e">
        <f ca="1">IF(NOT('Leaching Mechanism'!L67="Non-Diffusion Based"),SUM(Normalisation!E68:L68),"")</f>
        <v>#DIV/0!</v>
      </c>
      <c r="E71" s="188" t="e">
        <f ca="1">IF(AND(D71&lt;C71,'rc'!G67&lt;0.35,'rc'!F67&lt;0.35),D71,C71)</f>
        <v>#DIV/0!</v>
      </c>
      <c r="F71" s="187" t="e">
        <f ca="1">IF(AND('Leaching Mechanism'!G67="Surface Wash-Off",OR('Leaching Mechanism'!B67="Diffusion", 'Leaching Mechanism'!C67="Diffusion",'Leaching Mechanism'!D67="Diffusion", 'Leaching Mechanism'!E67="Diffusion", 'Leaching Mechanism'!F67="Diffusion")),Normalisation!F68+Normalisation!G68-(C71*SQRT(1/36)),"")</f>
        <v>#DIV/0!</v>
      </c>
      <c r="G71" s="187" t="e">
        <f t="shared" ca="1" si="0"/>
        <v>#DIV/0!</v>
      </c>
      <c r="H71" s="189" t="str">
        <f>IF(SUM('Analytical Data'!$F68:$M68)&lt;'Analytical Data'!E68*12,SUM(Normalisation!E68:L68)*SQRT(1),"")</f>
        <v/>
      </c>
      <c r="I71" s="189" t="e">
        <f ca="1">IF(AND(LOD!J67&gt;1.5,'rc'!I67&lt;0.35,LOD!F67&lt;1.5),(('Measured Cummulative'!F68-'Measured Cummulative'!E68)+('Measured Cummulative'!L68-'Measured Cummulative'!G68))*(SQRT(64)-SQRT(1))/(SQRT(64)-SQRT(1)),"")</f>
        <v>#DIV/0!</v>
      </c>
      <c r="J71" s="189" t="e">
        <f ca="1">IF(AND('Leaching Mechanism'!P67="Depletion",LOD!E67&gt;1.5),('Measured Cummulative'!L68*(SQRT(64)-SQRT(1))/(SQRT(64)-SQRT(1))),"")</f>
        <v>#DIV/0!</v>
      </c>
      <c r="K71" s="189" t="e">
        <f ca="1">IF(AND(ISBLANK(G71),OR('rc'!D67&gt;0.65,ISNUMBER(SEARCH("Dissolution",'Leaching Mechanism'!H67)))),2*'Measured Cummulative'!L68*SQRT(64/64),"")</f>
        <v>#NUM!</v>
      </c>
      <c r="L71" s="190" t="e">
        <f ca="1">IF(AND(AVERAGE('rc'!D67:I67)&gt;0.5,SUM(H71:K71)&lt;0.000001,NOT('Leaching Mechanism'!L67="Non-Diffusion Based")),5*'Measured Cummulative'!L68*SQRT(64/64),"")</f>
        <v>#NUM!</v>
      </c>
    </row>
    <row r="72" spans="1:12" ht="16.5" x14ac:dyDescent="0.2">
      <c r="A72" s="180">
        <f>'Diffusive Flux'!A73</f>
        <v>0</v>
      </c>
      <c r="B72" s="110" t="s">
        <v>174</v>
      </c>
      <c r="C72" s="187" t="e">
        <f ca="1">IF(NOT('Leaching Mechanism'!L68="Non-Diffusion Based"),SQRT(36)*PRODUCT(Uxy!D70,Uxy!E70,Uxy!F70,Uxy!G70,Uxy!H70,Uxy!I70,Uxy!J70,Uxy!K70)^0.125,"")</f>
        <v>#DIV/0!</v>
      </c>
      <c r="D72" s="187" t="e">
        <f ca="1">IF(NOT('Leaching Mechanism'!L68="Non-Diffusion Based"),SUM(Normalisation!E69:L69),"")</f>
        <v>#DIV/0!</v>
      </c>
      <c r="E72" s="188" t="e">
        <f ca="1">IF(AND(D72&lt;C72,'rc'!G68&lt;0.35,'rc'!F68&lt;0.35),D72,C72)</f>
        <v>#DIV/0!</v>
      </c>
      <c r="F72" s="187" t="e">
        <f ca="1">IF(AND('Leaching Mechanism'!G68="Surface Wash-Off",OR('Leaching Mechanism'!B68="Diffusion", 'Leaching Mechanism'!C68="Diffusion",'Leaching Mechanism'!D68="Diffusion", 'Leaching Mechanism'!E68="Diffusion", 'Leaching Mechanism'!F68="Diffusion")),Normalisation!F69+Normalisation!G69-(C72*SQRT(1/36)),"")</f>
        <v>#DIV/0!</v>
      </c>
      <c r="G72" s="187" t="e">
        <f t="shared" ca="1" si="0"/>
        <v>#DIV/0!</v>
      </c>
      <c r="H72" s="189" t="str">
        <f>IF(SUM('Analytical Data'!$F69:$M69)&lt;'Analytical Data'!E69*12,SUM(Normalisation!E69:L69)*SQRT(1),"")</f>
        <v/>
      </c>
      <c r="I72" s="189" t="e">
        <f ca="1">IF(AND(LOD!J68&gt;1.5,'rc'!I68&lt;0.35,LOD!F68&lt;1.5),(('Measured Cummulative'!F69-'Measured Cummulative'!E69)+('Measured Cummulative'!L69-'Measured Cummulative'!G69))*(SQRT(64)-SQRT(1))/(SQRT(64)-SQRT(1)),"")</f>
        <v>#DIV/0!</v>
      </c>
      <c r="J72" s="189" t="e">
        <f ca="1">IF(AND('Leaching Mechanism'!P68="Depletion",LOD!E68&gt;1.5),('Measured Cummulative'!L69*(SQRT(64)-SQRT(1))/(SQRT(64)-SQRT(1))),"")</f>
        <v>#DIV/0!</v>
      </c>
      <c r="K72" s="189" t="e">
        <f ca="1">IF(AND(ISBLANK(G72),OR('rc'!D68&gt;0.65,ISNUMBER(SEARCH("Dissolution",'Leaching Mechanism'!H68)))),2*'Measured Cummulative'!L69*SQRT(64/64),"")</f>
        <v>#NUM!</v>
      </c>
      <c r="L72" s="190" t="e">
        <f ca="1">IF(AND(AVERAGE('rc'!D68:I68)&gt;0.5,SUM(H72:K72)&lt;0.000001,NOT('Leaching Mechanism'!L68="Non-Diffusion Based")),5*'Measured Cummulative'!L69*SQRT(64/64),"")</f>
        <v>#NUM!</v>
      </c>
    </row>
    <row r="73" spans="1:12" ht="16.5" x14ac:dyDescent="0.2">
      <c r="A73" s="180">
        <f>'Diffusive Flux'!A74</f>
        <v>0</v>
      </c>
      <c r="B73" s="110" t="s">
        <v>175</v>
      </c>
      <c r="C73" s="187" t="e">
        <f ca="1">IF(NOT('Leaching Mechanism'!L69="Non-Diffusion Based"),SQRT(36)*PRODUCT(Uxy!D71,Uxy!E71,Uxy!F71,Uxy!G71,Uxy!H71,Uxy!I71,Uxy!J71,Uxy!K71)^0.125,"")</f>
        <v>#DIV/0!</v>
      </c>
      <c r="D73" s="187" t="e">
        <f ca="1">IF(NOT('Leaching Mechanism'!L69="Non-Diffusion Based"),SUM(Normalisation!E70:L70),"")</f>
        <v>#DIV/0!</v>
      </c>
      <c r="E73" s="188" t="e">
        <f ca="1">IF(AND(D73&lt;C73,'rc'!G69&lt;0.35,'rc'!F69&lt;0.35),D73,C73)</f>
        <v>#DIV/0!</v>
      </c>
      <c r="F73" s="187" t="e">
        <f ca="1">IF(AND('Leaching Mechanism'!G69="Surface Wash-Off",OR('Leaching Mechanism'!B69="Diffusion", 'Leaching Mechanism'!C69="Diffusion",'Leaching Mechanism'!D69="Diffusion", 'Leaching Mechanism'!E69="Diffusion", 'Leaching Mechanism'!F69="Diffusion")),Normalisation!F70+Normalisation!G70-(C73*SQRT(1/36)),"")</f>
        <v>#DIV/0!</v>
      </c>
      <c r="G73" s="187" t="e">
        <f t="shared" ca="1" si="0"/>
        <v>#DIV/0!</v>
      </c>
      <c r="H73" s="189" t="str">
        <f>IF(SUM('Analytical Data'!$F70:$M70)&lt;'Analytical Data'!E70*12,SUM(Normalisation!E70:L70)*SQRT(1),"")</f>
        <v/>
      </c>
      <c r="I73" s="189" t="e">
        <f ca="1">IF(AND(LOD!J69&gt;1.5,'rc'!I69&lt;0.35,LOD!F69&lt;1.5),(('Measured Cummulative'!F70-'Measured Cummulative'!E70)+('Measured Cummulative'!L70-'Measured Cummulative'!G70))*(SQRT(64)-SQRT(1))/(SQRT(64)-SQRT(1)),"")</f>
        <v>#DIV/0!</v>
      </c>
      <c r="J73" s="189" t="e">
        <f ca="1">IF(AND('Leaching Mechanism'!P69="Depletion",LOD!E69&gt;1.5),('Measured Cummulative'!L70*(SQRT(64)-SQRT(1))/(SQRT(64)-SQRT(1))),"")</f>
        <v>#DIV/0!</v>
      </c>
      <c r="K73" s="189" t="e">
        <f ca="1">IF(AND(ISBLANK(G73),OR('rc'!D69&gt;0.65,ISNUMBER(SEARCH("Dissolution",'Leaching Mechanism'!H69)))),2*'Measured Cummulative'!L70*SQRT(64/64),"")</f>
        <v>#NUM!</v>
      </c>
      <c r="L73" s="190" t="e">
        <f ca="1">IF(AND(AVERAGE('rc'!D69:I69)&gt;0.5,SUM(H73:K73)&lt;0.000001,NOT('Leaching Mechanism'!L69="Non-Diffusion Based")),5*'Measured Cummulative'!L70*SQRT(64/64),"")</f>
        <v>#NUM!</v>
      </c>
    </row>
    <row r="74" spans="1:12" ht="16.5" x14ac:dyDescent="0.2">
      <c r="A74" s="180">
        <f>'Diffusive Flux'!A75</f>
        <v>0</v>
      </c>
      <c r="B74" s="110" t="s">
        <v>176</v>
      </c>
      <c r="C74" s="187" t="e">
        <f ca="1">IF(NOT('Leaching Mechanism'!L70="Non-Diffusion Based"),SQRT(36)*PRODUCT(Uxy!D72,Uxy!E72,Uxy!F72,Uxy!G72,Uxy!H72,Uxy!I72,Uxy!J72,Uxy!K72)^0.125,"")</f>
        <v>#DIV/0!</v>
      </c>
      <c r="D74" s="187" t="e">
        <f ca="1">IF(NOT('Leaching Mechanism'!L70="Non-Diffusion Based"),SUM(Normalisation!E71:L71),"")</f>
        <v>#DIV/0!</v>
      </c>
      <c r="E74" s="188" t="e">
        <f ca="1">IF(AND(D74&lt;C74,'rc'!G70&lt;0.35,'rc'!F70&lt;0.35),D74,C74)</f>
        <v>#DIV/0!</v>
      </c>
      <c r="F74" s="187" t="e">
        <f ca="1">IF(AND('Leaching Mechanism'!G70="Surface Wash-Off",OR('Leaching Mechanism'!B70="Diffusion", 'Leaching Mechanism'!C70="Diffusion",'Leaching Mechanism'!D70="Diffusion", 'Leaching Mechanism'!E70="Diffusion", 'Leaching Mechanism'!F70="Diffusion")),Normalisation!F71+Normalisation!G71-(C74*SQRT(1/36)),"")</f>
        <v>#DIV/0!</v>
      </c>
      <c r="G74" s="187" t="e">
        <f t="shared" ca="1" si="0"/>
        <v>#DIV/0!</v>
      </c>
      <c r="H74" s="189" t="str">
        <f>IF(SUM('Analytical Data'!$F71:$M71)&lt;'Analytical Data'!E71*12,SUM(Normalisation!E71:L71)*SQRT(1),"")</f>
        <v/>
      </c>
      <c r="I74" s="189" t="e">
        <f ca="1">IF(AND(LOD!J70&gt;1.5,'rc'!I70&lt;0.35,LOD!F70&lt;1.5),(('Measured Cummulative'!F71-'Measured Cummulative'!E71)+('Measured Cummulative'!L71-'Measured Cummulative'!G71))*(SQRT(64)-SQRT(1))/(SQRT(64)-SQRT(1)),"")</f>
        <v>#DIV/0!</v>
      </c>
      <c r="J74" s="189" t="e">
        <f ca="1">IF(AND('Leaching Mechanism'!P70="Depletion",LOD!E70&gt;1.5),('Measured Cummulative'!L71*(SQRT(64)-SQRT(1))/(SQRT(64)-SQRT(1))),"")</f>
        <v>#DIV/0!</v>
      </c>
      <c r="K74" s="189" t="e">
        <f ca="1">IF(AND(ISBLANK(G74),OR('rc'!D70&gt;0.65,ISNUMBER(SEARCH("Dissolution",'Leaching Mechanism'!H70)))),2*'Measured Cummulative'!L71*SQRT(64/64),"")</f>
        <v>#NUM!</v>
      </c>
      <c r="L74" s="190" t="e">
        <f ca="1">IF(AND(AVERAGE('rc'!D70:I70)&gt;0.5,SUM(H74:K74)&lt;0.000001,NOT('Leaching Mechanism'!L70="Non-Diffusion Based")),5*'Measured Cummulative'!L71*SQRT(64/64),"")</f>
        <v>#NUM!</v>
      </c>
    </row>
    <row r="75" spans="1:12" ht="16.5" x14ac:dyDescent="0.2">
      <c r="A75" s="180">
        <f>'Diffusive Flux'!A76</f>
        <v>0</v>
      </c>
      <c r="B75" s="110" t="s">
        <v>177</v>
      </c>
      <c r="C75" s="187" t="e">
        <f ca="1">IF(NOT('Leaching Mechanism'!L71="Non-Diffusion Based"),SQRT(36)*PRODUCT(Uxy!D73,Uxy!E73,Uxy!F73,Uxy!G73,Uxy!H73,Uxy!I73,Uxy!J73,Uxy!K73)^0.125,"")</f>
        <v>#DIV/0!</v>
      </c>
      <c r="D75" s="187" t="e">
        <f ca="1">IF(NOT('Leaching Mechanism'!L71="Non-Diffusion Based"),SUM(Normalisation!E72:L72),"")</f>
        <v>#DIV/0!</v>
      </c>
      <c r="E75" s="188" t="e">
        <f ca="1">IF(AND(D75&lt;C75,'rc'!G71&lt;0.35,'rc'!F71&lt;0.35),D75,C75)</f>
        <v>#DIV/0!</v>
      </c>
      <c r="F75" s="187" t="e">
        <f ca="1">IF(AND('Leaching Mechanism'!G71="Surface Wash-Off",OR('Leaching Mechanism'!B71="Diffusion", 'Leaching Mechanism'!C71="Diffusion",'Leaching Mechanism'!D71="Diffusion", 'Leaching Mechanism'!E71="Diffusion", 'Leaching Mechanism'!F71="Diffusion")),Normalisation!F72+Normalisation!G72-(C75*SQRT(1/36)),"")</f>
        <v>#DIV/0!</v>
      </c>
      <c r="G75" s="187" t="e">
        <f t="shared" ca="1" si="0"/>
        <v>#DIV/0!</v>
      </c>
      <c r="H75" s="189" t="str">
        <f>IF(SUM('Analytical Data'!$F72:$M72)&lt;'Analytical Data'!E72*12,SUM(Normalisation!E72:L72)*SQRT(1),"")</f>
        <v/>
      </c>
      <c r="I75" s="189" t="e">
        <f ca="1">IF(AND(LOD!J71&gt;1.5,'rc'!I71&lt;0.35,LOD!F71&lt;1.5),(('Measured Cummulative'!F72-'Measured Cummulative'!E72)+('Measured Cummulative'!L72-'Measured Cummulative'!G72))*(SQRT(64)-SQRT(1))/(SQRT(64)-SQRT(1)),"")</f>
        <v>#DIV/0!</v>
      </c>
      <c r="J75" s="189" t="e">
        <f ca="1">IF(AND('Leaching Mechanism'!P71="Depletion",LOD!E71&gt;1.5),('Measured Cummulative'!L72*(SQRT(64)-SQRT(1))/(SQRT(64)-SQRT(1))),"")</f>
        <v>#DIV/0!</v>
      </c>
      <c r="K75" s="189" t="e">
        <f ca="1">IF(AND(ISBLANK(G75),OR('rc'!D71&gt;0.65,ISNUMBER(SEARCH("Dissolution",'Leaching Mechanism'!H71)))),2*'Measured Cummulative'!L72*SQRT(64/64),"")</f>
        <v>#NUM!</v>
      </c>
      <c r="L75" s="190" t="e">
        <f ca="1">IF(AND(AVERAGE('rc'!D71:I71)&gt;0.5,SUM(H75:K75)&lt;0.000001,NOT('Leaching Mechanism'!L71="Non-Diffusion Based")),5*'Measured Cummulative'!L72*SQRT(64/64),"")</f>
        <v>#NUM!</v>
      </c>
    </row>
    <row r="76" spans="1:12" ht="16.5" x14ac:dyDescent="0.2">
      <c r="A76" s="180">
        <f>'Diffusive Flux'!A77</f>
        <v>0</v>
      </c>
      <c r="B76" s="110" t="s">
        <v>178</v>
      </c>
      <c r="C76" s="187" t="e">
        <f ca="1">IF(NOT('Leaching Mechanism'!L72="Non-Diffusion Based"),SQRT(36)*PRODUCT(Uxy!D74,Uxy!E74,Uxy!F74,Uxy!G74,Uxy!H74,Uxy!I74,Uxy!J74,Uxy!K74)^0.125,"")</f>
        <v>#DIV/0!</v>
      </c>
      <c r="D76" s="187" t="e">
        <f ca="1">IF(NOT('Leaching Mechanism'!L72="Non-Diffusion Based"),SUM(Normalisation!E73:L73),"")</f>
        <v>#DIV/0!</v>
      </c>
      <c r="E76" s="188" t="e">
        <f ca="1">IF(AND(D76&lt;C76,'rc'!G72&lt;0.35,'rc'!F72&lt;0.35),D76,C76)</f>
        <v>#DIV/0!</v>
      </c>
      <c r="F76" s="187" t="e">
        <f ca="1">IF(AND('Leaching Mechanism'!G72="Surface Wash-Off",OR('Leaching Mechanism'!B72="Diffusion", 'Leaching Mechanism'!C72="Diffusion",'Leaching Mechanism'!D72="Diffusion", 'Leaching Mechanism'!E72="Diffusion", 'Leaching Mechanism'!F72="Diffusion")),Normalisation!F73+Normalisation!G73-(C76*SQRT(1/36)),"")</f>
        <v>#DIV/0!</v>
      </c>
      <c r="G76" s="187" t="e">
        <f t="shared" ca="1" si="0"/>
        <v>#DIV/0!</v>
      </c>
      <c r="H76" s="189" t="str">
        <f>IF(SUM('Analytical Data'!$F73:$M73)&lt;'Analytical Data'!E73*12,SUM(Normalisation!E73:L73)*SQRT(1),"")</f>
        <v/>
      </c>
      <c r="I76" s="189" t="e">
        <f ca="1">IF(AND(LOD!J72&gt;1.5,'rc'!I72&lt;0.35,LOD!F72&lt;1.5),(('Measured Cummulative'!F73-'Measured Cummulative'!E73)+('Measured Cummulative'!L73-'Measured Cummulative'!G73))*(SQRT(64)-SQRT(1))/(SQRT(64)-SQRT(1)),"")</f>
        <v>#DIV/0!</v>
      </c>
      <c r="J76" s="189" t="e">
        <f ca="1">IF(AND('Leaching Mechanism'!P72="Depletion",LOD!E72&gt;1.5),('Measured Cummulative'!L73*(SQRT(64)-SQRT(1))/(SQRT(64)-SQRT(1))),"")</f>
        <v>#DIV/0!</v>
      </c>
      <c r="K76" s="189" t="e">
        <f ca="1">IF(AND(ISBLANK(G76),OR('rc'!D72&gt;0.65,ISNUMBER(SEARCH("Dissolution",'Leaching Mechanism'!H72)))),2*'Measured Cummulative'!L73*SQRT(64/64),"")</f>
        <v>#NUM!</v>
      </c>
      <c r="L76" s="190" t="e">
        <f ca="1">IF(AND(AVERAGE('rc'!D72:I72)&gt;0.5,SUM(H76:K76)&lt;0.000001,NOT('Leaching Mechanism'!L72="Non-Diffusion Based")),5*'Measured Cummulative'!L73*SQRT(64/64),"")</f>
        <v>#NUM!</v>
      </c>
    </row>
    <row r="77" spans="1:12" ht="17.25" thickBot="1" x14ac:dyDescent="0.25">
      <c r="A77" s="242">
        <f>'Diffusive Flux'!A78</f>
        <v>0</v>
      </c>
      <c r="B77" s="111" t="s">
        <v>179</v>
      </c>
      <c r="C77" s="243" t="e">
        <f ca="1">IF(NOT('Leaching Mechanism'!L73="Non-Diffusion Based"),SQRT(36)*PRODUCT(Uxy!D75,Uxy!E75,Uxy!F75,Uxy!G75,Uxy!H75,Uxy!I75,Uxy!J75,Uxy!K75)^0.125,"")</f>
        <v>#DIV/0!</v>
      </c>
      <c r="D77" s="243" t="e">
        <f ca="1">IF(NOT('Leaching Mechanism'!L73="Non-Diffusion Based"),SUM(Normalisation!E74:L74),"")</f>
        <v>#DIV/0!</v>
      </c>
      <c r="E77" s="244" t="e">
        <f ca="1">IF(AND(D77&lt;C77,'rc'!G73&lt;0.35,'rc'!F73&lt;0.35),D77,C77)</f>
        <v>#DIV/0!</v>
      </c>
      <c r="F77" s="243" t="e">
        <f ca="1">IF(AND('Leaching Mechanism'!G73="Surface Wash-Off",OR('Leaching Mechanism'!B73="Diffusion", 'Leaching Mechanism'!C73="Diffusion",'Leaching Mechanism'!D73="Diffusion", 'Leaching Mechanism'!E73="Diffusion", 'Leaching Mechanism'!F73="Diffusion")),Normalisation!F74+Normalisation!G74-(C77*SQRT(1/36)),"")</f>
        <v>#DIV/0!</v>
      </c>
      <c r="G77" s="243" t="e">
        <f ca="1">IF(AND(ISNUMBER(F77),F77&gt;0),E77+F77,E77)</f>
        <v>#DIV/0!</v>
      </c>
      <c r="H77" s="245" t="str">
        <f>IF(SUM('Analytical Data'!$F74:$M74)&lt;'Analytical Data'!E74*12,SUM(Normalisation!E74:L74)*SQRT(1),"")</f>
        <v/>
      </c>
      <c r="I77" s="245" t="e">
        <f ca="1">IF(AND(LOD!J73&gt;1.5,'rc'!I73&lt;0.35,LOD!F73&lt;1.5),(('Measured Cummulative'!F74-'Measured Cummulative'!E74)+('Measured Cummulative'!L74-'Measured Cummulative'!G74))*(SQRT(64)-SQRT(1))/(SQRT(64)-SQRT(1)),"")</f>
        <v>#DIV/0!</v>
      </c>
      <c r="J77" s="245" t="e">
        <f ca="1">IF(AND('Leaching Mechanism'!P73="Depletion",LOD!E73&gt;1.5),('Measured Cummulative'!L74*(SQRT(64)-SQRT(1))/(SQRT(64)-SQRT(1))),"")</f>
        <v>#DIV/0!</v>
      </c>
      <c r="K77" s="245" t="e">
        <f ca="1">IF(AND(ISBLANK(G77),OR('rc'!D73&gt;0.65,ISNUMBER(SEARCH("Dissolution",'Leaching Mechanism'!H73)))),2*'Measured Cummulative'!L74*SQRT(64/64),"")</f>
        <v>#NUM!</v>
      </c>
      <c r="L77" s="246" t="e">
        <f ca="1">IF(AND(AVERAGE('rc'!D73:I73)&gt;0.5,SUM(H77:K77)&lt;0.000001,NOT('Leaching Mechanism'!L73="Non-Diffusion Based")),5*'Measured Cummulative'!L74*SQRT(64/64),"")</f>
        <v>#NUM!</v>
      </c>
    </row>
  </sheetData>
  <mergeCells count="12">
    <mergeCell ref="K4:K7"/>
    <mergeCell ref="L4:L7"/>
    <mergeCell ref="C3:G3"/>
    <mergeCell ref="H3:L3"/>
    <mergeCell ref="C4:C7"/>
    <mergeCell ref="D4:D7"/>
    <mergeCell ref="E4:E7"/>
    <mergeCell ref="F4:F7"/>
    <mergeCell ref="G4:G7"/>
    <mergeCell ref="H4:H7"/>
    <mergeCell ref="I4:I7"/>
    <mergeCell ref="J4:J7"/>
  </mergeCells>
  <phoneticPr fontId="15" type="noConversion"/>
  <pageMargins left="0.75" right="0.75" top="1" bottom="1" header="0.5" footer="0.5"/>
  <pageSetup paperSize="9" scale="1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/>
  <dimension ref="A2:W70"/>
  <sheetViews>
    <sheetView workbookViewId="0">
      <selection activeCell="E8" sqref="E8"/>
    </sheetView>
  </sheetViews>
  <sheetFormatPr defaultRowHeight="12.75" x14ac:dyDescent="0.2"/>
  <cols>
    <col min="1" max="1" width="39.85546875" customWidth="1"/>
    <col min="2" max="2" width="19" customWidth="1"/>
    <col min="3" max="3" width="23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20.42578125" customWidth="1"/>
    <col min="12" max="12" width="25.7109375" customWidth="1"/>
    <col min="13" max="13" width="14.5703125" customWidth="1"/>
    <col min="15" max="16" width="13.42578125" bestFit="1" customWidth="1"/>
    <col min="17" max="17" width="16.85546875" bestFit="1" customWidth="1"/>
    <col min="18" max="20" width="13.42578125" bestFit="1" customWidth="1"/>
    <col min="22" max="22" width="20.85546875" bestFit="1" customWidth="1"/>
  </cols>
  <sheetData>
    <row r="2" spans="1:23" ht="15" thickBo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5.75" thickBot="1" x14ac:dyDescent="0.3">
      <c r="A3" s="22"/>
      <c r="B3" s="22"/>
      <c r="C3" s="391" t="s">
        <v>88</v>
      </c>
      <c r="D3" s="392"/>
      <c r="E3" s="392"/>
      <c r="F3" s="392"/>
      <c r="G3" s="393"/>
      <c r="H3" s="394" t="s">
        <v>89</v>
      </c>
      <c r="I3" s="394"/>
      <c r="J3" s="394"/>
      <c r="K3" s="394"/>
      <c r="L3" s="395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ht="14.25" x14ac:dyDescent="0.2">
      <c r="A4" s="73"/>
      <c r="B4" s="73"/>
      <c r="C4" s="408" t="s">
        <v>90</v>
      </c>
      <c r="D4" s="409" t="s">
        <v>91</v>
      </c>
      <c r="E4" s="400" t="s">
        <v>92</v>
      </c>
      <c r="F4" s="400" t="s">
        <v>93</v>
      </c>
      <c r="G4" s="404" t="s">
        <v>94</v>
      </c>
      <c r="H4" s="385" t="s">
        <v>95</v>
      </c>
      <c r="I4" s="394" t="s">
        <v>96</v>
      </c>
      <c r="J4" s="385" t="s">
        <v>97</v>
      </c>
      <c r="K4" s="385" t="s">
        <v>98</v>
      </c>
      <c r="L4" s="388" t="s">
        <v>99</v>
      </c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</row>
    <row r="5" spans="1:23" ht="14.25" x14ac:dyDescent="0.2">
      <c r="A5" s="73"/>
      <c r="B5" s="73"/>
      <c r="C5" s="397"/>
      <c r="D5" s="400"/>
      <c r="E5" s="400"/>
      <c r="F5" s="400"/>
      <c r="G5" s="404"/>
      <c r="H5" s="406"/>
      <c r="I5" s="386"/>
      <c r="J5" s="386"/>
      <c r="K5" s="386"/>
      <c r="L5" s="389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</row>
    <row r="6" spans="1:23" ht="14.25" x14ac:dyDescent="0.2">
      <c r="A6" s="73"/>
      <c r="B6" s="73"/>
      <c r="C6" s="397"/>
      <c r="D6" s="400"/>
      <c r="E6" s="400"/>
      <c r="F6" s="400"/>
      <c r="G6" s="404"/>
      <c r="H6" s="406"/>
      <c r="I6" s="386"/>
      <c r="J6" s="386"/>
      <c r="K6" s="386"/>
      <c r="L6" s="389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</row>
    <row r="7" spans="1:23" ht="15" thickBot="1" x14ac:dyDescent="0.25">
      <c r="A7" s="73"/>
      <c r="B7" s="73"/>
      <c r="C7" s="398"/>
      <c r="D7" s="401"/>
      <c r="E7" s="401"/>
      <c r="F7" s="401"/>
      <c r="G7" s="405"/>
      <c r="H7" s="406"/>
      <c r="I7" s="386"/>
      <c r="J7" s="386"/>
      <c r="K7" s="386"/>
      <c r="L7" s="389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</row>
    <row r="8" spans="1:23" ht="15" thickBot="1" x14ac:dyDescent="0.25">
      <c r="A8" s="30" t="str">
        <f>'Diffusive Flux'!A9</f>
        <v>pH</v>
      </c>
      <c r="B8" s="100"/>
      <c r="C8" s="101">
        <f>SQRT(64)*PRODUCT(Uxy!D6,Uxy!E6,Uxy!F6,Uxy!G6,Uxy!H6,Uxy!I6,Uxy!J6,Uxy!K6)^0.125</f>
        <v>6810.3014697748386</v>
      </c>
      <c r="D8" s="102">
        <f>SUM(Normalisation!E5:L5)</f>
        <v>4082.7527373753883</v>
      </c>
      <c r="E8" s="103">
        <f ca="1">IF(AND(D8&lt;C8,'rc'!G4&lt;0.35,'rc'!F4&lt;0.35),D8,C8)</f>
        <v>6810.3014697748386</v>
      </c>
      <c r="F8" s="104">
        <f ca="1">IF(AND('Leaching Mechanism'!G4="Surface Wash-Off",OR('Leaching Mechanism'!B4="Diffusion", 'Leaching Mechanism'!C4="Diffusion",'Leaching Mechanism'!D4="Diffusion", 'Leaching Mechanism'!E4="Diffusion", 'Leaching Mechanism'!F4="Diffusion")),Normalisation!F5+Normalisation!G5-(C8*SQRT(1/64)),"")</f>
        <v>147.40099089818113</v>
      </c>
      <c r="G8" s="105">
        <f t="shared" ref="G8:G39" ca="1" si="0">IF(AND(ISNUMBER(F8),F8&gt;0),E8+F8,E8)</f>
        <v>6957.7024606730192</v>
      </c>
      <c r="H8" s="106" t="str">
        <f>IF(SUM('Analytical Data'!$F5:$M5)&lt;'Analytical Data'!E5*12,SUM(Normalisation!E5:L5)*SQRT(1),"")</f>
        <v/>
      </c>
      <c r="I8" s="107" t="str">
        <f ca="1">IF(AND(LOD!J4&gt;1.5,'rc'!I4&lt;0.35,LOD!F4&lt;1.5),(('Measured Cummulative'!F5-'Measured Cummulative'!E5)+('Measured Cummulative'!L5-'Measured Cummulative'!G5))*(SQRT(64)-SQRT(1))/(SQRT(64)-SQRT(1)),"")</f>
        <v/>
      </c>
      <c r="J8" s="108" t="str">
        <f ca="1">IF(AND('Leaching Mechanism'!H4:K4="Depletion",LOD!E4&gt;1.5,OR('rc'!E4&lt;0.35,'rc'!F4&lt;0.35,'rc'!G4&lt;0.35,'rc'!H4&lt;0.35)),('Measured Cummulative'!L5*(SQRT(64)-SQRT(1))/(SQRT(64)-SQRT(1))),"")</f>
        <v/>
      </c>
      <c r="K8" s="107" t="str">
        <f ca="1">IF(AND(ISBLANK(G8),OR('rc'!D4&gt;0.65,ISNUMBER(SEARCH("Dissolution",'Leaching Mechanism'!H4)))),2*'Measured Cummulative'!L5*SQRT(64/64),"")</f>
        <v/>
      </c>
      <c r="L8" s="109" t="str">
        <f ca="1">IF(AND(AVERAGE('rc'!D4:I4)&gt;0.5,SUM(H8:K8)&lt;0.0001),5*'Measured Cummulative'!L5*SQRT(64/64),"")</f>
        <v/>
      </c>
      <c r="M8" s="22" t="b">
        <f ca="1">ISNUMBER(SEARCH("Dissolution",'Leaching Mechanism'!H4))</f>
        <v>0</v>
      </c>
      <c r="N8" s="22" t="e">
        <f>#REF!</f>
        <v>#REF!</v>
      </c>
      <c r="O8" s="22" t="e">
        <f>#REF!</f>
        <v>#REF!</v>
      </c>
      <c r="P8" s="22" t="e">
        <f t="shared" ref="P8:P32" si="1">3+N8</f>
        <v>#REF!</v>
      </c>
      <c r="Q8" s="22" t="e">
        <f t="shared" ref="Q8:Q32" si="2">3+O8</f>
        <v>#REF!</v>
      </c>
      <c r="R8" s="22" t="e">
        <f t="shared" ref="R8:R32" si="3">(ADDRESS(371+T8,P8,3))</f>
        <v>#REF!</v>
      </c>
      <c r="S8" s="22" t="e">
        <f t="shared" ref="S8:S32" si="4">(ADDRESS(371+T8,Q8,3))</f>
        <v>#REF!</v>
      </c>
      <c r="T8" s="22">
        <v>0</v>
      </c>
      <c r="U8" s="22"/>
      <c r="V8" s="22"/>
      <c r="W8" s="22"/>
    </row>
    <row r="9" spans="1:23" ht="15" thickBot="1" x14ac:dyDescent="0.25">
      <c r="A9" s="30" t="str">
        <f>'Diffusive Flux'!A10</f>
        <v>Electrical Conductivity</v>
      </c>
      <c r="B9" s="110"/>
      <c r="C9" s="101">
        <f>SQRT(64)*PRODUCT(Uxy!D7,Uxy!E7,Uxy!F7,Uxy!G7,Uxy!H7,Uxy!I7,Uxy!J7,Uxy!K7)^0.125</f>
        <v>589731.2642101933</v>
      </c>
      <c r="D9" s="102">
        <f>SUM(Normalisation!E6:L6)</f>
        <v>873311.77643405786</v>
      </c>
      <c r="E9" s="103">
        <f ca="1">IF(AND(D9&lt;C9,'rc'!G5&lt;0.35,'rc'!F5&lt;0.35),D9,C9)</f>
        <v>589731.2642101933</v>
      </c>
      <c r="F9" s="104" t="str">
        <f ca="1">IF(AND('Leaching Mechanism'!G5="Surface Wash-Off",OR('Leaching Mechanism'!B5="Diffusion", 'Leaching Mechanism'!C5="Diffusion",'Leaching Mechanism'!D5="Diffusion", 'Leaching Mechanism'!E5="Diffusion", 'Leaching Mechanism'!F5="Diffusion")),Normalisation!F6+Normalisation!G6-(C9*SQRT(1/64)),"")</f>
        <v/>
      </c>
      <c r="G9" s="105">
        <f t="shared" ca="1" si="0"/>
        <v>589731.2642101933</v>
      </c>
      <c r="H9" s="106" t="str">
        <f>IF(SUM('Analytical Data'!$F6:$M6)&lt;'Analytical Data'!E6*12,SUM(Normalisation!E6:L6)*SQRT(1),"")</f>
        <v/>
      </c>
      <c r="I9" s="107" t="str">
        <f ca="1">IF(AND(LOD!J5&gt;1.5,'rc'!I5&lt;0.35,LOD!F5&lt;1.5),(('Measured Cummulative'!F6-'Measured Cummulative'!E6)+('Measured Cummulative'!L6-'Measured Cummulative'!G6))*(SQRT(64)-SQRT(1))/(SQRT(64)-SQRT(1)),"")</f>
        <v/>
      </c>
      <c r="J9" s="108" t="str">
        <f ca="1">IF(AND('Leaching Mechanism'!H5:K5="Depletion",LOD!E5&gt;1.5,OR('rc'!E5&lt;0.35,'rc'!F5&lt;0.35,'rc'!G5&lt;0.35,'rc'!H5&lt;0.35)),('Measured Cummulative'!L6*(SQRT(64)-SQRT(1))/(SQRT(64)-SQRT(1))),"")</f>
        <v/>
      </c>
      <c r="K9" s="107" t="str">
        <f ca="1">IF(AND(ISBLANK(G9),OR('rc'!D5&gt;0.65,ISNUMBER(SEARCH("Dissolution",'Leaching Mechanism'!H5)))),2*'Measured Cummulative'!L6*SQRT(64/64),"")</f>
        <v/>
      </c>
      <c r="L9" s="109">
        <f ca="1">IF(AND(AVERAGE('rc'!D5:I5)&gt;0.5,SUM(H9:K9)&lt;0.0001),5*'Measured Cummulative'!L6*SQRT(64/64),"")</f>
        <v>4366558.8821702898</v>
      </c>
      <c r="M9" s="22" t="b">
        <f ca="1">ISNUMBER(SEARCH("Dissolution",'Leaching Mechanism'!H5))</f>
        <v>0</v>
      </c>
      <c r="N9" s="22" t="e">
        <f>#REF!</f>
        <v>#REF!</v>
      </c>
      <c r="O9" s="22" t="e">
        <f>#REF!</f>
        <v>#REF!</v>
      </c>
      <c r="P9" s="22" t="e">
        <f t="shared" si="1"/>
        <v>#REF!</v>
      </c>
      <c r="Q9" s="22" t="e">
        <f t="shared" si="2"/>
        <v>#REF!</v>
      </c>
      <c r="R9" s="22" t="e">
        <f t="shared" si="3"/>
        <v>#REF!</v>
      </c>
      <c r="S9" s="22" t="e">
        <f t="shared" si="4"/>
        <v>#REF!</v>
      </c>
      <c r="T9" s="22">
        <v>1</v>
      </c>
      <c r="U9" s="22"/>
      <c r="V9" s="22"/>
      <c r="W9" s="22"/>
    </row>
    <row r="10" spans="1:23" ht="17.25" thickBot="1" x14ac:dyDescent="0.25">
      <c r="A10" s="30" t="str">
        <f>'Diffusive Flux'!A11</f>
        <v>Redox potential</v>
      </c>
      <c r="B10" s="110" t="s">
        <v>100</v>
      </c>
      <c r="C10" s="101">
        <f>SQRT(64)*PRODUCT(Uxy!D8,Uxy!E8,Uxy!F8,Uxy!G8,Uxy!H8,Uxy!I8,Uxy!J8,Uxy!K8)^0.125</f>
        <v>0</v>
      </c>
      <c r="D10" s="102">
        <f>SUM(Normalisation!E7:L7)</f>
        <v>0</v>
      </c>
      <c r="E10" s="103" t="e">
        <f ca="1">IF(AND(D10&lt;C10,'rc'!G6&lt;0.35,'rc'!F6&lt;0.35),D10,C10)</f>
        <v>#NUM!</v>
      </c>
      <c r="F10" s="104" t="e">
        <f ca="1">IF(AND('Leaching Mechanism'!G6="Surface Wash-Off",OR('Leaching Mechanism'!B6="Diffusion", 'Leaching Mechanism'!C6="Diffusion",'Leaching Mechanism'!D6="Diffusion", 'Leaching Mechanism'!E6="Diffusion", 'Leaching Mechanism'!F6="Diffusion")),Normalisation!F7+Normalisation!G7-(C10*SQRT(1/64)),"")</f>
        <v>#DIV/0!</v>
      </c>
      <c r="G10" s="105" t="e">
        <f t="shared" ca="1" si="0"/>
        <v>#DIV/0!</v>
      </c>
      <c r="H10" s="106" t="e">
        <f>IF(SUM('Analytical Data'!#REF!)&lt;'Analytical Data'!E7*12,SUM(Normalisation!E7:L7)*SQRT(1),"")</f>
        <v>#REF!</v>
      </c>
      <c r="I10" s="107" t="e">
        <f ca="1">IF(AND(LOD!J6&gt;1.5,'rc'!I6&lt;0.35,LOD!F6&lt;1.5),(('Measured Cummulative'!F7-'Measured Cummulative'!E7)+('Measured Cummulative'!L7-'Measured Cummulative'!G7))*(SQRT(64)-SQRT(1))/(SQRT(64)-SQRT(1)),"")</f>
        <v>#DIV/0!</v>
      </c>
      <c r="J10" s="108" t="e">
        <f ca="1">IF(AND('Leaching Mechanism'!H6:K6="Depletion",LOD!E6&gt;1.5,OR('rc'!E6&lt;0.35,'rc'!F6&lt;0.35,'rc'!G6&lt;0.35,'rc'!H6&lt;0.35)),('Measured Cummulative'!L7*(SQRT(64)-SQRT(1))/(SQRT(64)-SQRT(1))),"")</f>
        <v>#DIV/0!</v>
      </c>
      <c r="K10" s="107" t="e">
        <f ca="1">IF(AND(ISBLANK(G10),OR('rc'!D6&gt;0.65,ISNUMBER(SEARCH("Dissolution",'Leaching Mechanism'!H6)))),2*'Measured Cummulative'!L7*SQRT(64/64),"")</f>
        <v>#NUM!</v>
      </c>
      <c r="L10" s="109" t="e">
        <f ca="1">IF(AND(AVERAGE('rc'!D6:I6)&gt;0.5,SUM(H10:K10)&lt;0.0001),5*'Measured Cummulative'!L7*SQRT(64/64),"")</f>
        <v>#NUM!</v>
      </c>
      <c r="M10" s="22" t="b">
        <f ca="1">ISNUMBER(SEARCH("Dissolution",'Leaching Mechanism'!H6))</f>
        <v>0</v>
      </c>
      <c r="N10" s="22" t="e">
        <f>#REF!</f>
        <v>#REF!</v>
      </c>
      <c r="O10" s="22" t="e">
        <f>#REF!</f>
        <v>#REF!</v>
      </c>
      <c r="P10" s="22" t="e">
        <f t="shared" si="1"/>
        <v>#REF!</v>
      </c>
      <c r="Q10" s="22" t="e">
        <f t="shared" si="2"/>
        <v>#REF!</v>
      </c>
      <c r="R10" s="22" t="e">
        <f t="shared" si="3"/>
        <v>#REF!</v>
      </c>
      <c r="S10" s="22" t="e">
        <f t="shared" si="4"/>
        <v>#REF!</v>
      </c>
      <c r="T10" s="22">
        <v>2</v>
      </c>
      <c r="U10" s="22"/>
      <c r="V10" s="22"/>
      <c r="W10" s="22"/>
    </row>
    <row r="11" spans="1:23" ht="17.25" thickBot="1" x14ac:dyDescent="0.25">
      <c r="A11" s="30" t="str">
        <f>'Diffusive Flux'!A12</f>
        <v>Chloride</v>
      </c>
      <c r="B11" s="110" t="s">
        <v>100</v>
      </c>
      <c r="C11" s="101">
        <f>SQRT(64)*PRODUCT(Uxy!D9,Uxy!E9,Uxy!F9,Uxy!G9,Uxy!H9,Uxy!I9,Uxy!J9,Uxy!K9)^0.125</f>
        <v>69543.87600372899</v>
      </c>
      <c r="D11" s="102">
        <f>SUM(Normalisation!E8:L8)</f>
        <v>153415.85226344172</v>
      </c>
      <c r="E11" s="103">
        <f ca="1">IF(AND(D11&lt;C11,'rc'!G7&lt;0.35,'rc'!F7&lt;0.35),D11,C11)</f>
        <v>69543.87600372899</v>
      </c>
      <c r="F11" s="104" t="str">
        <f ca="1">IF(AND('Leaching Mechanism'!G7="Surface Wash-Off",OR('Leaching Mechanism'!B7="Diffusion", 'Leaching Mechanism'!C7="Diffusion",'Leaching Mechanism'!D7="Diffusion", 'Leaching Mechanism'!E7="Diffusion", 'Leaching Mechanism'!F7="Diffusion")),Normalisation!F8+Normalisation!G8-(C11*SQRT(1/64)),"")</f>
        <v/>
      </c>
      <c r="G11" s="105">
        <f t="shared" ca="1" si="0"/>
        <v>69543.87600372899</v>
      </c>
      <c r="H11" s="106" t="str">
        <f>IF(SUM('Analytical Data'!$F8:$M8)&lt;'Analytical Data'!E8*12,SUM(Normalisation!E8:L8)*SQRT(1),"")</f>
        <v/>
      </c>
      <c r="I11" s="107" t="str">
        <f ca="1">IF(AND(LOD!J7&gt;1.5,'rc'!I7&lt;0.35,LOD!F7&lt;1.5),(('Measured Cummulative'!F8-'Measured Cummulative'!E8)+('Measured Cummulative'!L8-'Measured Cummulative'!G8))*(SQRT(64)-SQRT(1))/(SQRT(64)-SQRT(1)),"")</f>
        <v/>
      </c>
      <c r="J11" s="108" t="str">
        <f ca="1">IF(AND('Leaching Mechanism'!H7:K7="Depletion",LOD!E7&gt;1.5,OR('rc'!E7&lt;0.35,'rc'!F7&lt;0.35,'rc'!G7&lt;0.35,'rc'!H7&lt;0.35)),('Measured Cummulative'!L8*(SQRT(64)-SQRT(1))/(SQRT(64)-SQRT(1))),"")</f>
        <v/>
      </c>
      <c r="K11" s="107" t="str">
        <f ca="1">IF(AND(ISBLANK(G11),OR('rc'!D7&gt;0.65,ISNUMBER(SEARCH("Dissolution",'Leaching Mechanism'!H7)))),2*'Measured Cummulative'!L8*SQRT(64/64),"")</f>
        <v/>
      </c>
      <c r="L11" s="109">
        <f ca="1">IF(AND(AVERAGE('rc'!D7:I7)&gt;0.5,SUM(H11:K11)&lt;0.0001),5*'Measured Cummulative'!L8*SQRT(64/64),"")</f>
        <v>767079.26131720864</v>
      </c>
      <c r="M11" s="22" t="b">
        <f ca="1">ISNUMBER(SEARCH("Dissolution",'Leaching Mechanism'!H7))</f>
        <v>1</v>
      </c>
      <c r="N11" s="22" t="e">
        <f>#REF!</f>
        <v>#REF!</v>
      </c>
      <c r="O11" s="22" t="e">
        <f>#REF!</f>
        <v>#REF!</v>
      </c>
      <c r="P11" s="22" t="e">
        <f t="shared" si="1"/>
        <v>#REF!</v>
      </c>
      <c r="Q11" s="22" t="e">
        <f t="shared" si="2"/>
        <v>#REF!</v>
      </c>
      <c r="R11" s="22" t="e">
        <f t="shared" si="3"/>
        <v>#REF!</v>
      </c>
      <c r="S11" s="22" t="e">
        <f t="shared" si="4"/>
        <v>#REF!</v>
      </c>
      <c r="T11" s="22">
        <v>3</v>
      </c>
      <c r="U11" s="22"/>
      <c r="V11" s="22"/>
      <c r="W11" s="22"/>
    </row>
    <row r="12" spans="1:23" ht="17.25" thickBot="1" x14ac:dyDescent="0.25">
      <c r="A12" s="30" t="str">
        <f>'Diffusive Flux'!A13</f>
        <v>Sodium</v>
      </c>
      <c r="B12" s="110" t="s">
        <v>100</v>
      </c>
      <c r="C12" s="101">
        <f>SQRT(64)*PRODUCT(Uxy!D10,Uxy!E10,Uxy!F10,Uxy!G10,Uxy!H10,Uxy!I10,Uxy!J10,Uxy!K10)^0.125</f>
        <v>120074.25837887336</v>
      </c>
      <c r="D12" s="102">
        <f>SUM(Normalisation!E9:L9)</f>
        <v>107592.74391240398</v>
      </c>
      <c r="E12" s="103">
        <f ca="1">IF(AND(D12&lt;C12,'rc'!G8&lt;0.35,'rc'!F8&lt;0.35),D12,C12)</f>
        <v>120074.25837887336</v>
      </c>
      <c r="F12" s="104" t="str">
        <f ca="1">IF(AND('Leaching Mechanism'!G8="Surface Wash-Off",OR('Leaching Mechanism'!B8="Diffusion", 'Leaching Mechanism'!C8="Diffusion",'Leaching Mechanism'!D8="Diffusion", 'Leaching Mechanism'!E8="Diffusion", 'Leaching Mechanism'!F8="Diffusion")),Normalisation!F9+Normalisation!G9-(C12*SQRT(1/64)),"")</f>
        <v/>
      </c>
      <c r="G12" s="105">
        <f t="shared" ca="1" si="0"/>
        <v>120074.25837887336</v>
      </c>
      <c r="H12" s="106" t="str">
        <f>IF(SUM('Analytical Data'!$F9:$M9)&lt;'Analytical Data'!E9*12,SUM(Normalisation!E9:L9)*SQRT(1),"")</f>
        <v/>
      </c>
      <c r="I12" s="107" t="str">
        <f ca="1">IF(AND(LOD!J8&gt;1.5,'rc'!I8&lt;0.35,LOD!F8&lt;1.5),(('Measured Cummulative'!F9-'Measured Cummulative'!E9)+('Measured Cummulative'!L9-'Measured Cummulative'!G9))*(SQRT(64)-SQRT(1))/(SQRT(64)-SQRT(1)),"")</f>
        <v/>
      </c>
      <c r="J12" s="108" t="str">
        <f ca="1">IF(AND('Leaching Mechanism'!H8:K8="Depletion",LOD!E8&gt;1.5,OR('rc'!E8&lt;0.35,'rc'!F8&lt;0.35,'rc'!G8&lt;0.35,'rc'!H8&lt;0.35)),('Measured Cummulative'!L9*(SQRT(64)-SQRT(1))/(SQRT(64)-SQRT(1))),"")</f>
        <v/>
      </c>
      <c r="K12" s="107" t="str">
        <f ca="1">IF(AND(ISBLANK(G12),OR('rc'!D8&gt;0.65,ISNUMBER(SEARCH("Dissolution",'Leaching Mechanism'!H8)))),2*'Measured Cummulative'!L9*SQRT(64/64),"")</f>
        <v/>
      </c>
      <c r="L12" s="109">
        <f ca="1">IF(AND(AVERAGE('rc'!D8:I8)&gt;0.5,SUM(H12:K12)&lt;0.0001),5*'Measured Cummulative'!L9*SQRT(64/64),"")</f>
        <v>537963.71956201992</v>
      </c>
      <c r="M12" s="22" t="b">
        <f ca="1">ISNUMBER(SEARCH("Dissolution",'Leaching Mechanism'!H8))</f>
        <v>0</v>
      </c>
      <c r="N12" s="22" t="e">
        <f>#REF!</f>
        <v>#REF!</v>
      </c>
      <c r="O12" s="22" t="e">
        <f>#REF!</f>
        <v>#REF!</v>
      </c>
      <c r="P12" s="22" t="e">
        <f t="shared" si="1"/>
        <v>#REF!</v>
      </c>
      <c r="Q12" s="22" t="e">
        <f t="shared" si="2"/>
        <v>#REF!</v>
      </c>
      <c r="R12" s="22" t="e">
        <f t="shared" si="3"/>
        <v>#REF!</v>
      </c>
      <c r="S12" s="22" t="e">
        <f t="shared" si="4"/>
        <v>#REF!</v>
      </c>
      <c r="T12" s="22">
        <v>4</v>
      </c>
      <c r="U12" s="22"/>
      <c r="V12" s="22"/>
      <c r="W12" s="22"/>
    </row>
    <row r="13" spans="1:23" ht="17.25" thickBot="1" x14ac:dyDescent="0.25">
      <c r="A13" s="30">
        <f>'Diffusive Flux'!A14</f>
        <v>0</v>
      </c>
      <c r="B13" s="110" t="s">
        <v>100</v>
      </c>
      <c r="C13" s="101">
        <f>SQRT(64)*PRODUCT(Uxy!D11,Uxy!E11,Uxy!F11,Uxy!G11,Uxy!H11,Uxy!I11,Uxy!J11,Uxy!K11)^0.125</f>
        <v>0</v>
      </c>
      <c r="D13" s="102">
        <f>SUM(Normalisation!E10:L10)</f>
        <v>0</v>
      </c>
      <c r="E13" s="103" t="e">
        <f ca="1">IF(AND(D13&lt;C13,'rc'!G9&lt;0.35,'rc'!F9&lt;0.35),D13,C13)</f>
        <v>#NUM!</v>
      </c>
      <c r="F13" s="104" t="e">
        <f ca="1">IF(AND('Leaching Mechanism'!G9="Surface Wash-Off",OR('Leaching Mechanism'!B9="Diffusion", 'Leaching Mechanism'!C9="Diffusion",'Leaching Mechanism'!D9="Diffusion", 'Leaching Mechanism'!E9="Diffusion", 'Leaching Mechanism'!F9="Diffusion")),Normalisation!F10+Normalisation!G10-(C13*SQRT(1/64)),"")</f>
        <v>#DIV/0!</v>
      </c>
      <c r="G13" s="105" t="e">
        <f t="shared" ca="1" si="0"/>
        <v>#DIV/0!</v>
      </c>
      <c r="H13" s="106" t="str">
        <f>IF(SUM('Analytical Data'!$F10:$M10)&lt;'Analytical Data'!E10*12,SUM(Normalisation!E10:L10)*SQRT(1),"")</f>
        <v/>
      </c>
      <c r="I13" s="107" t="e">
        <f ca="1">IF(AND(LOD!J9&gt;1.5,'rc'!I9&lt;0.35,LOD!F9&lt;1.5),(('Measured Cummulative'!F10-'Measured Cummulative'!E10)+('Measured Cummulative'!L10-'Measured Cummulative'!G10))*(SQRT(64)-SQRT(1))/(SQRT(64)-SQRT(1)),"")</f>
        <v>#DIV/0!</v>
      </c>
      <c r="J13" s="108" t="e">
        <f ca="1">IF(AND('Leaching Mechanism'!H9:K9="Depletion",LOD!E9&gt;1.5,OR('rc'!E9&lt;0.35,'rc'!F9&lt;0.35,'rc'!G9&lt;0.35,'rc'!H9&lt;0.35)),('Measured Cummulative'!L10*(SQRT(64)-SQRT(1))/(SQRT(64)-SQRT(1))),"")</f>
        <v>#DIV/0!</v>
      </c>
      <c r="K13" s="107" t="e">
        <f ca="1">IF(AND(ISBLANK(G13),OR('rc'!D9&gt;0.65,ISNUMBER(SEARCH("Dissolution",'Leaching Mechanism'!H9)))),2*'Measured Cummulative'!L10*SQRT(64/64),"")</f>
        <v>#NUM!</v>
      </c>
      <c r="L13" s="109" t="e">
        <f ca="1">IF(AND(AVERAGE('rc'!D9:I9)&gt;0.5,SUM(H13:K13)&lt;0.0001),5*'Measured Cummulative'!L10*SQRT(64/64),"")</f>
        <v>#NUM!</v>
      </c>
      <c r="M13" s="22" t="b">
        <f ca="1">ISNUMBER(SEARCH("Dissolution",'Leaching Mechanism'!H9))</f>
        <v>0</v>
      </c>
      <c r="N13" s="22" t="e">
        <f>#REF!</f>
        <v>#REF!</v>
      </c>
      <c r="O13" s="22" t="e">
        <f>#REF!</f>
        <v>#REF!</v>
      </c>
      <c r="P13" s="22" t="e">
        <f t="shared" si="1"/>
        <v>#REF!</v>
      </c>
      <c r="Q13" s="22" t="e">
        <f t="shared" si="2"/>
        <v>#REF!</v>
      </c>
      <c r="R13" s="22" t="e">
        <f t="shared" si="3"/>
        <v>#REF!</v>
      </c>
      <c r="S13" s="22" t="e">
        <f t="shared" si="4"/>
        <v>#REF!</v>
      </c>
      <c r="T13" s="22">
        <v>5</v>
      </c>
      <c r="U13" s="22"/>
      <c r="V13" s="22"/>
      <c r="W13" s="22"/>
    </row>
    <row r="14" spans="1:23" ht="17.25" thickBot="1" x14ac:dyDescent="0.25">
      <c r="A14" s="30">
        <f>'Diffusive Flux'!A15</f>
        <v>0</v>
      </c>
      <c r="B14" s="110" t="s">
        <v>100</v>
      </c>
      <c r="C14" s="101">
        <f>SQRT(64)*PRODUCT(Uxy!D12,Uxy!E12,Uxy!F12,Uxy!G12,Uxy!H12,Uxy!I12,Uxy!J12,Uxy!K12)^0.125</f>
        <v>0</v>
      </c>
      <c r="D14" s="102">
        <f>SUM(Normalisation!E11:L11)</f>
        <v>0</v>
      </c>
      <c r="E14" s="103" t="e">
        <f ca="1">IF(AND(D14&lt;C14,'rc'!G10&lt;0.35,'rc'!F10&lt;0.35),D14,C14)</f>
        <v>#NUM!</v>
      </c>
      <c r="F14" s="104" t="e">
        <f ca="1">IF(AND('Leaching Mechanism'!G10="Surface Wash-Off",OR('Leaching Mechanism'!B10="Diffusion", 'Leaching Mechanism'!C10="Diffusion",'Leaching Mechanism'!D10="Diffusion", 'Leaching Mechanism'!E10="Diffusion", 'Leaching Mechanism'!F10="Diffusion")),Normalisation!F11+Normalisation!G11-(C14*SQRT(1/64)),"")</f>
        <v>#DIV/0!</v>
      </c>
      <c r="G14" s="105" t="e">
        <f t="shared" ca="1" si="0"/>
        <v>#DIV/0!</v>
      </c>
      <c r="H14" s="106" t="str">
        <f>IF(SUM('Analytical Data'!$F11:$M11)&lt;'Analytical Data'!E11*12,SUM(Normalisation!E11:L11)*SQRT(1),"")</f>
        <v/>
      </c>
      <c r="I14" s="107" t="e">
        <f ca="1">IF(AND(LOD!J10&gt;1.5,'rc'!I10&lt;0.35,LOD!F10&lt;1.5),(('Measured Cummulative'!F11-'Measured Cummulative'!E11)+('Measured Cummulative'!L11-'Measured Cummulative'!G11))*(SQRT(64)-SQRT(1))/(SQRT(64)-SQRT(1)),"")</f>
        <v>#DIV/0!</v>
      </c>
      <c r="J14" s="108" t="e">
        <f ca="1">IF(AND('Leaching Mechanism'!H10:K10="Depletion",LOD!E10&gt;1.5,OR('rc'!E10&lt;0.35,'rc'!F10&lt;0.35,'rc'!G10&lt;0.35,'rc'!H10&lt;0.35)),('Measured Cummulative'!L11*(SQRT(64)-SQRT(1))/(SQRT(64)-SQRT(1))),"")</f>
        <v>#DIV/0!</v>
      </c>
      <c r="K14" s="107" t="e">
        <f ca="1">IF(AND(ISBLANK(G14),OR('rc'!D10&gt;0.65,ISNUMBER(SEARCH("Dissolution",'Leaching Mechanism'!H10)))),2*'Measured Cummulative'!L11*SQRT(64/64),"")</f>
        <v>#NUM!</v>
      </c>
      <c r="L14" s="109" t="e">
        <f ca="1">IF(AND(AVERAGE('rc'!D10:I10)&gt;0.5,SUM(H14:K14)&lt;0.0001),5*'Measured Cummulative'!L11*SQRT(64/64),"")</f>
        <v>#NUM!</v>
      </c>
      <c r="M14" s="22" t="b">
        <f ca="1">ISNUMBER(SEARCH("Dissolution",'Leaching Mechanism'!H10))</f>
        <v>0</v>
      </c>
      <c r="N14" s="22" t="e">
        <f>#REF!</f>
        <v>#REF!</v>
      </c>
      <c r="O14" s="22" t="e">
        <f>#REF!</f>
        <v>#REF!</v>
      </c>
      <c r="P14" s="22" t="e">
        <f t="shared" si="1"/>
        <v>#REF!</v>
      </c>
      <c r="Q14" s="22" t="e">
        <f t="shared" si="2"/>
        <v>#REF!</v>
      </c>
      <c r="R14" s="22" t="e">
        <f t="shared" si="3"/>
        <v>#REF!</v>
      </c>
      <c r="S14" s="22" t="e">
        <f t="shared" si="4"/>
        <v>#REF!</v>
      </c>
      <c r="T14" s="22">
        <v>6</v>
      </c>
      <c r="U14" s="22"/>
      <c r="V14" s="22"/>
      <c r="W14" s="22"/>
    </row>
    <row r="15" spans="1:23" ht="17.25" thickBot="1" x14ac:dyDescent="0.25">
      <c r="A15" s="30">
        <f>'Diffusive Flux'!A16</f>
        <v>0</v>
      </c>
      <c r="B15" s="110" t="s">
        <v>100</v>
      </c>
      <c r="C15" s="101">
        <f>SQRT(64)*PRODUCT(Uxy!D13,Uxy!E13,Uxy!F13,Uxy!G13,Uxy!H13,Uxy!I13,Uxy!J13,Uxy!K13)^0.125</f>
        <v>0</v>
      </c>
      <c r="D15" s="102">
        <f>SUM(Normalisation!E12:L12)</f>
        <v>0</v>
      </c>
      <c r="E15" s="103" t="e">
        <f ca="1">IF(AND(D15&lt;C15,'rc'!G11&lt;0.35,'rc'!F11&lt;0.35),D15,C15)</f>
        <v>#NUM!</v>
      </c>
      <c r="F15" s="104" t="e">
        <f ca="1">IF(AND('Leaching Mechanism'!G11="Surface Wash-Off",OR('Leaching Mechanism'!B11="Diffusion", 'Leaching Mechanism'!C11="Diffusion",'Leaching Mechanism'!D11="Diffusion", 'Leaching Mechanism'!E11="Diffusion", 'Leaching Mechanism'!F11="Diffusion")),Normalisation!F12+Normalisation!G12-(C15*SQRT(1/64)),"")</f>
        <v>#DIV/0!</v>
      </c>
      <c r="G15" s="105" t="e">
        <f t="shared" ca="1" si="0"/>
        <v>#DIV/0!</v>
      </c>
      <c r="H15" s="106" t="str">
        <f>IF(SUM('Analytical Data'!$F12:$M12)&lt;'Analytical Data'!E12*12,SUM(Normalisation!E12:L12)*SQRT(1),"")</f>
        <v/>
      </c>
      <c r="I15" s="107" t="e">
        <f ca="1">IF(AND(LOD!J11&gt;1.5,'rc'!I11&lt;0.35,LOD!F11&lt;1.5),(('Measured Cummulative'!F12-'Measured Cummulative'!E12)+('Measured Cummulative'!L12-'Measured Cummulative'!G12))*(SQRT(64)-SQRT(1))/(SQRT(64)-SQRT(1)),"")</f>
        <v>#DIV/0!</v>
      </c>
      <c r="J15" s="108" t="e">
        <f ca="1">IF(AND('Leaching Mechanism'!H11:K11="Depletion",LOD!E11&gt;1.5,OR('rc'!E11&lt;0.35,'rc'!F11&lt;0.35,'rc'!G11&lt;0.35,'rc'!H11&lt;0.35)),('Measured Cummulative'!L12*(SQRT(64)-SQRT(1))/(SQRT(64)-SQRT(1))),"")</f>
        <v>#DIV/0!</v>
      </c>
      <c r="K15" s="107" t="e">
        <f ca="1">IF(AND(ISBLANK(G15),OR('rc'!D11&gt;0.65,ISNUMBER(SEARCH("Dissolution",'Leaching Mechanism'!H11)))),2*'Measured Cummulative'!L12*SQRT(64/64),"")</f>
        <v>#NUM!</v>
      </c>
      <c r="L15" s="109" t="e">
        <f ca="1">IF(AND(AVERAGE('rc'!D11:I11)&gt;0.5,SUM(H15:K15)&lt;0.0001),5*'Measured Cummulative'!L12*SQRT(64/64),"")</f>
        <v>#NUM!</v>
      </c>
      <c r="M15" s="22" t="b">
        <f ca="1">ISNUMBER(SEARCH("Dissolution",'Leaching Mechanism'!H11))</f>
        <v>0</v>
      </c>
      <c r="N15" s="22" t="e">
        <f>#REF!</f>
        <v>#REF!</v>
      </c>
      <c r="O15" s="22" t="e">
        <f>#REF!</f>
        <v>#REF!</v>
      </c>
      <c r="P15" s="22" t="e">
        <f t="shared" si="1"/>
        <v>#REF!</v>
      </c>
      <c r="Q15" s="22" t="e">
        <f t="shared" si="2"/>
        <v>#REF!</v>
      </c>
      <c r="R15" s="22" t="e">
        <f t="shared" si="3"/>
        <v>#REF!</v>
      </c>
      <c r="S15" s="22" t="e">
        <f t="shared" si="4"/>
        <v>#REF!</v>
      </c>
      <c r="T15" s="22">
        <v>7</v>
      </c>
      <c r="U15" s="22"/>
      <c r="V15" s="22"/>
      <c r="W15" s="22"/>
    </row>
    <row r="16" spans="1:23" ht="17.25" thickBot="1" x14ac:dyDescent="0.25">
      <c r="A16" s="30">
        <f>'Diffusive Flux'!A17</f>
        <v>0</v>
      </c>
      <c r="B16" s="110" t="s">
        <v>100</v>
      </c>
      <c r="C16" s="101">
        <f>SQRT(64)*PRODUCT(Uxy!D14,Uxy!E14,Uxy!F14,Uxy!G14,Uxy!H14,Uxy!I14,Uxy!J14,Uxy!K14)^0.125</f>
        <v>0</v>
      </c>
      <c r="D16" s="102">
        <f>SUM(Normalisation!E13:L13)</f>
        <v>0</v>
      </c>
      <c r="E16" s="103" t="e">
        <f ca="1">IF(AND(D16&lt;C16,'rc'!G12&lt;0.35,'rc'!F12&lt;0.35),D16,C16)</f>
        <v>#NUM!</v>
      </c>
      <c r="F16" s="104" t="e">
        <f ca="1">IF(AND('Leaching Mechanism'!G12="Surface Wash-Off",OR('Leaching Mechanism'!B12="Diffusion", 'Leaching Mechanism'!C12="Diffusion",'Leaching Mechanism'!D12="Diffusion", 'Leaching Mechanism'!E12="Diffusion", 'Leaching Mechanism'!F12="Diffusion")),Normalisation!F13+Normalisation!G13-(C16*SQRT(1/64)),"")</f>
        <v>#DIV/0!</v>
      </c>
      <c r="G16" s="105" t="e">
        <f t="shared" ca="1" si="0"/>
        <v>#DIV/0!</v>
      </c>
      <c r="H16" s="106" t="str">
        <f>IF(SUM('Analytical Data'!$F13:$M13)&lt;'Analytical Data'!E13*12,SUM(Normalisation!E13:L13)*SQRT(1),"")</f>
        <v/>
      </c>
      <c r="I16" s="107" t="e">
        <f ca="1">IF(AND(LOD!J12&gt;1.5,'rc'!I12&lt;0.35,LOD!F12&lt;1.5),(('Measured Cummulative'!F13-'Measured Cummulative'!E13)+('Measured Cummulative'!L13-'Measured Cummulative'!G13))*(SQRT(64)-SQRT(1))/(SQRT(64)-SQRT(1)),"")</f>
        <v>#DIV/0!</v>
      </c>
      <c r="J16" s="108" t="e">
        <f ca="1">IF(AND('Leaching Mechanism'!H12:K12="Depletion",LOD!E12&gt;1.5,OR('rc'!E12&lt;0.35,'rc'!F12&lt;0.35,'rc'!G12&lt;0.35,'rc'!H12&lt;0.35)),('Measured Cummulative'!L13*(SQRT(64)-SQRT(1))/(SQRT(64)-SQRT(1))),"")</f>
        <v>#DIV/0!</v>
      </c>
      <c r="K16" s="107" t="e">
        <f ca="1">IF(AND(ISBLANK(G16),OR('rc'!D12&gt;0.65,ISNUMBER(SEARCH("Dissolution",'Leaching Mechanism'!H12)))),2*'Measured Cummulative'!L13*SQRT(64/64),"")</f>
        <v>#NUM!</v>
      </c>
      <c r="L16" s="109" t="e">
        <f ca="1">IF(AND(AVERAGE('rc'!D12:I12)&gt;0.5,SUM(H16:K16)&lt;0.0001),5*'Measured Cummulative'!L13*SQRT(64/64),"")</f>
        <v>#NUM!</v>
      </c>
      <c r="M16" s="22" t="b">
        <f ca="1">ISNUMBER(SEARCH("Dissolution",'Leaching Mechanism'!H12))</f>
        <v>0</v>
      </c>
      <c r="N16" s="22" t="e">
        <f>#REF!</f>
        <v>#REF!</v>
      </c>
      <c r="O16" s="22" t="e">
        <f>#REF!</f>
        <v>#REF!</v>
      </c>
      <c r="P16" s="22" t="e">
        <f t="shared" si="1"/>
        <v>#REF!</v>
      </c>
      <c r="Q16" s="22" t="e">
        <f t="shared" si="2"/>
        <v>#REF!</v>
      </c>
      <c r="R16" s="22" t="e">
        <f t="shared" si="3"/>
        <v>#REF!</v>
      </c>
      <c r="S16" s="22" t="e">
        <f t="shared" si="4"/>
        <v>#REF!</v>
      </c>
      <c r="T16" s="22">
        <v>8</v>
      </c>
      <c r="U16" s="22"/>
      <c r="V16" s="22"/>
      <c r="W16" s="22"/>
    </row>
    <row r="17" spans="1:23" ht="17.25" thickBot="1" x14ac:dyDescent="0.25">
      <c r="A17" s="30">
        <f>'Diffusive Flux'!A18</f>
        <v>0</v>
      </c>
      <c r="B17" s="110" t="s">
        <v>100</v>
      </c>
      <c r="C17" s="101">
        <f>SQRT(64)*PRODUCT(Uxy!D15,Uxy!E15,Uxy!F15,Uxy!G15,Uxy!H15,Uxy!I15,Uxy!J15,Uxy!K15)^0.125</f>
        <v>0</v>
      </c>
      <c r="D17" s="102">
        <f>SUM(Normalisation!E14:L14)</f>
        <v>0</v>
      </c>
      <c r="E17" s="103" t="e">
        <f ca="1">IF(AND(D17&lt;C17,'rc'!G13&lt;0.35,'rc'!F13&lt;0.35),D17,C17)</f>
        <v>#NUM!</v>
      </c>
      <c r="F17" s="104" t="e">
        <f ca="1">IF(AND('Leaching Mechanism'!G13="Surface Wash-Off",OR('Leaching Mechanism'!B13="Diffusion", 'Leaching Mechanism'!C13="Diffusion",'Leaching Mechanism'!D13="Diffusion", 'Leaching Mechanism'!E13="Diffusion", 'Leaching Mechanism'!F13="Diffusion")),Normalisation!F14+Normalisation!G14-(C17*SQRT(1/64)),"")</f>
        <v>#DIV/0!</v>
      </c>
      <c r="G17" s="105" t="e">
        <f t="shared" ca="1" si="0"/>
        <v>#DIV/0!</v>
      </c>
      <c r="H17" s="106" t="str">
        <f>IF(SUM('Analytical Data'!$F14:$M14)&lt;'Analytical Data'!E14*12,SUM(Normalisation!E14:L14)*SQRT(1),"")</f>
        <v/>
      </c>
      <c r="I17" s="107" t="e">
        <f ca="1">IF(AND(LOD!J13&gt;1.5,'rc'!I13&lt;0.35,LOD!F13&lt;1.5),(('Measured Cummulative'!F14-'Measured Cummulative'!E14)+('Measured Cummulative'!L14-'Measured Cummulative'!G14))*(SQRT(64)-SQRT(1))/(SQRT(64)-SQRT(1)),"")</f>
        <v>#DIV/0!</v>
      </c>
      <c r="J17" s="108" t="e">
        <f ca="1">IF(AND('Leaching Mechanism'!H13:K13="Depletion",LOD!E13&gt;1.5,OR('rc'!E13&lt;0.35,'rc'!F13&lt;0.35,'rc'!G13&lt;0.35,'rc'!H13&lt;0.35)),('Measured Cummulative'!L14*(SQRT(64)-SQRT(1))/(SQRT(64)-SQRT(1))),"")</f>
        <v>#DIV/0!</v>
      </c>
      <c r="K17" s="107" t="e">
        <f ca="1">IF(AND(ISBLANK(G17),OR('rc'!D13&gt;0.65,ISNUMBER(SEARCH("Dissolution",'Leaching Mechanism'!H13)))),2*'Measured Cummulative'!L14*SQRT(64/64),"")</f>
        <v>#NUM!</v>
      </c>
      <c r="L17" s="109" t="e">
        <f ca="1">IF(AND(AVERAGE('rc'!D13:I13)&gt;0.5,SUM(H17:K17)&lt;0.0001),5*'Measured Cummulative'!L14*SQRT(64/64),"")</f>
        <v>#NUM!</v>
      </c>
      <c r="M17" s="22" t="b">
        <f ca="1">ISNUMBER(SEARCH("Dissolution",'Leaching Mechanism'!H13))</f>
        <v>0</v>
      </c>
      <c r="N17" s="22" t="e">
        <f>#REF!</f>
        <v>#REF!</v>
      </c>
      <c r="O17" s="22" t="e">
        <f>#REF!</f>
        <v>#REF!</v>
      </c>
      <c r="P17" s="22" t="e">
        <f t="shared" si="1"/>
        <v>#REF!</v>
      </c>
      <c r="Q17" s="22" t="e">
        <f t="shared" si="2"/>
        <v>#REF!</v>
      </c>
      <c r="R17" s="22" t="e">
        <f t="shared" si="3"/>
        <v>#REF!</v>
      </c>
      <c r="S17" s="22" t="e">
        <f t="shared" si="4"/>
        <v>#REF!</v>
      </c>
      <c r="T17" s="22">
        <v>9</v>
      </c>
      <c r="U17" s="22"/>
      <c r="V17" s="22"/>
      <c r="W17" s="22"/>
    </row>
    <row r="18" spans="1:23" ht="17.25" thickBot="1" x14ac:dyDescent="0.25">
      <c r="A18" s="30">
        <f>'Diffusive Flux'!A19</f>
        <v>0</v>
      </c>
      <c r="B18" s="110" t="s">
        <v>100</v>
      </c>
      <c r="C18" s="101">
        <f>SQRT(64)*PRODUCT(Uxy!D16,Uxy!E16,Uxy!F16,Uxy!G16,Uxy!H16,Uxy!I16,Uxy!J16,Uxy!K16)^0.125</f>
        <v>0</v>
      </c>
      <c r="D18" s="102">
        <f>SUM(Normalisation!E15:L15)</f>
        <v>0</v>
      </c>
      <c r="E18" s="103" t="e">
        <f ca="1">IF(AND(D18&lt;C18,'rc'!G14&lt;0.35,'rc'!F14&lt;0.35),D18,C18)</f>
        <v>#NUM!</v>
      </c>
      <c r="F18" s="104" t="e">
        <f ca="1">IF(AND('Leaching Mechanism'!G14="Surface Wash-Off",OR('Leaching Mechanism'!B14="Diffusion", 'Leaching Mechanism'!C14="Diffusion",'Leaching Mechanism'!D14="Diffusion", 'Leaching Mechanism'!E14="Diffusion", 'Leaching Mechanism'!F14="Diffusion")),Normalisation!F15+Normalisation!G15-(C18*SQRT(1/64)),"")</f>
        <v>#DIV/0!</v>
      </c>
      <c r="G18" s="105" t="e">
        <f t="shared" ca="1" si="0"/>
        <v>#DIV/0!</v>
      </c>
      <c r="H18" s="106" t="str">
        <f>IF(SUM('Analytical Data'!$F15:$M15)&lt;'Analytical Data'!E15*12,SUM(Normalisation!E15:L15)*SQRT(1),"")</f>
        <v/>
      </c>
      <c r="I18" s="107" t="e">
        <f ca="1">IF(AND(LOD!J14&gt;1.5,'rc'!I14&lt;0.35,LOD!F14&lt;1.5),(('Measured Cummulative'!F15-'Measured Cummulative'!E15)+('Measured Cummulative'!L15-'Measured Cummulative'!G15))*(SQRT(64)-SQRT(1))/(SQRT(64)-SQRT(1)),"")</f>
        <v>#DIV/0!</v>
      </c>
      <c r="J18" s="108" t="e">
        <f ca="1">IF(AND('Leaching Mechanism'!H14:K14="Depletion",LOD!E14&gt;1.5,OR('rc'!E14&lt;0.35,'rc'!F14&lt;0.35,'rc'!G14&lt;0.35,'rc'!H14&lt;0.35)),('Measured Cummulative'!L15*(SQRT(64)-SQRT(1))/(SQRT(64)-SQRT(1))),"")</f>
        <v>#DIV/0!</v>
      </c>
      <c r="K18" s="107" t="e">
        <f ca="1">IF(AND(ISBLANK(G18),OR('rc'!D14&gt;0.65,ISNUMBER(SEARCH("Dissolution",'Leaching Mechanism'!H14)))),2*'Measured Cummulative'!L15*SQRT(64/64),"")</f>
        <v>#NUM!</v>
      </c>
      <c r="L18" s="109" t="e">
        <f ca="1">IF(AND(AVERAGE('rc'!D14:I14)&gt;0.5,SUM(H18:K18)&lt;0.0001),5*'Measured Cummulative'!L15*SQRT(64/64),"")</f>
        <v>#NUM!</v>
      </c>
      <c r="M18" s="22" t="b">
        <f ca="1">ISNUMBER(SEARCH("Dissolution",'Leaching Mechanism'!H14))</f>
        <v>0</v>
      </c>
      <c r="N18" s="22" t="e">
        <f>#REF!</f>
        <v>#REF!</v>
      </c>
      <c r="O18" s="22" t="e">
        <f>#REF!</f>
        <v>#REF!</v>
      </c>
      <c r="P18" s="22" t="e">
        <f t="shared" si="1"/>
        <v>#REF!</v>
      </c>
      <c r="Q18" s="22" t="e">
        <f t="shared" si="2"/>
        <v>#REF!</v>
      </c>
      <c r="R18" s="22" t="e">
        <f t="shared" si="3"/>
        <v>#REF!</v>
      </c>
      <c r="S18" s="22" t="e">
        <f t="shared" si="4"/>
        <v>#REF!</v>
      </c>
      <c r="T18" s="22">
        <v>10</v>
      </c>
      <c r="U18" s="22"/>
      <c r="V18" s="22"/>
      <c r="W18" s="22"/>
    </row>
    <row r="19" spans="1:23" ht="17.25" thickBot="1" x14ac:dyDescent="0.25">
      <c r="A19" s="30">
        <f>'Diffusive Flux'!A20</f>
        <v>0</v>
      </c>
      <c r="B19" s="110" t="s">
        <v>100</v>
      </c>
      <c r="C19" s="101">
        <f>SQRT(64)*PRODUCT(Uxy!D17,Uxy!E17,Uxy!F17,Uxy!G17,Uxy!H17,Uxy!I17,Uxy!J17,Uxy!K17)^0.125</f>
        <v>0</v>
      </c>
      <c r="D19" s="102">
        <f>SUM(Normalisation!E16:L16)</f>
        <v>0</v>
      </c>
      <c r="E19" s="103" t="e">
        <f ca="1">IF(AND(D19&lt;C19,'rc'!G15&lt;0.35,'rc'!F15&lt;0.35),D19,C19)</f>
        <v>#NUM!</v>
      </c>
      <c r="F19" s="104" t="e">
        <f ca="1">IF(AND('Leaching Mechanism'!G15="Surface Wash-Off",OR('Leaching Mechanism'!B15="Diffusion", 'Leaching Mechanism'!C15="Diffusion",'Leaching Mechanism'!D15="Diffusion", 'Leaching Mechanism'!E15="Diffusion", 'Leaching Mechanism'!F15="Diffusion")),Normalisation!F16+Normalisation!G16-(C19*SQRT(1/64)),"")</f>
        <v>#DIV/0!</v>
      </c>
      <c r="G19" s="105" t="e">
        <f t="shared" ca="1" si="0"/>
        <v>#DIV/0!</v>
      </c>
      <c r="H19" s="106" t="str">
        <f>IF(SUM('Analytical Data'!$F16:$M16)&lt;'Analytical Data'!E16*12,SUM(Normalisation!E16:L16)*SQRT(1),"")</f>
        <v/>
      </c>
      <c r="I19" s="107" t="e">
        <f ca="1">IF(AND(LOD!J15&gt;1.5,'rc'!I15&lt;0.35,LOD!F15&lt;1.5),(('Measured Cummulative'!F16-'Measured Cummulative'!E16)+('Measured Cummulative'!L16-'Measured Cummulative'!G16))*(SQRT(64)-SQRT(1))/(SQRT(64)-SQRT(1)),"")</f>
        <v>#DIV/0!</v>
      </c>
      <c r="J19" s="108" t="e">
        <f ca="1">IF(AND('Leaching Mechanism'!H15:K15="Depletion",LOD!E15&gt;1.5,OR('rc'!E15&lt;0.35,'rc'!F15&lt;0.35,'rc'!G15&lt;0.35,'rc'!H15&lt;0.35)),('Measured Cummulative'!L16*(SQRT(64)-SQRT(1))/(SQRT(64)-SQRT(1))),"")</f>
        <v>#DIV/0!</v>
      </c>
      <c r="K19" s="107" t="e">
        <f ca="1">IF(AND(ISBLANK(G19),OR('rc'!D15&gt;0.65,ISNUMBER(SEARCH("Dissolution",'Leaching Mechanism'!H15)))),2*'Measured Cummulative'!L16*SQRT(64/64),"")</f>
        <v>#NUM!</v>
      </c>
      <c r="L19" s="109" t="e">
        <f ca="1">IF(AND(AVERAGE('rc'!D15:I15)&gt;0.5,SUM(H19:K19)&lt;0.0001),5*'Measured Cummulative'!L16*SQRT(64/64),"")</f>
        <v>#NUM!</v>
      </c>
      <c r="M19" s="22" t="b">
        <f ca="1">ISNUMBER(SEARCH("Dissolution",'Leaching Mechanism'!H15))</f>
        <v>0</v>
      </c>
      <c r="N19" s="22" t="e">
        <f>#REF!</f>
        <v>#REF!</v>
      </c>
      <c r="O19" s="22" t="e">
        <f>#REF!</f>
        <v>#REF!</v>
      </c>
      <c r="P19" s="22" t="e">
        <f t="shared" si="1"/>
        <v>#REF!</v>
      </c>
      <c r="Q19" s="22" t="e">
        <f t="shared" si="2"/>
        <v>#REF!</v>
      </c>
      <c r="R19" s="22" t="e">
        <f t="shared" si="3"/>
        <v>#REF!</v>
      </c>
      <c r="S19" s="22" t="e">
        <f t="shared" si="4"/>
        <v>#REF!</v>
      </c>
      <c r="T19" s="22">
        <v>11</v>
      </c>
      <c r="U19" s="22"/>
      <c r="V19" s="22"/>
      <c r="W19" s="22"/>
    </row>
    <row r="20" spans="1:23" ht="17.25" thickBot="1" x14ac:dyDescent="0.25">
      <c r="A20" s="30">
        <f>'Diffusive Flux'!A21</f>
        <v>0</v>
      </c>
      <c r="B20" s="110" t="s">
        <v>100</v>
      </c>
      <c r="C20" s="101">
        <f>SQRT(64)*PRODUCT(Uxy!D18,Uxy!E18,Uxy!F18,Uxy!G18,Uxy!H18,Uxy!I18,Uxy!J18,Uxy!K18)^0.125</f>
        <v>0</v>
      </c>
      <c r="D20" s="102">
        <f>SUM(Normalisation!E17:L17)</f>
        <v>0</v>
      </c>
      <c r="E20" s="103" t="e">
        <f ca="1">IF(AND(D20&lt;C20,'rc'!G16&lt;0.35,'rc'!F16&lt;0.35),D20,C20)</f>
        <v>#NUM!</v>
      </c>
      <c r="F20" s="104" t="e">
        <f ca="1">IF(AND('Leaching Mechanism'!G16="Surface Wash-Off",OR('Leaching Mechanism'!B16="Diffusion", 'Leaching Mechanism'!C16="Diffusion",'Leaching Mechanism'!D16="Diffusion", 'Leaching Mechanism'!E16="Diffusion", 'Leaching Mechanism'!F16="Diffusion")),Normalisation!F17+Normalisation!G17-(C20*SQRT(1/64)),"")</f>
        <v>#DIV/0!</v>
      </c>
      <c r="G20" s="105" t="e">
        <f t="shared" ca="1" si="0"/>
        <v>#DIV/0!</v>
      </c>
      <c r="H20" s="106" t="str">
        <f>IF(SUM('Analytical Data'!$F17:$M17)&lt;'Analytical Data'!E17*12,SUM(Normalisation!E17:L17)*SQRT(1),"")</f>
        <v/>
      </c>
      <c r="I20" s="107" t="e">
        <f ca="1">IF(AND(LOD!J16&gt;1.5,'rc'!I16&lt;0.35,LOD!F16&lt;1.5),(('Measured Cummulative'!F17-'Measured Cummulative'!E17)+('Measured Cummulative'!L17-'Measured Cummulative'!G17))*(SQRT(64)-SQRT(1))/(SQRT(64)-SQRT(1)),"")</f>
        <v>#DIV/0!</v>
      </c>
      <c r="J20" s="108" t="e">
        <f ca="1">IF(AND('Leaching Mechanism'!H16:K16="Depletion",LOD!E16&gt;1.5,OR('rc'!E16&lt;0.35,'rc'!F16&lt;0.35,'rc'!G16&lt;0.35,'rc'!H16&lt;0.35)),('Measured Cummulative'!L17*(SQRT(64)-SQRT(1))/(SQRT(64)-SQRT(1))),"")</f>
        <v>#DIV/0!</v>
      </c>
      <c r="K20" s="107" t="e">
        <f ca="1">IF(AND(ISBLANK(G20),OR('rc'!D16&gt;0.65,ISNUMBER(SEARCH("Dissolution",'Leaching Mechanism'!H16)))),2*'Measured Cummulative'!L17*SQRT(64/64),"")</f>
        <v>#NUM!</v>
      </c>
      <c r="L20" s="109" t="e">
        <f ca="1">IF(AND(AVERAGE('rc'!D16:I16)&gt;0.5,SUM(H20:K20)&lt;0.0001),5*'Measured Cummulative'!L17*SQRT(64/64),"")</f>
        <v>#NUM!</v>
      </c>
      <c r="M20" s="22" t="b">
        <f ca="1">ISNUMBER(SEARCH("Dissolution",'Leaching Mechanism'!H16))</f>
        <v>0</v>
      </c>
      <c r="N20" s="22" t="e">
        <f>#REF!</f>
        <v>#REF!</v>
      </c>
      <c r="O20" s="22" t="e">
        <f>#REF!</f>
        <v>#REF!</v>
      </c>
      <c r="P20" s="22" t="e">
        <f t="shared" si="1"/>
        <v>#REF!</v>
      </c>
      <c r="Q20" s="22" t="e">
        <f t="shared" si="2"/>
        <v>#REF!</v>
      </c>
      <c r="R20" s="22" t="e">
        <f t="shared" si="3"/>
        <v>#REF!</v>
      </c>
      <c r="S20" s="22" t="e">
        <f t="shared" si="4"/>
        <v>#REF!</v>
      </c>
      <c r="T20" s="22">
        <v>12</v>
      </c>
      <c r="U20" s="22"/>
      <c r="V20" s="22"/>
      <c r="W20" s="22"/>
    </row>
    <row r="21" spans="1:23" ht="17.25" thickBot="1" x14ac:dyDescent="0.25">
      <c r="A21" s="30">
        <f>'Diffusive Flux'!A22</f>
        <v>0</v>
      </c>
      <c r="B21" s="110" t="s">
        <v>100</v>
      </c>
      <c r="C21" s="101">
        <f>SQRT(64)*PRODUCT(Uxy!D19,Uxy!E19,Uxy!F19,Uxy!G19,Uxy!H19,Uxy!I19,Uxy!J19,Uxy!K19)^0.125</f>
        <v>0</v>
      </c>
      <c r="D21" s="102">
        <f>SUM(Normalisation!E18:L18)</f>
        <v>0</v>
      </c>
      <c r="E21" s="103" t="e">
        <f ca="1">IF(AND(D21&lt;C21,'rc'!G17&lt;0.35,'rc'!F17&lt;0.35),D21,C21)</f>
        <v>#NUM!</v>
      </c>
      <c r="F21" s="104" t="e">
        <f ca="1">IF(AND('Leaching Mechanism'!G17="Surface Wash-Off",OR('Leaching Mechanism'!B17="Diffusion", 'Leaching Mechanism'!C17="Diffusion",'Leaching Mechanism'!D17="Diffusion", 'Leaching Mechanism'!E17="Diffusion", 'Leaching Mechanism'!F17="Diffusion")),Normalisation!F18+Normalisation!G18-(C21*SQRT(1/64)),"")</f>
        <v>#DIV/0!</v>
      </c>
      <c r="G21" s="105" t="e">
        <f t="shared" ca="1" si="0"/>
        <v>#DIV/0!</v>
      </c>
      <c r="H21" s="106" t="str">
        <f>IF(SUM('Analytical Data'!$F18:$M18)&lt;'Analytical Data'!E18*12,SUM(Normalisation!E18:L18)*SQRT(1),"")</f>
        <v/>
      </c>
      <c r="I21" s="107" t="e">
        <f ca="1">IF(AND(LOD!J17&gt;1.5,'rc'!I17&lt;0.35,LOD!F17&lt;1.5),(('Measured Cummulative'!F18-'Measured Cummulative'!E18)+('Measured Cummulative'!L18-'Measured Cummulative'!G18))*(SQRT(64)-SQRT(1))/(SQRT(64)-SQRT(1)),"")</f>
        <v>#DIV/0!</v>
      </c>
      <c r="J21" s="108" t="e">
        <f ca="1">IF(AND('Leaching Mechanism'!H17:K17="Depletion",LOD!E17&gt;1.5,OR('rc'!E17&lt;0.35,'rc'!F17&lt;0.35,'rc'!G17&lt;0.35,'rc'!H17&lt;0.35)),('Measured Cummulative'!L18*(SQRT(64)-SQRT(1))/(SQRT(64)-SQRT(1))),"")</f>
        <v>#DIV/0!</v>
      </c>
      <c r="K21" s="107" t="e">
        <f ca="1">IF(AND(ISBLANK(G21),OR('rc'!D17&gt;0.65,ISNUMBER(SEARCH("Dissolution",'Leaching Mechanism'!H17)))),2*'Measured Cummulative'!L18*SQRT(64/64),"")</f>
        <v>#NUM!</v>
      </c>
      <c r="L21" s="109" t="e">
        <f ca="1">IF(AND(AVERAGE('rc'!D17:I17)&gt;0.5,SUM(H21:K21)&lt;0.0001),5*'Measured Cummulative'!L18*SQRT(64/64),"")</f>
        <v>#NUM!</v>
      </c>
      <c r="M21" s="22" t="b">
        <f ca="1">ISNUMBER(SEARCH("Dissolution",'Leaching Mechanism'!H17))</f>
        <v>0</v>
      </c>
      <c r="N21" s="22" t="e">
        <f>#REF!</f>
        <v>#REF!</v>
      </c>
      <c r="O21" s="22" t="e">
        <f>#REF!</f>
        <v>#REF!</v>
      </c>
      <c r="P21" s="22" t="e">
        <f t="shared" si="1"/>
        <v>#REF!</v>
      </c>
      <c r="Q21" s="22" t="e">
        <f t="shared" si="2"/>
        <v>#REF!</v>
      </c>
      <c r="R21" s="22" t="e">
        <f t="shared" si="3"/>
        <v>#REF!</v>
      </c>
      <c r="S21" s="22" t="e">
        <f t="shared" si="4"/>
        <v>#REF!</v>
      </c>
      <c r="T21" s="22">
        <v>13</v>
      </c>
      <c r="U21" s="22"/>
      <c r="V21" s="22"/>
      <c r="W21" s="22"/>
    </row>
    <row r="22" spans="1:23" ht="17.25" thickBot="1" x14ac:dyDescent="0.25">
      <c r="A22" s="30">
        <f>'Diffusive Flux'!A23</f>
        <v>0</v>
      </c>
      <c r="B22" s="110" t="s">
        <v>100</v>
      </c>
      <c r="C22" s="101">
        <f>SQRT(64)*PRODUCT(Uxy!D20,Uxy!E20,Uxy!F20,Uxy!G20,Uxy!H20,Uxy!I20,Uxy!J20,Uxy!K20)^0.125</f>
        <v>0</v>
      </c>
      <c r="D22" s="102">
        <f>SUM(Normalisation!E19:L19)</f>
        <v>0</v>
      </c>
      <c r="E22" s="103" t="e">
        <f ca="1">IF(AND(D22&lt;C22,'rc'!G18&lt;0.35,'rc'!F18&lt;0.35),D22,C22)</f>
        <v>#NUM!</v>
      </c>
      <c r="F22" s="104" t="e">
        <f ca="1">IF(AND('Leaching Mechanism'!G18="Surface Wash-Off",OR('Leaching Mechanism'!B18="Diffusion", 'Leaching Mechanism'!C18="Diffusion",'Leaching Mechanism'!D18="Diffusion", 'Leaching Mechanism'!E18="Diffusion", 'Leaching Mechanism'!F18="Diffusion")),Normalisation!F19+Normalisation!G19-(C22*SQRT(1/64)),"")</f>
        <v>#DIV/0!</v>
      </c>
      <c r="G22" s="105" t="e">
        <f t="shared" ca="1" si="0"/>
        <v>#DIV/0!</v>
      </c>
      <c r="H22" s="106" t="str">
        <f>IF(SUM('Analytical Data'!$F19:$M19)&lt;'Analytical Data'!E19*12,SUM(Normalisation!E19:L19)*SQRT(1),"")</f>
        <v/>
      </c>
      <c r="I22" s="107" t="e">
        <f ca="1">IF(AND(LOD!J18&gt;1.5,'rc'!I18&lt;0.35,LOD!F18&lt;1.5),(('Measured Cummulative'!F19-'Measured Cummulative'!E19)+('Measured Cummulative'!L19-'Measured Cummulative'!G19))*(SQRT(64)-SQRT(1))/(SQRT(64)-SQRT(1)),"")</f>
        <v>#DIV/0!</v>
      </c>
      <c r="J22" s="108" t="e">
        <f ca="1">IF(AND('Leaching Mechanism'!H18:K18="Depletion",LOD!E18&gt;1.5,OR('rc'!E18&lt;0.35,'rc'!F18&lt;0.35,'rc'!G18&lt;0.35,'rc'!H18&lt;0.35)),('Measured Cummulative'!L19*(SQRT(64)-SQRT(1))/(SQRT(64)-SQRT(1))),"")</f>
        <v>#DIV/0!</v>
      </c>
      <c r="K22" s="107" t="e">
        <f ca="1">IF(AND(ISBLANK(G22),OR('rc'!D18&gt;0.65,ISNUMBER(SEARCH("Dissolution",'Leaching Mechanism'!H18)))),2*'Measured Cummulative'!L19*SQRT(64/64),"")</f>
        <v>#NUM!</v>
      </c>
      <c r="L22" s="109" t="e">
        <f ca="1">IF(AND(AVERAGE('rc'!D18:I18)&gt;0.5,SUM(H22:K22)&lt;0.0001),5*'Measured Cummulative'!L19*SQRT(64/64),"")</f>
        <v>#NUM!</v>
      </c>
      <c r="M22" s="22" t="b">
        <f ca="1">ISNUMBER(SEARCH("Dissolution",'Leaching Mechanism'!H18))</f>
        <v>0</v>
      </c>
      <c r="N22" s="22" t="e">
        <f>#REF!</f>
        <v>#REF!</v>
      </c>
      <c r="O22" s="22" t="e">
        <f>#REF!</f>
        <v>#REF!</v>
      </c>
      <c r="P22" s="22" t="e">
        <f t="shared" si="1"/>
        <v>#REF!</v>
      </c>
      <c r="Q22" s="22" t="e">
        <f t="shared" si="2"/>
        <v>#REF!</v>
      </c>
      <c r="R22" s="22" t="e">
        <f t="shared" si="3"/>
        <v>#REF!</v>
      </c>
      <c r="S22" s="22" t="e">
        <f t="shared" si="4"/>
        <v>#REF!</v>
      </c>
      <c r="T22" s="22">
        <v>14</v>
      </c>
      <c r="U22" s="22"/>
      <c r="V22" s="22"/>
      <c r="W22" s="22"/>
    </row>
    <row r="23" spans="1:23" ht="17.25" thickBot="1" x14ac:dyDescent="0.25">
      <c r="A23" s="30">
        <f>'Diffusive Flux'!A24</f>
        <v>0</v>
      </c>
      <c r="B23" s="110" t="s">
        <v>100</v>
      </c>
      <c r="C23" s="101">
        <f>SQRT(64)*PRODUCT(Uxy!D21,Uxy!E21,Uxy!F21,Uxy!G21,Uxy!H21,Uxy!I21,Uxy!J21,Uxy!K21)^0.125</f>
        <v>0</v>
      </c>
      <c r="D23" s="102">
        <f>SUM(Normalisation!E20:L20)</f>
        <v>0</v>
      </c>
      <c r="E23" s="103" t="e">
        <f ca="1">IF(AND(D23&lt;C23,'rc'!G19&lt;0.35,'rc'!F19&lt;0.35),D23,C23)</f>
        <v>#NUM!</v>
      </c>
      <c r="F23" s="104" t="e">
        <f ca="1">IF(AND('Leaching Mechanism'!G19="Surface Wash-Off",OR('Leaching Mechanism'!B19="Diffusion", 'Leaching Mechanism'!C19="Diffusion",'Leaching Mechanism'!D19="Diffusion", 'Leaching Mechanism'!E19="Diffusion", 'Leaching Mechanism'!F19="Diffusion")),Normalisation!F20+Normalisation!G20-(C23*SQRT(1/64)),"")</f>
        <v>#DIV/0!</v>
      </c>
      <c r="G23" s="105" t="e">
        <f t="shared" ca="1" si="0"/>
        <v>#DIV/0!</v>
      </c>
      <c r="H23" s="106" t="str">
        <f>IF(SUM('Analytical Data'!$F20:$M20)&lt;'Analytical Data'!E20*12,SUM(Normalisation!E20:L20)*SQRT(1),"")</f>
        <v/>
      </c>
      <c r="I23" s="107" t="e">
        <f ca="1">IF(AND(LOD!J19&gt;1.5,'rc'!I19&lt;0.35,LOD!F19&lt;1.5),(('Measured Cummulative'!F20-'Measured Cummulative'!E20)+('Measured Cummulative'!L20-'Measured Cummulative'!G20))*(SQRT(64)-SQRT(1))/(SQRT(64)-SQRT(1)),"")</f>
        <v>#DIV/0!</v>
      </c>
      <c r="J23" s="108" t="e">
        <f ca="1">IF(AND('Leaching Mechanism'!H19:K19="Depletion",LOD!E19&gt;1.5,OR('rc'!E19&lt;0.35,'rc'!F19&lt;0.35,'rc'!G19&lt;0.35,'rc'!H19&lt;0.35)),('Measured Cummulative'!L20*(SQRT(64)-SQRT(1))/(SQRT(64)-SQRT(1))),"")</f>
        <v>#DIV/0!</v>
      </c>
      <c r="K23" s="107" t="e">
        <f ca="1">IF(AND(ISBLANK(G23),OR('rc'!D19&gt;0.65,ISNUMBER(SEARCH("Dissolution",'Leaching Mechanism'!H19)))),2*'Measured Cummulative'!L20*SQRT(64/64),"")</f>
        <v>#NUM!</v>
      </c>
      <c r="L23" s="109" t="e">
        <f ca="1">IF(AND(AVERAGE('rc'!D19:I19)&gt;0.5,SUM(H23:K23)&lt;0.0001),5*'Measured Cummulative'!L20*SQRT(64/64),"")</f>
        <v>#NUM!</v>
      </c>
      <c r="M23" s="22" t="b">
        <f ca="1">ISNUMBER(SEARCH("Dissolution",'Leaching Mechanism'!H19))</f>
        <v>0</v>
      </c>
      <c r="N23" s="22" t="e">
        <f>#REF!</f>
        <v>#REF!</v>
      </c>
      <c r="O23" s="22" t="e">
        <f>#REF!</f>
        <v>#REF!</v>
      </c>
      <c r="P23" s="22" t="e">
        <f t="shared" si="1"/>
        <v>#REF!</v>
      </c>
      <c r="Q23" s="22" t="e">
        <f t="shared" si="2"/>
        <v>#REF!</v>
      </c>
      <c r="R23" s="22" t="e">
        <f t="shared" si="3"/>
        <v>#REF!</v>
      </c>
      <c r="S23" s="22" t="e">
        <f t="shared" si="4"/>
        <v>#REF!</v>
      </c>
      <c r="T23" s="22">
        <v>15</v>
      </c>
      <c r="U23" s="22"/>
      <c r="V23" s="22"/>
      <c r="W23" s="22"/>
    </row>
    <row r="24" spans="1:23" ht="17.25" thickBot="1" x14ac:dyDescent="0.25">
      <c r="A24" s="30">
        <f>'Diffusive Flux'!A25</f>
        <v>0</v>
      </c>
      <c r="B24" s="110" t="s">
        <v>100</v>
      </c>
      <c r="C24" s="101">
        <f>SQRT(64)*PRODUCT(Uxy!D22,Uxy!E22,Uxy!F22,Uxy!G22,Uxy!H22,Uxy!I22,Uxy!J22,Uxy!K22)^0.125</f>
        <v>0</v>
      </c>
      <c r="D24" s="102">
        <f>SUM(Normalisation!E21:L21)</f>
        <v>0</v>
      </c>
      <c r="E24" s="103" t="e">
        <f ca="1">IF(AND(D24&lt;C24,'rc'!G20&lt;0.35,'rc'!F20&lt;0.35),D24,C24)</f>
        <v>#NUM!</v>
      </c>
      <c r="F24" s="104" t="e">
        <f ca="1">IF(AND('Leaching Mechanism'!G20="Surface Wash-Off",OR('Leaching Mechanism'!B20="Diffusion", 'Leaching Mechanism'!C20="Diffusion",'Leaching Mechanism'!D20="Diffusion", 'Leaching Mechanism'!E20="Diffusion", 'Leaching Mechanism'!F20="Diffusion")),Normalisation!F21+Normalisation!G21-(C24*SQRT(1/64)),"")</f>
        <v>#DIV/0!</v>
      </c>
      <c r="G24" s="105" t="e">
        <f t="shared" ca="1" si="0"/>
        <v>#DIV/0!</v>
      </c>
      <c r="H24" s="106" t="str">
        <f>IF(SUM('Analytical Data'!$F21:$M21)&lt;'Analytical Data'!E21*12,SUM(Normalisation!E21:L21)*SQRT(1),"")</f>
        <v/>
      </c>
      <c r="I24" s="107" t="e">
        <f ca="1">IF(AND(LOD!J20&gt;1.5,'rc'!I20&lt;0.35,LOD!F20&lt;1.5),(('Measured Cummulative'!F21-'Measured Cummulative'!E21)+('Measured Cummulative'!L21-'Measured Cummulative'!G21))*(SQRT(64)-SQRT(1))/(SQRT(64)-SQRT(1)),"")</f>
        <v>#DIV/0!</v>
      </c>
      <c r="J24" s="108" t="e">
        <f ca="1">IF(AND('Leaching Mechanism'!H20:K20="Depletion",LOD!E20&gt;1.5,OR('rc'!E20&lt;0.35,'rc'!F20&lt;0.35,'rc'!G20&lt;0.35,'rc'!H20&lt;0.35)),('Measured Cummulative'!L21*(SQRT(64)-SQRT(1))/(SQRT(64)-SQRT(1))),"")</f>
        <v>#DIV/0!</v>
      </c>
      <c r="K24" s="107" t="e">
        <f ca="1">IF(AND(ISBLANK(G24),OR('rc'!D20&gt;0.65,ISNUMBER(SEARCH("Dissolution",'Leaching Mechanism'!H20)))),2*'Measured Cummulative'!L21*SQRT(64/64),"")</f>
        <v>#NUM!</v>
      </c>
      <c r="L24" s="109" t="e">
        <f ca="1">IF(AND(AVERAGE('rc'!D20:I20)&gt;0.5,SUM(H24:K24)&lt;0.0001),5*'Measured Cummulative'!L21*SQRT(64/64),"")</f>
        <v>#NUM!</v>
      </c>
      <c r="M24" s="22" t="b">
        <f ca="1">ISNUMBER(SEARCH("Dissolution",'Leaching Mechanism'!H20))</f>
        <v>0</v>
      </c>
      <c r="N24" s="22" t="e">
        <f>#REF!</f>
        <v>#REF!</v>
      </c>
      <c r="O24" s="22" t="e">
        <f>#REF!</f>
        <v>#REF!</v>
      </c>
      <c r="P24" s="22" t="e">
        <f t="shared" si="1"/>
        <v>#REF!</v>
      </c>
      <c r="Q24" s="22" t="e">
        <f t="shared" si="2"/>
        <v>#REF!</v>
      </c>
      <c r="R24" s="22" t="e">
        <f t="shared" si="3"/>
        <v>#REF!</v>
      </c>
      <c r="S24" s="22" t="e">
        <f t="shared" si="4"/>
        <v>#REF!</v>
      </c>
      <c r="T24" s="22">
        <v>16</v>
      </c>
      <c r="U24" s="22"/>
      <c r="V24" s="22"/>
      <c r="W24" s="22"/>
    </row>
    <row r="25" spans="1:23" ht="17.25" thickBot="1" x14ac:dyDescent="0.25">
      <c r="A25" s="30">
        <f>'Diffusive Flux'!A26</f>
        <v>0</v>
      </c>
      <c r="B25" s="110" t="s">
        <v>100</v>
      </c>
      <c r="C25" s="101">
        <f>SQRT(64)*PRODUCT(Uxy!D23,Uxy!E23,Uxy!F23,Uxy!G23,Uxy!H23,Uxy!I23,Uxy!J23,Uxy!K23)^0.125</f>
        <v>0</v>
      </c>
      <c r="D25" s="102">
        <f>SUM(Normalisation!E22:L22)</f>
        <v>0</v>
      </c>
      <c r="E25" s="103" t="e">
        <f ca="1">IF(AND(D25&lt;C25,'rc'!G21&lt;0.35,'rc'!F21&lt;0.35),D25,C25)</f>
        <v>#NUM!</v>
      </c>
      <c r="F25" s="104" t="e">
        <f ca="1">IF(AND('Leaching Mechanism'!G21="Surface Wash-Off",OR('Leaching Mechanism'!B21="Diffusion", 'Leaching Mechanism'!C21="Diffusion",'Leaching Mechanism'!D21="Diffusion", 'Leaching Mechanism'!E21="Diffusion", 'Leaching Mechanism'!F21="Diffusion")),Normalisation!F22+Normalisation!G22-(C25*SQRT(1/64)),"")</f>
        <v>#DIV/0!</v>
      </c>
      <c r="G25" s="105" t="e">
        <f t="shared" ca="1" si="0"/>
        <v>#DIV/0!</v>
      </c>
      <c r="H25" s="106" t="str">
        <f>IF(SUM('Analytical Data'!$F22:$M22)&lt;'Analytical Data'!E22*12,SUM(Normalisation!E22:L22)*SQRT(1),"")</f>
        <v/>
      </c>
      <c r="I25" s="107" t="e">
        <f ca="1">IF(AND(LOD!J21&gt;1.5,'rc'!I21&lt;0.35,LOD!F21&lt;1.5),(('Measured Cummulative'!F22-'Measured Cummulative'!E22)+('Measured Cummulative'!L22-'Measured Cummulative'!G22))*(SQRT(64)-SQRT(1))/(SQRT(64)-SQRT(1)),"")</f>
        <v>#DIV/0!</v>
      </c>
      <c r="J25" s="108" t="e">
        <f ca="1">IF(AND('Leaching Mechanism'!H21:K21="Depletion",LOD!E21&gt;1.5,OR('rc'!E21&lt;0.35,'rc'!F21&lt;0.35,'rc'!G21&lt;0.35,'rc'!H21&lt;0.35)),('Measured Cummulative'!L22*(SQRT(64)-SQRT(1))/(SQRT(64)-SQRT(1))),"")</f>
        <v>#DIV/0!</v>
      </c>
      <c r="K25" s="107" t="e">
        <f ca="1">IF(AND(ISBLANK(G25),OR('rc'!D21&gt;0.65,ISNUMBER(SEARCH("Dissolution",'Leaching Mechanism'!H21)))),2*'Measured Cummulative'!L22*SQRT(64/64),"")</f>
        <v>#NUM!</v>
      </c>
      <c r="L25" s="109" t="e">
        <f ca="1">IF(AND(AVERAGE('rc'!D21:I21)&gt;0.5,SUM(H25:K25)&lt;0.0001),5*'Measured Cummulative'!L22*SQRT(64/64),"")</f>
        <v>#NUM!</v>
      </c>
      <c r="M25" s="22" t="b">
        <f ca="1">ISNUMBER(SEARCH("Dissolution",'Leaching Mechanism'!H21))</f>
        <v>0</v>
      </c>
      <c r="N25" s="22" t="e">
        <f>#REF!</f>
        <v>#REF!</v>
      </c>
      <c r="O25" s="22" t="e">
        <f>#REF!</f>
        <v>#REF!</v>
      </c>
      <c r="P25" s="22" t="e">
        <f t="shared" si="1"/>
        <v>#REF!</v>
      </c>
      <c r="Q25" s="22" t="e">
        <f t="shared" si="2"/>
        <v>#REF!</v>
      </c>
      <c r="R25" s="22" t="e">
        <f t="shared" si="3"/>
        <v>#REF!</v>
      </c>
      <c r="S25" s="22" t="e">
        <f t="shared" si="4"/>
        <v>#REF!</v>
      </c>
      <c r="T25" s="22">
        <v>17</v>
      </c>
      <c r="U25" s="22"/>
      <c r="V25" s="22"/>
      <c r="W25" s="22"/>
    </row>
    <row r="26" spans="1:23" ht="17.25" hidden="1" thickBot="1" x14ac:dyDescent="0.25">
      <c r="A26" s="30">
        <f>'Diffusive Flux'!A27</f>
        <v>0</v>
      </c>
      <c r="B26" s="110" t="s">
        <v>100</v>
      </c>
      <c r="C26" s="101">
        <f>SQRT(64)*PRODUCT(Uxy!D24,Uxy!E24,Uxy!F24,Uxy!G24,Uxy!H24,Uxy!I24,Uxy!J24,Uxy!K24)^0.125</f>
        <v>0</v>
      </c>
      <c r="D26" s="102">
        <f>SUM(Normalisation!E23:L23)</f>
        <v>0</v>
      </c>
      <c r="E26" s="103" t="e">
        <f ca="1">IF(AND(D26&lt;C26,'rc'!G22&lt;0.35,'rc'!F22&lt;0.35),D26,C26)</f>
        <v>#NUM!</v>
      </c>
      <c r="F26" s="104" t="e">
        <f ca="1">IF(AND('Leaching Mechanism'!G22="Surface Wash-Off",OR('Leaching Mechanism'!B22="Diffusion", 'Leaching Mechanism'!C22="Diffusion",'Leaching Mechanism'!D22="Diffusion", 'Leaching Mechanism'!E22="Diffusion", 'Leaching Mechanism'!F22="Diffusion")),Normalisation!F23+Normalisation!G23-(C26*SQRT(1/64)),"")</f>
        <v>#DIV/0!</v>
      </c>
      <c r="G26" s="105" t="e">
        <f t="shared" ca="1" si="0"/>
        <v>#DIV/0!</v>
      </c>
      <c r="H26" s="106" t="str">
        <f>IF(SUM('Analytical Data'!$F23:$M23)&lt;'Analytical Data'!E23*12,SUM(Normalisation!E23:L23)*SQRT(1),"")</f>
        <v/>
      </c>
      <c r="I26" s="107" t="e">
        <f ca="1">IF(AND(LOD!J22&gt;1.5,'rc'!I22&lt;0.35,LOD!F22&lt;1.5),(('Measured Cummulative'!F23-'Measured Cummulative'!E23)+('Measured Cummulative'!L23-'Measured Cummulative'!G23))*(SQRT(64)-SQRT(1))/(SQRT(64)-SQRT(1)),"")</f>
        <v>#DIV/0!</v>
      </c>
      <c r="J26" s="108" t="e">
        <f ca="1">IF(AND('Leaching Mechanism'!H22:K22="Depletion",LOD!E22&gt;1.5,OR('rc'!E22&lt;0.35,'rc'!F22&lt;0.35,'rc'!G22&lt;0.35,'rc'!H22&lt;0.35)),('Measured Cummulative'!L23*(SQRT(64)-SQRT(1))/(SQRT(64)-SQRT(1))),"")</f>
        <v>#DIV/0!</v>
      </c>
      <c r="K26" s="107" t="e">
        <f ca="1">IF(AND(ISBLANK(G26),OR('rc'!D22&gt;0.65,ISNUMBER(SEARCH("Dissolution",'Leaching Mechanism'!H22)))),2*'Measured Cummulative'!L23*SQRT(64/64),"")</f>
        <v>#NUM!</v>
      </c>
      <c r="L26" s="109" t="e">
        <f ca="1">IF(AND(AVERAGE('rc'!D22:I22)&gt;0.5,SUM(H26:K26)&lt;0.0001),5*'Measured Cummulative'!L23*SQRT(64/64),"")</f>
        <v>#NUM!</v>
      </c>
      <c r="M26" s="22" t="b">
        <f ca="1">ISNUMBER(SEARCH("Dissolution",'Leaching Mechanism'!H22))</f>
        <v>0</v>
      </c>
      <c r="N26" s="22" t="e">
        <f>#REF!</f>
        <v>#REF!</v>
      </c>
      <c r="O26" s="22" t="e">
        <f>#REF!</f>
        <v>#REF!</v>
      </c>
      <c r="P26" s="22" t="e">
        <f t="shared" si="1"/>
        <v>#REF!</v>
      </c>
      <c r="Q26" s="22" t="e">
        <f t="shared" si="2"/>
        <v>#REF!</v>
      </c>
      <c r="R26" s="22" t="e">
        <f t="shared" si="3"/>
        <v>#REF!</v>
      </c>
      <c r="S26" s="22" t="e">
        <f t="shared" si="4"/>
        <v>#REF!</v>
      </c>
      <c r="T26" s="22">
        <v>18</v>
      </c>
      <c r="U26" s="22"/>
      <c r="V26" s="22"/>
      <c r="W26" s="22"/>
    </row>
    <row r="27" spans="1:23" ht="17.25" hidden="1" thickBot="1" x14ac:dyDescent="0.25">
      <c r="A27" s="30">
        <f>'Diffusive Flux'!A28</f>
        <v>0</v>
      </c>
      <c r="B27" s="110" t="s">
        <v>100</v>
      </c>
      <c r="C27" s="101">
        <f>SQRT(64)*PRODUCT(Uxy!D25,Uxy!E25,Uxy!F25,Uxy!G25,Uxy!H25,Uxy!I25,Uxy!J25,Uxy!K25)^0.125</f>
        <v>0</v>
      </c>
      <c r="D27" s="102">
        <f>SUM(Normalisation!E24:L24)</f>
        <v>0</v>
      </c>
      <c r="E27" s="103" t="e">
        <f ca="1">IF(AND(D27&lt;C27,'rc'!G23&lt;0.35,'rc'!F23&lt;0.35),D27,C27)</f>
        <v>#NUM!</v>
      </c>
      <c r="F27" s="104" t="e">
        <f ca="1">IF(AND('Leaching Mechanism'!G23="Surface Wash-Off",OR('Leaching Mechanism'!B23="Diffusion", 'Leaching Mechanism'!C23="Diffusion",'Leaching Mechanism'!D23="Diffusion", 'Leaching Mechanism'!E23="Diffusion", 'Leaching Mechanism'!F23="Diffusion")),Normalisation!F24+Normalisation!G24-(C27*SQRT(1/64)),"")</f>
        <v>#DIV/0!</v>
      </c>
      <c r="G27" s="105" t="e">
        <f t="shared" ca="1" si="0"/>
        <v>#DIV/0!</v>
      </c>
      <c r="H27" s="106" t="str">
        <f>IF(SUM('Analytical Data'!$F24:$M24)&lt;'Analytical Data'!E24*12,SUM(Normalisation!E24:L24)*SQRT(1),"")</f>
        <v/>
      </c>
      <c r="I27" s="107" t="e">
        <f ca="1">IF(AND(LOD!J23&gt;1.5,'rc'!I23&lt;0.35,LOD!F23&lt;1.5),(('Measured Cummulative'!F24-'Measured Cummulative'!E24)+('Measured Cummulative'!L24-'Measured Cummulative'!G24))*(SQRT(64)-SQRT(1))/(SQRT(64)-SQRT(1)),"")</f>
        <v>#DIV/0!</v>
      </c>
      <c r="J27" s="108" t="e">
        <f ca="1">IF(AND('Leaching Mechanism'!H23:K23="Depletion",LOD!E23&gt;1.5,OR('rc'!E23&lt;0.35,'rc'!F23&lt;0.35,'rc'!G23&lt;0.35,'rc'!H23&lt;0.35)),('Measured Cummulative'!L24*(SQRT(64)-SQRT(1))/(SQRT(64)-SQRT(1))),"")</f>
        <v>#DIV/0!</v>
      </c>
      <c r="K27" s="107" t="e">
        <f ca="1">IF(AND(ISBLANK(G27),OR('rc'!D23&gt;0.65,ISNUMBER(SEARCH("Dissolution",'Leaching Mechanism'!H23)))),2*'Measured Cummulative'!L24*SQRT(64/64),"")</f>
        <v>#NUM!</v>
      </c>
      <c r="L27" s="109" t="e">
        <f ca="1">IF(AND(AVERAGE('rc'!D23:I23)&gt;0.5,SUM(H27:K27)&lt;0.0001),5*'Measured Cummulative'!L24*SQRT(64/64),"")</f>
        <v>#NUM!</v>
      </c>
      <c r="M27" s="22" t="b">
        <f ca="1">ISNUMBER(SEARCH("Dissolution",'Leaching Mechanism'!H23))</f>
        <v>0</v>
      </c>
      <c r="N27" s="22" t="e">
        <f>#REF!</f>
        <v>#REF!</v>
      </c>
      <c r="O27" s="22" t="e">
        <f>#REF!</f>
        <v>#REF!</v>
      </c>
      <c r="P27" s="22" t="e">
        <f t="shared" si="1"/>
        <v>#REF!</v>
      </c>
      <c r="Q27" s="22" t="e">
        <f t="shared" si="2"/>
        <v>#REF!</v>
      </c>
      <c r="R27" s="22" t="e">
        <f t="shared" si="3"/>
        <v>#REF!</v>
      </c>
      <c r="S27" s="22" t="e">
        <f t="shared" si="4"/>
        <v>#REF!</v>
      </c>
      <c r="T27" s="22">
        <v>19</v>
      </c>
      <c r="U27" s="22"/>
      <c r="V27" s="22"/>
      <c r="W27" s="22"/>
    </row>
    <row r="28" spans="1:23" ht="17.25" thickBot="1" x14ac:dyDescent="0.25">
      <c r="A28" s="30">
        <f>'Diffusive Flux'!A29</f>
        <v>0</v>
      </c>
      <c r="B28" s="110" t="s">
        <v>100</v>
      </c>
      <c r="C28" s="101">
        <f>SQRT(64)*PRODUCT(Uxy!D26,Uxy!E26,Uxy!F26,Uxy!G26,Uxy!H26,Uxy!I26,Uxy!J26,Uxy!K26)^0.125</f>
        <v>0</v>
      </c>
      <c r="D28" s="102">
        <f>SUM(Normalisation!E25:L25)</f>
        <v>0</v>
      </c>
      <c r="E28" s="103" t="e">
        <f ca="1">IF(AND(D28&lt;C28,'rc'!G24&lt;0.35,'rc'!F24&lt;0.35),D28,C28)</f>
        <v>#NUM!</v>
      </c>
      <c r="F28" s="104" t="e">
        <f ca="1">IF(AND('Leaching Mechanism'!G24="Surface Wash-Off",OR('Leaching Mechanism'!B24="Diffusion", 'Leaching Mechanism'!C24="Diffusion",'Leaching Mechanism'!D24="Diffusion", 'Leaching Mechanism'!E24="Diffusion", 'Leaching Mechanism'!F24="Diffusion")),Normalisation!F25+Normalisation!G25-(C28*SQRT(1/64)),"")</f>
        <v>#DIV/0!</v>
      </c>
      <c r="G28" s="105" t="e">
        <f t="shared" ca="1" si="0"/>
        <v>#DIV/0!</v>
      </c>
      <c r="H28" s="106" t="str">
        <f>IF(SUM('Analytical Data'!$F25:$M25)&lt;'Analytical Data'!E25*12,SUM(Normalisation!E25:L25)*SQRT(1),"")</f>
        <v/>
      </c>
      <c r="I28" s="107" t="e">
        <f ca="1">IF(AND(LOD!J24&gt;1.5,'rc'!I24&lt;0.35,LOD!F24&lt;1.5),(('Measured Cummulative'!F25-'Measured Cummulative'!E25)+('Measured Cummulative'!L25-'Measured Cummulative'!G25))*(SQRT(64)-SQRT(1))/(SQRT(64)-SQRT(1)),"")</f>
        <v>#DIV/0!</v>
      </c>
      <c r="J28" s="108" t="e">
        <f ca="1">IF(AND('Leaching Mechanism'!H24:K24="Depletion",LOD!E24&gt;1.5,OR('rc'!E24&lt;0.35,'rc'!F24&lt;0.35,'rc'!G24&lt;0.35,'rc'!H24&lt;0.35)),('Measured Cummulative'!L25*(SQRT(64)-SQRT(1))/(SQRT(64)-SQRT(1))),"")</f>
        <v>#DIV/0!</v>
      </c>
      <c r="K28" s="107" t="e">
        <f ca="1">IF(AND(ISBLANK(G28),OR('rc'!D24&gt;0.65,ISNUMBER(SEARCH("Dissolution",'Leaching Mechanism'!H24)))),2*'Measured Cummulative'!L25*SQRT(64/64),"")</f>
        <v>#NUM!</v>
      </c>
      <c r="L28" s="109" t="e">
        <f ca="1">IF(AND(AVERAGE('rc'!D24:I24)&gt;0.5,SUM(H28:K28)&lt;0.0001),5*'Measured Cummulative'!L25*SQRT(64/64),"")</f>
        <v>#NUM!</v>
      </c>
      <c r="M28" s="22" t="b">
        <f ca="1">ISNUMBER(SEARCH("Dissolution",'Leaching Mechanism'!H24))</f>
        <v>0</v>
      </c>
      <c r="N28" s="22" t="e">
        <f>#REF!</f>
        <v>#REF!</v>
      </c>
      <c r="O28" s="22" t="e">
        <f>#REF!</f>
        <v>#REF!</v>
      </c>
      <c r="P28" s="22" t="e">
        <f t="shared" si="1"/>
        <v>#REF!</v>
      </c>
      <c r="Q28" s="22" t="e">
        <f t="shared" si="2"/>
        <v>#REF!</v>
      </c>
      <c r="R28" s="22" t="e">
        <f t="shared" si="3"/>
        <v>#REF!</v>
      </c>
      <c r="S28" s="22" t="e">
        <f t="shared" si="4"/>
        <v>#REF!</v>
      </c>
      <c r="T28" s="22">
        <v>20</v>
      </c>
      <c r="U28" s="22"/>
      <c r="V28" s="22"/>
      <c r="W28" s="22"/>
    </row>
    <row r="29" spans="1:23" ht="17.25" thickBot="1" x14ac:dyDescent="0.25">
      <c r="A29" s="30">
        <f>'Diffusive Flux'!A30</f>
        <v>0</v>
      </c>
      <c r="B29" s="110" t="s">
        <v>100</v>
      </c>
      <c r="C29" s="101">
        <f>SQRT(64)*PRODUCT(Uxy!D27,Uxy!E27,Uxy!F27,Uxy!G27,Uxy!H27,Uxy!I27,Uxy!J27,Uxy!K27)^0.125</f>
        <v>0</v>
      </c>
      <c r="D29" s="102">
        <f>SUM(Normalisation!E26:L26)</f>
        <v>0</v>
      </c>
      <c r="E29" s="103" t="e">
        <f ca="1">IF(AND(D29&lt;C29,'rc'!G25&lt;0.35,'rc'!F25&lt;0.35),D29,C29)</f>
        <v>#NUM!</v>
      </c>
      <c r="F29" s="104" t="e">
        <f ca="1">IF(AND('Leaching Mechanism'!G25="Surface Wash-Off",OR('Leaching Mechanism'!B25="Diffusion", 'Leaching Mechanism'!C25="Diffusion",'Leaching Mechanism'!D25="Diffusion", 'Leaching Mechanism'!E25="Diffusion", 'Leaching Mechanism'!F25="Diffusion")),Normalisation!F26+Normalisation!G26-(C29*SQRT(1/64)),"")</f>
        <v>#DIV/0!</v>
      </c>
      <c r="G29" s="105" t="e">
        <f t="shared" ca="1" si="0"/>
        <v>#DIV/0!</v>
      </c>
      <c r="H29" s="106" t="str">
        <f>IF(SUM('Analytical Data'!$F26:$M26)&lt;'Analytical Data'!E26*12,SUM(Normalisation!E26:L26)*SQRT(1),"")</f>
        <v/>
      </c>
      <c r="I29" s="107" t="e">
        <f ca="1">IF(AND(LOD!J25&gt;1.5,'rc'!I25&lt;0.35,LOD!F25&lt;1.5),(('Measured Cummulative'!F26-'Measured Cummulative'!E26)+('Measured Cummulative'!L26-'Measured Cummulative'!G26))*(SQRT(64)-SQRT(1))/(SQRT(64)-SQRT(1)),"")</f>
        <v>#DIV/0!</v>
      </c>
      <c r="J29" s="108" t="e">
        <f ca="1">IF(AND('Leaching Mechanism'!H25:K25="Depletion",LOD!E25&gt;1.5,OR('rc'!E25&lt;0.35,'rc'!F25&lt;0.35,'rc'!G25&lt;0.35,'rc'!H25&lt;0.35)),('Measured Cummulative'!L26*(SQRT(64)-SQRT(1))/(SQRT(64)-SQRT(1))),"")</f>
        <v>#DIV/0!</v>
      </c>
      <c r="K29" s="107" t="e">
        <f ca="1">IF(AND(ISBLANK(G29),OR('rc'!D25&gt;0.65,ISNUMBER(SEARCH("Dissolution",'Leaching Mechanism'!H25)))),2*'Measured Cummulative'!L26*SQRT(64/64),"")</f>
        <v>#NUM!</v>
      </c>
      <c r="L29" s="109" t="e">
        <f ca="1">IF(AND(AVERAGE('rc'!D25:I25)&gt;0.5,SUM(H29:K29)&lt;0.0001),5*'Measured Cummulative'!L26*SQRT(64/64),"")</f>
        <v>#NUM!</v>
      </c>
      <c r="M29" s="22" t="b">
        <f ca="1">ISNUMBER(SEARCH("Dissolution",'Leaching Mechanism'!H25))</f>
        <v>0</v>
      </c>
      <c r="N29" s="22" t="e">
        <f>#REF!</f>
        <v>#REF!</v>
      </c>
      <c r="O29" s="22" t="e">
        <f>#REF!</f>
        <v>#REF!</v>
      </c>
      <c r="P29" s="22" t="e">
        <f t="shared" si="1"/>
        <v>#REF!</v>
      </c>
      <c r="Q29" s="22" t="e">
        <f t="shared" si="2"/>
        <v>#REF!</v>
      </c>
      <c r="R29" s="22" t="e">
        <f t="shared" si="3"/>
        <v>#REF!</v>
      </c>
      <c r="S29" s="22" t="e">
        <f t="shared" si="4"/>
        <v>#REF!</v>
      </c>
      <c r="T29" s="22">
        <v>21</v>
      </c>
      <c r="U29" s="22"/>
      <c r="V29" s="22"/>
      <c r="W29" s="22"/>
    </row>
    <row r="30" spans="1:23" ht="17.25" thickBot="1" x14ac:dyDescent="0.25">
      <c r="A30" s="30">
        <f>'Diffusive Flux'!A31</f>
        <v>0</v>
      </c>
      <c r="B30" s="110" t="s">
        <v>100</v>
      </c>
      <c r="C30" s="101">
        <f>SQRT(64)*PRODUCT(Uxy!D28,Uxy!E28,Uxy!F28,Uxy!G28,Uxy!H28,Uxy!I28,Uxy!J28,Uxy!K28)^0.125</f>
        <v>0</v>
      </c>
      <c r="D30" s="102">
        <f>SUM(Normalisation!E27:L27)</f>
        <v>0</v>
      </c>
      <c r="E30" s="103" t="e">
        <f ca="1">IF(AND(D30&lt;C30,'rc'!G26&lt;0.35,'rc'!F26&lt;0.35),D30,C30)</f>
        <v>#NUM!</v>
      </c>
      <c r="F30" s="104" t="e">
        <f ca="1">IF(AND('Leaching Mechanism'!G26="Surface Wash-Off",OR('Leaching Mechanism'!B26="Diffusion", 'Leaching Mechanism'!C26="Diffusion",'Leaching Mechanism'!D26="Diffusion", 'Leaching Mechanism'!E26="Diffusion", 'Leaching Mechanism'!F26="Diffusion")),Normalisation!F27+Normalisation!G27-(C30*SQRT(1/64)),"")</f>
        <v>#DIV/0!</v>
      </c>
      <c r="G30" s="105" t="e">
        <f t="shared" ca="1" si="0"/>
        <v>#DIV/0!</v>
      </c>
      <c r="H30" s="106" t="str">
        <f>IF(SUM('Analytical Data'!$F27:$M27)&lt;'Analytical Data'!E27*12,SUM(Normalisation!E27:L27)*SQRT(1),"")</f>
        <v/>
      </c>
      <c r="I30" s="107" t="e">
        <f ca="1">IF(AND(LOD!J26&gt;1.5,'rc'!I26&lt;0.35,LOD!F26&lt;1.5),(('Measured Cummulative'!F27-'Measured Cummulative'!E27)+('Measured Cummulative'!L27-'Measured Cummulative'!G27))*(SQRT(64)-SQRT(1))/(SQRT(64)-SQRT(1)),"")</f>
        <v>#DIV/0!</v>
      </c>
      <c r="J30" s="108" t="e">
        <f ca="1">IF(AND('Leaching Mechanism'!H26:K26="Depletion",LOD!E26&gt;1.5,OR('rc'!E26&lt;0.35,'rc'!F26&lt;0.35,'rc'!G26&lt;0.35,'rc'!H26&lt;0.35)),('Measured Cummulative'!L27*(SQRT(64)-SQRT(1))/(SQRT(64)-SQRT(1))),"")</f>
        <v>#DIV/0!</v>
      </c>
      <c r="K30" s="107" t="e">
        <f ca="1">IF(AND(ISBLANK(G30),OR('rc'!D26&gt;0.65,ISNUMBER(SEARCH("Dissolution",'Leaching Mechanism'!H26)))),2*'Measured Cummulative'!L27*SQRT(64/64),"")</f>
        <v>#NUM!</v>
      </c>
      <c r="L30" s="109" t="e">
        <f ca="1">IF(AND(AVERAGE('rc'!D26:I26)&gt;0.5,SUM(H30:K30)&lt;0.0001),5*'Measured Cummulative'!L27*SQRT(64/64),"")</f>
        <v>#NUM!</v>
      </c>
      <c r="M30" s="22" t="b">
        <f ca="1">ISNUMBER(SEARCH("Dissolution",'Leaching Mechanism'!H26))</f>
        <v>0</v>
      </c>
      <c r="N30" s="22" t="e">
        <f>#REF!</f>
        <v>#REF!</v>
      </c>
      <c r="O30" s="22" t="e">
        <f>#REF!</f>
        <v>#REF!</v>
      </c>
      <c r="P30" s="22" t="e">
        <f t="shared" si="1"/>
        <v>#REF!</v>
      </c>
      <c r="Q30" s="22" t="e">
        <f t="shared" si="2"/>
        <v>#REF!</v>
      </c>
      <c r="R30" s="22" t="e">
        <f t="shared" si="3"/>
        <v>#REF!</v>
      </c>
      <c r="S30" s="22" t="e">
        <f t="shared" si="4"/>
        <v>#REF!</v>
      </c>
      <c r="T30" s="22">
        <v>22</v>
      </c>
      <c r="U30" s="22"/>
      <c r="V30" s="22"/>
      <c r="W30" s="22"/>
    </row>
    <row r="31" spans="1:23" ht="17.25" thickBot="1" x14ac:dyDescent="0.25">
      <c r="A31" s="30">
        <f>'Diffusive Flux'!A32</f>
        <v>0</v>
      </c>
      <c r="B31" s="110" t="s">
        <v>100</v>
      </c>
      <c r="C31" s="101">
        <f>SQRT(64)*PRODUCT(Uxy!D29,Uxy!E29,Uxy!F29,Uxy!G29,Uxy!H29,Uxy!I29,Uxy!J29,Uxy!K29)^0.125</f>
        <v>0</v>
      </c>
      <c r="D31" s="102">
        <f>SUM(Normalisation!E28:L28)</f>
        <v>0</v>
      </c>
      <c r="E31" s="103" t="e">
        <f ca="1">IF(AND(D31&lt;C31,'rc'!G27&lt;0.35,'rc'!F27&lt;0.35),D31,C31)</f>
        <v>#NUM!</v>
      </c>
      <c r="F31" s="104" t="e">
        <f ca="1">IF(AND('Leaching Mechanism'!G27="Surface Wash-Off",OR('Leaching Mechanism'!B27="Diffusion", 'Leaching Mechanism'!C27="Diffusion",'Leaching Mechanism'!D27="Diffusion", 'Leaching Mechanism'!E27="Diffusion", 'Leaching Mechanism'!F27="Diffusion")),Normalisation!F28+Normalisation!G28-(C31*SQRT(1/64)),"")</f>
        <v>#DIV/0!</v>
      </c>
      <c r="G31" s="105" t="e">
        <f t="shared" ca="1" si="0"/>
        <v>#DIV/0!</v>
      </c>
      <c r="H31" s="106" t="str">
        <f>IF(SUM('Analytical Data'!$F28:$M28)&lt;'Analytical Data'!E28*12,SUM(Normalisation!E28:L28)*SQRT(1),"")</f>
        <v/>
      </c>
      <c r="I31" s="107" t="e">
        <f ca="1">IF(AND(LOD!J27&gt;1.5,'rc'!I27&lt;0.35,LOD!F27&lt;1.5),(('Measured Cummulative'!F28-'Measured Cummulative'!E28)+('Measured Cummulative'!L28-'Measured Cummulative'!G28))*(SQRT(64)-SQRT(1))/(SQRT(64)-SQRT(1)),"")</f>
        <v>#DIV/0!</v>
      </c>
      <c r="J31" s="108" t="e">
        <f ca="1">IF(AND('Leaching Mechanism'!H27:K27="Depletion",LOD!E27&gt;1.5,OR('rc'!E27&lt;0.35,'rc'!F27&lt;0.35,'rc'!G27&lt;0.35,'rc'!H27&lt;0.35)),('Measured Cummulative'!L28*(SQRT(64)-SQRT(1))/(SQRT(64)-SQRT(1))),"")</f>
        <v>#DIV/0!</v>
      </c>
      <c r="K31" s="107" t="e">
        <f ca="1">IF(AND(ISBLANK(G31),OR('rc'!D27&gt;0.65,ISNUMBER(SEARCH("Dissolution",'Leaching Mechanism'!H27)))),2*'Measured Cummulative'!L28*SQRT(64/64),"")</f>
        <v>#NUM!</v>
      </c>
      <c r="L31" s="109" t="e">
        <f ca="1">IF(AND(AVERAGE('rc'!D27:I27)&gt;0.5,SUM(H31:K31)&lt;0.0001),5*'Measured Cummulative'!L28*SQRT(64/64),"")</f>
        <v>#NUM!</v>
      </c>
      <c r="M31" s="22" t="b">
        <f ca="1">ISNUMBER(SEARCH("Dissolution",'Leaching Mechanism'!H27))</f>
        <v>0</v>
      </c>
      <c r="N31" s="22" t="e">
        <f>#REF!</f>
        <v>#REF!</v>
      </c>
      <c r="O31" s="22" t="e">
        <f>#REF!</f>
        <v>#REF!</v>
      </c>
      <c r="P31" s="22" t="e">
        <f t="shared" si="1"/>
        <v>#REF!</v>
      </c>
      <c r="Q31" s="22" t="e">
        <f t="shared" si="2"/>
        <v>#REF!</v>
      </c>
      <c r="R31" s="22" t="e">
        <f t="shared" si="3"/>
        <v>#REF!</v>
      </c>
      <c r="S31" s="22" t="e">
        <f t="shared" si="4"/>
        <v>#REF!</v>
      </c>
      <c r="T31" s="22">
        <v>23</v>
      </c>
      <c r="U31" s="22"/>
      <c r="V31" s="22"/>
      <c r="W31" s="22"/>
    </row>
    <row r="32" spans="1:23" ht="17.25" thickBot="1" x14ac:dyDescent="0.25">
      <c r="A32" s="30">
        <f>'Diffusive Flux'!A33</f>
        <v>0</v>
      </c>
      <c r="B32" s="111" t="s">
        <v>100</v>
      </c>
      <c r="C32" s="101">
        <f>SQRT(64)*PRODUCT(Uxy!D30,Uxy!E30,Uxy!F30,Uxy!G30,Uxy!H30,Uxy!I30,Uxy!J30,Uxy!K30)^0.125</f>
        <v>0</v>
      </c>
      <c r="D32" s="102">
        <f>SUM(Normalisation!E29:L29)</f>
        <v>0</v>
      </c>
      <c r="E32" s="103" t="e">
        <f ca="1">IF(AND(D32&lt;C32,'rc'!G28&lt;0.35,'rc'!F28&lt;0.35),D32,C32)</f>
        <v>#NUM!</v>
      </c>
      <c r="F32" s="104" t="e">
        <f ca="1">IF(AND('Leaching Mechanism'!G28="Surface Wash-Off",OR('Leaching Mechanism'!B28="Diffusion", 'Leaching Mechanism'!C28="Diffusion",'Leaching Mechanism'!D28="Diffusion", 'Leaching Mechanism'!E28="Diffusion", 'Leaching Mechanism'!F28="Diffusion")),Normalisation!F29+Normalisation!G29-(C32*SQRT(1/64)),"")</f>
        <v>#DIV/0!</v>
      </c>
      <c r="G32" s="105" t="e">
        <f t="shared" ca="1" si="0"/>
        <v>#DIV/0!</v>
      </c>
      <c r="H32" s="106" t="str">
        <f>IF(SUM('Analytical Data'!$F29:$M29)&lt;'Analytical Data'!E29*12,SUM(Normalisation!E29:L29)*SQRT(1),"")</f>
        <v/>
      </c>
      <c r="I32" s="107" t="e">
        <f ca="1">IF(AND(LOD!J28&gt;1.5,'rc'!I28&lt;0.35,LOD!F28&lt;1.5),(('Measured Cummulative'!F29-'Measured Cummulative'!E29)+('Measured Cummulative'!L29-'Measured Cummulative'!G29))*(SQRT(64)-SQRT(1))/(SQRT(64)-SQRT(1)),"")</f>
        <v>#DIV/0!</v>
      </c>
      <c r="J32" s="108" t="e">
        <f ca="1">IF(AND('Leaching Mechanism'!H28:K28="Depletion",LOD!E28&gt;1.5,OR('rc'!E28&lt;0.35,'rc'!F28&lt;0.35,'rc'!G28&lt;0.35,'rc'!H28&lt;0.35)),('Measured Cummulative'!L29*(SQRT(64)-SQRT(1))/(SQRT(64)-SQRT(1))),"")</f>
        <v>#DIV/0!</v>
      </c>
      <c r="K32" s="107" t="e">
        <f ca="1">IF(AND(ISBLANK(G32),OR('rc'!D28&gt;0.65,ISNUMBER(SEARCH("Dissolution",'Leaching Mechanism'!H28)))),2*'Measured Cummulative'!L29*SQRT(64/64),"")</f>
        <v>#NUM!</v>
      </c>
      <c r="L32" s="109" t="e">
        <f ca="1">IF(AND(AVERAGE('rc'!D28:I28)&gt;0.5,SUM(H32:K32)&lt;0.0001),5*'Measured Cummulative'!L29*SQRT(64/64),"")</f>
        <v>#NUM!</v>
      </c>
      <c r="M32" s="22" t="b">
        <f ca="1">ISNUMBER(SEARCH("Dissolution",'Leaching Mechanism'!H28))</f>
        <v>0</v>
      </c>
      <c r="N32" s="22" t="e">
        <f>#REF!</f>
        <v>#REF!</v>
      </c>
      <c r="O32" s="22" t="e">
        <f>#REF!</f>
        <v>#REF!</v>
      </c>
      <c r="P32" s="22" t="e">
        <f t="shared" si="1"/>
        <v>#REF!</v>
      </c>
      <c r="Q32" s="22" t="e">
        <f t="shared" si="2"/>
        <v>#REF!</v>
      </c>
      <c r="R32" s="22" t="e">
        <f t="shared" si="3"/>
        <v>#REF!</v>
      </c>
      <c r="S32" s="22" t="e">
        <f t="shared" si="4"/>
        <v>#REF!</v>
      </c>
      <c r="T32" s="22">
        <v>24</v>
      </c>
      <c r="U32" s="22"/>
      <c r="V32" s="22"/>
      <c r="W32" s="22"/>
    </row>
    <row r="33" spans="1:23" ht="15" thickBot="1" x14ac:dyDescent="0.25">
      <c r="A33" s="30">
        <f>'Diffusive Flux'!A34</f>
        <v>0</v>
      </c>
      <c r="B33" s="22"/>
      <c r="C33" s="101">
        <f>SQRT(64)*PRODUCT(Uxy!D31,Uxy!E31,Uxy!F31,Uxy!G31,Uxy!H31,Uxy!I31,Uxy!J31,Uxy!K31)^0.125</f>
        <v>0</v>
      </c>
      <c r="D33" s="102">
        <f>SUM(Normalisation!E30:L30)</f>
        <v>0</v>
      </c>
      <c r="E33" s="103" t="e">
        <f ca="1">IF(AND(D33&lt;C33,'rc'!G29&lt;0.35,'rc'!F29&lt;0.35),D33,C33)</f>
        <v>#NUM!</v>
      </c>
      <c r="F33" s="104" t="e">
        <f ca="1">IF(AND('Leaching Mechanism'!G29="Surface Wash-Off",OR('Leaching Mechanism'!B29="Diffusion", 'Leaching Mechanism'!C29="Diffusion",'Leaching Mechanism'!D29="Diffusion", 'Leaching Mechanism'!E29="Diffusion", 'Leaching Mechanism'!F29="Diffusion")),Normalisation!F30+Normalisation!G30-(C33*SQRT(1/64)),"")</f>
        <v>#DIV/0!</v>
      </c>
      <c r="G33" s="105" t="e">
        <f t="shared" ca="1" si="0"/>
        <v>#DIV/0!</v>
      </c>
      <c r="H33" s="106" t="str">
        <f>IF(SUM('Analytical Data'!$F30:$M30)&lt;'Analytical Data'!E30*12,SUM(Normalisation!E30:L30)*SQRT(1),"")</f>
        <v/>
      </c>
      <c r="I33" s="107" t="e">
        <f ca="1">IF(AND(LOD!J29&gt;1.5,'rc'!I29&lt;0.35,LOD!F29&lt;1.5),(('Measured Cummulative'!F30-'Measured Cummulative'!E30)+('Measured Cummulative'!L30-'Measured Cummulative'!G30))*(SQRT(64)-SQRT(1))/(SQRT(64)-SQRT(1)),"")</f>
        <v>#DIV/0!</v>
      </c>
      <c r="J33" s="108" t="e">
        <f ca="1">IF(AND('Leaching Mechanism'!H29:K29="Depletion",LOD!E29&gt;1.5,OR('rc'!E29&lt;0.35,'rc'!F29&lt;0.35,'rc'!G29&lt;0.35,'rc'!H29&lt;0.35)),('Measured Cummulative'!L30*(SQRT(64)-SQRT(1))/(SQRT(64)-SQRT(1))),"")</f>
        <v>#DIV/0!</v>
      </c>
      <c r="K33" s="107" t="e">
        <f ca="1">IF(AND(ISBLANK(G33),OR('rc'!D29&gt;0.65,ISNUMBER(SEARCH("Dissolution",'Leaching Mechanism'!H29)))),2*'Measured Cummulative'!L30*SQRT(64/64),"")</f>
        <v>#NUM!</v>
      </c>
      <c r="L33" s="109" t="e">
        <f ca="1">IF(AND(AVERAGE('rc'!D29:I29)&gt;0.5,SUM(H33:K33)&lt;0.0001),5*'Measured Cummulative'!L30*SQRT(64/64),"")</f>
        <v>#NUM!</v>
      </c>
      <c r="M33" s="22" t="b">
        <f ca="1">ISNUMBER(SEARCH("Dissolution",'Leaching Mechanism'!H29))</f>
        <v>0</v>
      </c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1:23" ht="15" thickBot="1" x14ac:dyDescent="0.25">
      <c r="A34" s="30">
        <f>'Diffusive Flux'!A35</f>
        <v>0</v>
      </c>
      <c r="B34" s="22"/>
      <c r="C34" s="101">
        <f>SQRT(64)*PRODUCT(Uxy!D32,Uxy!E32,Uxy!F32,Uxy!G32,Uxy!H32,Uxy!I32,Uxy!J32,Uxy!K32)^0.125</f>
        <v>0</v>
      </c>
      <c r="D34" s="102">
        <f>SUM(Normalisation!E31:L31)</f>
        <v>0</v>
      </c>
      <c r="E34" s="103" t="e">
        <f ca="1">IF(AND(D34&lt;C34,'rc'!G30&lt;0.35,'rc'!F30&lt;0.35),D34,C34)</f>
        <v>#NUM!</v>
      </c>
      <c r="F34" s="104" t="e">
        <f ca="1">IF(AND('Leaching Mechanism'!G30="Surface Wash-Off",OR('Leaching Mechanism'!B30="Diffusion", 'Leaching Mechanism'!C30="Diffusion",'Leaching Mechanism'!D30="Diffusion", 'Leaching Mechanism'!E30="Diffusion", 'Leaching Mechanism'!F30="Diffusion")),Normalisation!F31+Normalisation!G31-(C34*SQRT(1/64)),"")</f>
        <v>#DIV/0!</v>
      </c>
      <c r="G34" s="105" t="e">
        <f t="shared" ca="1" si="0"/>
        <v>#DIV/0!</v>
      </c>
      <c r="H34" s="106" t="str">
        <f>IF(SUM('Analytical Data'!$F31:$M31)&lt;'Analytical Data'!E31*12,SUM(Normalisation!E31:L31)*SQRT(1),"")</f>
        <v/>
      </c>
      <c r="I34" s="107" t="e">
        <f ca="1">IF(AND(LOD!J30&gt;1.5,'rc'!I30&lt;0.35,LOD!F30&lt;1.5),(('Measured Cummulative'!F31-'Measured Cummulative'!E31)+('Measured Cummulative'!L31-'Measured Cummulative'!G31))*(SQRT(64)-SQRT(1))/(SQRT(64)-SQRT(1)),"")</f>
        <v>#DIV/0!</v>
      </c>
      <c r="J34" s="108" t="e">
        <f ca="1">IF(AND('Leaching Mechanism'!H30:K30="Depletion",LOD!E30&gt;1.5,OR('rc'!E30&lt;0.35,'rc'!F30&lt;0.35,'rc'!G30&lt;0.35,'rc'!H30&lt;0.35)),('Measured Cummulative'!L31*(SQRT(64)-SQRT(1))/(SQRT(64)-SQRT(1))),"")</f>
        <v>#DIV/0!</v>
      </c>
      <c r="K34" s="107" t="e">
        <f ca="1">IF(AND(ISBLANK(G34),OR('rc'!D30&gt;0.65,ISNUMBER(SEARCH("Dissolution",'Leaching Mechanism'!H30)))),2*'Measured Cummulative'!L31*SQRT(64/64),"")</f>
        <v>#NUM!</v>
      </c>
      <c r="L34" s="109" t="e">
        <f ca="1">IF(AND(AVERAGE('rc'!D30:I30)&gt;0.5,SUM(H34:K34)&lt;0.0001),5*'Measured Cummulative'!L31*SQRT(64/64),"")</f>
        <v>#NUM!</v>
      </c>
      <c r="M34" s="22" t="b">
        <f ca="1">ISNUMBER(SEARCH("Dissolution",'Leaching Mechanism'!H30))</f>
        <v>0</v>
      </c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1:23" ht="15" thickBot="1" x14ac:dyDescent="0.25">
      <c r="A35" s="30">
        <f>'Diffusive Flux'!A36</f>
        <v>0</v>
      </c>
      <c r="C35" s="101">
        <f>SQRT(64)*PRODUCT(Uxy!D33,Uxy!E33,Uxy!F33,Uxy!G33,Uxy!H33,Uxy!I33,Uxy!J33,Uxy!K33)^0.125</f>
        <v>0</v>
      </c>
      <c r="D35" s="102">
        <f>SUM(Normalisation!E32:L32)</f>
        <v>0</v>
      </c>
      <c r="E35" s="103" t="e">
        <f ca="1">IF(AND(D35&lt;C35,'rc'!G31&lt;0.35,'rc'!F31&lt;0.35),D35,C35)</f>
        <v>#NUM!</v>
      </c>
      <c r="F35" s="104" t="e">
        <f ca="1">IF(AND('Leaching Mechanism'!G31="Surface Wash-Off",OR('Leaching Mechanism'!B31="Diffusion", 'Leaching Mechanism'!C31="Diffusion",'Leaching Mechanism'!D31="Diffusion", 'Leaching Mechanism'!E31="Diffusion", 'Leaching Mechanism'!F31="Diffusion")),Normalisation!F32+Normalisation!G32-(C35*SQRT(1/64)),"")</f>
        <v>#DIV/0!</v>
      </c>
      <c r="G35" s="105" t="e">
        <f t="shared" ca="1" si="0"/>
        <v>#DIV/0!</v>
      </c>
      <c r="H35" s="106" t="str">
        <f>IF(SUM('Analytical Data'!$F32:$M32)&lt;'Analytical Data'!E32*12,SUM(Normalisation!E32:L32)*SQRT(1),"")</f>
        <v/>
      </c>
      <c r="I35" s="107" t="e">
        <f ca="1">IF(AND(LOD!J31&gt;1.5,'rc'!I31&lt;0.35,LOD!F31&lt;1.5),(('Measured Cummulative'!F32-'Measured Cummulative'!E32)+('Measured Cummulative'!L32-'Measured Cummulative'!G32))*(SQRT(64)-SQRT(1))/(SQRT(64)-SQRT(1)),"")</f>
        <v>#DIV/0!</v>
      </c>
      <c r="J35" s="108" t="e">
        <f ca="1">IF(AND('Leaching Mechanism'!H31:K31="Depletion",LOD!E31&gt;1.5,OR('rc'!E31&lt;0.35,'rc'!F31&lt;0.35,'rc'!G31&lt;0.35,'rc'!H31&lt;0.35)),('Measured Cummulative'!L32*(SQRT(64)-SQRT(1))/(SQRT(64)-SQRT(1))),"")</f>
        <v>#DIV/0!</v>
      </c>
      <c r="K35" s="107" t="e">
        <f ca="1">IF(AND(ISBLANK(G35),OR('rc'!D31&gt;0.65,ISNUMBER(SEARCH("Dissolution",'Leaching Mechanism'!H31)))),2*'Measured Cummulative'!L32*SQRT(64/64),"")</f>
        <v>#NUM!</v>
      </c>
      <c r="L35" s="109" t="e">
        <f ca="1">IF(AND(AVERAGE('rc'!D31:I31)&gt;0.5,SUM(H35:K35)&lt;0.0001),5*'Measured Cummulative'!L32*SQRT(64/64),"")</f>
        <v>#NUM!</v>
      </c>
      <c r="M35" s="22" t="b">
        <f ca="1">ISNUMBER(SEARCH("Dissolution",'Leaching Mechanism'!H31))</f>
        <v>0</v>
      </c>
    </row>
    <row r="36" spans="1:23" ht="15" thickBot="1" x14ac:dyDescent="0.25">
      <c r="A36" s="30">
        <f>'Diffusive Flux'!A37</f>
        <v>0</v>
      </c>
      <c r="C36" s="101">
        <f>SQRT(64)*PRODUCT(Uxy!D34,Uxy!E34,Uxy!F34,Uxy!G34,Uxy!H34,Uxy!I34,Uxy!J34,Uxy!K34)^0.125</f>
        <v>0</v>
      </c>
      <c r="D36" s="102">
        <f>SUM(Normalisation!E33:L33)</f>
        <v>0</v>
      </c>
      <c r="E36" s="103" t="e">
        <f ca="1">IF(AND(D36&lt;C36,'rc'!G32&lt;0.35,'rc'!F32&lt;0.35),D36,C36)</f>
        <v>#NUM!</v>
      </c>
      <c r="F36" s="104" t="e">
        <f ca="1">IF(AND('Leaching Mechanism'!G32="Surface Wash-Off",OR('Leaching Mechanism'!B32="Diffusion", 'Leaching Mechanism'!C32="Diffusion",'Leaching Mechanism'!D32="Diffusion", 'Leaching Mechanism'!E32="Diffusion", 'Leaching Mechanism'!F32="Diffusion")),Normalisation!F33+Normalisation!G33-(C36*SQRT(1/64)),"")</f>
        <v>#DIV/0!</v>
      </c>
      <c r="G36" s="105" t="e">
        <f t="shared" ca="1" si="0"/>
        <v>#DIV/0!</v>
      </c>
      <c r="H36" s="106" t="str">
        <f>IF(SUM('Analytical Data'!$F33:$M33)&lt;'Analytical Data'!E33*12,SUM(Normalisation!E33:L33)*SQRT(1),"")</f>
        <v/>
      </c>
      <c r="I36" s="107" t="e">
        <f ca="1">IF(AND(LOD!J32&gt;1.5,'rc'!I32&lt;0.35,LOD!F32&lt;1.5),(('Measured Cummulative'!F33-'Measured Cummulative'!E33)+('Measured Cummulative'!L33-'Measured Cummulative'!G33))*(SQRT(64)-SQRT(1))/(SQRT(64)-SQRT(1)),"")</f>
        <v>#DIV/0!</v>
      </c>
      <c r="J36" s="108" t="e">
        <f ca="1">IF(AND('Leaching Mechanism'!H32:K32="Depletion",LOD!E32&gt;1.5,OR('rc'!E32&lt;0.35,'rc'!F32&lt;0.35,'rc'!G32&lt;0.35,'rc'!H32&lt;0.35)),('Measured Cummulative'!L33*(SQRT(64)-SQRT(1))/(SQRT(64)-SQRT(1))),"")</f>
        <v>#DIV/0!</v>
      </c>
      <c r="K36" s="107" t="e">
        <f ca="1">IF(AND(ISBLANK(G36),OR('rc'!D32&gt;0.65,ISNUMBER(SEARCH("Dissolution",'Leaching Mechanism'!H32)))),2*'Measured Cummulative'!L33*SQRT(64/64),"")</f>
        <v>#NUM!</v>
      </c>
      <c r="L36" s="109" t="e">
        <f ca="1">IF(AND(AVERAGE('rc'!D32:I32)&gt;0.5,SUM(H36:K36)&lt;0.0001),5*'Measured Cummulative'!L33*SQRT(64/64),"")</f>
        <v>#NUM!</v>
      </c>
      <c r="M36" s="22" t="b">
        <f ca="1">ISNUMBER(SEARCH("Dissolution",'Leaching Mechanism'!H32))</f>
        <v>0</v>
      </c>
    </row>
    <row r="37" spans="1:23" ht="15" thickBot="1" x14ac:dyDescent="0.25">
      <c r="A37" s="30">
        <f>'Diffusive Flux'!A38</f>
        <v>0</v>
      </c>
      <c r="C37" s="101">
        <f>SQRT(64)*PRODUCT(Uxy!D35,Uxy!E35,Uxy!F35,Uxy!G35,Uxy!H35,Uxy!I35,Uxy!J35,Uxy!K35)^0.125</f>
        <v>0</v>
      </c>
      <c r="D37" s="102">
        <f>SUM(Normalisation!E34:L34)</f>
        <v>0</v>
      </c>
      <c r="E37" s="103" t="e">
        <f ca="1">IF(AND(D37&lt;C37,'rc'!G33&lt;0.35,'rc'!F33&lt;0.35),D37,C37)</f>
        <v>#NUM!</v>
      </c>
      <c r="F37" s="104" t="e">
        <f ca="1">IF(AND('Leaching Mechanism'!G33="Surface Wash-Off",OR('Leaching Mechanism'!B33="Diffusion", 'Leaching Mechanism'!C33="Diffusion",'Leaching Mechanism'!D33="Diffusion", 'Leaching Mechanism'!E33="Diffusion", 'Leaching Mechanism'!F33="Diffusion")),Normalisation!F34+Normalisation!G34-(C37*SQRT(1/64)),"")</f>
        <v>#DIV/0!</v>
      </c>
      <c r="G37" s="105" t="e">
        <f t="shared" ca="1" si="0"/>
        <v>#DIV/0!</v>
      </c>
      <c r="H37" s="106" t="str">
        <f>IF(SUM('Analytical Data'!$F34:$M34)&lt;'Analytical Data'!E34*12,SUM(Normalisation!E34:L34)*SQRT(1),"")</f>
        <v/>
      </c>
      <c r="I37" s="107" t="e">
        <f ca="1">IF(AND(LOD!J33&gt;1.5,'rc'!I33&lt;0.35,LOD!F33&lt;1.5),(('Measured Cummulative'!F34-'Measured Cummulative'!E34)+('Measured Cummulative'!L34-'Measured Cummulative'!G34))*(SQRT(64)-SQRT(1))/(SQRT(64)-SQRT(1)),"")</f>
        <v>#DIV/0!</v>
      </c>
      <c r="J37" s="108" t="e">
        <f ca="1">IF(AND('Leaching Mechanism'!H33:K33="Depletion",LOD!E33&gt;1.5,OR('rc'!E33&lt;0.35,'rc'!F33&lt;0.35,'rc'!G33&lt;0.35,'rc'!H33&lt;0.35)),('Measured Cummulative'!L34*(SQRT(64)-SQRT(1))/(SQRT(64)-SQRT(1))),"")</f>
        <v>#DIV/0!</v>
      </c>
      <c r="K37" s="107" t="e">
        <f ca="1">IF(AND(ISBLANK(G37),OR('rc'!D33&gt;0.65,ISNUMBER(SEARCH("Dissolution",'Leaching Mechanism'!H33)))),2*'Measured Cummulative'!L34*SQRT(64/64),"")</f>
        <v>#NUM!</v>
      </c>
      <c r="L37" s="109" t="e">
        <f ca="1">IF(AND(AVERAGE('rc'!D33:I33)&gt;0.5,SUM(H37:K37)&lt;0.0001),5*'Measured Cummulative'!L34*SQRT(64/64),"")</f>
        <v>#NUM!</v>
      </c>
      <c r="M37" s="22" t="b">
        <f ca="1">ISNUMBER(SEARCH("Dissolution",'Leaching Mechanism'!H33))</f>
        <v>0</v>
      </c>
    </row>
    <row r="38" spans="1:23" ht="15" thickBot="1" x14ac:dyDescent="0.25">
      <c r="A38" s="30">
        <f>'Diffusive Flux'!A39</f>
        <v>0</v>
      </c>
      <c r="C38" s="101">
        <f>SQRT(64)*PRODUCT(Uxy!D36,Uxy!E36,Uxy!F36,Uxy!G36,Uxy!H36,Uxy!I36,Uxy!J36,Uxy!K36)^0.125</f>
        <v>0</v>
      </c>
      <c r="D38" s="102">
        <f>SUM(Normalisation!E35:L35)</f>
        <v>0</v>
      </c>
      <c r="E38" s="103" t="e">
        <f ca="1">IF(AND(D38&lt;C38,'rc'!G34&lt;0.35,'rc'!F34&lt;0.35),D38,C38)</f>
        <v>#NUM!</v>
      </c>
      <c r="F38" s="104" t="e">
        <f ca="1">IF(AND('Leaching Mechanism'!G34="Surface Wash-Off",OR('Leaching Mechanism'!B34="Diffusion", 'Leaching Mechanism'!C34="Diffusion",'Leaching Mechanism'!D34="Diffusion", 'Leaching Mechanism'!E34="Diffusion", 'Leaching Mechanism'!F34="Diffusion")),Normalisation!F35+Normalisation!G35-(C38*SQRT(1/64)),"")</f>
        <v>#DIV/0!</v>
      </c>
      <c r="G38" s="105" t="e">
        <f t="shared" ca="1" si="0"/>
        <v>#DIV/0!</v>
      </c>
      <c r="H38" s="106" t="str">
        <f>IF(SUM('Analytical Data'!$F35:$M35)&lt;'Analytical Data'!E35*12,SUM(Normalisation!E35:L35)*SQRT(1),"")</f>
        <v/>
      </c>
      <c r="I38" s="107" t="e">
        <f ca="1">IF(AND(LOD!J34&gt;1.5,'rc'!I34&lt;0.35,LOD!F34&lt;1.5),(('Measured Cummulative'!F35-'Measured Cummulative'!E35)+('Measured Cummulative'!L35-'Measured Cummulative'!G35))*(SQRT(64)-SQRT(1))/(SQRT(64)-SQRT(1)),"")</f>
        <v>#DIV/0!</v>
      </c>
      <c r="J38" s="108" t="e">
        <f ca="1">IF(AND('Leaching Mechanism'!H34:K34="Depletion",LOD!E34&gt;1.5,OR('rc'!E34&lt;0.35,'rc'!F34&lt;0.35,'rc'!G34&lt;0.35,'rc'!H34&lt;0.35)),('Measured Cummulative'!L35*(SQRT(64)-SQRT(1))/(SQRT(64)-SQRT(1))),"")</f>
        <v>#DIV/0!</v>
      </c>
      <c r="K38" s="107" t="e">
        <f ca="1">IF(AND(ISBLANK(G38),OR('rc'!D34&gt;0.65,ISNUMBER(SEARCH("Dissolution",'Leaching Mechanism'!H34)))),2*'Measured Cummulative'!L35*SQRT(64/64),"")</f>
        <v>#NUM!</v>
      </c>
      <c r="L38" s="109" t="e">
        <f ca="1">IF(AND(AVERAGE('rc'!D34:I34)&gt;0.5,SUM(H38:K38)&lt;0.0001),5*'Measured Cummulative'!L35*SQRT(64/64),"")</f>
        <v>#NUM!</v>
      </c>
      <c r="M38" s="22" t="b">
        <f ca="1">ISNUMBER(SEARCH("Dissolution",'Leaching Mechanism'!H34))</f>
        <v>0</v>
      </c>
    </row>
    <row r="39" spans="1:23" ht="15" thickBot="1" x14ac:dyDescent="0.25">
      <c r="A39" s="30">
        <f>'Diffusive Flux'!A40</f>
        <v>0</v>
      </c>
      <c r="C39" s="101">
        <f>SQRT(64)*PRODUCT(Uxy!D37,Uxy!E37,Uxy!F37,Uxy!G37,Uxy!H37,Uxy!I37,Uxy!J37,Uxy!K37)^0.125</f>
        <v>0</v>
      </c>
      <c r="D39" s="102">
        <f>SUM(Normalisation!E36:L36)</f>
        <v>0</v>
      </c>
      <c r="E39" s="103" t="e">
        <f ca="1">IF(AND(D39&lt;C39,'rc'!G35&lt;0.35,'rc'!F35&lt;0.35),D39,C39)</f>
        <v>#NUM!</v>
      </c>
      <c r="F39" s="104" t="e">
        <f ca="1">IF(AND('Leaching Mechanism'!G35="Surface Wash-Off",OR('Leaching Mechanism'!B35="Diffusion", 'Leaching Mechanism'!C35="Diffusion",'Leaching Mechanism'!D35="Diffusion", 'Leaching Mechanism'!E35="Diffusion", 'Leaching Mechanism'!F35="Diffusion")),Normalisation!F36+Normalisation!G36-(C39*SQRT(1/64)),"")</f>
        <v>#DIV/0!</v>
      </c>
      <c r="G39" s="105" t="e">
        <f t="shared" ca="1" si="0"/>
        <v>#DIV/0!</v>
      </c>
      <c r="H39" s="106" t="str">
        <f>IF(SUM('Analytical Data'!$F36:$M36)&lt;'Analytical Data'!E36*12,SUM(Normalisation!E36:L36)*SQRT(1),"")</f>
        <v/>
      </c>
      <c r="I39" s="107" t="e">
        <f ca="1">IF(AND(LOD!J35&gt;1.5,'rc'!I35&lt;0.35,LOD!F35&lt;1.5),(('Measured Cummulative'!F36-'Measured Cummulative'!E36)+('Measured Cummulative'!L36-'Measured Cummulative'!G36))*(SQRT(64)-SQRT(1))/(SQRT(64)-SQRT(1)),"")</f>
        <v>#DIV/0!</v>
      </c>
      <c r="J39" s="108" t="e">
        <f ca="1">IF(AND('Leaching Mechanism'!H35:K35="Depletion",LOD!E35&gt;1.5,OR('rc'!E35&lt;0.35,'rc'!F35&lt;0.35,'rc'!G35&lt;0.35,'rc'!H35&lt;0.35)),('Measured Cummulative'!L36*(SQRT(64)-SQRT(1))/(SQRT(64)-SQRT(1))),"")</f>
        <v>#DIV/0!</v>
      </c>
      <c r="K39" s="107" t="e">
        <f ca="1">IF(AND(ISBLANK(G39),OR('rc'!D35&gt;0.65,ISNUMBER(SEARCH("Dissolution",'Leaching Mechanism'!H35)))),2*'Measured Cummulative'!L36*SQRT(64/64),"")</f>
        <v>#NUM!</v>
      </c>
      <c r="L39" s="109" t="e">
        <f ca="1">IF(AND(AVERAGE('rc'!D35:I35)&gt;0.5,SUM(H39:K39)&lt;0.0001),5*'Measured Cummulative'!L36*SQRT(64/64),"")</f>
        <v>#NUM!</v>
      </c>
      <c r="M39" s="22" t="b">
        <f ca="1">ISNUMBER(SEARCH("Dissolution",'Leaching Mechanism'!H35))</f>
        <v>0</v>
      </c>
    </row>
    <row r="40" spans="1:23" ht="15" thickBot="1" x14ac:dyDescent="0.25">
      <c r="A40" s="30">
        <f>'Diffusive Flux'!A41</f>
        <v>0</v>
      </c>
      <c r="C40" s="101">
        <f>SQRT(64)*PRODUCT(Uxy!D38,Uxy!E38,Uxy!F38,Uxy!G38,Uxy!H38,Uxy!I38,Uxy!J38,Uxy!K38)^0.125</f>
        <v>0</v>
      </c>
      <c r="D40" s="102">
        <f>SUM(Normalisation!E37:L37)</f>
        <v>0</v>
      </c>
      <c r="E40" s="103" t="e">
        <f ca="1">IF(AND(D40&lt;C40,'rc'!G36&lt;0.35,'rc'!F36&lt;0.35),D40,C40)</f>
        <v>#NUM!</v>
      </c>
      <c r="F40" s="104" t="e">
        <f ca="1">IF(AND('Leaching Mechanism'!G36="Surface Wash-Off",OR('Leaching Mechanism'!B36="Diffusion", 'Leaching Mechanism'!C36="Diffusion",'Leaching Mechanism'!D36="Diffusion", 'Leaching Mechanism'!E36="Diffusion", 'Leaching Mechanism'!F36="Diffusion")),Normalisation!F37+Normalisation!G37-(C40*SQRT(1/64)),"")</f>
        <v>#DIV/0!</v>
      </c>
      <c r="G40" s="105" t="e">
        <f t="shared" ref="G40:G69" ca="1" si="5">IF(AND(ISNUMBER(F40),F40&gt;0),E40+F40,E40)</f>
        <v>#DIV/0!</v>
      </c>
      <c r="H40" s="106" t="str">
        <f>IF(SUM('Analytical Data'!$F37:$M37)&lt;'Analytical Data'!E37*12,SUM(Normalisation!E37:L37)*SQRT(1),"")</f>
        <v/>
      </c>
      <c r="I40" s="107" t="e">
        <f ca="1">IF(AND(LOD!J36&gt;1.5,'rc'!I36&lt;0.35,LOD!F36&lt;1.5),(('Measured Cummulative'!F37-'Measured Cummulative'!E37)+('Measured Cummulative'!L37-'Measured Cummulative'!G37))*(SQRT(64)-SQRT(1))/(SQRT(64)-SQRT(1)),"")</f>
        <v>#DIV/0!</v>
      </c>
      <c r="J40" s="108" t="e">
        <f ca="1">IF(AND('Leaching Mechanism'!H36:K36="Depletion",LOD!E36&gt;1.5,OR('rc'!E36&lt;0.35,'rc'!F36&lt;0.35,'rc'!G36&lt;0.35,'rc'!H36&lt;0.35)),('Measured Cummulative'!L37*(SQRT(64)-SQRT(1))/(SQRT(64)-SQRT(1))),"")</f>
        <v>#DIV/0!</v>
      </c>
      <c r="K40" s="107" t="e">
        <f ca="1">IF(AND(ISBLANK(G40),OR('rc'!D36&gt;0.65,ISNUMBER(SEARCH("Dissolution",'Leaching Mechanism'!H36)))),2*'Measured Cummulative'!L37*SQRT(64/64),"")</f>
        <v>#NUM!</v>
      </c>
      <c r="L40" s="109" t="e">
        <f ca="1">IF(AND(AVERAGE('rc'!D36:I36)&gt;0.5,SUM(H40:K40)&lt;0.0001),5*'Measured Cummulative'!L37*SQRT(64/64),"")</f>
        <v>#NUM!</v>
      </c>
      <c r="M40" s="22" t="b">
        <f ca="1">ISNUMBER(SEARCH("Dissolution",'Leaching Mechanism'!H36))</f>
        <v>0</v>
      </c>
    </row>
    <row r="41" spans="1:23" ht="15" thickBot="1" x14ac:dyDescent="0.25">
      <c r="A41" s="30">
        <f>'Diffusive Flux'!A42</f>
        <v>0</v>
      </c>
      <c r="C41" s="101">
        <f>SQRT(64)*PRODUCT(Uxy!D39,Uxy!E39,Uxy!F39,Uxy!G39,Uxy!H39,Uxy!I39,Uxy!J39,Uxy!K39)^0.125</f>
        <v>0</v>
      </c>
      <c r="D41" s="102">
        <f>SUM(Normalisation!E38:L38)</f>
        <v>0</v>
      </c>
      <c r="E41" s="103" t="e">
        <f ca="1">IF(AND(D41&lt;C41,'rc'!G37&lt;0.35,'rc'!F37&lt;0.35),D41,C41)</f>
        <v>#NUM!</v>
      </c>
      <c r="F41" s="104" t="e">
        <f ca="1">IF(AND('Leaching Mechanism'!G37="Surface Wash-Off",OR('Leaching Mechanism'!B37="Diffusion", 'Leaching Mechanism'!C37="Diffusion",'Leaching Mechanism'!D37="Diffusion", 'Leaching Mechanism'!E37="Diffusion", 'Leaching Mechanism'!F37="Diffusion")),Normalisation!F38+Normalisation!G38-(C41*SQRT(1/64)),"")</f>
        <v>#DIV/0!</v>
      </c>
      <c r="G41" s="105" t="e">
        <f t="shared" ca="1" si="5"/>
        <v>#DIV/0!</v>
      </c>
      <c r="H41" s="106" t="str">
        <f>IF(SUM('Analytical Data'!$F38:$M38)&lt;'Analytical Data'!E38*12,SUM(Normalisation!E38:L38)*SQRT(1),"")</f>
        <v/>
      </c>
      <c r="I41" s="107" t="e">
        <f ca="1">IF(AND(LOD!J37&gt;1.5,'rc'!I37&lt;0.35,LOD!F37&lt;1.5),(('Measured Cummulative'!F38-'Measured Cummulative'!E38)+('Measured Cummulative'!L38-'Measured Cummulative'!G38))*(SQRT(64)-SQRT(1))/(SQRT(64)-SQRT(1)),"")</f>
        <v>#DIV/0!</v>
      </c>
      <c r="J41" s="108" t="e">
        <f ca="1">IF(AND('Leaching Mechanism'!H37:K37="Depletion",LOD!E37&gt;1.5,OR('rc'!E37&lt;0.35,'rc'!F37&lt;0.35,'rc'!G37&lt;0.35,'rc'!H37&lt;0.35)),('Measured Cummulative'!L38*(SQRT(64)-SQRT(1))/(SQRT(64)-SQRT(1))),"")</f>
        <v>#DIV/0!</v>
      </c>
      <c r="K41" s="107" t="e">
        <f ca="1">IF(AND(ISBLANK(G41),OR('rc'!D37&gt;0.65,ISNUMBER(SEARCH("Dissolution",'Leaching Mechanism'!H37)))),2*'Measured Cummulative'!L38*SQRT(64/64),"")</f>
        <v>#NUM!</v>
      </c>
      <c r="L41" s="109" t="e">
        <f ca="1">IF(AND(AVERAGE('rc'!D37:I37)&gt;0.5,SUM(H41:K41)&lt;0.0001),5*'Measured Cummulative'!L38*SQRT(64/64),"")</f>
        <v>#NUM!</v>
      </c>
      <c r="M41" s="22" t="b">
        <f ca="1">ISNUMBER(SEARCH("Dissolution",'Leaching Mechanism'!H37))</f>
        <v>0</v>
      </c>
    </row>
    <row r="42" spans="1:23" ht="15" thickBot="1" x14ac:dyDescent="0.25">
      <c r="A42" s="30">
        <f>'Diffusive Flux'!A43</f>
        <v>0</v>
      </c>
      <c r="C42" s="101">
        <f>SQRT(64)*PRODUCT(Uxy!D40,Uxy!E40,Uxy!F40,Uxy!G40,Uxy!H40,Uxy!I40,Uxy!J40,Uxy!K40)^0.125</f>
        <v>0</v>
      </c>
      <c r="D42" s="102">
        <f>SUM(Normalisation!E39:L39)</f>
        <v>0</v>
      </c>
      <c r="E42" s="103" t="e">
        <f ca="1">IF(AND(D42&lt;C42,'rc'!G38&lt;0.35,'rc'!F38&lt;0.35),D42,C42)</f>
        <v>#NUM!</v>
      </c>
      <c r="F42" s="104" t="e">
        <f ca="1">IF(AND('Leaching Mechanism'!G38="Surface Wash-Off",OR('Leaching Mechanism'!B38="Diffusion", 'Leaching Mechanism'!C38="Diffusion",'Leaching Mechanism'!D38="Diffusion", 'Leaching Mechanism'!E38="Diffusion", 'Leaching Mechanism'!F38="Diffusion")),Normalisation!F39+Normalisation!G39-(C42*SQRT(1/64)),"")</f>
        <v>#DIV/0!</v>
      </c>
      <c r="G42" s="105" t="e">
        <f t="shared" ca="1" si="5"/>
        <v>#DIV/0!</v>
      </c>
      <c r="H42" s="106" t="str">
        <f>IF(SUM('Analytical Data'!$F39:$M39)&lt;'Analytical Data'!E39*12,SUM(Normalisation!E39:L39)*SQRT(1),"")</f>
        <v/>
      </c>
      <c r="I42" s="107" t="e">
        <f ca="1">IF(AND(LOD!J38&gt;1.5,'rc'!I38&lt;0.35,LOD!F38&lt;1.5),(('Measured Cummulative'!F39-'Measured Cummulative'!E39)+('Measured Cummulative'!L39-'Measured Cummulative'!G39))*(SQRT(64)-SQRT(1))/(SQRT(64)-SQRT(1)),"")</f>
        <v>#DIV/0!</v>
      </c>
      <c r="J42" s="108" t="e">
        <f ca="1">IF(AND('Leaching Mechanism'!H38:K38="Depletion",LOD!E38&gt;1.5,OR('rc'!E38&lt;0.35,'rc'!F38&lt;0.35,'rc'!G38&lt;0.35,'rc'!H38&lt;0.35)),('Measured Cummulative'!L39*(SQRT(64)-SQRT(1))/(SQRT(64)-SQRT(1))),"")</f>
        <v>#DIV/0!</v>
      </c>
      <c r="K42" s="107" t="e">
        <f ca="1">IF(AND(ISBLANK(G42),OR('rc'!D38&gt;0.65,ISNUMBER(SEARCH("Dissolution",'Leaching Mechanism'!H38)))),2*'Measured Cummulative'!L39*SQRT(64/64),"")</f>
        <v>#NUM!</v>
      </c>
      <c r="L42" s="109" t="e">
        <f ca="1">IF(AND(AVERAGE('rc'!D38:I38)&gt;0.5,SUM(H42:K42)&lt;0.0001),5*'Measured Cummulative'!L39*SQRT(64/64),"")</f>
        <v>#NUM!</v>
      </c>
      <c r="M42" s="22" t="b">
        <f ca="1">ISNUMBER(SEARCH("Dissolution",'Leaching Mechanism'!H38))</f>
        <v>0</v>
      </c>
    </row>
    <row r="43" spans="1:23" ht="15" thickBot="1" x14ac:dyDescent="0.25">
      <c r="A43" s="30">
        <f>'Diffusive Flux'!A44</f>
        <v>0</v>
      </c>
      <c r="C43" s="101">
        <f>SQRT(64)*PRODUCT(Uxy!D41,Uxy!E41,Uxy!F41,Uxy!G41,Uxy!H41,Uxy!I41,Uxy!J41,Uxy!K41)^0.125</f>
        <v>0</v>
      </c>
      <c r="D43" s="102">
        <f>SUM(Normalisation!E40:L40)</f>
        <v>0</v>
      </c>
      <c r="E43" s="103" t="e">
        <f ca="1">IF(AND(D43&lt;C43,'rc'!G39&lt;0.35,'rc'!F39&lt;0.35),D43,C43)</f>
        <v>#NUM!</v>
      </c>
      <c r="F43" s="104" t="e">
        <f ca="1">IF(AND('Leaching Mechanism'!G39="Surface Wash-Off",OR('Leaching Mechanism'!B39="Diffusion", 'Leaching Mechanism'!C39="Diffusion",'Leaching Mechanism'!D39="Diffusion", 'Leaching Mechanism'!E39="Diffusion", 'Leaching Mechanism'!F39="Diffusion")),Normalisation!F40+Normalisation!G40-(C43*SQRT(1/64)),"")</f>
        <v>#DIV/0!</v>
      </c>
      <c r="G43" s="105" t="e">
        <f t="shared" ca="1" si="5"/>
        <v>#DIV/0!</v>
      </c>
      <c r="H43" s="106" t="str">
        <f>IF(SUM('Analytical Data'!$F40:$M40)&lt;'Analytical Data'!E40*12,SUM(Normalisation!E40:L40)*SQRT(1),"")</f>
        <v/>
      </c>
      <c r="I43" s="107" t="e">
        <f ca="1">IF(AND(LOD!J39&gt;1.5,'rc'!I39&lt;0.35,LOD!F39&lt;1.5),(('Measured Cummulative'!F40-'Measured Cummulative'!E40)+('Measured Cummulative'!L40-'Measured Cummulative'!G40))*(SQRT(64)-SQRT(1))/(SQRT(64)-SQRT(1)),"")</f>
        <v>#DIV/0!</v>
      </c>
      <c r="J43" s="108" t="e">
        <f ca="1">IF(AND('Leaching Mechanism'!H39:K39="Depletion",LOD!E39&gt;1.5,OR('rc'!E39&lt;0.35,'rc'!F39&lt;0.35,'rc'!G39&lt;0.35,'rc'!H39&lt;0.35)),('Measured Cummulative'!L40*(SQRT(64)-SQRT(1))/(SQRT(64)-SQRT(1))),"")</f>
        <v>#DIV/0!</v>
      </c>
      <c r="K43" s="107" t="e">
        <f ca="1">IF(AND(ISBLANK(G43),OR('rc'!D39&gt;0.65,ISNUMBER(SEARCH("Dissolution",'Leaching Mechanism'!H39)))),2*'Measured Cummulative'!L40*SQRT(64/64),"")</f>
        <v>#NUM!</v>
      </c>
      <c r="L43" s="109" t="e">
        <f ca="1">IF(AND(AVERAGE('rc'!D39:I39)&gt;0.5,SUM(H43:K43)&lt;0.0001),5*'Measured Cummulative'!L40*SQRT(64/64),"")</f>
        <v>#NUM!</v>
      </c>
      <c r="M43" s="22" t="b">
        <f ca="1">ISNUMBER(SEARCH("Dissolution",'Leaching Mechanism'!H39))</f>
        <v>0</v>
      </c>
    </row>
    <row r="44" spans="1:23" ht="15" thickBot="1" x14ac:dyDescent="0.25">
      <c r="A44" s="30">
        <f>'Diffusive Flux'!A45</f>
        <v>0</v>
      </c>
      <c r="C44" s="101">
        <f>SQRT(64)*PRODUCT(Uxy!D42,Uxy!E42,Uxy!F42,Uxy!G42,Uxy!H42,Uxy!I42,Uxy!J42,Uxy!K42)^0.125</f>
        <v>0</v>
      </c>
      <c r="D44" s="102">
        <f>SUM(Normalisation!E41:L41)</f>
        <v>0</v>
      </c>
      <c r="E44" s="103" t="e">
        <f ca="1">IF(AND(D44&lt;C44,'rc'!G40&lt;0.35,'rc'!F40&lt;0.35),D44,C44)</f>
        <v>#NUM!</v>
      </c>
      <c r="F44" s="104" t="e">
        <f ca="1">IF(AND('Leaching Mechanism'!G40="Surface Wash-Off",OR('Leaching Mechanism'!B40="Diffusion", 'Leaching Mechanism'!C40="Diffusion",'Leaching Mechanism'!D40="Diffusion", 'Leaching Mechanism'!E40="Diffusion", 'Leaching Mechanism'!F40="Diffusion")),Normalisation!F41+Normalisation!G41-(C44*SQRT(1/64)),"")</f>
        <v>#DIV/0!</v>
      </c>
      <c r="G44" s="105" t="e">
        <f t="shared" ca="1" si="5"/>
        <v>#DIV/0!</v>
      </c>
      <c r="H44" s="106" t="str">
        <f>IF(SUM('Analytical Data'!$F41:$M41)&lt;'Analytical Data'!E41*12,SUM(Normalisation!E41:L41)*SQRT(1),"")</f>
        <v/>
      </c>
      <c r="I44" s="107" t="e">
        <f ca="1">IF(AND(LOD!J40&gt;1.5,'rc'!I40&lt;0.35,LOD!F40&lt;1.5),(('Measured Cummulative'!F41-'Measured Cummulative'!E41)+('Measured Cummulative'!L41-'Measured Cummulative'!G41))*(SQRT(64)-SQRT(1))/(SQRT(64)-SQRT(1)),"")</f>
        <v>#DIV/0!</v>
      </c>
      <c r="J44" s="108" t="e">
        <f ca="1">IF(AND('Leaching Mechanism'!H40:K40="Depletion",LOD!E40&gt;1.5,OR('rc'!E40&lt;0.35,'rc'!F40&lt;0.35,'rc'!G40&lt;0.35,'rc'!H40&lt;0.35)),('Measured Cummulative'!L41*(SQRT(64)-SQRT(1))/(SQRT(64)-SQRT(1))),"")</f>
        <v>#DIV/0!</v>
      </c>
      <c r="K44" s="107" t="e">
        <f ca="1">IF(AND(ISBLANK(G44),OR('rc'!D40&gt;0.65,ISNUMBER(SEARCH("Dissolution",'Leaching Mechanism'!H40)))),2*'Measured Cummulative'!L41*SQRT(64/64),"")</f>
        <v>#NUM!</v>
      </c>
      <c r="L44" s="109" t="e">
        <f ca="1">IF(AND(AVERAGE('rc'!D40:I40)&gt;0.5,SUM(H44:K44)&lt;0.0001),5*'Measured Cummulative'!L41*SQRT(64/64),"")</f>
        <v>#NUM!</v>
      </c>
      <c r="M44" s="22" t="b">
        <f ca="1">ISNUMBER(SEARCH("Dissolution",'Leaching Mechanism'!H40))</f>
        <v>0</v>
      </c>
    </row>
    <row r="45" spans="1:23" ht="15" thickBot="1" x14ac:dyDescent="0.25">
      <c r="A45" s="30">
        <f>'Diffusive Flux'!A46</f>
        <v>0</v>
      </c>
      <c r="C45" s="101">
        <f>SQRT(64)*PRODUCT(Uxy!D43,Uxy!E43,Uxy!F43,Uxy!G43,Uxy!H43,Uxy!I43,Uxy!J43,Uxy!K43)^0.125</f>
        <v>0</v>
      </c>
      <c r="D45" s="102">
        <f>SUM(Normalisation!E42:L42)</f>
        <v>0</v>
      </c>
      <c r="E45" s="103" t="e">
        <f ca="1">IF(AND(D45&lt;C45,'rc'!G41&lt;0.35,'rc'!F41&lt;0.35),D45,C45)</f>
        <v>#NUM!</v>
      </c>
      <c r="F45" s="104" t="e">
        <f ca="1">IF(AND('Leaching Mechanism'!G41="Surface Wash-Off",OR('Leaching Mechanism'!B41="Diffusion", 'Leaching Mechanism'!C41="Diffusion",'Leaching Mechanism'!D41="Diffusion", 'Leaching Mechanism'!E41="Diffusion", 'Leaching Mechanism'!F41="Diffusion")),Normalisation!F42+Normalisation!G42-(C45*SQRT(1/64)),"")</f>
        <v>#DIV/0!</v>
      </c>
      <c r="G45" s="105" t="e">
        <f t="shared" ca="1" si="5"/>
        <v>#DIV/0!</v>
      </c>
      <c r="H45" s="106" t="str">
        <f>IF(SUM('Analytical Data'!$F42:$M42)&lt;'Analytical Data'!E42*12,SUM(Normalisation!E42:L42)*SQRT(1),"")</f>
        <v/>
      </c>
      <c r="I45" s="107" t="e">
        <f ca="1">IF(AND(LOD!J41&gt;1.5,'rc'!I41&lt;0.35,LOD!F41&lt;1.5),(('Measured Cummulative'!F42-'Measured Cummulative'!E42)+('Measured Cummulative'!L42-'Measured Cummulative'!G42))*(SQRT(64)-SQRT(1))/(SQRT(64)-SQRT(1)),"")</f>
        <v>#DIV/0!</v>
      </c>
      <c r="J45" s="108" t="e">
        <f ca="1">IF(AND('Leaching Mechanism'!H41:K41="Depletion",LOD!E41&gt;1.5,OR('rc'!E41&lt;0.35,'rc'!F41&lt;0.35,'rc'!G41&lt;0.35,'rc'!H41&lt;0.35)),('Measured Cummulative'!L42*(SQRT(64)-SQRT(1))/(SQRT(64)-SQRT(1))),"")</f>
        <v>#DIV/0!</v>
      </c>
      <c r="K45" s="107" t="e">
        <f ca="1">IF(AND(ISBLANK(G45),OR('rc'!D41&gt;0.65,ISNUMBER(SEARCH("Dissolution",'Leaching Mechanism'!H41)))),2*'Measured Cummulative'!L42*SQRT(64/64),"")</f>
        <v>#NUM!</v>
      </c>
      <c r="L45" s="109" t="e">
        <f ca="1">IF(AND(AVERAGE('rc'!D41:I41)&gt;0.5,SUM(H45:K45)&lt;0.0001),5*'Measured Cummulative'!L42*SQRT(64/64),"")</f>
        <v>#NUM!</v>
      </c>
      <c r="M45" s="22" t="b">
        <f ca="1">ISNUMBER(SEARCH("Dissolution",'Leaching Mechanism'!H41))</f>
        <v>0</v>
      </c>
    </row>
    <row r="46" spans="1:23" ht="15" thickBot="1" x14ac:dyDescent="0.25">
      <c r="A46" s="30">
        <f>'Diffusive Flux'!A47</f>
        <v>0</v>
      </c>
      <c r="C46" s="101">
        <f>SQRT(64)*PRODUCT(Uxy!D44,Uxy!E44,Uxy!F44,Uxy!G44,Uxy!H44,Uxy!I44,Uxy!J44,Uxy!K44)^0.125</f>
        <v>0</v>
      </c>
      <c r="D46" s="102">
        <f>SUM(Normalisation!E43:L43)</f>
        <v>0</v>
      </c>
      <c r="E46" s="103" t="e">
        <f ca="1">IF(AND(D46&lt;C46,'rc'!G42&lt;0.35,'rc'!F42&lt;0.35),D46,C46)</f>
        <v>#NUM!</v>
      </c>
      <c r="F46" s="104" t="e">
        <f ca="1">IF(AND('Leaching Mechanism'!G42="Surface Wash-Off",OR('Leaching Mechanism'!B42="Diffusion", 'Leaching Mechanism'!C42="Diffusion",'Leaching Mechanism'!D42="Diffusion", 'Leaching Mechanism'!E42="Diffusion", 'Leaching Mechanism'!F42="Diffusion")),Normalisation!F43+Normalisation!G43-(C46*SQRT(1/64)),"")</f>
        <v>#DIV/0!</v>
      </c>
      <c r="G46" s="105" t="e">
        <f t="shared" ca="1" si="5"/>
        <v>#DIV/0!</v>
      </c>
      <c r="H46" s="106" t="str">
        <f>IF(SUM('Analytical Data'!$F43:$M43)&lt;'Analytical Data'!E43*12,SUM(Normalisation!E43:L43)*SQRT(1),"")</f>
        <v/>
      </c>
      <c r="I46" s="107" t="e">
        <f ca="1">IF(AND(LOD!J42&gt;1.5,'rc'!I42&lt;0.35,LOD!F42&lt;1.5),(('Measured Cummulative'!F43-'Measured Cummulative'!E43)+('Measured Cummulative'!L43-'Measured Cummulative'!G43))*(SQRT(64)-SQRT(1))/(SQRT(64)-SQRT(1)),"")</f>
        <v>#DIV/0!</v>
      </c>
      <c r="J46" s="108" t="e">
        <f ca="1">IF(AND('Leaching Mechanism'!H42:K42="Depletion",LOD!E42&gt;1.5,OR('rc'!E42&lt;0.35,'rc'!F42&lt;0.35,'rc'!G42&lt;0.35,'rc'!H42&lt;0.35)),('Measured Cummulative'!L43*(SQRT(64)-SQRT(1))/(SQRT(64)-SQRT(1))),"")</f>
        <v>#DIV/0!</v>
      </c>
      <c r="K46" s="107" t="e">
        <f ca="1">IF(AND(ISBLANK(G46),OR('rc'!D42&gt;0.65,ISNUMBER(SEARCH("Dissolution",'Leaching Mechanism'!H42)))),2*'Measured Cummulative'!L43*SQRT(64/64),"")</f>
        <v>#NUM!</v>
      </c>
      <c r="L46" s="109" t="e">
        <f ca="1">IF(AND(AVERAGE('rc'!D42:I42)&gt;0.5,SUM(H46:K46)&lt;0.0001),5*'Measured Cummulative'!L43*SQRT(64/64),"")</f>
        <v>#NUM!</v>
      </c>
      <c r="M46" s="22" t="b">
        <f ca="1">ISNUMBER(SEARCH("Dissolution",'Leaching Mechanism'!H42))</f>
        <v>0</v>
      </c>
    </row>
    <row r="47" spans="1:23" ht="15" thickBot="1" x14ac:dyDescent="0.25">
      <c r="A47" s="30">
        <f>'Diffusive Flux'!A48</f>
        <v>0</v>
      </c>
      <c r="C47" s="101">
        <f>SQRT(64)*PRODUCT(Uxy!D45,Uxy!E45,Uxy!F45,Uxy!G45,Uxy!H45,Uxy!I45,Uxy!J45,Uxy!K45)^0.125</f>
        <v>0</v>
      </c>
      <c r="D47" s="102">
        <f>SUM(Normalisation!E44:L44)</f>
        <v>0</v>
      </c>
      <c r="E47" s="103" t="e">
        <f ca="1">IF(AND(D47&lt;C47,'rc'!G43&lt;0.35,'rc'!F43&lt;0.35),D47,C47)</f>
        <v>#NUM!</v>
      </c>
      <c r="F47" s="104" t="e">
        <f ca="1">IF(AND('Leaching Mechanism'!G43="Surface Wash-Off",OR('Leaching Mechanism'!B43="Diffusion", 'Leaching Mechanism'!C43="Diffusion",'Leaching Mechanism'!D43="Diffusion", 'Leaching Mechanism'!E43="Diffusion", 'Leaching Mechanism'!F43="Diffusion")),Normalisation!F44+Normalisation!G44-(C47*SQRT(1/64)),"")</f>
        <v>#DIV/0!</v>
      </c>
      <c r="G47" s="105" t="e">
        <f t="shared" ca="1" si="5"/>
        <v>#DIV/0!</v>
      </c>
      <c r="H47" s="106" t="str">
        <f>IF(SUM('Analytical Data'!$F44:$M44)&lt;'Analytical Data'!E44*12,SUM(Normalisation!E44:L44)*SQRT(1),"")</f>
        <v/>
      </c>
      <c r="I47" s="107" t="e">
        <f ca="1">IF(AND(LOD!J43&gt;1.5,'rc'!I43&lt;0.35,LOD!F43&lt;1.5),(('Measured Cummulative'!F44-'Measured Cummulative'!E44)+('Measured Cummulative'!L44-'Measured Cummulative'!G44))*(SQRT(64)-SQRT(1))/(SQRT(64)-SQRT(1)),"")</f>
        <v>#DIV/0!</v>
      </c>
      <c r="J47" s="108" t="e">
        <f ca="1">IF(AND('Leaching Mechanism'!H43:K43="Depletion",LOD!E43&gt;1.5,OR('rc'!E43&lt;0.35,'rc'!F43&lt;0.35,'rc'!G43&lt;0.35,'rc'!H43&lt;0.35)),('Measured Cummulative'!L44*(SQRT(64)-SQRT(1))/(SQRT(64)-SQRT(1))),"")</f>
        <v>#DIV/0!</v>
      </c>
      <c r="K47" s="107" t="e">
        <f ca="1">IF(AND(ISBLANK(G47),OR('rc'!D43&gt;0.65,ISNUMBER(SEARCH("Dissolution",'Leaching Mechanism'!H43)))),2*'Measured Cummulative'!L44*SQRT(64/64),"")</f>
        <v>#NUM!</v>
      </c>
      <c r="L47" s="109" t="e">
        <f ca="1">IF(AND(AVERAGE('rc'!D43:I43)&gt;0.5,SUM(H47:K47)&lt;0.0001),5*'Measured Cummulative'!L44*SQRT(64/64),"")</f>
        <v>#NUM!</v>
      </c>
      <c r="M47" s="22" t="b">
        <f ca="1">ISNUMBER(SEARCH("Dissolution",'Leaching Mechanism'!H43))</f>
        <v>0</v>
      </c>
    </row>
    <row r="48" spans="1:23" ht="15" thickBot="1" x14ac:dyDescent="0.25">
      <c r="A48" s="30">
        <f>'Diffusive Flux'!A49</f>
        <v>0</v>
      </c>
      <c r="C48" s="101">
        <f>SQRT(64)*PRODUCT(Uxy!D46,Uxy!E46,Uxy!F46,Uxy!G46,Uxy!H46,Uxy!I46,Uxy!J46,Uxy!K46)^0.125</f>
        <v>0</v>
      </c>
      <c r="D48" s="102">
        <f>SUM(Normalisation!E45:L45)</f>
        <v>0</v>
      </c>
      <c r="E48" s="103" t="e">
        <f ca="1">IF(AND(D48&lt;C48,'rc'!G44&lt;0.35,'rc'!F44&lt;0.35),D48,C48)</f>
        <v>#NUM!</v>
      </c>
      <c r="F48" s="104" t="e">
        <f ca="1">IF(AND('Leaching Mechanism'!G44="Surface Wash-Off",OR('Leaching Mechanism'!B44="Diffusion", 'Leaching Mechanism'!C44="Diffusion",'Leaching Mechanism'!D44="Diffusion", 'Leaching Mechanism'!E44="Diffusion", 'Leaching Mechanism'!F44="Diffusion")),Normalisation!F45+Normalisation!G45-(C48*SQRT(1/64)),"")</f>
        <v>#DIV/0!</v>
      </c>
      <c r="G48" s="105" t="e">
        <f t="shared" ca="1" si="5"/>
        <v>#DIV/0!</v>
      </c>
      <c r="H48" s="106" t="str">
        <f>IF(SUM('Analytical Data'!$F45:$M45)&lt;'Analytical Data'!E45*12,SUM(Normalisation!E45:L45)*SQRT(1),"")</f>
        <v/>
      </c>
      <c r="I48" s="107" t="e">
        <f ca="1">IF(AND(LOD!J44&gt;1.5,'rc'!I44&lt;0.35,LOD!F44&lt;1.5),(('Measured Cummulative'!F45-'Measured Cummulative'!E45)+('Measured Cummulative'!L45-'Measured Cummulative'!G45))*(SQRT(64)-SQRT(1))/(SQRT(64)-SQRT(1)),"")</f>
        <v>#DIV/0!</v>
      </c>
      <c r="J48" s="108" t="e">
        <f ca="1">IF(AND('Leaching Mechanism'!H44:K44="Depletion",LOD!E44&gt;1.5,OR('rc'!E44&lt;0.35,'rc'!F44&lt;0.35,'rc'!G44&lt;0.35,'rc'!H44&lt;0.35)),('Measured Cummulative'!L45*(SQRT(64)-SQRT(1))/(SQRT(64)-SQRT(1))),"")</f>
        <v>#DIV/0!</v>
      </c>
      <c r="K48" s="107" t="e">
        <f ca="1">IF(AND(ISBLANK(G48),OR('rc'!D44&gt;0.65,ISNUMBER(SEARCH("Dissolution",'Leaching Mechanism'!H44)))),2*'Measured Cummulative'!L45*SQRT(64/64),"")</f>
        <v>#NUM!</v>
      </c>
      <c r="L48" s="109" t="e">
        <f ca="1">IF(AND(AVERAGE('rc'!D44:I44)&gt;0.5,SUM(H48:K48)&lt;0.0001),5*'Measured Cummulative'!L45*SQRT(64/64),"")</f>
        <v>#NUM!</v>
      </c>
      <c r="M48" s="22" t="b">
        <f ca="1">ISNUMBER(SEARCH("Dissolution",'Leaching Mechanism'!H44))</f>
        <v>0</v>
      </c>
    </row>
    <row r="49" spans="1:13" ht="15" thickBot="1" x14ac:dyDescent="0.25">
      <c r="A49" s="30">
        <f>'Diffusive Flux'!A50</f>
        <v>0</v>
      </c>
      <c r="C49" s="101">
        <f>SQRT(64)*PRODUCT(Uxy!D47,Uxy!E47,Uxy!F47,Uxy!G47,Uxy!H47,Uxy!I47,Uxy!J47,Uxy!K47)^0.125</f>
        <v>0</v>
      </c>
      <c r="D49" s="102">
        <f>SUM(Normalisation!E46:L46)</f>
        <v>0</v>
      </c>
      <c r="E49" s="103" t="e">
        <f ca="1">IF(AND(D49&lt;C49,'rc'!G45&lt;0.35,'rc'!F45&lt;0.35),D49,C49)</f>
        <v>#NUM!</v>
      </c>
      <c r="F49" s="104" t="e">
        <f ca="1">IF(AND('Leaching Mechanism'!G45="Surface Wash-Off",OR('Leaching Mechanism'!B45="Diffusion", 'Leaching Mechanism'!C45="Diffusion",'Leaching Mechanism'!D45="Diffusion", 'Leaching Mechanism'!E45="Diffusion", 'Leaching Mechanism'!F45="Diffusion")),Normalisation!F46+Normalisation!G46-(C49*SQRT(1/64)),"")</f>
        <v>#DIV/0!</v>
      </c>
      <c r="G49" s="105" t="e">
        <f t="shared" ca="1" si="5"/>
        <v>#DIV/0!</v>
      </c>
      <c r="H49" s="106" t="str">
        <f>IF(SUM('Analytical Data'!$F46:$M46)&lt;'Analytical Data'!E46*12,SUM(Normalisation!E46:L46)*SQRT(1),"")</f>
        <v/>
      </c>
      <c r="I49" s="107" t="e">
        <f ca="1">IF(AND(LOD!J45&gt;1.5,'rc'!I45&lt;0.35,LOD!F45&lt;1.5),(('Measured Cummulative'!F46-'Measured Cummulative'!E46)+('Measured Cummulative'!L46-'Measured Cummulative'!G46))*(SQRT(64)-SQRT(1))/(SQRT(64)-SQRT(1)),"")</f>
        <v>#DIV/0!</v>
      </c>
      <c r="J49" s="108" t="e">
        <f ca="1">IF(AND('Leaching Mechanism'!H45:K45="Depletion",LOD!E45&gt;1.5,OR('rc'!E45&lt;0.35,'rc'!F45&lt;0.35,'rc'!G45&lt;0.35,'rc'!H45&lt;0.35)),('Measured Cummulative'!L46*(SQRT(64)-SQRT(1))/(SQRT(64)-SQRT(1))),"")</f>
        <v>#DIV/0!</v>
      </c>
      <c r="K49" s="107" t="e">
        <f ca="1">IF(AND(ISBLANK(G49),OR('rc'!D45&gt;0.65,ISNUMBER(SEARCH("Dissolution",'Leaching Mechanism'!H45)))),2*'Measured Cummulative'!L46*SQRT(64/64),"")</f>
        <v>#NUM!</v>
      </c>
      <c r="L49" s="109" t="e">
        <f ca="1">IF(AND(AVERAGE('rc'!D45:I45)&gt;0.5,SUM(H49:K49)&lt;0.0001),5*'Measured Cummulative'!L46*SQRT(64/64),"")</f>
        <v>#NUM!</v>
      </c>
      <c r="M49" s="22" t="b">
        <f ca="1">ISNUMBER(SEARCH("Dissolution",'Leaching Mechanism'!H45))</f>
        <v>0</v>
      </c>
    </row>
    <row r="50" spans="1:13" ht="15" thickBot="1" x14ac:dyDescent="0.25">
      <c r="A50" s="30">
        <f>'Diffusive Flux'!A51</f>
        <v>0</v>
      </c>
      <c r="C50" s="101">
        <f>SQRT(64)*PRODUCT(Uxy!D48,Uxy!E48,Uxy!F48,Uxy!G48,Uxy!H48,Uxy!I48,Uxy!J48,Uxy!K48)^0.125</f>
        <v>0</v>
      </c>
      <c r="D50" s="102">
        <f>SUM(Normalisation!E47:L47)</f>
        <v>0</v>
      </c>
      <c r="E50" s="103" t="e">
        <f ca="1">IF(AND(D50&lt;C50,'rc'!G46&lt;0.35,'rc'!F46&lt;0.35),D50,C50)</f>
        <v>#NUM!</v>
      </c>
      <c r="F50" s="104" t="e">
        <f ca="1">IF(AND('Leaching Mechanism'!G46="Surface Wash-Off",OR('Leaching Mechanism'!B46="Diffusion", 'Leaching Mechanism'!C46="Diffusion",'Leaching Mechanism'!D46="Diffusion", 'Leaching Mechanism'!E46="Diffusion", 'Leaching Mechanism'!F46="Diffusion")),Normalisation!F47+Normalisation!G47-(C50*SQRT(1/64)),"")</f>
        <v>#DIV/0!</v>
      </c>
      <c r="G50" s="105" t="e">
        <f t="shared" ca="1" si="5"/>
        <v>#DIV/0!</v>
      </c>
      <c r="H50" s="106" t="str">
        <f>IF(SUM('Analytical Data'!$F47:$M47)&lt;'Analytical Data'!E47*12,SUM(Normalisation!E47:L47)*SQRT(1),"")</f>
        <v/>
      </c>
      <c r="I50" s="107" t="e">
        <f ca="1">IF(AND(LOD!J46&gt;1.5,'rc'!I46&lt;0.35,LOD!F46&lt;1.5),(('Measured Cummulative'!F47-'Measured Cummulative'!E47)+('Measured Cummulative'!L47-'Measured Cummulative'!G47))*(SQRT(64)-SQRT(1))/(SQRT(64)-SQRT(1)),"")</f>
        <v>#DIV/0!</v>
      </c>
      <c r="J50" s="108" t="e">
        <f ca="1">IF(AND('Leaching Mechanism'!H46:K46="Depletion",LOD!E46&gt;1.5,OR('rc'!E46&lt;0.35,'rc'!F46&lt;0.35,'rc'!G46&lt;0.35,'rc'!H46&lt;0.35)),('Measured Cummulative'!L47*(SQRT(64)-SQRT(1))/(SQRT(64)-SQRT(1))),"")</f>
        <v>#DIV/0!</v>
      </c>
      <c r="K50" s="107" t="e">
        <f ca="1">IF(AND(ISBLANK(G50),OR('rc'!D46&gt;0.65,ISNUMBER(SEARCH("Dissolution",'Leaching Mechanism'!H46)))),2*'Measured Cummulative'!L47*SQRT(64/64),"")</f>
        <v>#NUM!</v>
      </c>
      <c r="L50" s="109" t="e">
        <f ca="1">IF(AND(AVERAGE('rc'!D46:I46)&gt;0.5,SUM(H50:K50)&lt;0.0001),5*'Measured Cummulative'!L47*SQRT(64/64),"")</f>
        <v>#NUM!</v>
      </c>
      <c r="M50" s="22" t="b">
        <f ca="1">ISNUMBER(SEARCH("Dissolution",'Leaching Mechanism'!H46))</f>
        <v>0</v>
      </c>
    </row>
    <row r="51" spans="1:13" ht="15" thickBot="1" x14ac:dyDescent="0.25">
      <c r="A51" s="30">
        <f>'Diffusive Flux'!A52</f>
        <v>0</v>
      </c>
      <c r="C51" s="101">
        <f>SQRT(64)*PRODUCT(Uxy!D49,Uxy!E49,Uxy!F49,Uxy!G49,Uxy!H49,Uxy!I49,Uxy!J49,Uxy!K49)^0.125</f>
        <v>0</v>
      </c>
      <c r="D51" s="102">
        <f>SUM(Normalisation!E48:L48)</f>
        <v>0</v>
      </c>
      <c r="E51" s="103" t="e">
        <f ca="1">IF(AND(D51&lt;C51,'rc'!G47&lt;0.35,'rc'!F47&lt;0.35),D51,C51)</f>
        <v>#NUM!</v>
      </c>
      <c r="F51" s="104" t="e">
        <f ca="1">IF(AND('Leaching Mechanism'!G47="Surface Wash-Off",OR('Leaching Mechanism'!B47="Diffusion", 'Leaching Mechanism'!C47="Diffusion",'Leaching Mechanism'!D47="Diffusion", 'Leaching Mechanism'!E47="Diffusion", 'Leaching Mechanism'!F47="Diffusion")),Normalisation!F48+Normalisation!G48-(C51*SQRT(1/64)),"")</f>
        <v>#DIV/0!</v>
      </c>
      <c r="G51" s="105" t="e">
        <f t="shared" ca="1" si="5"/>
        <v>#DIV/0!</v>
      </c>
      <c r="H51" s="106" t="str">
        <f>IF(SUM('Analytical Data'!$F48:$M48)&lt;'Analytical Data'!E48*12,SUM(Normalisation!E48:L48)*SQRT(1),"")</f>
        <v/>
      </c>
      <c r="I51" s="107" t="e">
        <f ca="1">IF(AND(LOD!J47&gt;1.5,'rc'!I47&lt;0.35,LOD!F47&lt;1.5),(('Measured Cummulative'!F48-'Measured Cummulative'!E48)+('Measured Cummulative'!L48-'Measured Cummulative'!G48))*(SQRT(64)-SQRT(1))/(SQRT(64)-SQRT(1)),"")</f>
        <v>#DIV/0!</v>
      </c>
      <c r="J51" s="108" t="e">
        <f ca="1">IF(AND('Leaching Mechanism'!H47:K47="Depletion",LOD!E47&gt;1.5,OR('rc'!E47&lt;0.35,'rc'!F47&lt;0.35,'rc'!G47&lt;0.35,'rc'!H47&lt;0.35)),('Measured Cummulative'!L48*(SQRT(64)-SQRT(1))/(SQRT(64)-SQRT(1))),"")</f>
        <v>#DIV/0!</v>
      </c>
      <c r="K51" s="107" t="e">
        <f ca="1">IF(AND(ISBLANK(G51),OR('rc'!D47&gt;0.65,ISNUMBER(SEARCH("Dissolution",'Leaching Mechanism'!H47)))),2*'Measured Cummulative'!L48*SQRT(64/64),"")</f>
        <v>#NUM!</v>
      </c>
      <c r="L51" s="109" t="e">
        <f ca="1">IF(AND(AVERAGE('rc'!D47:I47)&gt;0.5,SUM(H51:K51)&lt;0.0001),5*'Measured Cummulative'!L48*SQRT(64/64),"")</f>
        <v>#NUM!</v>
      </c>
      <c r="M51" s="22" t="b">
        <f ca="1">ISNUMBER(SEARCH("Dissolution",'Leaching Mechanism'!H47))</f>
        <v>0</v>
      </c>
    </row>
    <row r="52" spans="1:13" ht="15" thickBot="1" x14ac:dyDescent="0.25">
      <c r="A52" s="30">
        <f>'Diffusive Flux'!A53</f>
        <v>0</v>
      </c>
      <c r="C52" s="101">
        <f>SQRT(64)*PRODUCT(Uxy!D50,Uxy!E50,Uxy!F50,Uxy!G50,Uxy!H50,Uxy!I50,Uxy!J50,Uxy!K50)^0.125</f>
        <v>0</v>
      </c>
      <c r="D52" s="102">
        <f>SUM(Normalisation!E49:L49)</f>
        <v>0</v>
      </c>
      <c r="E52" s="103" t="e">
        <f ca="1">IF(AND(D52&lt;C52,'rc'!G48&lt;0.35,'rc'!F48&lt;0.35),D52,C52)</f>
        <v>#NUM!</v>
      </c>
      <c r="F52" s="104" t="e">
        <f ca="1">IF(AND('Leaching Mechanism'!G48="Surface Wash-Off",OR('Leaching Mechanism'!B48="Diffusion", 'Leaching Mechanism'!C48="Diffusion",'Leaching Mechanism'!D48="Diffusion", 'Leaching Mechanism'!E48="Diffusion", 'Leaching Mechanism'!F48="Diffusion")),Normalisation!F49+Normalisation!G49-(C52*SQRT(1/64)),"")</f>
        <v>#DIV/0!</v>
      </c>
      <c r="G52" s="105" t="e">
        <f t="shared" ca="1" si="5"/>
        <v>#DIV/0!</v>
      </c>
      <c r="H52" s="106" t="str">
        <f>IF(SUM('Analytical Data'!$F49:$M49)&lt;'Analytical Data'!E49*12,SUM(Normalisation!E49:L49)*SQRT(1),"")</f>
        <v/>
      </c>
      <c r="I52" s="107" t="e">
        <f ca="1">IF(AND(LOD!J48&gt;1.5,'rc'!I48&lt;0.35,LOD!F48&lt;1.5),(('Measured Cummulative'!F49-'Measured Cummulative'!E49)+('Measured Cummulative'!L49-'Measured Cummulative'!G49))*(SQRT(64)-SQRT(1))/(SQRT(64)-SQRT(1)),"")</f>
        <v>#DIV/0!</v>
      </c>
      <c r="J52" s="108" t="e">
        <f ca="1">IF(AND('Leaching Mechanism'!H48:K48="Depletion",LOD!E48&gt;1.5,OR('rc'!E48&lt;0.35,'rc'!F48&lt;0.35,'rc'!G48&lt;0.35,'rc'!H48&lt;0.35)),('Measured Cummulative'!L49*(SQRT(64)-SQRT(1))/(SQRT(64)-SQRT(1))),"")</f>
        <v>#DIV/0!</v>
      </c>
      <c r="K52" s="107" t="e">
        <f ca="1">IF(AND(ISBLANK(G52),OR('rc'!D48&gt;0.65,ISNUMBER(SEARCH("Dissolution",'Leaching Mechanism'!H48)))),2*'Measured Cummulative'!L49*SQRT(64/64),"")</f>
        <v>#NUM!</v>
      </c>
      <c r="L52" s="109" t="e">
        <f ca="1">IF(AND(AVERAGE('rc'!D48:I48)&gt;0.5,SUM(H52:K52)&lt;0.0001),5*'Measured Cummulative'!L49*SQRT(64/64),"")</f>
        <v>#NUM!</v>
      </c>
      <c r="M52" s="22" t="b">
        <f ca="1">ISNUMBER(SEARCH("Dissolution",'Leaching Mechanism'!H48))</f>
        <v>0</v>
      </c>
    </row>
    <row r="53" spans="1:13" ht="15" thickBot="1" x14ac:dyDescent="0.25">
      <c r="A53" s="30">
        <f>'Diffusive Flux'!A54</f>
        <v>0</v>
      </c>
      <c r="C53" s="101">
        <f>SQRT(64)*PRODUCT(Uxy!D51,Uxy!E51,Uxy!F51,Uxy!G51,Uxy!H51,Uxy!I51,Uxy!J51,Uxy!K51)^0.125</f>
        <v>0</v>
      </c>
      <c r="D53" s="102">
        <f>SUM(Normalisation!E50:L50)</f>
        <v>0</v>
      </c>
      <c r="E53" s="103" t="e">
        <f ca="1">IF(AND(D53&lt;C53,'rc'!G49&lt;0.35,'rc'!F49&lt;0.35),D53,C53)</f>
        <v>#NUM!</v>
      </c>
      <c r="F53" s="104" t="e">
        <f ca="1">IF(AND('Leaching Mechanism'!G49="Surface Wash-Off",OR('Leaching Mechanism'!B49="Diffusion", 'Leaching Mechanism'!C49="Diffusion",'Leaching Mechanism'!D49="Diffusion", 'Leaching Mechanism'!E49="Diffusion", 'Leaching Mechanism'!F49="Diffusion")),Normalisation!F50+Normalisation!G50-(C53*SQRT(1/64)),"")</f>
        <v>#DIV/0!</v>
      </c>
      <c r="G53" s="105" t="e">
        <f t="shared" ca="1" si="5"/>
        <v>#DIV/0!</v>
      </c>
      <c r="H53" s="106" t="str">
        <f>IF(SUM('Analytical Data'!$F50:$M50)&lt;'Analytical Data'!E50*12,SUM(Normalisation!E50:L50)*SQRT(1),"")</f>
        <v/>
      </c>
      <c r="I53" s="107" t="e">
        <f ca="1">IF(AND(LOD!J49&gt;1.5,'rc'!I49&lt;0.35,LOD!F49&lt;1.5),(('Measured Cummulative'!F50-'Measured Cummulative'!E50)+('Measured Cummulative'!L50-'Measured Cummulative'!G50))*(SQRT(64)-SQRT(1))/(SQRT(64)-SQRT(1)),"")</f>
        <v>#DIV/0!</v>
      </c>
      <c r="J53" s="108" t="e">
        <f ca="1">IF(AND('Leaching Mechanism'!H49:K49="Depletion",LOD!E49&gt;1.5,OR('rc'!E49&lt;0.35,'rc'!F49&lt;0.35,'rc'!G49&lt;0.35,'rc'!H49&lt;0.35)),('Measured Cummulative'!L50*(SQRT(64)-SQRT(1))/(SQRT(64)-SQRT(1))),"")</f>
        <v>#DIV/0!</v>
      </c>
      <c r="K53" s="107" t="e">
        <f ca="1">IF(AND(ISBLANK(G53),OR('rc'!D49&gt;0.65,ISNUMBER(SEARCH("Dissolution",'Leaching Mechanism'!H49)))),2*'Measured Cummulative'!L50*SQRT(64/64),"")</f>
        <v>#NUM!</v>
      </c>
      <c r="L53" s="109" t="e">
        <f ca="1">IF(AND(AVERAGE('rc'!D49:I49)&gt;0.5,SUM(H53:K53)&lt;0.0001),5*'Measured Cummulative'!L50*SQRT(64/64),"")</f>
        <v>#NUM!</v>
      </c>
      <c r="M53" s="22" t="b">
        <f ca="1">ISNUMBER(SEARCH("Dissolution",'Leaching Mechanism'!H49))</f>
        <v>0</v>
      </c>
    </row>
    <row r="54" spans="1:13" ht="15" thickBot="1" x14ac:dyDescent="0.25">
      <c r="A54" s="30">
        <f>'Diffusive Flux'!A55</f>
        <v>0</v>
      </c>
      <c r="C54" s="101">
        <f>SQRT(64)*PRODUCT(Uxy!D52,Uxy!E52,Uxy!F52,Uxy!G52,Uxy!H52,Uxy!I52,Uxy!J52,Uxy!K52)^0.125</f>
        <v>0</v>
      </c>
      <c r="D54" s="102">
        <f>SUM(Normalisation!E51:L51)</f>
        <v>0</v>
      </c>
      <c r="E54" s="103" t="e">
        <f ca="1">IF(AND(D54&lt;C54,'rc'!G50&lt;0.35,'rc'!F50&lt;0.35),D54,C54)</f>
        <v>#NUM!</v>
      </c>
      <c r="F54" s="104" t="e">
        <f ca="1">IF(AND('Leaching Mechanism'!G50="Surface Wash-Off",OR('Leaching Mechanism'!B50="Diffusion", 'Leaching Mechanism'!C50="Diffusion",'Leaching Mechanism'!D50="Diffusion", 'Leaching Mechanism'!E50="Diffusion", 'Leaching Mechanism'!F50="Diffusion")),Normalisation!F51+Normalisation!G51-(C54*SQRT(1/64)),"")</f>
        <v>#DIV/0!</v>
      </c>
      <c r="G54" s="105" t="e">
        <f t="shared" ca="1" si="5"/>
        <v>#DIV/0!</v>
      </c>
      <c r="H54" s="106" t="str">
        <f>IF(SUM('Analytical Data'!$F51:$M51)&lt;'Analytical Data'!E51*12,SUM(Normalisation!E51:L51)*SQRT(1),"")</f>
        <v/>
      </c>
      <c r="I54" s="107" t="e">
        <f ca="1">IF(AND(LOD!J50&gt;1.5,'rc'!I50&lt;0.35,LOD!F50&lt;1.5),(('Measured Cummulative'!F51-'Measured Cummulative'!E51)+('Measured Cummulative'!L51-'Measured Cummulative'!G51))*(SQRT(64)-SQRT(1))/(SQRT(64)-SQRT(1)),"")</f>
        <v>#DIV/0!</v>
      </c>
      <c r="J54" s="108" t="e">
        <f ca="1">IF(AND('Leaching Mechanism'!H50:K50="Depletion",LOD!E50&gt;1.5,OR('rc'!E50&lt;0.35,'rc'!F50&lt;0.35,'rc'!G50&lt;0.35,'rc'!H50&lt;0.35)),('Measured Cummulative'!L51*(SQRT(64)-SQRT(1))/(SQRT(64)-SQRT(1))),"")</f>
        <v>#DIV/0!</v>
      </c>
      <c r="K54" s="107" t="e">
        <f ca="1">IF(AND(ISBLANK(G54),OR('rc'!D50&gt;0.65,ISNUMBER(SEARCH("Dissolution",'Leaching Mechanism'!H50)))),2*'Measured Cummulative'!L51*SQRT(64/64),"")</f>
        <v>#NUM!</v>
      </c>
      <c r="L54" s="109" t="e">
        <f ca="1">IF(AND(AVERAGE('rc'!D50:I50)&gt;0.5,SUM(H54:K54)&lt;0.0001),5*'Measured Cummulative'!L51*SQRT(64/64),"")</f>
        <v>#NUM!</v>
      </c>
      <c r="M54" s="22" t="b">
        <f ca="1">ISNUMBER(SEARCH("Dissolution",'Leaching Mechanism'!H50))</f>
        <v>0</v>
      </c>
    </row>
    <row r="55" spans="1:13" ht="15" thickBot="1" x14ac:dyDescent="0.25">
      <c r="A55" s="30">
        <f>'Diffusive Flux'!A56</f>
        <v>0</v>
      </c>
      <c r="C55" s="101" t="e">
        <f>SQRT(64)*PRODUCT(Uxy!#REF!,Uxy!#REF!,Uxy!#REF!,Uxy!#REF!,Uxy!#REF!,Uxy!#REF!,Uxy!#REF!,Uxy!#REF!)^0.125</f>
        <v>#REF!</v>
      </c>
      <c r="D55" s="102">
        <f>SUM(Normalisation!E52:L52)</f>
        <v>0</v>
      </c>
      <c r="E55" s="103" t="e">
        <f>IF(AND(D55&lt;C55,'rc'!#REF!&lt;0.35,'rc'!#REF!&lt;0.35),D55,C55)</f>
        <v>#REF!</v>
      </c>
      <c r="F55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Mechanism'!#REF!="Diffusion")),Normalisation!F52+Normalisation!G52-(C55*SQRT(1/64)),"")</f>
        <v>#REF!</v>
      </c>
      <c r="G55" s="105" t="e">
        <f t="shared" si="5"/>
        <v>#REF!</v>
      </c>
      <c r="H55" s="106" t="str">
        <f>IF(SUM('Analytical Data'!$F52:$M52)&lt;'Analytical Data'!E52*12,SUM(Normalisation!E52:L52)*SQRT(1),"")</f>
        <v/>
      </c>
      <c r="I55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55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55" s="107" t="e">
        <f>IF(AND(ISBLANK(G55),OR('rc'!#REF!&gt;0.65,ISNUMBER(SEARCH("Dissolution",'Leaching Mechanism'!#REF!)))),2*'Measured Cummulative'!#REF!*SQRT(64/64),"")</f>
        <v>#REF!</v>
      </c>
      <c r="L55" s="109" t="e">
        <f>IF(AND(AVERAGE('rc'!#REF!)&gt;0.5,SUM(H55:K55)&lt;0.0001),5*'Measured Cummulative'!#REF!*SQRT(64/64),"")</f>
        <v>#REF!</v>
      </c>
      <c r="M55" s="22" t="b">
        <f>ISNUMBER(SEARCH("Dissolution",'Leaching Mechanism'!#REF!))</f>
        <v>0</v>
      </c>
    </row>
    <row r="56" spans="1:13" ht="15" thickBot="1" x14ac:dyDescent="0.25">
      <c r="A56" s="30">
        <f>'Diffusive Flux'!A57</f>
        <v>0</v>
      </c>
      <c r="C56" s="101" t="e">
        <f>SQRT(64)*PRODUCT(Uxy!#REF!,Uxy!#REF!,Uxy!#REF!,Uxy!#REF!,Uxy!#REF!,Uxy!#REF!,Uxy!#REF!,Uxy!#REF!)^0.125</f>
        <v>#REF!</v>
      </c>
      <c r="D56" s="102">
        <f>SUM(Normalisation!E53:L53)</f>
        <v>0</v>
      </c>
      <c r="E56" s="103" t="e">
        <f>IF(AND(D56&lt;C56,'rc'!#REF!&lt;0.35,'rc'!#REF!&lt;0.35),D56,C56)</f>
        <v>#REF!</v>
      </c>
      <c r="F56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Mechanism'!#REF!="Diffusion")),Normalisation!F53+Normalisation!G53-(C56*SQRT(1/64)),"")</f>
        <v>#REF!</v>
      </c>
      <c r="G56" s="105" t="e">
        <f t="shared" si="5"/>
        <v>#REF!</v>
      </c>
      <c r="H56" s="106" t="str">
        <f>IF(SUM('Analytical Data'!$F53:$M53)&lt;'Analytical Data'!E53*12,SUM(Normalisation!E53:L53)*SQRT(1),"")</f>
        <v/>
      </c>
      <c r="I56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56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56" s="107" t="e">
        <f>IF(AND(ISBLANK(G56),OR('rc'!#REF!&gt;0.65,ISNUMBER(SEARCH("Dissolution",'Leaching Mechanism'!#REF!)))),2*'Measured Cummulative'!#REF!*SQRT(64/64),"")</f>
        <v>#REF!</v>
      </c>
      <c r="L56" s="109" t="e">
        <f>IF(AND(AVERAGE('rc'!#REF!)&gt;0.5,SUM(H56:K56)&lt;0.0001),5*'Measured Cummulative'!#REF!*SQRT(64/64),"")</f>
        <v>#REF!</v>
      </c>
      <c r="M56" s="22" t="b">
        <f>ISNUMBER(SEARCH("Dissolution",'Leaching Mechanism'!#REF!))</f>
        <v>0</v>
      </c>
    </row>
    <row r="57" spans="1:13" ht="15" thickBot="1" x14ac:dyDescent="0.25">
      <c r="A57" s="30">
        <f>'Diffusive Flux'!A58</f>
        <v>0</v>
      </c>
      <c r="C57" s="101" t="e">
        <f>SQRT(64)*PRODUCT(Uxy!#REF!,Uxy!#REF!,Uxy!#REF!,Uxy!#REF!,Uxy!#REF!,Uxy!#REF!,Uxy!#REF!,Uxy!#REF!)^0.125</f>
        <v>#REF!</v>
      </c>
      <c r="D57" s="102">
        <f>SUM(Normalisation!E54:L54)</f>
        <v>0</v>
      </c>
      <c r="E57" s="103" t="e">
        <f>IF(AND(D57&lt;C57,'rc'!#REF!&lt;0.35,'rc'!#REF!&lt;0.35),D57,C57)</f>
        <v>#REF!</v>
      </c>
      <c r="F57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Mechanism'!#REF!="Diffusion")),Normalisation!F54+Normalisation!G54-(C57*SQRT(1/64)),"")</f>
        <v>#REF!</v>
      </c>
      <c r="G57" s="105" t="e">
        <f t="shared" si="5"/>
        <v>#REF!</v>
      </c>
      <c r="H57" s="106" t="str">
        <f>IF(SUM('Analytical Data'!$F54:$M54)&lt;'Analytical Data'!E54*12,SUM(Normalisation!E54:L54)*SQRT(1),"")</f>
        <v/>
      </c>
      <c r="I57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57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57" s="107" t="e">
        <f>IF(AND(ISBLANK(G57),OR('rc'!#REF!&gt;0.65,ISNUMBER(SEARCH("Dissolution",'Leaching Mechanism'!#REF!)))),2*'Measured Cummulative'!#REF!*SQRT(64/64),"")</f>
        <v>#REF!</v>
      </c>
      <c r="L57" s="109" t="e">
        <f>IF(AND(AVERAGE('rc'!#REF!)&gt;0.5,SUM(H57:K57)&lt;0.0001),5*'Measured Cummulative'!#REF!*SQRT(64/64),"")</f>
        <v>#REF!</v>
      </c>
      <c r="M57" s="22" t="b">
        <f>ISNUMBER(SEARCH("Dissolution",'Leaching Mechanism'!#REF!))</f>
        <v>0</v>
      </c>
    </row>
    <row r="58" spans="1:13" ht="15" thickBot="1" x14ac:dyDescent="0.25">
      <c r="A58" s="30">
        <f>'Diffusive Flux'!A59</f>
        <v>0</v>
      </c>
      <c r="C58" s="101" t="e">
        <f>SQRT(64)*PRODUCT(Uxy!#REF!,Uxy!#REF!,Uxy!#REF!,Uxy!#REF!,Uxy!#REF!,Uxy!#REF!,Uxy!#REF!,Uxy!#REF!)^0.125</f>
        <v>#REF!</v>
      </c>
      <c r="D58" s="102">
        <f>SUM(Normalisation!E55:L55)</f>
        <v>0</v>
      </c>
      <c r="E58" s="103" t="e">
        <f>IF(AND(D58&lt;C58,'rc'!#REF!&lt;0.35,'rc'!#REF!&lt;0.35),D58,C58)</f>
        <v>#REF!</v>
      </c>
      <c r="F58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Mechanism'!#REF!="Diffusion")),Normalisation!F55+Normalisation!G55-(C58*SQRT(1/64)),"")</f>
        <v>#REF!</v>
      </c>
      <c r="G58" s="105" t="e">
        <f t="shared" si="5"/>
        <v>#REF!</v>
      </c>
      <c r="H58" s="106" t="str">
        <f>IF(SUM('Analytical Data'!$F55:$M55)&lt;'Analytical Data'!E55*12,SUM(Normalisation!E55:L55)*SQRT(1),"")</f>
        <v/>
      </c>
      <c r="I58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58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58" s="107" t="e">
        <f>IF(AND(ISBLANK(G58),OR('rc'!#REF!&gt;0.65,ISNUMBER(SEARCH("Dissolution",'Leaching Mechanism'!#REF!)))),2*'Measured Cummulative'!#REF!*SQRT(64/64),"")</f>
        <v>#REF!</v>
      </c>
      <c r="L58" s="109" t="e">
        <f>IF(AND(AVERAGE('rc'!#REF!)&gt;0.5,SUM(H58:K58)&lt;0.0001),5*'Measured Cummulative'!#REF!*SQRT(64/64),"")</f>
        <v>#REF!</v>
      </c>
      <c r="M58" s="22" t="b">
        <f>ISNUMBER(SEARCH("Dissolution",'Leaching Mechanism'!#REF!))</f>
        <v>0</v>
      </c>
    </row>
    <row r="59" spans="1:13" ht="15" thickBot="1" x14ac:dyDescent="0.25">
      <c r="A59" s="30">
        <f>'Diffusive Flux'!A60</f>
        <v>0</v>
      </c>
      <c r="C59" s="101" t="e">
        <f>SQRT(64)*PRODUCT(Uxy!#REF!,Uxy!#REF!,Uxy!#REF!,Uxy!#REF!,Uxy!#REF!,Uxy!#REF!,Uxy!#REF!,Uxy!#REF!)^0.125</f>
        <v>#REF!</v>
      </c>
      <c r="D59" s="102">
        <f>SUM(Normalisation!E56:L56)</f>
        <v>0</v>
      </c>
      <c r="E59" s="103" t="e">
        <f>IF(AND(D59&lt;C59,'rc'!#REF!&lt;0.35,'rc'!#REF!&lt;0.35),D59,C59)</f>
        <v>#REF!</v>
      </c>
      <c r="F59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Mechanism'!#REF!="Diffusion")),Normalisation!F56+Normalisation!G56-(C59*SQRT(1/64)),"")</f>
        <v>#REF!</v>
      </c>
      <c r="G59" s="105" t="e">
        <f t="shared" si="5"/>
        <v>#REF!</v>
      </c>
      <c r="H59" s="106" t="str">
        <f>IF(SUM('Analytical Data'!$F56:$M56)&lt;'Analytical Data'!E56*12,SUM(Normalisation!E56:L56)*SQRT(1),"")</f>
        <v/>
      </c>
      <c r="I59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59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59" s="107" t="e">
        <f>IF(AND(ISBLANK(G59),OR('rc'!#REF!&gt;0.65,ISNUMBER(SEARCH("Dissolution",'Leaching Mechanism'!#REF!)))),2*'Measured Cummulative'!#REF!*SQRT(64/64),"")</f>
        <v>#REF!</v>
      </c>
      <c r="L59" s="109" t="e">
        <f>IF(AND(AVERAGE('rc'!#REF!)&gt;0.5,SUM(H59:K59)&lt;0.0001),5*'Measured Cummulative'!#REF!*SQRT(64/64),"")</f>
        <v>#REF!</v>
      </c>
      <c r="M59" s="22" t="b">
        <f>ISNUMBER(SEARCH("Dissolution",'Leaching Mechanism'!#REF!))</f>
        <v>0</v>
      </c>
    </row>
    <row r="60" spans="1:13" ht="15" thickBot="1" x14ac:dyDescent="0.25">
      <c r="A60" s="30">
        <f>'Diffusive Flux'!A61</f>
        <v>0</v>
      </c>
      <c r="C60" s="101" t="e">
        <f>SQRT(64)*PRODUCT(Uxy!#REF!,Uxy!#REF!,Uxy!#REF!,Uxy!#REF!,Uxy!#REF!,Uxy!#REF!,Uxy!#REF!,Uxy!#REF!)^0.125</f>
        <v>#REF!</v>
      </c>
      <c r="D60" s="102">
        <f>SUM(Normalisation!E57:L57)</f>
        <v>0</v>
      </c>
      <c r="E60" s="103" t="e">
        <f>IF(AND(D60&lt;C60,'rc'!#REF!&lt;0.35,'rc'!#REF!&lt;0.35),D60,C60)</f>
        <v>#REF!</v>
      </c>
      <c r="F60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Mechanism'!#REF!="Diffusion")),Normalisation!F57+Normalisation!G57-(C60*SQRT(1/64)),"")</f>
        <v>#REF!</v>
      </c>
      <c r="G60" s="105" t="e">
        <f t="shared" si="5"/>
        <v>#REF!</v>
      </c>
      <c r="H60" s="106" t="str">
        <f>IF(SUM('Analytical Data'!$F57:$M57)&lt;'Analytical Data'!E57*12,SUM(Normalisation!E57:L57)*SQRT(1),"")</f>
        <v/>
      </c>
      <c r="I60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0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0" s="107" t="e">
        <f>IF(AND(ISBLANK(G60),OR('rc'!#REF!&gt;0.65,ISNUMBER(SEARCH("Dissolution",'Leaching Mechanism'!#REF!)))),2*'Measured Cummulative'!#REF!*SQRT(64/64),"")</f>
        <v>#REF!</v>
      </c>
      <c r="L60" s="109" t="e">
        <f>IF(AND(AVERAGE('rc'!#REF!)&gt;0.5,SUM(H60:K60)&lt;0.0001),5*'Measured Cummulative'!#REF!*SQRT(64/64),"")</f>
        <v>#REF!</v>
      </c>
      <c r="M60" s="22" t="b">
        <f>ISNUMBER(SEARCH("Dissolution",'Leaching Mechanism'!#REF!))</f>
        <v>0</v>
      </c>
    </row>
    <row r="61" spans="1:13" ht="15" thickBot="1" x14ac:dyDescent="0.25">
      <c r="A61" s="30">
        <f>'Diffusive Flux'!A62</f>
        <v>0</v>
      </c>
      <c r="C61" s="101" t="e">
        <f>SQRT(64)*PRODUCT(Uxy!#REF!,Uxy!#REF!,Uxy!#REF!,Uxy!#REF!,Uxy!#REF!,Uxy!#REF!,Uxy!#REF!,Uxy!#REF!)^0.125</f>
        <v>#REF!</v>
      </c>
      <c r="D61" s="102">
        <f>SUM(Normalisation!E58:L58)</f>
        <v>0</v>
      </c>
      <c r="E61" s="103" t="e">
        <f>IF(AND(D61&lt;C61,'rc'!#REF!&lt;0.35,'rc'!#REF!&lt;0.35),D61,C61)</f>
        <v>#REF!</v>
      </c>
      <c r="F61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Mechanism'!#REF!="Diffusion")),Normalisation!F58+Normalisation!G58-(C61*SQRT(1/64)),"")</f>
        <v>#REF!</v>
      </c>
      <c r="G61" s="105" t="e">
        <f t="shared" si="5"/>
        <v>#REF!</v>
      </c>
      <c r="H61" s="106" t="str">
        <f>IF(SUM('Analytical Data'!$F58:$M58)&lt;'Analytical Data'!E58*12,SUM(Normalisation!E58:L58)*SQRT(1),"")</f>
        <v/>
      </c>
      <c r="I61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1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1" s="107" t="e">
        <f>IF(AND(ISBLANK(G61),OR('rc'!#REF!&gt;0.65,ISNUMBER(SEARCH("Dissolution",'Leaching Mechanism'!#REF!)))),2*'Measured Cummulative'!#REF!*SQRT(64/64),"")</f>
        <v>#REF!</v>
      </c>
      <c r="L61" s="109" t="e">
        <f>IF(AND(AVERAGE('rc'!#REF!)&gt;0.5,SUM(H61:K61)&lt;0.0001),5*'Measured Cummulative'!#REF!*SQRT(64/64),"")</f>
        <v>#REF!</v>
      </c>
      <c r="M61" s="22" t="b">
        <f>ISNUMBER(SEARCH("Dissolution",'Leaching Mechanism'!#REF!))</f>
        <v>0</v>
      </c>
    </row>
    <row r="62" spans="1:13" ht="15" thickBot="1" x14ac:dyDescent="0.25">
      <c r="A62" s="30">
        <f>'Diffusive Flux'!A63</f>
        <v>0</v>
      </c>
      <c r="C62" s="101" t="e">
        <f>SQRT(64)*PRODUCT(Uxy!#REF!,Uxy!#REF!,Uxy!#REF!,Uxy!#REF!,Uxy!#REF!,Uxy!#REF!,Uxy!#REF!,Uxy!#REF!)^0.125</f>
        <v>#REF!</v>
      </c>
      <c r="D62" s="102">
        <f>SUM(Normalisation!E59:L59)</f>
        <v>0</v>
      </c>
      <c r="E62" s="103" t="e">
        <f>IF(AND(D62&lt;C62,'rc'!#REF!&lt;0.35,'rc'!#REF!&lt;0.35),D62,C62)</f>
        <v>#REF!</v>
      </c>
      <c r="F62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Mechanism'!#REF!="Diffusion")),Normalisation!F59+Normalisation!G59-(C62*SQRT(1/64)),"")</f>
        <v>#REF!</v>
      </c>
      <c r="G62" s="105" t="e">
        <f t="shared" si="5"/>
        <v>#REF!</v>
      </c>
      <c r="H62" s="106" t="str">
        <f>IF(SUM('Analytical Data'!$F59:$M59)&lt;'Analytical Data'!E59*12,SUM(Normalisation!E59:L59)*SQRT(1),"")</f>
        <v/>
      </c>
      <c r="I62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2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2" s="107" t="e">
        <f>IF(AND(ISBLANK(G62),OR('rc'!#REF!&gt;0.65,ISNUMBER(SEARCH("Dissolution",'Leaching Mechanism'!#REF!)))),2*'Measured Cummulative'!#REF!*SQRT(64/64),"")</f>
        <v>#REF!</v>
      </c>
      <c r="L62" s="109" t="e">
        <f>IF(AND(AVERAGE('rc'!#REF!)&gt;0.5,SUM(H62:K62)&lt;0.0001),5*'Measured Cummulative'!#REF!*SQRT(64/64),"")</f>
        <v>#REF!</v>
      </c>
      <c r="M62" s="22" t="b">
        <f>ISNUMBER(SEARCH("Dissolution",'Leaching Mechanism'!#REF!))</f>
        <v>0</v>
      </c>
    </row>
    <row r="63" spans="1:13" ht="15" thickBot="1" x14ac:dyDescent="0.25">
      <c r="A63" s="30">
        <f>'Diffusive Flux'!A64</f>
        <v>0</v>
      </c>
      <c r="C63" s="101" t="e">
        <f>SQRT(64)*PRODUCT(Uxy!#REF!,Uxy!#REF!,Uxy!#REF!,Uxy!#REF!,Uxy!#REF!,Uxy!#REF!,Uxy!#REF!,Uxy!#REF!)^0.125</f>
        <v>#REF!</v>
      </c>
      <c r="D63" s="102">
        <f>SUM(Normalisation!E60:L60)</f>
        <v>0</v>
      </c>
      <c r="E63" s="103" t="e">
        <f>IF(AND(D63&lt;C63,'rc'!#REF!&lt;0.35,'rc'!#REF!&lt;0.35),D63,C63)</f>
        <v>#REF!</v>
      </c>
      <c r="F63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Mechanism'!#REF!="Diffusion")),Normalisation!F60+Normalisation!G60-(C63*SQRT(1/64)),"")</f>
        <v>#REF!</v>
      </c>
      <c r="G63" s="105" t="e">
        <f t="shared" si="5"/>
        <v>#REF!</v>
      </c>
      <c r="H63" s="106" t="str">
        <f>IF(SUM('Analytical Data'!$F60:$M60)&lt;'Analytical Data'!E60*12,SUM(Normalisation!E60:L60)*SQRT(1),"")</f>
        <v/>
      </c>
      <c r="I63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3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3" s="107" t="e">
        <f>IF(AND(ISBLANK(G63),OR('rc'!#REF!&gt;0.65,ISNUMBER(SEARCH("Dissolution",'Leaching Mechanism'!#REF!)))),2*'Measured Cummulative'!#REF!*SQRT(64/64),"")</f>
        <v>#REF!</v>
      </c>
      <c r="L63" s="109" t="e">
        <f>IF(AND(AVERAGE('rc'!#REF!)&gt;0.5,SUM(H63:K63)&lt;0.0001),5*'Measured Cummulative'!#REF!*SQRT(64/64),"")</f>
        <v>#REF!</v>
      </c>
      <c r="M63" s="22" t="b">
        <f>ISNUMBER(SEARCH("Dissolution",'Leaching Mechanism'!#REF!))</f>
        <v>0</v>
      </c>
    </row>
    <row r="64" spans="1:13" ht="15" thickBot="1" x14ac:dyDescent="0.25">
      <c r="A64" s="30">
        <f>'Diffusive Flux'!A65</f>
        <v>0</v>
      </c>
      <c r="C64" s="101" t="e">
        <f>SQRT(64)*PRODUCT(Uxy!#REF!,Uxy!#REF!,Uxy!#REF!,Uxy!#REF!,Uxy!#REF!,Uxy!#REF!,Uxy!#REF!,Uxy!#REF!)^0.125</f>
        <v>#REF!</v>
      </c>
      <c r="D64" s="102">
        <f>SUM(Normalisation!E61:L61)</f>
        <v>0</v>
      </c>
      <c r="E64" s="103" t="e">
        <f>IF(AND(D64&lt;C64,'rc'!#REF!&lt;0.35,'rc'!#REF!&lt;0.35),D64,C64)</f>
        <v>#REF!</v>
      </c>
      <c r="F64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Mechanism'!#REF!="Diffusion")),Normalisation!F61+Normalisation!G61-(C64*SQRT(1/64)),"")</f>
        <v>#REF!</v>
      </c>
      <c r="G64" s="105" t="e">
        <f t="shared" si="5"/>
        <v>#REF!</v>
      </c>
      <c r="H64" s="106" t="str">
        <f>IF(SUM('Analytical Data'!$F61:$M61)&lt;'Analytical Data'!E61*12,SUM(Normalisation!E61:L61)*SQRT(1),"")</f>
        <v/>
      </c>
      <c r="I64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4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4" s="107" t="e">
        <f>IF(AND(ISBLANK(G64),OR('rc'!#REF!&gt;0.65,ISNUMBER(SEARCH("Dissolution",'Leaching Mechanism'!#REF!)))),2*'Measured Cummulative'!#REF!*SQRT(64/64),"")</f>
        <v>#REF!</v>
      </c>
      <c r="L64" s="109" t="e">
        <f>IF(AND(AVERAGE('rc'!#REF!)&gt;0.5,SUM(H64:K64)&lt;0.0001),5*'Measured Cummulative'!#REF!*SQRT(64/64),"")</f>
        <v>#REF!</v>
      </c>
      <c r="M64" s="22" t="b">
        <f>ISNUMBER(SEARCH("Dissolution",'Leaching Mechanism'!#REF!))</f>
        <v>0</v>
      </c>
    </row>
    <row r="65" spans="1:13" ht="15" thickBot="1" x14ac:dyDescent="0.25">
      <c r="A65" s="30">
        <f>'Diffusive Flux'!A66</f>
        <v>0</v>
      </c>
      <c r="C65" s="101" t="e">
        <f>SQRT(64)*PRODUCT(Uxy!#REF!,Uxy!#REF!,Uxy!#REF!,Uxy!#REF!,Uxy!#REF!,Uxy!#REF!,Uxy!#REF!,Uxy!#REF!)^0.125</f>
        <v>#REF!</v>
      </c>
      <c r="D65" s="102">
        <f>SUM(Normalisation!E62:L62)</f>
        <v>0</v>
      </c>
      <c r="E65" s="103" t="e">
        <f>IF(AND(D65&lt;C65,'rc'!#REF!&lt;0.35,'rc'!#REF!&lt;0.35),D65,C65)</f>
        <v>#REF!</v>
      </c>
      <c r="F65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Mechanism'!#REF!="Diffusion")),Normalisation!F62+Normalisation!G62-(C65*SQRT(1/64)),"")</f>
        <v>#REF!</v>
      </c>
      <c r="G65" s="105" t="e">
        <f t="shared" si="5"/>
        <v>#REF!</v>
      </c>
      <c r="H65" s="106" t="str">
        <f>IF(SUM('Analytical Data'!$F62:$M62)&lt;'Analytical Data'!E62*12,SUM(Normalisation!E62:L62)*SQRT(1),"")</f>
        <v/>
      </c>
      <c r="I65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5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5" s="107" t="e">
        <f>IF(AND(ISBLANK(G65),OR('rc'!#REF!&gt;0.65,ISNUMBER(SEARCH("Dissolution",'Leaching Mechanism'!#REF!)))),2*'Measured Cummulative'!#REF!*SQRT(64/64),"")</f>
        <v>#REF!</v>
      </c>
      <c r="L65" s="109" t="e">
        <f>IF(AND(AVERAGE('rc'!#REF!)&gt;0.5,SUM(H65:K65)&lt;0.0001),5*'Measured Cummulative'!#REF!*SQRT(64/64),"")</f>
        <v>#REF!</v>
      </c>
      <c r="M65" s="22" t="b">
        <f>ISNUMBER(SEARCH("Dissolution",'Leaching Mechanism'!#REF!))</f>
        <v>0</v>
      </c>
    </row>
    <row r="66" spans="1:13" ht="15" thickBot="1" x14ac:dyDescent="0.25">
      <c r="A66" s="30">
        <f>'Diffusive Flux'!A67</f>
        <v>0</v>
      </c>
      <c r="C66" s="101" t="e">
        <f>SQRT(64)*PRODUCT(Uxy!#REF!,Uxy!#REF!,Uxy!#REF!,Uxy!#REF!,Uxy!#REF!,Uxy!#REF!,Uxy!#REF!,Uxy!#REF!)^0.125</f>
        <v>#REF!</v>
      </c>
      <c r="D66" s="102">
        <f>SUM(Normalisation!E63:L63)</f>
        <v>0</v>
      </c>
      <c r="E66" s="103" t="e">
        <f>IF(AND(D66&lt;C66,'rc'!#REF!&lt;0.35,'rc'!#REF!&lt;0.35),D66,C66)</f>
        <v>#REF!</v>
      </c>
      <c r="F66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Mechanism'!#REF!="Diffusion")),Normalisation!F63+Normalisation!G63-(C66*SQRT(1/64)),"")</f>
        <v>#REF!</v>
      </c>
      <c r="G66" s="105" t="e">
        <f t="shared" si="5"/>
        <v>#REF!</v>
      </c>
      <c r="H66" s="106" t="str">
        <f>IF(SUM('Analytical Data'!$F63:$M63)&lt;'Analytical Data'!E63*12,SUM(Normalisation!E63:L63)*SQRT(1),"")</f>
        <v/>
      </c>
      <c r="I66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6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6" s="107" t="e">
        <f>IF(AND(ISBLANK(G66),OR('rc'!#REF!&gt;0.65,ISNUMBER(SEARCH("Dissolution",'Leaching Mechanism'!#REF!)))),2*'Measured Cummulative'!#REF!*SQRT(64/64),"")</f>
        <v>#REF!</v>
      </c>
      <c r="L66" s="109" t="e">
        <f>IF(AND(AVERAGE('rc'!#REF!)&gt;0.5,SUM(H66:K66)&lt;0.0001),5*'Measured Cummulative'!#REF!*SQRT(64/64),"")</f>
        <v>#REF!</v>
      </c>
      <c r="M66" s="22" t="b">
        <f>ISNUMBER(SEARCH("Dissolution",'Leaching Mechanism'!#REF!))</f>
        <v>0</v>
      </c>
    </row>
    <row r="67" spans="1:13" ht="15" thickBot="1" x14ac:dyDescent="0.25">
      <c r="A67" s="30">
        <f>'Diffusive Flux'!A68</f>
        <v>0</v>
      </c>
      <c r="C67" s="101" t="e">
        <f>SQRT(64)*PRODUCT(Uxy!#REF!,Uxy!#REF!,Uxy!#REF!,Uxy!#REF!,Uxy!#REF!,Uxy!#REF!,Uxy!#REF!,Uxy!#REF!)^0.125</f>
        <v>#REF!</v>
      </c>
      <c r="D67" s="102">
        <f>SUM(Normalisation!E64:L64)</f>
        <v>0</v>
      </c>
      <c r="E67" s="103" t="e">
        <f>IF(AND(D67&lt;C67,'rc'!#REF!&lt;0.35,'rc'!#REF!&lt;0.35),D67,C67)</f>
        <v>#REF!</v>
      </c>
      <c r="F67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Mechanism'!#REF!="Diffusion")),Normalisation!F64+Normalisation!G64-(C67*SQRT(1/64)),"")</f>
        <v>#REF!</v>
      </c>
      <c r="G67" s="105" t="e">
        <f t="shared" si="5"/>
        <v>#REF!</v>
      </c>
      <c r="H67" s="106" t="str">
        <f>IF(SUM('Analytical Data'!$F64:$M64)&lt;'Analytical Data'!E64*12,SUM(Normalisation!E64:L64)*SQRT(1),"")</f>
        <v/>
      </c>
      <c r="I67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7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7" s="107" t="e">
        <f>IF(AND(ISBLANK(G67),OR('rc'!#REF!&gt;0.65,ISNUMBER(SEARCH("Dissolution",'Leaching Mechanism'!#REF!)))),2*'Measured Cummulative'!#REF!*SQRT(64/64),"")</f>
        <v>#REF!</v>
      </c>
      <c r="L67" s="109" t="e">
        <f>IF(AND(AVERAGE('rc'!#REF!)&gt;0.5,SUM(H67:K67)&lt;0.0001),5*'Measured Cummulative'!#REF!*SQRT(64/64),"")</f>
        <v>#REF!</v>
      </c>
      <c r="M67" s="22" t="b">
        <f>ISNUMBER(SEARCH("Dissolution",'Leaching Mechanism'!#REF!))</f>
        <v>0</v>
      </c>
    </row>
    <row r="68" spans="1:13" ht="15" thickBot="1" x14ac:dyDescent="0.25">
      <c r="A68" s="30">
        <f>'Diffusive Flux'!A69</f>
        <v>0</v>
      </c>
      <c r="C68" s="101" t="e">
        <f>SQRT(64)*PRODUCT(Uxy!#REF!,Uxy!#REF!,Uxy!#REF!,Uxy!#REF!,Uxy!#REF!,Uxy!#REF!,Uxy!#REF!,Uxy!#REF!)^0.125</f>
        <v>#REF!</v>
      </c>
      <c r="D68" s="102">
        <f>SUM(Normalisation!E65:L65)</f>
        <v>0</v>
      </c>
      <c r="E68" s="103" t="e">
        <f>IF(AND(D68&lt;C68,'rc'!#REF!&lt;0.35,'rc'!#REF!&lt;0.35),D68,C68)</f>
        <v>#REF!</v>
      </c>
      <c r="F68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Mechanism'!#REF!="Diffusion")),Normalisation!F65+Normalisation!G65-(C68*SQRT(1/64)),"")</f>
        <v>#REF!</v>
      </c>
      <c r="G68" s="105" t="e">
        <f t="shared" si="5"/>
        <v>#REF!</v>
      </c>
      <c r="H68" s="106" t="str">
        <f>IF(SUM('Analytical Data'!$F65:$M65)&lt;'Analytical Data'!E65*12,SUM(Normalisation!E65:L65)*SQRT(1),"")</f>
        <v/>
      </c>
      <c r="I68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8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8" s="107" t="e">
        <f>IF(AND(ISBLANK(G68),OR('rc'!#REF!&gt;0.65,ISNUMBER(SEARCH("Dissolution",'Leaching Mechanism'!#REF!)))),2*'Measured Cummulative'!#REF!*SQRT(64/64),"")</f>
        <v>#REF!</v>
      </c>
      <c r="L68" s="109" t="e">
        <f>IF(AND(AVERAGE('rc'!#REF!)&gt;0.5,SUM(H68:K68)&lt;0.0001),5*'Measured Cummulative'!#REF!*SQRT(64/64),"")</f>
        <v>#REF!</v>
      </c>
      <c r="M68" s="22" t="b">
        <f>ISNUMBER(SEARCH("Dissolution",'Leaching Mechanism'!#REF!))</f>
        <v>0</v>
      </c>
    </row>
    <row r="69" spans="1:13" ht="15" thickBot="1" x14ac:dyDescent="0.25">
      <c r="A69" s="30">
        <f>'Diffusive Flux'!A70</f>
        <v>0</v>
      </c>
      <c r="C69" s="101" t="e">
        <f>SQRT(64)*PRODUCT(Uxy!#REF!,Uxy!#REF!,Uxy!#REF!,Uxy!#REF!,Uxy!#REF!,Uxy!#REF!,Uxy!#REF!,Uxy!#REF!)^0.125</f>
        <v>#REF!</v>
      </c>
      <c r="D69" s="102">
        <f>SUM(Normalisation!E66:L66)</f>
        <v>0</v>
      </c>
      <c r="E69" s="103" t="e">
        <f>IF(AND(D69&lt;C69,'rc'!#REF!&lt;0.35,'rc'!#REF!&lt;0.35),D69,C69)</f>
        <v>#REF!</v>
      </c>
      <c r="F69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Mechanism'!#REF!="Diffusion")),Normalisation!F66+Normalisation!G66-(C69*SQRT(1/64)),"")</f>
        <v>#REF!</v>
      </c>
      <c r="G69" s="105" t="e">
        <f t="shared" si="5"/>
        <v>#REF!</v>
      </c>
      <c r="H69" s="106" t="str">
        <f>IF(SUM('Analytical Data'!$F66:$M66)&lt;'Analytical Data'!E66*12,SUM(Normalisation!E66:L66)*SQRT(1),"")</f>
        <v/>
      </c>
      <c r="I69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9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9" s="107" t="e">
        <f>IF(AND(ISBLANK(G69),OR('rc'!#REF!&gt;0.65,ISNUMBER(SEARCH("Dissolution",'Leaching Mechanism'!#REF!)))),2*'Measured Cummulative'!#REF!*SQRT(64/64),"")</f>
        <v>#REF!</v>
      </c>
      <c r="L69" s="109" t="e">
        <f>IF(AND(AVERAGE('rc'!#REF!)&gt;0.5,SUM(H69:K69)&lt;0.0001),5*'Measured Cummulative'!#REF!*SQRT(64/64),"")</f>
        <v>#REF!</v>
      </c>
      <c r="M69" s="22" t="b">
        <f>ISNUMBER(SEARCH("Dissolution",'Leaching Mechanism'!#REF!))</f>
        <v>0</v>
      </c>
    </row>
    <row r="70" spans="1:13" ht="14.25" x14ac:dyDescent="0.2">
      <c r="A70" s="30">
        <f>'Diffusive Flux'!A71</f>
        <v>0</v>
      </c>
    </row>
  </sheetData>
  <mergeCells count="12">
    <mergeCell ref="I4:I7"/>
    <mergeCell ref="J4:J7"/>
    <mergeCell ref="K4:K7"/>
    <mergeCell ref="L4:L7"/>
    <mergeCell ref="C3:G3"/>
    <mergeCell ref="H3:L3"/>
    <mergeCell ref="C4:C7"/>
    <mergeCell ref="D4:D7"/>
    <mergeCell ref="E4:E7"/>
    <mergeCell ref="F4:F7"/>
    <mergeCell ref="G4:G7"/>
    <mergeCell ref="H4:H7"/>
  </mergeCells>
  <phoneticPr fontId="15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pageSetUpPr fitToPage="1"/>
  </sheetPr>
  <dimension ref="A1:X75"/>
  <sheetViews>
    <sheetView view="pageBreakPreview" topLeftCell="A3" zoomScale="60" zoomScaleNormal="100" workbookViewId="0">
      <selection activeCell="Q33" sqref="Q33"/>
    </sheetView>
  </sheetViews>
  <sheetFormatPr defaultRowHeight="12.75" x14ac:dyDescent="0.2"/>
  <cols>
    <col min="1" max="1" width="39.85546875" customWidth="1"/>
    <col min="2" max="7" width="23.28515625" customWidth="1"/>
    <col min="8" max="9" width="19" customWidth="1"/>
    <col min="10" max="10" width="20" customWidth="1"/>
    <col min="11" max="11" width="20.42578125" customWidth="1"/>
    <col min="12" max="12" width="32.5703125" customWidth="1"/>
    <col min="13" max="13" width="14.5703125" customWidth="1"/>
    <col min="14" max="14" width="9.140625" style="241"/>
    <col min="15" max="16" width="13.42578125" style="241" bestFit="1" customWidth="1"/>
    <col min="17" max="17" width="16.85546875" style="241" bestFit="1" customWidth="1"/>
    <col min="18" max="18" width="13.42578125" style="203" bestFit="1" customWidth="1"/>
    <col min="19" max="20" width="13.42578125" bestFit="1" customWidth="1"/>
    <col min="22" max="22" width="20.85546875" bestFit="1" customWidth="1"/>
    <col min="24" max="24" width="12.28515625" bestFit="1" customWidth="1"/>
  </cols>
  <sheetData>
    <row r="1" spans="1:24" ht="15" x14ac:dyDescent="0.25">
      <c r="A1" s="25" t="s">
        <v>69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80"/>
      <c r="N1" s="202"/>
      <c r="O1" s="239"/>
      <c r="P1" s="202"/>
      <c r="Q1" s="202"/>
      <c r="R1" s="202"/>
      <c r="S1" s="80"/>
      <c r="T1" s="80"/>
      <c r="U1" s="80"/>
      <c r="V1" s="80"/>
      <c r="W1" s="22"/>
      <c r="X1" s="22"/>
    </row>
    <row r="2" spans="1:24" ht="15.75" thickBot="1" x14ac:dyDescent="0.3">
      <c r="A2" s="25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80"/>
      <c r="N2" s="202"/>
      <c r="O2" s="239"/>
      <c r="P2" s="202"/>
      <c r="Q2" s="202"/>
      <c r="R2" s="202"/>
      <c r="S2" s="80"/>
      <c r="T2" s="80"/>
      <c r="U2" s="80"/>
      <c r="V2" s="80"/>
      <c r="W2" s="22"/>
      <c r="X2" s="22"/>
    </row>
    <row r="3" spans="1:24" ht="48" customHeight="1" x14ac:dyDescent="0.2">
      <c r="A3" s="73"/>
      <c r="B3" s="74" t="s">
        <v>60</v>
      </c>
      <c r="C3" s="75" t="s">
        <v>52</v>
      </c>
      <c r="D3" s="75" t="s">
        <v>53</v>
      </c>
      <c r="E3" s="75" t="s">
        <v>54</v>
      </c>
      <c r="F3" s="75" t="s">
        <v>55</v>
      </c>
      <c r="G3" s="75" t="s">
        <v>62</v>
      </c>
      <c r="H3" s="413" t="s">
        <v>70</v>
      </c>
      <c r="I3" s="385"/>
      <c r="J3" s="385"/>
      <c r="K3" s="388"/>
      <c r="L3" s="76" t="s">
        <v>71</v>
      </c>
      <c r="M3" s="80"/>
      <c r="N3" s="202"/>
      <c r="O3" s="202"/>
      <c r="P3" s="202"/>
      <c r="Q3" s="202"/>
      <c r="R3" s="202"/>
      <c r="S3" s="80"/>
      <c r="T3" s="80"/>
      <c r="U3" s="80"/>
      <c r="V3" s="80"/>
      <c r="W3" s="22"/>
      <c r="X3" s="22"/>
    </row>
    <row r="4" spans="1:24" ht="27.75" hidden="1" customHeight="1" x14ac:dyDescent="0.2">
      <c r="A4" s="174" t="str">
        <f>'Analytical Data'!A5</f>
        <v>pH</v>
      </c>
      <c r="B4" s="177" t="str">
        <f ca="1">IF(AND(LOD!E4&gt;1.5,0.35&gt;'rc'!D4,SDrc!D4&lt;0.5),"Surface Wash-Off",IF(AND(LOD!E4&gt;1.5,0.35&lt;'rc'!D4,0.65&gt;'rc'!D4,SDrc!D4&lt;0.5),"Diffusion",IF(AND(LOD!E4&gt;1.5,0.65&lt;'rc'!D4,SDrc!D4&lt;0.5),"Dissolution","ND")))</f>
        <v>Surface Wash-Off</v>
      </c>
      <c r="C4" s="77" t="str">
        <f ca="1">IF(AND(LOD!F4&gt;1.5,0.35&gt;'rc'!E4,SDrc!E4&lt;0.5),"Depletion",IF(AND(LOD!F4&gt;1.5,0.35&lt;'rc'!E4,0.65&gt;'rc'!E4,SDrc!E4&lt;0.5),"Diffusion",IF(AND(LOD!F4&gt;1.5,0.65&lt;'rc'!E4,SDrc!E4&lt;0.5),"Dissolution","ND")))</f>
        <v>Depletion</v>
      </c>
      <c r="D4" s="77" t="str">
        <f ca="1">IF(AND(LOD!G4&gt;1.5,0.35&gt;'rc'!F4,SDrc!F4&lt;0.5),"Depletion",IF(AND(LOD!G4&gt;1.5,0.35&lt;'rc'!F4,0.65&gt;'rc'!F4,SDrc!F4&lt;0.5),"Diffusion",IF(AND(LOD!G4&gt;1.5,0.65&lt;'rc'!F4,SDrc!F4&lt;0.5),"Dissolution","ND")))</f>
        <v>Diffusion</v>
      </c>
      <c r="E4" s="77" t="str">
        <f ca="1">IF(AND(LOD!H4&gt;1.5,0.35&gt;'rc'!G4,SDrc!G4&lt;0.5),"Depletion",IF(AND(LOD!H4&gt;1.5,0.35&lt;'rc'!G4,0.65&gt;'rc'!G4,SDrc!G4&lt;0.5),"Diffusion",IF(AND(LOD!H4&gt;1.5,0.65&lt;'rc'!G4,SDrc!G4&lt;0.5),"Dissolution","ND")))</f>
        <v>Diffusion</v>
      </c>
      <c r="F4" s="77" t="str">
        <f ca="1">IF(AND(LOD!I4&gt;1.5,0.35&gt;'rc'!H4,SDrc!H4&lt;0.5),"Depletion",IF(AND(LOD!I4&gt;1.5,0.35&lt;'rc'!H4,0.65&gt;'rc'!H4,SDrc!H4&lt;0.5),"Diffusion",IF(AND(LOD!I4&gt;1.5,0.65&lt;'rc'!H4,SDrc!H4&lt;0.5),"Dissolution","ND")))</f>
        <v>Depletion</v>
      </c>
      <c r="G4" s="112" t="str">
        <f ca="1">IF(AND(LOD!J4&gt;1.5,0.35&gt;'rc'!I4,SDrc!I4&lt;0.5),"Surface Wash-Off",IF(AND(LOD!J4&gt;1.5,0.35&lt;'rc'!I4,0.65&gt;'rc'!I4,SDrc!I4&lt;0.5),"Diffusion",IF(AND(LOD!J4&gt;1.5,0.65&lt;'rc'!I4,SDrc!I4&lt;0.5),"Delayed Diffusion or Dissolution","ND")))</f>
        <v>Surface Wash-Off</v>
      </c>
      <c r="H4" s="414" t="str">
        <f ca="1">IF(N4="Diffusion",CONCATENATE(N4,O4),IF(AND(N4="",P4="",O4="",Q4=""),"Not possible to Determine Leaching Mechanism",IF(AND(N4="",O4="",P4="",Q4="Dissolution"),"Dissolution",IF(N4="","Depletion",""))))</f>
        <v>Diffusion with Surface wash-off</v>
      </c>
      <c r="I4" s="415"/>
      <c r="J4" s="415"/>
      <c r="K4" s="416"/>
      <c r="L4" s="176" t="str">
        <f t="shared" ref="L4:L67" ca="1" si="0">IF(B4="Diffusion",B$3,IF(C4="Diffusion",C$3,IF(D4="Diffusion",D$3,IF(E4="Diffusion",E$3,IF(F4="Diffusion",F$3,IF(ISNUMBER((SEARCH("Diffusion",G4,1))),G$3,"Non-Diffusion Based"))))))</f>
        <v>Increment 4-7</v>
      </c>
      <c r="M4" s="82"/>
      <c r="N4" s="240" t="str">
        <f ca="1">IF(OR(B4="Diffusion",C4="Diffusion",D4="Diffusion",E4="Diffusion",F4="Diffusion",G4="Diffusion"),"Diffusion","")</f>
        <v>Diffusion</v>
      </c>
      <c r="O4" s="202" t="str">
        <f ca="1">IF(AND(B4="Surface wash-off", G4="Delayed Diffusion or Dissolution"), " with Surface Wash-off and Delayed Diffusion / Dissolution", IF(OR(B4="Surface wash-off",G4="Surface wash-off")," with Surface wash-off",IF(G4="Delayed Diffusion or Dissolution"," with Delayed Diffusion or Dissolution","")))</f>
        <v xml:space="preserve"> with Surface wash-off</v>
      </c>
      <c r="P4" s="202" t="str">
        <f ca="1">IF(AND(N4="",OR(C4="Depletion",D4="Depletion",E4="Depletion",F4="Depletion")),"Depletion", "")</f>
        <v/>
      </c>
      <c r="Q4" s="202" t="str">
        <f ca="1">IF(AND(O4="",OR(D4="Dissolution",E4="Dissolution",F4="Dissolution",C4="Dissolution")),"Dissolution", "")</f>
        <v/>
      </c>
      <c r="R4" s="202" t="str">
        <f ca="1">IF(AND(P4="",Q4="Dissolution"),1,"")</f>
        <v/>
      </c>
      <c r="S4" s="80"/>
      <c r="T4" s="80"/>
      <c r="U4" s="80"/>
      <c r="V4" s="80"/>
      <c r="W4" s="81"/>
      <c r="X4" s="81"/>
    </row>
    <row r="5" spans="1:24" ht="27.75" hidden="1" customHeight="1" x14ac:dyDescent="0.2">
      <c r="A5" s="175" t="str">
        <f>'Analytical Data'!A6</f>
        <v>Electrical Conductivity</v>
      </c>
      <c r="B5" s="78" t="str">
        <f ca="1">IF(AND(LOD!E5&gt;1.5,0.35&gt;'rc'!D5,SDrc!D5&lt;0.5),"Surface Wash-Off",IF(AND(LOD!E5&gt;1.5,0.35&lt;'rc'!D5,0.65&gt;'rc'!D5,SDrc!D5&lt;0.5),"Diffusion",IF(AND(LOD!E5&gt;1.5,0.65&lt;'rc'!D5,SDrc!D5&lt;0.5),"Dissolution","ND")))</f>
        <v>ND</v>
      </c>
      <c r="C5" s="79" t="str">
        <f ca="1">IF(AND(LOD!F5&gt;1.5,0.35&gt;'rc'!E5,SDrc!E5&lt;0.5),"Depletion",IF(AND(LOD!F5&gt;1.5,0.35&lt;'rc'!E5,0.65&gt;'rc'!E5,SDrc!E5&lt;0.5),"Diffusion",IF(AND(LOD!F5&gt;1.5,0.65&lt;'rc'!E5,SDrc!E5&lt;0.5),"Dissolution","ND")))</f>
        <v>Diffusion</v>
      </c>
      <c r="D5" s="79" t="str">
        <f ca="1">IF(AND(LOD!G5&gt;1.5,0.35&gt;'rc'!F5,SDrc!F5&lt;0.5),"Depletion",IF(AND(LOD!G5&gt;1.5,0.35&lt;'rc'!F5,0.65&gt;'rc'!F5,SDrc!F5&lt;0.5),"Diffusion",IF(AND(LOD!G5&gt;1.5,0.65&lt;'rc'!F5,SDrc!F5&lt;0.5),"Dissolution","ND")))</f>
        <v>Dissolution</v>
      </c>
      <c r="E5" s="79" t="str">
        <f ca="1">IF(AND(LOD!H5&gt;1.5,0.35&gt;'rc'!G5,SDrc!G5&lt;0.5),"Depletion",IF(AND(LOD!H5&gt;1.5,0.35&lt;'rc'!G5,0.65&gt;'rc'!G5,SDrc!G5&lt;0.5),"Diffusion",IF(AND(LOD!H5&gt;1.5,0.65&lt;'rc'!G5,SDrc!G5&lt;0.5),"Dissolution","ND")))</f>
        <v>Dissolution</v>
      </c>
      <c r="F5" s="79" t="str">
        <f ca="1">IF(AND(LOD!I5&gt;1.5,0.35&gt;'rc'!H5,SDrc!H5&lt;0.5),"Depletion",IF(AND(LOD!I5&gt;1.5,0.35&lt;'rc'!H5,0.65&gt;'rc'!H5,SDrc!H5&lt;0.5),"Diffusion",IF(AND(LOD!I5&gt;1.5,0.65&lt;'rc'!H5,SDrc!H5&lt;0.5),"Dissolution","ND")))</f>
        <v>ND</v>
      </c>
      <c r="G5" s="86" t="str">
        <f ca="1">IF(AND(LOD!J5&gt;1.5,0.35&gt;'rc'!I5,SDrc!I5&lt;0.5),"Surface Wash-Off",IF(AND(LOD!J5&gt;1.5,0.35&lt;'rc'!I5,0.65&gt;'rc'!I5,SDrc!I5&lt;0.5),"Diffusion",IF(AND(LOD!J5&gt;1.5,0.65&lt;'rc'!I5,SDrc!I5&lt;0.5),"Delayed Diffusion or Dissolution","ND")))</f>
        <v>ND</v>
      </c>
      <c r="H5" s="410" t="str">
        <f t="shared" ref="H5:H27" ca="1" si="1">IF(N5="Diffusion",CONCATENATE(N5,O5),IF(AND(N5="",P5="",O5="",Q5=""),"Not possible to Determine Leaching Mechanism",IF(AND(N5="",O5="",P5="",Q5="Dissolution"),"Dissolution",IF(N5="",CONCATENATE(P5,O5),""))))</f>
        <v>Diffusion</v>
      </c>
      <c r="I5" s="411"/>
      <c r="J5" s="411"/>
      <c r="K5" s="412"/>
      <c r="L5" s="176" t="str">
        <f t="shared" ca="1" si="0"/>
        <v>Increment 5-8</v>
      </c>
      <c r="M5" s="82"/>
      <c r="N5" s="240" t="str">
        <f t="shared" ref="N5:N68" ca="1" si="2">IF(OR(B5="Diffusion",C5="Diffusion",D5="Diffusion",E5="Diffusion",F5="Diffusion",G5="Diffusion"),"Diffusion","")</f>
        <v>Diffusion</v>
      </c>
      <c r="O5" s="202" t="str">
        <f t="shared" ref="O5:O52" ca="1" si="3">IF(AND(B5="Surface wash-off", G5="Delayed Diffusion or Dissolution"), " with Surface Wash-off and Delayed Diffusion / Dissolution", IF(OR(B5="Surface wash-off",G5="Surface wash-off")," with Surface wash-off",IF(G5="Delayed Diffusion or Dissolution"," with Delayed Diffusion or Dissolution","")))</f>
        <v/>
      </c>
      <c r="P5" s="202" t="str">
        <f t="shared" ref="P5:P52" ca="1" si="4">IF(AND(N5="",OR(C5="Depletion",D5="Depletion",E5="Depletion",F5="Depletion")),"Depletion", "")</f>
        <v/>
      </c>
      <c r="Q5" s="202" t="str">
        <f t="shared" ref="Q5:Q52" ca="1" si="5">IF(AND(O5="",OR(D5="Dissolution",E5="Dissolution",F5="Dissolution",C5="Dissolution")),"Dissolution", "")</f>
        <v>Dissolution</v>
      </c>
      <c r="R5" s="202">
        <f t="shared" ref="R5:R52" ca="1" si="6">IF(AND(P5="",Q5="Dissolution"),1,"")</f>
        <v>1</v>
      </c>
      <c r="S5" s="80"/>
      <c r="T5" s="80"/>
      <c r="U5" s="80"/>
      <c r="V5" s="80"/>
      <c r="W5" s="81"/>
      <c r="X5" s="81"/>
    </row>
    <row r="6" spans="1:24" ht="27.75" hidden="1" customHeight="1" x14ac:dyDescent="0.2">
      <c r="A6" s="175" t="str">
        <f>'Analytical Data'!A7</f>
        <v>Redox potential</v>
      </c>
      <c r="B6" s="78" t="e">
        <f ca="1">IF(AND(LOD!E6&gt;1.5,0.35&gt;'rc'!D6,SDrc!D6&lt;0.5),"Surface Wash-Off",IF(AND(LOD!E6&gt;1.5,0.35&lt;'rc'!D6,0.65&gt;'rc'!D6,SDrc!D6&lt;0.5),"Diffusion",IF(AND(LOD!E6&gt;1.5,0.65&lt;'rc'!D6,SDrc!D6&lt;0.5),"Dissolution","ND")))</f>
        <v>#DIV/0!</v>
      </c>
      <c r="C6" s="79" t="e">
        <f ca="1">IF(AND(LOD!F6&gt;1.5,0.35&gt;'rc'!E6,SDrc!E6&lt;0.5),"Depletion",IF(AND(LOD!F6&gt;1.5,0.35&lt;'rc'!E6,0.65&gt;'rc'!E6,SDrc!E6&lt;0.5),"Diffusion",IF(AND(LOD!F6&gt;1.5,0.65&lt;'rc'!E6,SDrc!E6&lt;0.5),"Dissolution","ND")))</f>
        <v>#DIV/0!</v>
      </c>
      <c r="D6" s="79" t="e">
        <f ca="1">IF(AND(LOD!G6&gt;1.5,0.35&gt;'rc'!F6,SDrc!F6&lt;0.5),"Depletion",IF(AND(LOD!G6&gt;1.5,0.35&lt;'rc'!F6,0.65&gt;'rc'!F6,SDrc!F6&lt;0.5),"Diffusion",IF(AND(LOD!G6&gt;1.5,0.65&lt;'rc'!F6,SDrc!F6&lt;0.5),"Dissolution","ND")))</f>
        <v>#DIV/0!</v>
      </c>
      <c r="E6" s="79" t="e">
        <f ca="1">IF(AND(LOD!H6&gt;1.5,0.35&gt;'rc'!G6,SDrc!G6&lt;0.5),"Depletion",IF(AND(LOD!H6&gt;1.5,0.35&lt;'rc'!G6,0.65&gt;'rc'!G6,SDrc!G6&lt;0.5),"Diffusion",IF(AND(LOD!H6&gt;1.5,0.65&lt;'rc'!G6,SDrc!G6&lt;0.5),"Dissolution","ND")))</f>
        <v>#DIV/0!</v>
      </c>
      <c r="F6" s="79" t="e">
        <f ca="1">IF(AND(LOD!I6&gt;1.5,0.35&gt;'rc'!H6,SDrc!H6&lt;0.5),"Depletion",IF(AND(LOD!I6&gt;1.5,0.35&lt;'rc'!H6,0.65&gt;'rc'!H6,SDrc!H6&lt;0.5),"Diffusion",IF(AND(LOD!I6&gt;1.5,0.65&lt;'rc'!H6,SDrc!H6&lt;0.5),"Dissolution","ND")))</f>
        <v>#DIV/0!</v>
      </c>
      <c r="G6" s="86" t="e">
        <f ca="1">IF(AND(LOD!J6&gt;1.5,0.35&gt;'rc'!I6,SDrc!I6&lt;0.5),"Surface Wash-Off",IF(AND(LOD!J6&gt;1.5,0.35&lt;'rc'!I6,0.65&gt;'rc'!I6,SDrc!I6&lt;0.5),"Diffusion",IF(AND(LOD!J6&gt;1.5,0.65&lt;'rc'!I6,SDrc!I6&lt;0.5),"Delayed Diffusion or Dissolution","ND")))</f>
        <v>#DIV/0!</v>
      </c>
      <c r="H6" s="410" t="e">
        <f t="shared" ca="1" si="1"/>
        <v>#DIV/0!</v>
      </c>
      <c r="I6" s="411"/>
      <c r="J6" s="411"/>
      <c r="K6" s="412"/>
      <c r="L6" s="176" t="e">
        <f t="shared" ca="1" si="0"/>
        <v>#DIV/0!</v>
      </c>
      <c r="M6" s="82"/>
      <c r="N6" s="240" t="e">
        <f t="shared" ca="1" si="2"/>
        <v>#DIV/0!</v>
      </c>
      <c r="O6" s="202" t="e">
        <f t="shared" ca="1" si="3"/>
        <v>#DIV/0!</v>
      </c>
      <c r="P6" s="202" t="e">
        <f t="shared" ca="1" si="4"/>
        <v>#DIV/0!</v>
      </c>
      <c r="Q6" s="202" t="e">
        <f t="shared" ca="1" si="5"/>
        <v>#DIV/0!</v>
      </c>
      <c r="R6" s="202" t="e">
        <f t="shared" ca="1" si="6"/>
        <v>#DIV/0!</v>
      </c>
      <c r="S6" s="80"/>
      <c r="T6" s="80"/>
      <c r="U6" s="80"/>
      <c r="V6" s="80"/>
      <c r="W6" s="81"/>
      <c r="X6" s="81"/>
    </row>
    <row r="7" spans="1:24" ht="27.75" customHeight="1" x14ac:dyDescent="0.2">
      <c r="A7" s="175" t="str">
        <f>'Analytical Data'!A8</f>
        <v>Chloride</v>
      </c>
      <c r="B7" s="78" t="str">
        <f ca="1">IF(AND(LOD!E7&gt;1.5,0.35&gt;'rc'!D7,SDrc!D7&lt;0.5),"Surface Wash-Off",IF(AND(LOD!E7&gt;1.5,0.35&lt;'rc'!D7,0.65&gt;'rc'!D7,SDrc!D7&lt;0.5),"Diffusion",IF(AND(LOD!E7&gt;1.5,0.65&lt;'rc'!D7,SDrc!D7&lt;0.5),"Dissolution","ND")))</f>
        <v>ND</v>
      </c>
      <c r="C7" s="79" t="str">
        <f ca="1">IF(AND(LOD!F7&gt;1.5,0.35&gt;'rc'!E7,SDrc!E7&lt;0.5),"Depletion",IF(AND(LOD!F7&gt;1.5,0.35&lt;'rc'!E7,0.65&gt;'rc'!E7,SDrc!E7&lt;0.5),"Diffusion",IF(AND(LOD!F7&gt;1.5,0.65&lt;'rc'!E7,SDrc!E7&lt;0.5),"Dissolution","ND")))</f>
        <v>Dissolution</v>
      </c>
      <c r="D7" s="79" t="str">
        <f ca="1">IF(AND(LOD!G7&gt;1.5,0.35&gt;'rc'!F7,SDrc!F7&lt;0.5),"Depletion",IF(AND(LOD!G7&gt;1.5,0.35&lt;'rc'!F7,0.65&gt;'rc'!F7,SDrc!F7&lt;0.5),"Diffusion",IF(AND(LOD!G7&gt;1.5,0.65&lt;'rc'!F7,SDrc!F7&lt;0.5),"Dissolution","ND")))</f>
        <v>Dissolution</v>
      </c>
      <c r="E7" s="79" t="str">
        <f ca="1">IF(AND(LOD!H7&gt;1.5,0.35&gt;'rc'!G7,SDrc!G7&lt;0.5),"Depletion",IF(AND(LOD!H7&gt;1.5,0.35&lt;'rc'!G7,0.65&gt;'rc'!G7,SDrc!G7&lt;0.5),"Diffusion",IF(AND(LOD!H7&gt;1.5,0.65&lt;'rc'!G7,SDrc!G7&lt;0.5),"Dissolution","ND")))</f>
        <v>ND</v>
      </c>
      <c r="F7" s="79" t="str">
        <f ca="1">IF(AND(LOD!I7&gt;1.5,0.35&gt;'rc'!H7,SDrc!H7&lt;0.5),"Depletion",IF(AND(LOD!I7&gt;1.5,0.35&lt;'rc'!H7,0.65&gt;'rc'!H7,SDrc!H7&lt;0.5),"Diffusion",IF(AND(LOD!I7&gt;1.5,0.65&lt;'rc'!H7,SDrc!H7&lt;0.5),"Dissolution","ND")))</f>
        <v>ND</v>
      </c>
      <c r="G7" s="86" t="str">
        <f ca="1">IF(AND(LOD!J7&gt;1.5,0.35&gt;'rc'!I7,SDrc!I7&lt;0.5),"Surface Wash-Off",IF(AND(LOD!J7&gt;1.5,0.35&lt;'rc'!I7,0.65&gt;'rc'!I7,SDrc!I7&lt;0.5),"Diffusion",IF(AND(LOD!J7&gt;1.5,0.65&lt;'rc'!I7,SDrc!I7&lt;0.5),"Delayed Diffusion or Dissolution","ND")))</f>
        <v>ND</v>
      </c>
      <c r="H7" s="410" t="str">
        <f t="shared" ca="1" si="1"/>
        <v>Dissolution</v>
      </c>
      <c r="I7" s="411"/>
      <c r="J7" s="411"/>
      <c r="K7" s="412"/>
      <c r="L7" s="176" t="str">
        <f ca="1">IF(B7="Diffusion",B$3,IF(C7="Diffusion",C$3,IF(D7="Diffusion",D$3,IF(E7="Diffusion",E$3,IF(F7="Diffusion",F$3,IF(ISNUMBER((SEARCH("Diffusion",G7,1))),G$3,"Non-Diffusion Based"))))))</f>
        <v>Non-Diffusion Based</v>
      </c>
      <c r="M7" s="82"/>
      <c r="N7" s="240" t="str">
        <f t="shared" ca="1" si="2"/>
        <v/>
      </c>
      <c r="O7" s="202" t="str">
        <f t="shared" ca="1" si="3"/>
        <v/>
      </c>
      <c r="P7" s="202" t="str">
        <f t="shared" ca="1" si="4"/>
        <v/>
      </c>
      <c r="Q7" s="202" t="str">
        <f t="shared" ca="1" si="5"/>
        <v>Dissolution</v>
      </c>
      <c r="R7" s="202">
        <f t="shared" ca="1" si="6"/>
        <v>1</v>
      </c>
      <c r="S7" s="80"/>
      <c r="T7" s="80"/>
      <c r="U7" s="80"/>
      <c r="V7" s="80"/>
      <c r="W7" s="81"/>
      <c r="X7" s="81"/>
    </row>
    <row r="8" spans="1:24" ht="27.75" customHeight="1" x14ac:dyDescent="0.2">
      <c r="A8" s="175" t="str">
        <f>'Analytical Data'!A9</f>
        <v>Sodium</v>
      </c>
      <c r="B8" s="78" t="str">
        <f ca="1">IF(AND(LOD!E8&gt;1.5,0.35&gt;'rc'!D8,SDrc!D8&lt;0.5),"Surface Wash-Off",IF(AND(LOD!E8&gt;1.5,0.35&lt;'rc'!D8,0.65&gt;'rc'!D8,SDrc!D8&lt;0.5),"Diffusion",IF(AND(LOD!E8&gt;1.5,0.65&lt;'rc'!D8,SDrc!D8&lt;0.5),"Dissolution","ND")))</f>
        <v>ND</v>
      </c>
      <c r="C8" s="79" t="str">
        <f ca="1">IF(AND(LOD!F8&gt;1.5,0.35&gt;'rc'!E8,SDrc!E8&lt;0.5),"Depletion",IF(AND(LOD!F8&gt;1.5,0.35&lt;'rc'!E8,0.65&gt;'rc'!E8,SDrc!E8&lt;0.5),"Diffusion",IF(AND(LOD!F8&gt;1.5,0.65&lt;'rc'!E8,SDrc!E8&lt;0.5),"Dissolution","ND")))</f>
        <v>Diffusion</v>
      </c>
      <c r="D8" s="79" t="str">
        <f ca="1">IF(AND(LOD!G8&gt;1.5,0.35&gt;'rc'!F8,SDrc!F8&lt;0.5),"Depletion",IF(AND(LOD!G8&gt;1.5,0.35&lt;'rc'!F8,0.65&gt;'rc'!F8,SDrc!F8&lt;0.5),"Diffusion",IF(AND(LOD!G8&gt;1.5,0.65&lt;'rc'!F8,SDrc!F8&lt;0.5),"Dissolution","ND")))</f>
        <v>Dissolution</v>
      </c>
      <c r="E8" s="79" t="str">
        <f ca="1">IF(AND(LOD!H8&gt;1.5,0.35&gt;'rc'!G8,SDrc!G8&lt;0.5),"Depletion",IF(AND(LOD!H8&gt;1.5,0.35&lt;'rc'!G8,0.65&gt;'rc'!G8,SDrc!G8&lt;0.5),"Diffusion",IF(AND(LOD!H8&gt;1.5,0.65&lt;'rc'!G8,SDrc!G8&lt;0.5),"Dissolution","ND")))</f>
        <v>ND</v>
      </c>
      <c r="F8" s="79" t="str">
        <f ca="1">IF(AND(LOD!I8&gt;1.5,0.35&gt;'rc'!H8,SDrc!H8&lt;0.5),"Depletion",IF(AND(LOD!I8&gt;1.5,0.35&lt;'rc'!H8,0.65&gt;'rc'!H8,SDrc!H8&lt;0.5),"Diffusion",IF(AND(LOD!I8&gt;1.5,0.65&lt;'rc'!H8,SDrc!H8&lt;0.5),"Dissolution","ND")))</f>
        <v>ND</v>
      </c>
      <c r="G8" s="86" t="str">
        <f ca="1">IF(AND(LOD!J8&gt;1.5,0.35&gt;'rc'!I8,SDrc!I8&lt;0.5),"Surface Wash-Off",IF(AND(LOD!J8&gt;1.5,0.35&lt;'rc'!I8,0.65&gt;'rc'!I8,SDrc!I8&lt;0.5),"Diffusion",IF(AND(LOD!J8&gt;1.5,0.65&lt;'rc'!I8,SDrc!I8&lt;0.5),"Delayed Diffusion or Dissolution","ND")))</f>
        <v>ND</v>
      </c>
      <c r="H8" s="410" t="str">
        <f t="shared" ca="1" si="1"/>
        <v>Diffusion</v>
      </c>
      <c r="I8" s="411"/>
      <c r="J8" s="411"/>
      <c r="K8" s="412"/>
      <c r="L8" s="176" t="str">
        <f t="shared" ca="1" si="0"/>
        <v>Increment 5-8</v>
      </c>
      <c r="M8" s="82"/>
      <c r="N8" s="240" t="str">
        <f t="shared" ca="1" si="2"/>
        <v>Diffusion</v>
      </c>
      <c r="O8" s="202" t="str">
        <f t="shared" ca="1" si="3"/>
        <v/>
      </c>
      <c r="P8" s="202" t="str">
        <f t="shared" ca="1" si="4"/>
        <v/>
      </c>
      <c r="Q8" s="202" t="str">
        <f t="shared" ca="1" si="5"/>
        <v>Dissolution</v>
      </c>
      <c r="R8" s="202">
        <f t="shared" ca="1" si="6"/>
        <v>1</v>
      </c>
      <c r="S8" s="80"/>
      <c r="T8" s="80"/>
      <c r="U8" s="80"/>
      <c r="V8" s="80"/>
      <c r="W8" s="81"/>
      <c r="X8" s="81"/>
    </row>
    <row r="9" spans="1:24" ht="27.75" customHeight="1" x14ac:dyDescent="0.2">
      <c r="A9" s="175">
        <f>'Analytical Data'!A10</f>
        <v>0</v>
      </c>
      <c r="B9" s="78" t="e">
        <f ca="1">IF(AND(LOD!E9&gt;1.5,0.35&gt;'rc'!D9,SDrc!D9&lt;0.5),"Surface Wash-Off",IF(AND(LOD!E9&gt;1.5,0.35&lt;'rc'!D9,0.65&gt;'rc'!D9,SDrc!D9&lt;0.5),"Diffusion",IF(AND(LOD!E9&gt;1.5,0.65&lt;'rc'!D9,SDrc!D9&lt;0.5),"Dissolution","ND")))</f>
        <v>#DIV/0!</v>
      </c>
      <c r="C9" s="79" t="e">
        <f ca="1">IF(AND(LOD!F9&gt;1.5,0.35&gt;'rc'!E9,SDrc!E9&lt;0.5),"Depletion",IF(AND(LOD!F9&gt;1.5,0.35&lt;'rc'!E9,0.65&gt;'rc'!E9,SDrc!E9&lt;0.5),"Diffusion",IF(AND(LOD!F9&gt;1.5,0.65&lt;'rc'!E9,SDrc!E9&lt;0.5),"Dissolution","ND")))</f>
        <v>#DIV/0!</v>
      </c>
      <c r="D9" s="79" t="e">
        <f ca="1">IF(AND(LOD!G9&gt;1.5,0.35&gt;'rc'!F9,SDrc!F9&lt;0.5),"Depletion",IF(AND(LOD!G9&gt;1.5,0.35&lt;'rc'!F9,0.65&gt;'rc'!F9,SDrc!F9&lt;0.5),"Diffusion",IF(AND(LOD!G9&gt;1.5,0.65&lt;'rc'!F9,SDrc!F9&lt;0.5),"Dissolution","ND")))</f>
        <v>#DIV/0!</v>
      </c>
      <c r="E9" s="79" t="e">
        <f ca="1">IF(AND(LOD!H9&gt;1.5,0.35&gt;'rc'!G9,SDrc!G9&lt;0.5),"Depletion",IF(AND(LOD!H9&gt;1.5,0.35&lt;'rc'!G9,0.65&gt;'rc'!G9,SDrc!G9&lt;0.5),"Diffusion",IF(AND(LOD!H9&gt;1.5,0.65&lt;'rc'!G9,SDrc!G9&lt;0.5),"Dissolution","ND")))</f>
        <v>#DIV/0!</v>
      </c>
      <c r="F9" s="79" t="e">
        <f ca="1">IF(AND(LOD!I9&gt;1.5,0.35&gt;'rc'!H9,SDrc!H9&lt;0.5),"Depletion",IF(AND(LOD!I9&gt;1.5,0.35&lt;'rc'!H9,0.65&gt;'rc'!H9,SDrc!H9&lt;0.5),"Diffusion",IF(AND(LOD!I9&gt;1.5,0.65&lt;'rc'!H9,SDrc!H9&lt;0.5),"Dissolution","ND")))</f>
        <v>#DIV/0!</v>
      </c>
      <c r="G9" s="86" t="e">
        <f ca="1">IF(AND(LOD!J9&gt;1.5,0.35&gt;'rc'!I9,SDrc!I9&lt;0.5),"Surface Wash-Off",IF(AND(LOD!J9&gt;1.5,0.35&lt;'rc'!I9,0.65&gt;'rc'!I9,SDrc!I9&lt;0.5),"Diffusion",IF(AND(LOD!J9&gt;1.5,0.65&lt;'rc'!I9,SDrc!I9&lt;0.5),"Delayed Diffusion or Dissolution","ND")))</f>
        <v>#DIV/0!</v>
      </c>
      <c r="H9" s="410" t="e">
        <f t="shared" ca="1" si="1"/>
        <v>#DIV/0!</v>
      </c>
      <c r="I9" s="411"/>
      <c r="J9" s="411"/>
      <c r="K9" s="412"/>
      <c r="L9" s="176" t="e">
        <f t="shared" ca="1" si="0"/>
        <v>#DIV/0!</v>
      </c>
      <c r="M9" s="82"/>
      <c r="N9" s="240" t="e">
        <f t="shared" ca="1" si="2"/>
        <v>#DIV/0!</v>
      </c>
      <c r="O9" s="202" t="e">
        <f t="shared" ca="1" si="3"/>
        <v>#DIV/0!</v>
      </c>
      <c r="P9" s="202" t="e">
        <f t="shared" ca="1" si="4"/>
        <v>#DIV/0!</v>
      </c>
      <c r="Q9" s="202" t="e">
        <f t="shared" ca="1" si="5"/>
        <v>#DIV/0!</v>
      </c>
      <c r="R9" s="202" t="e">
        <f t="shared" ca="1" si="6"/>
        <v>#DIV/0!</v>
      </c>
      <c r="S9" s="80"/>
      <c r="T9" s="80"/>
      <c r="U9" s="80"/>
      <c r="V9" s="80"/>
      <c r="W9" s="81"/>
      <c r="X9" s="81"/>
    </row>
    <row r="10" spans="1:24" ht="27.75" customHeight="1" x14ac:dyDescent="0.2">
      <c r="A10" s="175">
        <f>'Analytical Data'!A11</f>
        <v>0</v>
      </c>
      <c r="B10" s="78" t="e">
        <f ca="1">IF(AND(LOD!E10&gt;1.5,0.35&gt;'rc'!D10,SDrc!D10&lt;0.5),"Surface Wash-Off",IF(AND(LOD!E10&gt;1.5,0.35&lt;'rc'!D10,0.65&gt;'rc'!D10,SDrc!D10&lt;0.5),"Diffusion",IF(AND(LOD!E10&gt;1.5,0.65&lt;'rc'!D10,SDrc!D10&lt;0.5),"Dissolution","ND")))</f>
        <v>#DIV/0!</v>
      </c>
      <c r="C10" s="79" t="e">
        <f ca="1">IF(AND(LOD!F10&gt;1.5,0.35&gt;'rc'!E10,SDrc!E10&lt;0.5),"Depletion",IF(AND(LOD!F10&gt;1.5,0.35&lt;'rc'!E10,0.65&gt;'rc'!E10,SDrc!E10&lt;0.5),"Diffusion",IF(AND(LOD!F10&gt;1.5,0.65&lt;'rc'!E10,SDrc!E10&lt;0.5),"Dissolution","ND")))</f>
        <v>#DIV/0!</v>
      </c>
      <c r="D10" s="79" t="e">
        <f ca="1">IF(AND(LOD!G10&gt;1.5,0.35&gt;'rc'!F10,SDrc!F10&lt;0.5),"Depletion",IF(AND(LOD!G10&gt;1.5,0.35&lt;'rc'!F10,0.65&gt;'rc'!F10,SDrc!F10&lt;0.5),"Diffusion",IF(AND(LOD!G10&gt;1.5,0.65&lt;'rc'!F10,SDrc!F10&lt;0.5),"Dissolution","ND")))</f>
        <v>#DIV/0!</v>
      </c>
      <c r="E10" s="79" t="e">
        <f ca="1">IF(AND(LOD!H10&gt;1.5,0.35&gt;'rc'!G10,SDrc!G10&lt;0.5),"Depletion",IF(AND(LOD!H10&gt;1.5,0.35&lt;'rc'!G10,0.65&gt;'rc'!G10,SDrc!G10&lt;0.5),"Diffusion",IF(AND(LOD!H10&gt;1.5,0.65&lt;'rc'!G10,SDrc!G10&lt;0.5),"Dissolution","ND")))</f>
        <v>#DIV/0!</v>
      </c>
      <c r="F10" s="79" t="e">
        <f ca="1">IF(AND(LOD!I10&gt;1.5,0.35&gt;'rc'!H10,SDrc!H10&lt;0.5),"Depletion",IF(AND(LOD!I10&gt;1.5,0.35&lt;'rc'!H10,0.65&gt;'rc'!H10,SDrc!H10&lt;0.5),"Diffusion",IF(AND(LOD!I10&gt;1.5,0.65&lt;'rc'!H10,SDrc!H10&lt;0.5),"Dissolution","ND")))</f>
        <v>#DIV/0!</v>
      </c>
      <c r="G10" s="86" t="e">
        <f ca="1">IF(AND(LOD!J10&gt;1.5,0.35&gt;'rc'!I10,SDrc!I10&lt;0.5),"Surface Wash-Off",IF(AND(LOD!J10&gt;1.5,0.35&lt;'rc'!I10,0.65&gt;'rc'!I10,SDrc!I10&lt;0.5),"Diffusion",IF(AND(LOD!J10&gt;1.5,0.65&lt;'rc'!I10,SDrc!I10&lt;0.5),"Delayed Diffusion or Dissolution","ND")))</f>
        <v>#DIV/0!</v>
      </c>
      <c r="H10" s="410" t="e">
        <f t="shared" ca="1" si="1"/>
        <v>#DIV/0!</v>
      </c>
      <c r="I10" s="411"/>
      <c r="J10" s="411"/>
      <c r="K10" s="412"/>
      <c r="L10" s="176" t="e">
        <f t="shared" ca="1" si="0"/>
        <v>#DIV/0!</v>
      </c>
      <c r="M10" s="82"/>
      <c r="N10" s="240" t="e">
        <f t="shared" ca="1" si="2"/>
        <v>#DIV/0!</v>
      </c>
      <c r="O10" s="202" t="e">
        <f t="shared" ca="1" si="3"/>
        <v>#DIV/0!</v>
      </c>
      <c r="P10" s="202" t="e">
        <f t="shared" ca="1" si="4"/>
        <v>#DIV/0!</v>
      </c>
      <c r="Q10" s="202" t="e">
        <f t="shared" ca="1" si="5"/>
        <v>#DIV/0!</v>
      </c>
      <c r="R10" s="202" t="e">
        <f t="shared" ca="1" si="6"/>
        <v>#DIV/0!</v>
      </c>
      <c r="S10" s="80"/>
      <c r="T10" s="80"/>
      <c r="U10" s="80"/>
      <c r="V10" s="80"/>
      <c r="W10" s="81"/>
      <c r="X10" s="81"/>
    </row>
    <row r="11" spans="1:24" ht="27.75" customHeight="1" x14ac:dyDescent="0.2">
      <c r="A11" s="175">
        <f>'Analytical Data'!A12</f>
        <v>0</v>
      </c>
      <c r="B11" s="78" t="e">
        <f ca="1">IF(AND(LOD!E11&gt;1.5,0.35&gt;'rc'!D11,SDrc!D11&lt;0.5),"Surface Wash-Off",IF(AND(LOD!E11&gt;1.5,0.35&lt;'rc'!D11,0.65&gt;'rc'!D11,SDrc!D11&lt;0.5),"Diffusion",IF(AND(LOD!E11&gt;1.5,0.65&lt;'rc'!D11,SDrc!D11&lt;0.5),"Dissolution","ND")))</f>
        <v>#DIV/0!</v>
      </c>
      <c r="C11" s="79" t="e">
        <f ca="1">IF(AND(LOD!F11&gt;1.5,0.35&gt;'rc'!E11,SDrc!E11&lt;0.5),"Depletion",IF(AND(LOD!F11&gt;1.5,0.35&lt;'rc'!E11,0.65&gt;'rc'!E11,SDrc!E11&lt;0.5),"Diffusion",IF(AND(LOD!F11&gt;1.5,0.65&lt;'rc'!E11,SDrc!E11&lt;0.5),"Dissolution","ND")))</f>
        <v>#DIV/0!</v>
      </c>
      <c r="D11" s="79" t="e">
        <f ca="1">IF(AND(LOD!G11&gt;1.5,0.35&gt;'rc'!F11,SDrc!F11&lt;0.5),"Depletion",IF(AND(LOD!G11&gt;1.5,0.35&lt;'rc'!F11,0.65&gt;'rc'!F11,SDrc!F11&lt;0.5),"Diffusion",IF(AND(LOD!G11&gt;1.5,0.65&lt;'rc'!F11,SDrc!F11&lt;0.5),"Dissolution","ND")))</f>
        <v>#DIV/0!</v>
      </c>
      <c r="E11" s="79" t="e">
        <f ca="1">IF(AND(LOD!H11&gt;1.5,0.35&gt;'rc'!G11,SDrc!G11&lt;0.5),"Depletion",IF(AND(LOD!H11&gt;1.5,0.35&lt;'rc'!G11,0.65&gt;'rc'!G11,SDrc!G11&lt;0.5),"Diffusion",IF(AND(LOD!H11&gt;1.5,0.65&lt;'rc'!G11,SDrc!G11&lt;0.5),"Dissolution","ND")))</f>
        <v>#DIV/0!</v>
      </c>
      <c r="F11" s="79" t="e">
        <f ca="1">IF(AND(LOD!I11&gt;1.5,0.35&gt;'rc'!H11,SDrc!H11&lt;0.5),"Depletion",IF(AND(LOD!I11&gt;1.5,0.35&lt;'rc'!H11,0.65&gt;'rc'!H11,SDrc!H11&lt;0.5),"Diffusion",IF(AND(LOD!I11&gt;1.5,0.65&lt;'rc'!H11,SDrc!H11&lt;0.5),"Dissolution","ND")))</f>
        <v>#DIV/0!</v>
      </c>
      <c r="G11" s="86" t="e">
        <f ca="1">IF(AND(LOD!J11&gt;1.5,0.35&gt;'rc'!I11,SDrc!I11&lt;0.5),"Surface Wash-Off",IF(AND(LOD!J11&gt;1.5,0.35&lt;'rc'!I11,0.65&gt;'rc'!I11,SDrc!I11&lt;0.5),"Diffusion",IF(AND(LOD!J11&gt;1.5,0.65&lt;'rc'!I11,SDrc!I11&lt;0.5),"Delayed Diffusion or Dissolution","ND")))</f>
        <v>#DIV/0!</v>
      </c>
      <c r="H11" s="410" t="e">
        <f t="shared" ca="1" si="1"/>
        <v>#DIV/0!</v>
      </c>
      <c r="I11" s="411"/>
      <c r="J11" s="411"/>
      <c r="K11" s="412"/>
      <c r="L11" s="176" t="e">
        <f t="shared" ca="1" si="0"/>
        <v>#DIV/0!</v>
      </c>
      <c r="M11" s="82"/>
      <c r="N11" s="240" t="e">
        <f t="shared" ca="1" si="2"/>
        <v>#DIV/0!</v>
      </c>
      <c r="O11" s="202" t="e">
        <f t="shared" ca="1" si="3"/>
        <v>#DIV/0!</v>
      </c>
      <c r="P11" s="202" t="e">
        <f t="shared" ca="1" si="4"/>
        <v>#DIV/0!</v>
      </c>
      <c r="Q11" s="202" t="e">
        <f t="shared" ca="1" si="5"/>
        <v>#DIV/0!</v>
      </c>
      <c r="R11" s="202" t="e">
        <f t="shared" ca="1" si="6"/>
        <v>#DIV/0!</v>
      </c>
      <c r="S11" s="80"/>
      <c r="T11" s="80"/>
      <c r="U11" s="80"/>
      <c r="V11" s="80"/>
      <c r="W11" s="81"/>
      <c r="X11" s="81"/>
    </row>
    <row r="12" spans="1:24" ht="27.75" customHeight="1" x14ac:dyDescent="0.2">
      <c r="A12" s="175">
        <f>'Analytical Data'!A13</f>
        <v>0</v>
      </c>
      <c r="B12" s="78" t="e">
        <f ca="1">IF(AND(LOD!E12&gt;1.5,0.35&gt;'rc'!D12,SDrc!D12&lt;0.5),"Surface Wash-Off",IF(AND(LOD!E12&gt;1.5,0.35&lt;'rc'!D12,0.65&gt;'rc'!D12,SDrc!D12&lt;0.5),"Diffusion",IF(AND(LOD!E12&gt;1.5,0.65&lt;'rc'!D12,SDrc!D12&lt;0.5),"Dissolution","ND")))</f>
        <v>#DIV/0!</v>
      </c>
      <c r="C12" s="254" t="e">
        <f ca="1">IF(AND(LOD!F12&gt;1.5,0.35&gt;'rc'!E12,SDrc!E12&lt;0.5),"Depletion",IF(AND(LOD!F12&gt;1.5,0.35&lt;'rc'!E12,0.65&gt;'rc'!E12,SDrc!E12&lt;0.5),"Diffusion",IF(AND(LOD!F12&gt;1.5,0.65&lt;'rc'!E12,SDrc!E12&lt;0.5),"Dissolution","ND")))</f>
        <v>#DIV/0!</v>
      </c>
      <c r="D12" s="79" t="e">
        <f ca="1">IF(AND(LOD!G12&gt;1.5,0.35&gt;'rc'!F12,SDrc!F12&lt;0.5),"Depletion",IF(AND(LOD!G12&gt;1.5,0.35&lt;'rc'!F12,0.65&gt;'rc'!F12,SDrc!F12&lt;0.5),"Diffusion",IF(AND(LOD!G12&gt;1.5,0.65&lt;'rc'!F12,SDrc!F12&lt;0.5),"Dissolution","ND")))</f>
        <v>#DIV/0!</v>
      </c>
      <c r="E12" s="79" t="e">
        <f ca="1">IF(AND(LOD!H12&gt;1.5,0.35&gt;'rc'!G12,SDrc!G12&lt;0.5),"Depletion",IF(AND(LOD!H12&gt;1.5,0.35&lt;'rc'!G12,0.65&gt;'rc'!G12,SDrc!G12&lt;0.5),"Diffusion",IF(AND(LOD!H12&gt;1.5,0.65&lt;'rc'!G12,SDrc!G12&lt;0.5),"Dissolution","ND")))</f>
        <v>#DIV/0!</v>
      </c>
      <c r="F12" s="79" t="e">
        <f ca="1">IF(AND(LOD!I12&gt;1.5,0.35&gt;'rc'!H12,SDrc!H12&lt;0.5),"Depletion",IF(AND(LOD!I12&gt;1.5,0.35&lt;'rc'!H12,0.65&gt;'rc'!H12,SDrc!H12&lt;0.5),"Diffusion",IF(AND(LOD!I12&gt;1.5,0.65&lt;'rc'!H12,SDrc!H12&lt;0.5),"Dissolution","ND")))</f>
        <v>#DIV/0!</v>
      </c>
      <c r="G12" s="86" t="e">
        <f ca="1">IF(AND(LOD!J12&gt;1.5,0.35&gt;'rc'!I12,SDrc!I12&lt;0.5),"Surface Wash-Off",IF(AND(LOD!J12&gt;1.5,0.35&lt;'rc'!I12,0.65&gt;'rc'!I12,SDrc!I12&lt;0.5),"Diffusion",IF(AND(LOD!J12&gt;1.5,0.65&lt;'rc'!I12,SDrc!I12&lt;0.5),"Delayed Diffusion or Dissolution","ND")))</f>
        <v>#DIV/0!</v>
      </c>
      <c r="H12" s="410" t="e">
        <f t="shared" ca="1" si="1"/>
        <v>#DIV/0!</v>
      </c>
      <c r="I12" s="411"/>
      <c r="J12" s="411"/>
      <c r="K12" s="412"/>
      <c r="L12" s="176" t="e">
        <f t="shared" ca="1" si="0"/>
        <v>#DIV/0!</v>
      </c>
      <c r="M12" s="82"/>
      <c r="N12" s="240" t="e">
        <f t="shared" ca="1" si="2"/>
        <v>#DIV/0!</v>
      </c>
      <c r="O12" s="202" t="e">
        <f t="shared" ca="1" si="3"/>
        <v>#DIV/0!</v>
      </c>
      <c r="P12" s="202" t="e">
        <f t="shared" ca="1" si="4"/>
        <v>#DIV/0!</v>
      </c>
      <c r="Q12" s="202" t="e">
        <f t="shared" ca="1" si="5"/>
        <v>#DIV/0!</v>
      </c>
      <c r="R12" s="202" t="e">
        <f t="shared" ca="1" si="6"/>
        <v>#DIV/0!</v>
      </c>
      <c r="S12" s="80"/>
      <c r="T12" s="80"/>
      <c r="U12" s="80"/>
      <c r="V12" s="80"/>
      <c r="W12" s="81"/>
      <c r="X12" s="81"/>
    </row>
    <row r="13" spans="1:24" ht="27.75" customHeight="1" x14ac:dyDescent="0.2">
      <c r="A13" s="175">
        <f>'Analytical Data'!A14</f>
        <v>0</v>
      </c>
      <c r="B13" s="78" t="e">
        <f ca="1">IF(AND(LOD!E13&gt;1.5,0.35&gt;'rc'!D13,SDrc!D13&lt;0.5),"Surface Wash-Off",IF(AND(LOD!E13&gt;1.5,0.35&lt;'rc'!D13,0.65&gt;'rc'!D13,SDrc!D13&lt;0.5),"Diffusion",IF(AND(LOD!E13&gt;1.5,0.65&lt;'rc'!D13,SDrc!D13&lt;0.5),"Dissolution","ND")))</f>
        <v>#DIV/0!</v>
      </c>
      <c r="C13" s="79" t="e">
        <f ca="1">IF(AND(LOD!F13&gt;1.5,0.35&gt;'rc'!E13,SDrc!E13&lt;0.5),"Depletion",IF(AND(LOD!F13&gt;1.5,0.35&lt;'rc'!E13,0.65&gt;'rc'!E13,SDrc!E13&lt;0.5),"Diffusion",IF(AND(LOD!F13&gt;1.5,0.65&lt;'rc'!E13,SDrc!E13&lt;0.5),"Dissolution","ND")))</f>
        <v>#DIV/0!</v>
      </c>
      <c r="D13" s="79" t="e">
        <f ca="1">IF(AND(LOD!G13&gt;1.5,0.35&gt;'rc'!F13,SDrc!F13&lt;0.5),"Depletion",IF(AND(LOD!G13&gt;1.5,0.35&lt;'rc'!F13,0.65&gt;'rc'!F13,SDrc!F13&lt;0.5),"Diffusion",IF(AND(LOD!G13&gt;1.5,0.65&lt;'rc'!F13,SDrc!F13&lt;0.5),"Dissolution","ND")))</f>
        <v>#DIV/0!</v>
      </c>
      <c r="E13" s="79" t="e">
        <f ca="1">IF(AND(LOD!H13&gt;1.5,0.35&gt;'rc'!G13,SDrc!G13&lt;0.5),"Depletion",IF(AND(LOD!H13&gt;1.5,0.35&lt;'rc'!G13,0.65&gt;'rc'!G13,SDrc!G13&lt;0.5),"Diffusion",IF(AND(LOD!H13&gt;1.5,0.65&lt;'rc'!G13,SDrc!G13&lt;0.5),"Dissolution","ND")))</f>
        <v>#DIV/0!</v>
      </c>
      <c r="F13" s="79" t="e">
        <f ca="1">IF(AND(LOD!I13&gt;1.5,0.35&gt;'rc'!H13,SDrc!H13&lt;0.5),"Depletion",IF(AND(LOD!I13&gt;1.5,0.35&lt;'rc'!H13,0.65&gt;'rc'!H13,SDrc!H13&lt;0.5),"Diffusion",IF(AND(LOD!I13&gt;1.5,0.65&lt;'rc'!H13,SDrc!H13&lt;0.5),"Dissolution","ND")))</f>
        <v>#DIV/0!</v>
      </c>
      <c r="G13" s="86" t="e">
        <f ca="1">IF(AND(LOD!J13&gt;1.5,0.35&gt;'rc'!I13,SDrc!I13&lt;0.5),"Surface Wash-Off",IF(AND(LOD!J13&gt;1.5,0.35&lt;'rc'!I13,0.65&gt;'rc'!I13,SDrc!I13&lt;0.5),"Diffusion",IF(AND(LOD!J13&gt;1.5,0.65&lt;'rc'!I13,SDrc!I13&lt;0.5),"Delayed Diffusion or Dissolution","ND")))</f>
        <v>#DIV/0!</v>
      </c>
      <c r="H13" s="410" t="e">
        <f t="shared" ca="1" si="1"/>
        <v>#DIV/0!</v>
      </c>
      <c r="I13" s="411"/>
      <c r="J13" s="411"/>
      <c r="K13" s="412"/>
      <c r="L13" s="176" t="e">
        <f t="shared" ca="1" si="0"/>
        <v>#DIV/0!</v>
      </c>
      <c r="M13" s="82"/>
      <c r="N13" s="240" t="e">
        <f t="shared" ca="1" si="2"/>
        <v>#DIV/0!</v>
      </c>
      <c r="O13" s="202" t="e">
        <f t="shared" ca="1" si="3"/>
        <v>#DIV/0!</v>
      </c>
      <c r="P13" s="202" t="e">
        <f t="shared" ca="1" si="4"/>
        <v>#DIV/0!</v>
      </c>
      <c r="Q13" s="202" t="e">
        <f t="shared" ca="1" si="5"/>
        <v>#DIV/0!</v>
      </c>
      <c r="R13" s="202" t="e">
        <f t="shared" ca="1" si="6"/>
        <v>#DIV/0!</v>
      </c>
      <c r="S13" s="80"/>
      <c r="T13" s="80"/>
      <c r="U13" s="80"/>
      <c r="V13" s="80"/>
      <c r="W13" s="81"/>
      <c r="X13" s="81"/>
    </row>
    <row r="14" spans="1:24" ht="27.75" customHeight="1" x14ac:dyDescent="0.2">
      <c r="A14" s="175">
        <f>'Analytical Data'!A15</f>
        <v>0</v>
      </c>
      <c r="B14" s="78" t="e">
        <f ca="1">IF(AND(LOD!E14&gt;1.5,0.35&gt;'rc'!D14,SDrc!D14&lt;0.5),"Surface Wash-Off",IF(AND(LOD!E14&gt;1.5,0.35&lt;'rc'!D14,0.65&gt;'rc'!D14,SDrc!D14&lt;0.5),"Diffusion",IF(AND(LOD!E14&gt;1.5,0.65&lt;'rc'!D14,SDrc!D14&lt;0.5),"Dissolution","ND")))</f>
        <v>#DIV/0!</v>
      </c>
      <c r="C14" s="79" t="e">
        <f ca="1">IF(AND(LOD!F14&gt;1.5,0.35&gt;'rc'!E14,SDrc!E14&lt;0.5),"Depletion",IF(AND(LOD!F14&gt;1.5,0.35&lt;'rc'!E14,0.65&gt;'rc'!E14,SDrc!E14&lt;0.5),"Diffusion",IF(AND(LOD!F14&gt;1.5,0.65&lt;'rc'!E14,SDrc!E14&lt;0.5),"Dissolution","ND")))</f>
        <v>#DIV/0!</v>
      </c>
      <c r="D14" s="79" t="e">
        <f ca="1">IF(AND(LOD!G14&gt;1.5,0.35&gt;'rc'!F14,SDrc!F14&lt;0.5),"Depletion",IF(AND(LOD!G14&gt;1.5,0.35&lt;'rc'!F14,0.65&gt;'rc'!F14,SDrc!F14&lt;0.5),"Diffusion",IF(AND(LOD!G14&gt;1.5,0.65&lt;'rc'!F14,SDrc!F14&lt;0.5),"Dissolution","ND")))</f>
        <v>#DIV/0!</v>
      </c>
      <c r="E14" s="79" t="e">
        <f ca="1">IF(AND(LOD!H14&gt;1.5,0.35&gt;'rc'!G14,SDrc!G14&lt;0.5),"Depletion",IF(AND(LOD!H14&gt;1.5,0.35&lt;'rc'!G14,0.65&gt;'rc'!G14,SDrc!G14&lt;0.5),"Diffusion",IF(AND(LOD!H14&gt;1.5,0.65&lt;'rc'!G14,SDrc!G14&lt;0.5),"Dissolution","ND")))</f>
        <v>#DIV/0!</v>
      </c>
      <c r="F14" s="79" t="e">
        <f ca="1">IF(AND(LOD!I14&gt;1.5,0.35&gt;'rc'!H14,SDrc!H14&lt;0.5),"Depletion",IF(AND(LOD!I14&gt;1.5,0.35&lt;'rc'!H14,0.65&gt;'rc'!H14,SDrc!H14&lt;0.5),"Diffusion",IF(AND(LOD!I14&gt;1.5,0.65&lt;'rc'!H14,SDrc!H14&lt;0.5),"Dissolution","ND")))</f>
        <v>#DIV/0!</v>
      </c>
      <c r="G14" s="86" t="e">
        <f ca="1">IF(AND(LOD!J14&gt;1.5,0.35&gt;'rc'!I14,SDrc!I14&lt;0.5),"Surface Wash-Off",IF(AND(LOD!J14&gt;1.5,0.35&lt;'rc'!I14,0.65&gt;'rc'!I14,SDrc!I14&lt;0.5),"Diffusion",IF(AND(LOD!J14&gt;1.5,0.65&lt;'rc'!I14,SDrc!I14&lt;0.5),"Delayed Diffusion or Dissolution","ND")))</f>
        <v>#DIV/0!</v>
      </c>
      <c r="H14" s="410" t="e">
        <f t="shared" ca="1" si="1"/>
        <v>#DIV/0!</v>
      </c>
      <c r="I14" s="411"/>
      <c r="J14" s="411"/>
      <c r="K14" s="412"/>
      <c r="L14" s="176" t="e">
        <f t="shared" ca="1" si="0"/>
        <v>#DIV/0!</v>
      </c>
      <c r="M14" s="82"/>
      <c r="N14" s="240" t="e">
        <f t="shared" ca="1" si="2"/>
        <v>#DIV/0!</v>
      </c>
      <c r="O14" s="202" t="e">
        <f t="shared" ca="1" si="3"/>
        <v>#DIV/0!</v>
      </c>
      <c r="P14" s="202" t="e">
        <f t="shared" ca="1" si="4"/>
        <v>#DIV/0!</v>
      </c>
      <c r="Q14" s="202" t="e">
        <f t="shared" ca="1" si="5"/>
        <v>#DIV/0!</v>
      </c>
      <c r="R14" s="202" t="e">
        <f t="shared" ca="1" si="6"/>
        <v>#DIV/0!</v>
      </c>
      <c r="S14" s="80"/>
      <c r="T14" s="80"/>
      <c r="U14" s="80"/>
      <c r="V14" s="80"/>
      <c r="W14" s="81"/>
      <c r="X14" s="81"/>
    </row>
    <row r="15" spans="1:24" ht="27.75" customHeight="1" x14ac:dyDescent="0.2">
      <c r="A15" s="175">
        <f>'Analytical Data'!A16</f>
        <v>0</v>
      </c>
      <c r="B15" s="78" t="e">
        <f ca="1">IF(AND(LOD!E15&gt;1.5,0.35&gt;'rc'!D15,SDrc!D15&lt;0.5),"Surface Wash-Off",IF(AND(LOD!E15&gt;1.5,0.35&lt;'rc'!D15,0.65&gt;'rc'!D15,SDrc!D15&lt;0.5),"Diffusion",IF(AND(LOD!E15&gt;1.5,0.65&lt;'rc'!D15,SDrc!D15&lt;0.5),"Dissolution","ND")))</f>
        <v>#DIV/0!</v>
      </c>
      <c r="C15" s="79" t="e">
        <f ca="1">IF(AND(LOD!F15&gt;1.5,0.35&gt;'rc'!E15,SDrc!E15&lt;0.5),"Depletion",IF(AND(LOD!F15&gt;1.5,0.35&lt;'rc'!E15,0.65&gt;'rc'!E15,SDrc!E15&lt;0.5),"Diffusion",IF(AND(LOD!F15&gt;1.5,0.65&lt;'rc'!E15,SDrc!E15&lt;0.5),"Dissolution","ND")))</f>
        <v>#DIV/0!</v>
      </c>
      <c r="D15" s="79" t="e">
        <f ca="1">IF(AND(LOD!G15&gt;1.5,0.35&gt;'rc'!F15,SDrc!F15&lt;0.5),"Depletion",IF(AND(LOD!G15&gt;1.5,0.35&lt;'rc'!F15,0.65&gt;'rc'!F15,SDrc!F15&lt;0.5),"Diffusion",IF(AND(LOD!G15&gt;1.5,0.65&lt;'rc'!F15,SDrc!F15&lt;0.5),"Dissolution","ND")))</f>
        <v>#DIV/0!</v>
      </c>
      <c r="E15" s="79" t="e">
        <f ca="1">IF(AND(LOD!H15&gt;1.5,0.35&gt;'rc'!G15,SDrc!G15&lt;0.5),"Depletion",IF(AND(LOD!H15&gt;1.5,0.35&lt;'rc'!G15,0.65&gt;'rc'!G15,SDrc!G15&lt;0.5),"Diffusion",IF(AND(LOD!H15&gt;1.5,0.65&lt;'rc'!G15,SDrc!G15&lt;0.5),"Dissolution","ND")))</f>
        <v>#DIV/0!</v>
      </c>
      <c r="F15" s="79" t="e">
        <f ca="1">IF(AND(LOD!I15&gt;1.5,0.35&gt;'rc'!H15,SDrc!H15&lt;0.5),"Depletion",IF(AND(LOD!I15&gt;1.5,0.35&lt;'rc'!H15,0.65&gt;'rc'!H15,SDrc!H15&lt;0.5),"Diffusion",IF(AND(LOD!I15&gt;1.5,0.65&lt;'rc'!H15,SDrc!H15&lt;0.5),"Dissolution","ND")))</f>
        <v>#DIV/0!</v>
      </c>
      <c r="G15" s="86" t="e">
        <f ca="1">IF(AND(LOD!J15&gt;1.5,0.35&gt;'rc'!I15,SDrc!I15&lt;0.5),"Surface Wash-Off",IF(AND(LOD!J15&gt;1.5,0.35&lt;'rc'!I15,0.65&gt;'rc'!I15,SDrc!I15&lt;0.5),"Diffusion",IF(AND(LOD!J15&gt;1.5,0.65&lt;'rc'!I15,SDrc!I15&lt;0.5),"Delayed Diffusion or Dissolution","ND")))</f>
        <v>#DIV/0!</v>
      </c>
      <c r="H15" s="410" t="e">
        <f t="shared" ca="1" si="1"/>
        <v>#DIV/0!</v>
      </c>
      <c r="I15" s="411"/>
      <c r="J15" s="411"/>
      <c r="K15" s="412"/>
      <c r="L15" s="176" t="e">
        <f t="shared" ca="1" si="0"/>
        <v>#DIV/0!</v>
      </c>
      <c r="M15" s="82"/>
      <c r="N15" s="240" t="e">
        <f t="shared" ca="1" si="2"/>
        <v>#DIV/0!</v>
      </c>
      <c r="O15" s="202" t="e">
        <f t="shared" ca="1" si="3"/>
        <v>#DIV/0!</v>
      </c>
      <c r="P15" s="202" t="e">
        <f t="shared" ca="1" si="4"/>
        <v>#DIV/0!</v>
      </c>
      <c r="Q15" s="202" t="e">
        <f t="shared" ca="1" si="5"/>
        <v>#DIV/0!</v>
      </c>
      <c r="R15" s="202" t="e">
        <f t="shared" ca="1" si="6"/>
        <v>#DIV/0!</v>
      </c>
      <c r="S15" s="80"/>
      <c r="T15" s="80"/>
      <c r="U15" s="80"/>
      <c r="V15" s="80"/>
      <c r="W15" s="81"/>
      <c r="X15" s="81"/>
    </row>
    <row r="16" spans="1:24" ht="27.75" customHeight="1" x14ac:dyDescent="0.2">
      <c r="A16" s="175">
        <f>'Analytical Data'!A17</f>
        <v>0</v>
      </c>
      <c r="B16" s="78" t="e">
        <f ca="1">IF(AND(LOD!E16&gt;1.5,0.35&gt;'rc'!D16,SDrc!D16&lt;0.5),"Surface Wash-Off",IF(AND(LOD!E16&gt;1.5,0.35&lt;'rc'!D16,0.65&gt;'rc'!D16,SDrc!D16&lt;0.5),"Diffusion",IF(AND(LOD!E16&gt;1.5,0.65&lt;'rc'!D16,SDrc!D16&lt;0.5),"Dissolution","ND")))</f>
        <v>#DIV/0!</v>
      </c>
      <c r="C16" s="79" t="e">
        <f ca="1">IF(AND(LOD!F16&gt;1.5,0.35&gt;'rc'!E16,SDrc!E16&lt;0.5),"Depletion",IF(AND(LOD!F16&gt;1.5,0.35&lt;'rc'!E16,0.65&gt;'rc'!E16,SDrc!E16&lt;0.5),"Diffusion",IF(AND(LOD!F16&gt;1.5,0.65&lt;'rc'!E16,SDrc!E16&lt;0.5),"Dissolution","ND")))</f>
        <v>#DIV/0!</v>
      </c>
      <c r="D16" s="79" t="e">
        <f ca="1">IF(AND(LOD!G16&gt;1.5,0.35&gt;'rc'!F16,SDrc!F16&lt;0.5),"Depletion",IF(AND(LOD!G16&gt;1.5,0.35&lt;'rc'!F16,0.65&gt;'rc'!F16,SDrc!F16&lt;0.5),"Diffusion",IF(AND(LOD!G16&gt;1.5,0.65&lt;'rc'!F16,SDrc!F16&lt;0.5),"Dissolution","ND")))</f>
        <v>#DIV/0!</v>
      </c>
      <c r="E16" s="79" t="e">
        <f ca="1">IF(AND(LOD!H16&gt;1.5,0.35&gt;'rc'!G16,SDrc!G16&lt;0.5),"Depletion",IF(AND(LOD!H16&gt;1.5,0.35&lt;'rc'!G16,0.65&gt;'rc'!G16,SDrc!G16&lt;0.5),"Diffusion",IF(AND(LOD!H16&gt;1.5,0.65&lt;'rc'!G16,SDrc!G16&lt;0.5),"Dissolution","ND")))</f>
        <v>#DIV/0!</v>
      </c>
      <c r="F16" s="79" t="e">
        <f ca="1">IF(AND(LOD!I16&gt;1.5,0.35&gt;'rc'!H16,SDrc!H16&lt;0.5),"Depletion",IF(AND(LOD!I16&gt;1.5,0.35&lt;'rc'!H16,0.65&gt;'rc'!H16,SDrc!H16&lt;0.5),"Diffusion",IF(AND(LOD!I16&gt;1.5,0.65&lt;'rc'!H16,SDrc!H16&lt;0.5),"Dissolution","ND")))</f>
        <v>#DIV/0!</v>
      </c>
      <c r="G16" s="86" t="e">
        <f ca="1">IF(AND(LOD!J16&gt;1.5,0.35&gt;'rc'!I16,SDrc!I16&lt;0.5),"Surface Wash-Off",IF(AND(LOD!J16&gt;1.5,0.35&lt;'rc'!I16,0.65&gt;'rc'!I16,SDrc!I16&lt;0.5),"Diffusion",IF(AND(LOD!J16&gt;1.5,0.65&lt;'rc'!I16,SDrc!I16&lt;0.5),"Delayed Diffusion or Dissolution","ND")))</f>
        <v>#DIV/0!</v>
      </c>
      <c r="H16" s="410" t="e">
        <f t="shared" ca="1" si="1"/>
        <v>#DIV/0!</v>
      </c>
      <c r="I16" s="411"/>
      <c r="J16" s="411"/>
      <c r="K16" s="412"/>
      <c r="L16" s="176" t="e">
        <f t="shared" ca="1" si="0"/>
        <v>#DIV/0!</v>
      </c>
      <c r="M16" s="82"/>
      <c r="N16" s="240" t="e">
        <f t="shared" ca="1" si="2"/>
        <v>#DIV/0!</v>
      </c>
      <c r="O16" s="202" t="e">
        <f t="shared" ca="1" si="3"/>
        <v>#DIV/0!</v>
      </c>
      <c r="P16" s="202" t="e">
        <f t="shared" ca="1" si="4"/>
        <v>#DIV/0!</v>
      </c>
      <c r="Q16" s="202" t="e">
        <f t="shared" ca="1" si="5"/>
        <v>#DIV/0!</v>
      </c>
      <c r="R16" s="202" t="e">
        <f t="shared" ca="1" si="6"/>
        <v>#DIV/0!</v>
      </c>
      <c r="S16" s="80"/>
      <c r="T16" s="80"/>
      <c r="U16" s="80"/>
      <c r="V16" s="80"/>
      <c r="W16" s="81"/>
      <c r="X16" s="81"/>
    </row>
    <row r="17" spans="1:24" ht="27.75" customHeight="1" x14ac:dyDescent="0.2">
      <c r="A17" s="175">
        <f>'Analytical Data'!A18</f>
        <v>0</v>
      </c>
      <c r="B17" s="78" t="e">
        <f ca="1">IF(AND(LOD!E17&gt;1.5,0.35&gt;'rc'!D17,SDrc!D17&lt;0.5),"Surface Wash-Off",IF(AND(LOD!E17&gt;1.5,0.35&lt;'rc'!D17,0.65&gt;'rc'!D17,SDrc!D17&lt;0.5),"Diffusion",IF(AND(LOD!E17&gt;1.5,0.65&lt;'rc'!D17,SDrc!D17&lt;0.5),"Dissolution","ND")))</f>
        <v>#DIV/0!</v>
      </c>
      <c r="C17" s="79" t="e">
        <f ca="1">IF(AND(LOD!F17&gt;1.5,0.35&gt;'rc'!E17,SDrc!E17&lt;0.5),"Depletion",IF(AND(LOD!F17&gt;1.5,0.35&lt;'rc'!E17,0.65&gt;'rc'!E17,SDrc!E17&lt;0.5),"Diffusion",IF(AND(LOD!F17&gt;1.5,0.65&lt;'rc'!E17,SDrc!E17&lt;0.5),"Dissolution","ND")))</f>
        <v>#DIV/0!</v>
      </c>
      <c r="D17" s="79" t="e">
        <f ca="1">IF(AND(LOD!G17&gt;1.5,0.35&gt;'rc'!F17,SDrc!F17&lt;0.5),"Depletion",IF(AND(LOD!G17&gt;1.5,0.35&lt;'rc'!F17,0.65&gt;'rc'!F17,SDrc!F17&lt;0.5),"Diffusion",IF(AND(LOD!G17&gt;1.5,0.65&lt;'rc'!F17,SDrc!F17&lt;0.5),"Dissolution","ND")))</f>
        <v>#DIV/0!</v>
      </c>
      <c r="E17" s="79" t="e">
        <f ca="1">IF(AND(LOD!H17&gt;1.5,0.35&gt;'rc'!G17,SDrc!G17&lt;0.5),"Depletion",IF(AND(LOD!H17&gt;1.5,0.35&lt;'rc'!G17,0.65&gt;'rc'!G17,SDrc!G17&lt;0.5),"Diffusion",IF(AND(LOD!H17&gt;1.5,0.65&lt;'rc'!G17,SDrc!G17&lt;0.5),"Dissolution","ND")))</f>
        <v>#DIV/0!</v>
      </c>
      <c r="F17" s="79" t="e">
        <f ca="1">IF(AND(LOD!I17&gt;1.5,0.35&gt;'rc'!H17,SDrc!H17&lt;0.5),"Depletion",IF(AND(LOD!I17&gt;1.5,0.35&lt;'rc'!H17,0.65&gt;'rc'!H17,SDrc!H17&lt;0.5),"Diffusion",IF(AND(LOD!I17&gt;1.5,0.65&lt;'rc'!H17,SDrc!H17&lt;0.5),"Dissolution","ND")))</f>
        <v>#DIV/0!</v>
      </c>
      <c r="G17" s="86" t="e">
        <f ca="1">IF(AND(LOD!J17&gt;1.5,0.35&gt;'rc'!I17,SDrc!I17&lt;0.5),"Surface Wash-Off",IF(AND(LOD!J17&gt;1.5,0.35&lt;'rc'!I17,0.65&gt;'rc'!I17,SDrc!I17&lt;0.5),"Diffusion",IF(AND(LOD!J17&gt;1.5,0.65&lt;'rc'!I17,SDrc!I17&lt;0.5),"Delayed Diffusion or Dissolution","ND")))</f>
        <v>#DIV/0!</v>
      </c>
      <c r="H17" s="410" t="e">
        <f t="shared" ca="1" si="1"/>
        <v>#DIV/0!</v>
      </c>
      <c r="I17" s="411"/>
      <c r="J17" s="411"/>
      <c r="K17" s="412"/>
      <c r="L17" s="176" t="e">
        <f t="shared" ca="1" si="0"/>
        <v>#DIV/0!</v>
      </c>
      <c r="M17" s="82"/>
      <c r="N17" s="240" t="e">
        <f t="shared" ca="1" si="2"/>
        <v>#DIV/0!</v>
      </c>
      <c r="O17" s="202" t="e">
        <f t="shared" ca="1" si="3"/>
        <v>#DIV/0!</v>
      </c>
      <c r="P17" s="202" t="e">
        <f t="shared" ca="1" si="4"/>
        <v>#DIV/0!</v>
      </c>
      <c r="Q17" s="202" t="e">
        <f t="shared" ca="1" si="5"/>
        <v>#DIV/0!</v>
      </c>
      <c r="R17" s="202" t="e">
        <f t="shared" ca="1" si="6"/>
        <v>#DIV/0!</v>
      </c>
      <c r="S17" s="80"/>
      <c r="T17" s="80"/>
      <c r="U17" s="80"/>
      <c r="V17" s="80"/>
      <c r="W17" s="81"/>
      <c r="X17" s="81"/>
    </row>
    <row r="18" spans="1:24" ht="27.75" customHeight="1" x14ac:dyDescent="0.2">
      <c r="A18" s="175">
        <f>'Analytical Data'!A19</f>
        <v>0</v>
      </c>
      <c r="B18" s="78" t="e">
        <f ca="1">IF(AND(LOD!E18&gt;1.5,0.35&gt;'rc'!D18,SDrc!D18&lt;0.5),"Surface Wash-Off",IF(AND(LOD!E18&gt;1.5,0.35&lt;'rc'!D18,0.65&gt;'rc'!D18,SDrc!D18&lt;0.5),"Diffusion",IF(AND(LOD!E18&gt;1.5,0.65&lt;'rc'!D18,SDrc!D18&lt;0.5),"Dissolution","ND")))</f>
        <v>#DIV/0!</v>
      </c>
      <c r="C18" s="79" t="e">
        <f ca="1">IF(AND(LOD!F18&gt;1.5,0.35&gt;'rc'!E18,SDrc!E18&lt;0.5),"Depletion",IF(AND(LOD!F18&gt;1.5,0.35&lt;'rc'!E18,0.65&gt;'rc'!E18,SDrc!E18&lt;0.5),"Diffusion",IF(AND(LOD!F18&gt;1.5,0.65&lt;'rc'!E18,SDrc!E18&lt;0.5),"Dissolution","ND")))</f>
        <v>#DIV/0!</v>
      </c>
      <c r="D18" s="79" t="e">
        <f ca="1">IF(AND(LOD!G18&gt;1.5,0.35&gt;'rc'!F18,SDrc!F18&lt;0.5),"Depletion",IF(AND(LOD!G18&gt;1.5,0.35&lt;'rc'!F18,0.65&gt;'rc'!F18,SDrc!F18&lt;0.5),"Diffusion",IF(AND(LOD!G18&gt;1.5,0.65&lt;'rc'!F18,SDrc!F18&lt;0.5),"Dissolution","ND")))</f>
        <v>#DIV/0!</v>
      </c>
      <c r="E18" s="79" t="e">
        <f ca="1">IF(AND(LOD!H18&gt;1.5,0.35&gt;'rc'!G18,SDrc!G18&lt;0.5),"Depletion",IF(AND(LOD!H18&gt;1.5,0.35&lt;'rc'!G18,0.65&gt;'rc'!G18,SDrc!G18&lt;0.5),"Diffusion",IF(AND(LOD!H18&gt;1.5,0.65&lt;'rc'!G18,SDrc!G18&lt;0.5),"Dissolution","ND")))</f>
        <v>#DIV/0!</v>
      </c>
      <c r="F18" s="79" t="e">
        <f ca="1">IF(AND(LOD!I18&gt;1.5,0.35&gt;'rc'!H18,SDrc!H18&lt;0.5),"Depletion",IF(AND(LOD!I18&gt;1.5,0.35&lt;'rc'!H18,0.65&gt;'rc'!H18,SDrc!H18&lt;0.5),"Diffusion",IF(AND(LOD!I18&gt;1.5,0.65&lt;'rc'!H18,SDrc!H18&lt;0.5),"Dissolution","ND")))</f>
        <v>#DIV/0!</v>
      </c>
      <c r="G18" s="86" t="e">
        <f ca="1">IF(AND(LOD!J18&gt;1.5,0.35&gt;'rc'!I18,SDrc!I18&lt;0.5),"Surface Wash-Off",IF(AND(LOD!J18&gt;1.5,0.35&lt;'rc'!I18,0.65&gt;'rc'!I18,SDrc!I18&lt;0.5),"Diffusion",IF(AND(LOD!J18&gt;1.5,0.65&lt;'rc'!I18,SDrc!I18&lt;0.5),"Delayed Diffusion or Dissolution","ND")))</f>
        <v>#DIV/0!</v>
      </c>
      <c r="H18" s="410" t="e">
        <f t="shared" ca="1" si="1"/>
        <v>#DIV/0!</v>
      </c>
      <c r="I18" s="411"/>
      <c r="J18" s="411"/>
      <c r="K18" s="412"/>
      <c r="L18" s="176" t="e">
        <f t="shared" ca="1" si="0"/>
        <v>#DIV/0!</v>
      </c>
      <c r="M18" s="82"/>
      <c r="N18" s="240" t="e">
        <f t="shared" ca="1" si="2"/>
        <v>#DIV/0!</v>
      </c>
      <c r="O18" s="202" t="e">
        <f t="shared" ca="1" si="3"/>
        <v>#DIV/0!</v>
      </c>
      <c r="P18" s="202" t="e">
        <f t="shared" ca="1" si="4"/>
        <v>#DIV/0!</v>
      </c>
      <c r="Q18" s="202" t="e">
        <f t="shared" ca="1" si="5"/>
        <v>#DIV/0!</v>
      </c>
      <c r="R18" s="202" t="e">
        <f t="shared" ca="1" si="6"/>
        <v>#DIV/0!</v>
      </c>
      <c r="S18" s="80"/>
      <c r="T18" s="80"/>
      <c r="U18" s="80"/>
      <c r="V18" s="80"/>
      <c r="W18" s="81"/>
      <c r="X18" s="81"/>
    </row>
    <row r="19" spans="1:24" ht="27.75" customHeight="1" x14ac:dyDescent="0.2">
      <c r="A19" s="175">
        <f>'Analytical Data'!A20</f>
        <v>0</v>
      </c>
      <c r="B19" s="78" t="e">
        <f ca="1">IF(AND(LOD!E19&gt;1.5,0.35&gt;'rc'!D19,SDrc!D19&lt;0.5),"Surface Wash-Off",IF(AND(LOD!E19&gt;1.5,0.35&lt;'rc'!D19,0.65&gt;'rc'!D19,SDrc!D19&lt;0.5),"Diffusion",IF(AND(LOD!E19&gt;1.5,0.65&lt;'rc'!D19,SDrc!D19&lt;0.5),"Dissolution","ND")))</f>
        <v>#DIV/0!</v>
      </c>
      <c r="C19" s="79" t="e">
        <f ca="1">IF(AND(LOD!F19&gt;1.5,0.35&gt;'rc'!E19,SDrc!E19&lt;0.5),"Depletion",IF(AND(LOD!F19&gt;1.5,0.35&lt;'rc'!E19,0.65&gt;'rc'!E19,SDrc!E19&lt;0.5),"Diffusion",IF(AND(LOD!F19&gt;1.5,0.65&lt;'rc'!E19,SDrc!E19&lt;0.5),"Dissolution","ND")))</f>
        <v>#DIV/0!</v>
      </c>
      <c r="D19" s="79" t="e">
        <f ca="1">IF(AND(LOD!G19&gt;1.5,0.35&gt;'rc'!F19,SDrc!F19&lt;0.5),"Depletion",IF(AND(LOD!G19&gt;1.5,0.35&lt;'rc'!F19,0.65&gt;'rc'!F19,SDrc!F19&lt;0.5),"Diffusion",IF(AND(LOD!G19&gt;1.5,0.65&lt;'rc'!F19,SDrc!F19&lt;0.5),"Dissolution","ND")))</f>
        <v>#DIV/0!</v>
      </c>
      <c r="E19" s="79" t="e">
        <f ca="1">IF(AND(LOD!H19&gt;1.5,0.35&gt;'rc'!G19,SDrc!G19&lt;0.5),"Depletion",IF(AND(LOD!H19&gt;1.5,0.35&lt;'rc'!G19,0.65&gt;'rc'!G19,SDrc!G19&lt;0.5),"Diffusion",IF(AND(LOD!H19&gt;1.5,0.65&lt;'rc'!G19,SDrc!G19&lt;0.5),"Dissolution","ND")))</f>
        <v>#DIV/0!</v>
      </c>
      <c r="F19" s="79" t="e">
        <f ca="1">IF(AND(LOD!I19&gt;1.5,0.35&gt;'rc'!H19,SDrc!H19&lt;0.5),"Depletion",IF(AND(LOD!I19&gt;1.5,0.35&lt;'rc'!H19,0.65&gt;'rc'!H19,SDrc!H19&lt;0.5),"Diffusion",IF(AND(LOD!I19&gt;1.5,0.65&lt;'rc'!H19,SDrc!H19&lt;0.5),"Dissolution","ND")))</f>
        <v>#DIV/0!</v>
      </c>
      <c r="G19" s="86" t="e">
        <f ca="1">IF(AND(LOD!J19&gt;1.5,0.35&gt;'rc'!I19,SDrc!I19&lt;0.5),"Surface Wash-Off",IF(AND(LOD!J19&gt;1.5,0.35&lt;'rc'!I19,0.65&gt;'rc'!I19,SDrc!I19&lt;0.5),"Diffusion",IF(AND(LOD!J19&gt;1.5,0.65&lt;'rc'!I19,SDrc!I19&lt;0.5),"Delayed Diffusion or Dissolution","ND")))</f>
        <v>#DIV/0!</v>
      </c>
      <c r="H19" s="410" t="e">
        <f t="shared" ca="1" si="1"/>
        <v>#DIV/0!</v>
      </c>
      <c r="I19" s="411"/>
      <c r="J19" s="411"/>
      <c r="K19" s="412"/>
      <c r="L19" s="176" t="e">
        <f t="shared" ca="1" si="0"/>
        <v>#DIV/0!</v>
      </c>
      <c r="M19" s="82"/>
      <c r="N19" s="240" t="e">
        <f t="shared" ca="1" si="2"/>
        <v>#DIV/0!</v>
      </c>
      <c r="O19" s="202" t="e">
        <f t="shared" ca="1" si="3"/>
        <v>#DIV/0!</v>
      </c>
      <c r="P19" s="202" t="e">
        <f t="shared" ca="1" si="4"/>
        <v>#DIV/0!</v>
      </c>
      <c r="Q19" s="202" t="e">
        <f t="shared" ca="1" si="5"/>
        <v>#DIV/0!</v>
      </c>
      <c r="R19" s="202" t="e">
        <f t="shared" ca="1" si="6"/>
        <v>#DIV/0!</v>
      </c>
      <c r="S19" s="80"/>
      <c r="T19" s="80"/>
      <c r="U19" s="80"/>
      <c r="V19" s="80"/>
      <c r="W19" s="81"/>
      <c r="X19" s="81"/>
    </row>
    <row r="20" spans="1:24" ht="27.75" customHeight="1" x14ac:dyDescent="0.2">
      <c r="A20" s="175">
        <f>'Analytical Data'!A21</f>
        <v>0</v>
      </c>
      <c r="B20" s="78" t="e">
        <f ca="1">IF(AND(LOD!E20&gt;1.5,0.35&gt;'rc'!D20,SDrc!D20&lt;0.5),"Surface Wash-Off",IF(AND(LOD!E20&gt;1.5,0.35&lt;'rc'!D20,0.65&gt;'rc'!D20,SDrc!D20&lt;0.5),"Diffusion",IF(AND(LOD!E20&gt;1.5,0.65&lt;'rc'!D20,SDrc!D20&lt;0.5),"Dissolution","ND")))</f>
        <v>#DIV/0!</v>
      </c>
      <c r="C20" s="79" t="e">
        <f ca="1">IF(AND(LOD!F20&gt;1.5,0.35&gt;'rc'!E20,SDrc!E20&lt;0.5),"Depletion",IF(AND(LOD!F20&gt;1.5,0.35&lt;'rc'!E20,0.65&gt;'rc'!E20,SDrc!E20&lt;0.5),"Diffusion",IF(AND(LOD!F20&gt;1.5,0.65&lt;'rc'!E20,SDrc!E20&lt;0.5),"Dissolution","ND")))</f>
        <v>#DIV/0!</v>
      </c>
      <c r="D20" s="79" t="e">
        <f ca="1">IF(AND(LOD!G20&gt;1.5,0.35&gt;'rc'!F20,SDrc!F20&lt;0.5),"Depletion",IF(AND(LOD!G20&gt;1.5,0.35&lt;'rc'!F20,0.65&gt;'rc'!F20,SDrc!F20&lt;0.5),"Diffusion",IF(AND(LOD!G20&gt;1.5,0.65&lt;'rc'!F20,SDrc!F20&lt;0.5),"Dissolution","ND")))</f>
        <v>#DIV/0!</v>
      </c>
      <c r="E20" s="79" t="e">
        <f ca="1">IF(AND(LOD!H20&gt;1.5,0.35&gt;'rc'!G20,SDrc!G20&lt;0.5),"Depletion",IF(AND(LOD!H20&gt;1.5,0.35&lt;'rc'!G20,0.65&gt;'rc'!G20,SDrc!G20&lt;0.5),"Diffusion",IF(AND(LOD!H20&gt;1.5,0.65&lt;'rc'!G20,SDrc!G20&lt;0.5),"Dissolution","ND")))</f>
        <v>#DIV/0!</v>
      </c>
      <c r="F20" s="79" t="e">
        <f ca="1">IF(AND(LOD!I20&gt;1.5,0.35&gt;'rc'!H20,SDrc!H20&lt;0.5),"Depletion",IF(AND(LOD!I20&gt;1.5,0.35&lt;'rc'!H20,0.65&gt;'rc'!H20,SDrc!H20&lt;0.5),"Diffusion",IF(AND(LOD!I20&gt;1.5,0.65&lt;'rc'!H20,SDrc!H20&lt;0.5),"Dissolution","ND")))</f>
        <v>#DIV/0!</v>
      </c>
      <c r="G20" s="86" t="e">
        <f ca="1">IF(AND(LOD!J20&gt;1.5,0.35&gt;'rc'!I20,SDrc!I20&lt;0.5),"Surface Wash-Off",IF(AND(LOD!J20&gt;1.5,0.35&lt;'rc'!I20,0.65&gt;'rc'!I20,SDrc!I20&lt;0.5),"Diffusion",IF(AND(LOD!J20&gt;1.5,0.65&lt;'rc'!I20,SDrc!I20&lt;0.5),"Delayed Diffusion or Dissolution","ND")))</f>
        <v>#DIV/0!</v>
      </c>
      <c r="H20" s="410" t="e">
        <f t="shared" ca="1" si="1"/>
        <v>#DIV/0!</v>
      </c>
      <c r="I20" s="411"/>
      <c r="J20" s="411"/>
      <c r="K20" s="412"/>
      <c r="L20" s="176" t="e">
        <f t="shared" ca="1" si="0"/>
        <v>#DIV/0!</v>
      </c>
      <c r="M20" s="82"/>
      <c r="N20" s="240" t="e">
        <f t="shared" ca="1" si="2"/>
        <v>#DIV/0!</v>
      </c>
      <c r="O20" s="202" t="e">
        <f t="shared" ca="1" si="3"/>
        <v>#DIV/0!</v>
      </c>
      <c r="P20" s="202" t="e">
        <f t="shared" ca="1" si="4"/>
        <v>#DIV/0!</v>
      </c>
      <c r="Q20" s="202" t="e">
        <f t="shared" ca="1" si="5"/>
        <v>#DIV/0!</v>
      </c>
      <c r="R20" s="202" t="e">
        <f t="shared" ca="1" si="6"/>
        <v>#DIV/0!</v>
      </c>
      <c r="S20" s="80"/>
      <c r="T20" s="80"/>
      <c r="U20" s="80"/>
      <c r="V20" s="80"/>
      <c r="W20" s="81"/>
      <c r="X20" s="81"/>
    </row>
    <row r="21" spans="1:24" ht="27.75" customHeight="1" x14ac:dyDescent="0.2">
      <c r="A21" s="175">
        <f>'Analytical Data'!A22</f>
        <v>0</v>
      </c>
      <c r="B21" s="78" t="e">
        <f ca="1">IF(AND(LOD!E21&gt;1.5,0.35&gt;'rc'!D21,SDrc!D21&lt;0.5),"Surface Wash-Off",IF(AND(LOD!E21&gt;1.5,0.35&lt;'rc'!D21,0.65&gt;'rc'!D21,SDrc!D21&lt;0.5),"Diffusion",IF(AND(LOD!E21&gt;1.5,0.65&lt;'rc'!D21,SDrc!D21&lt;0.5),"Dissolution","ND")))</f>
        <v>#DIV/0!</v>
      </c>
      <c r="C21" s="79" t="e">
        <f ca="1">IF(AND(LOD!F21&gt;1.5,0.35&gt;'rc'!E21,SDrc!E21&lt;0.5),"Depletion",IF(AND(LOD!F21&gt;1.5,0.35&lt;'rc'!E21,0.65&gt;'rc'!E21,SDrc!E21&lt;0.5),"Diffusion",IF(AND(LOD!F21&gt;1.5,0.65&lt;'rc'!E21,SDrc!E21&lt;0.5),"Dissolution","ND")))</f>
        <v>#DIV/0!</v>
      </c>
      <c r="D21" s="79" t="e">
        <f ca="1">IF(AND(LOD!G21&gt;1.5,0.35&gt;'rc'!F21,SDrc!F21&lt;0.5),"Depletion",IF(AND(LOD!G21&gt;1.5,0.35&lt;'rc'!F21,0.65&gt;'rc'!F21,SDrc!F21&lt;0.5),"Diffusion",IF(AND(LOD!G21&gt;1.5,0.65&lt;'rc'!F21,SDrc!F21&lt;0.5),"Dissolution","ND")))</f>
        <v>#DIV/0!</v>
      </c>
      <c r="E21" s="79" t="e">
        <f ca="1">IF(AND(LOD!H21&gt;1.5,0.35&gt;'rc'!G21,SDrc!G21&lt;0.5),"Depletion",IF(AND(LOD!H21&gt;1.5,0.35&lt;'rc'!G21,0.65&gt;'rc'!G21,SDrc!G21&lt;0.5),"Diffusion",IF(AND(LOD!H21&gt;1.5,0.65&lt;'rc'!G21,SDrc!G21&lt;0.5),"Dissolution","ND")))</f>
        <v>#DIV/0!</v>
      </c>
      <c r="F21" s="79" t="e">
        <f ca="1">IF(AND(LOD!I21&gt;1.5,0.35&gt;'rc'!H21,SDrc!H21&lt;0.5),"Depletion",IF(AND(LOD!I21&gt;1.5,0.35&lt;'rc'!H21,0.65&gt;'rc'!H21,SDrc!H21&lt;0.5),"Diffusion",IF(AND(LOD!I21&gt;1.5,0.65&lt;'rc'!H21,SDrc!H21&lt;0.5),"Dissolution","ND")))</f>
        <v>#DIV/0!</v>
      </c>
      <c r="G21" s="86" t="e">
        <f ca="1">IF(AND(LOD!J21&gt;1.5,0.35&gt;'rc'!I21,SDrc!I21&lt;0.5),"Surface Wash-Off",IF(AND(LOD!J21&gt;1.5,0.35&lt;'rc'!I21,0.65&gt;'rc'!I21,SDrc!I21&lt;0.5),"Diffusion",IF(AND(LOD!J21&gt;1.5,0.65&lt;'rc'!I21,SDrc!I21&lt;0.5),"Delayed Diffusion or Dissolution","ND")))</f>
        <v>#DIV/0!</v>
      </c>
      <c r="H21" s="410" t="e">
        <f t="shared" ca="1" si="1"/>
        <v>#DIV/0!</v>
      </c>
      <c r="I21" s="411"/>
      <c r="J21" s="411"/>
      <c r="K21" s="412"/>
      <c r="L21" s="176" t="e">
        <f t="shared" ca="1" si="0"/>
        <v>#DIV/0!</v>
      </c>
      <c r="M21" s="82"/>
      <c r="N21" s="240" t="e">
        <f t="shared" ca="1" si="2"/>
        <v>#DIV/0!</v>
      </c>
      <c r="O21" s="202" t="e">
        <f t="shared" ca="1" si="3"/>
        <v>#DIV/0!</v>
      </c>
      <c r="P21" s="202" t="e">
        <f t="shared" ca="1" si="4"/>
        <v>#DIV/0!</v>
      </c>
      <c r="Q21" s="202" t="e">
        <f ca="1">IF(AND(O21="",OR(D21="Dissolution",E21="Dissolution",F21="Dissolution",C21="Dissolution")),"Dissolution", "")</f>
        <v>#DIV/0!</v>
      </c>
      <c r="R21" s="202" t="e">
        <f t="shared" ca="1" si="6"/>
        <v>#DIV/0!</v>
      </c>
      <c r="S21" s="80"/>
      <c r="T21" s="80"/>
      <c r="U21" s="80"/>
      <c r="V21" s="80"/>
      <c r="W21" s="81"/>
      <c r="X21" s="81"/>
    </row>
    <row r="22" spans="1:24" ht="27.75" customHeight="1" x14ac:dyDescent="0.2">
      <c r="A22" s="175">
        <f>'Analytical Data'!A23</f>
        <v>0</v>
      </c>
      <c r="B22" s="78" t="e">
        <f ca="1">IF(AND(LOD!E22&gt;1.5,0.35&gt;'rc'!D22,SDrc!D22&lt;0.5),"Surface Wash-Off",IF(AND(LOD!E22&gt;1.5,0.35&lt;'rc'!D22,0.65&gt;'rc'!D22,SDrc!D22&lt;0.5),"Diffusion",IF(AND(LOD!E22&gt;1.5,0.65&lt;'rc'!D22,SDrc!D22&lt;0.5),"Dissolution","ND")))</f>
        <v>#DIV/0!</v>
      </c>
      <c r="C22" s="79" t="e">
        <f ca="1">IF(AND(LOD!F22&gt;1.5,0.35&gt;'rc'!E22,SDrc!E22&lt;0.5),"Depletion",IF(AND(LOD!F22&gt;1.5,0.35&lt;'rc'!E22,0.65&gt;'rc'!E22,SDrc!E22&lt;0.5),"Diffusion",IF(AND(LOD!F22&gt;1.5,0.65&lt;'rc'!E22,SDrc!E22&lt;0.5),"Dissolution","ND")))</f>
        <v>#DIV/0!</v>
      </c>
      <c r="D22" s="79" t="e">
        <f ca="1">IF(AND(LOD!G22&gt;1.5,0.35&gt;'rc'!F22,SDrc!F22&lt;0.5),"Depletion",IF(AND(LOD!G22&gt;1.5,0.35&lt;'rc'!F22,0.65&gt;'rc'!F22,SDrc!F22&lt;0.5),"Diffusion",IF(AND(LOD!G22&gt;1.5,0.65&lt;'rc'!F22,SDrc!F22&lt;0.5),"Dissolution","ND")))</f>
        <v>#DIV/0!</v>
      </c>
      <c r="E22" s="79" t="e">
        <f ca="1">IF(AND(LOD!H22&gt;1.5,0.35&gt;'rc'!G22,SDrc!G22&lt;0.5),"Depletion",IF(AND(LOD!H22&gt;1.5,0.35&lt;'rc'!G22,0.65&gt;'rc'!G22,SDrc!G22&lt;0.5),"Diffusion",IF(AND(LOD!H22&gt;1.5,0.65&lt;'rc'!G22,SDrc!G22&lt;0.5),"Dissolution","ND")))</f>
        <v>#DIV/0!</v>
      </c>
      <c r="F22" s="79" t="e">
        <f ca="1">IF(AND(LOD!I22&gt;1.5,0.35&gt;'rc'!H22,SDrc!H22&lt;0.5),"Depletion",IF(AND(LOD!I22&gt;1.5,0.35&lt;'rc'!H22,0.65&gt;'rc'!H22,SDrc!H22&lt;0.5),"Diffusion",IF(AND(LOD!I22&gt;1.5,0.65&lt;'rc'!H22,SDrc!H22&lt;0.5),"Dissolution","ND")))</f>
        <v>#DIV/0!</v>
      </c>
      <c r="G22" s="86" t="e">
        <f ca="1">IF(AND(LOD!J22&gt;1.5,0.35&gt;'rc'!I22,SDrc!I22&lt;0.5),"Surface Wash-Off",IF(AND(LOD!J22&gt;1.5,0.35&lt;'rc'!I22,0.65&gt;'rc'!I22,SDrc!I22&lt;0.5),"Diffusion",IF(AND(LOD!J22&gt;1.5,0.65&lt;'rc'!I22,SDrc!I22&lt;0.5),"Delayed Diffusion or Dissolution","ND")))</f>
        <v>#DIV/0!</v>
      </c>
      <c r="H22" s="410" t="e">
        <f t="shared" ca="1" si="1"/>
        <v>#DIV/0!</v>
      </c>
      <c r="I22" s="411"/>
      <c r="J22" s="411"/>
      <c r="K22" s="412"/>
      <c r="L22" s="176" t="e">
        <f t="shared" ca="1" si="0"/>
        <v>#DIV/0!</v>
      </c>
      <c r="M22" s="82"/>
      <c r="N22" s="240" t="e">
        <f t="shared" ca="1" si="2"/>
        <v>#DIV/0!</v>
      </c>
      <c r="O22" s="202" t="e">
        <f t="shared" ca="1" si="3"/>
        <v>#DIV/0!</v>
      </c>
      <c r="P22" s="202" t="e">
        <f t="shared" ca="1" si="4"/>
        <v>#DIV/0!</v>
      </c>
      <c r="Q22" s="202" t="e">
        <f t="shared" ca="1" si="5"/>
        <v>#DIV/0!</v>
      </c>
      <c r="R22" s="202" t="e">
        <f t="shared" ca="1" si="6"/>
        <v>#DIV/0!</v>
      </c>
      <c r="S22" s="80"/>
      <c r="T22" s="80"/>
      <c r="U22" s="80"/>
      <c r="V22" s="80"/>
      <c r="W22" s="81"/>
      <c r="X22" s="81"/>
    </row>
    <row r="23" spans="1:24" ht="27.75" customHeight="1" x14ac:dyDescent="0.2">
      <c r="A23" s="175">
        <f>'Analytical Data'!A24</f>
        <v>0</v>
      </c>
      <c r="B23" s="78" t="e">
        <f ca="1">IF(AND(LOD!E23&gt;1.5,0.35&gt;'rc'!D23,SDrc!D23&lt;0.5),"Surface Wash-Off",IF(AND(LOD!E23&gt;1.5,0.35&lt;'rc'!D23,0.65&gt;'rc'!D23,SDrc!D23&lt;0.5),"Diffusion",IF(AND(LOD!E23&gt;1.5,0.65&lt;'rc'!D23,SDrc!D23&lt;0.5),"Dissolution","ND")))</f>
        <v>#DIV/0!</v>
      </c>
      <c r="C23" s="79" t="e">
        <f ca="1">IF(AND(LOD!F23&gt;1.5,0.35&gt;'rc'!E23,SDrc!E23&lt;0.5),"Depletion",IF(AND(LOD!F23&gt;1.5,0.35&lt;'rc'!E23,0.65&gt;'rc'!E23,SDrc!E23&lt;0.5),"Diffusion",IF(AND(LOD!F23&gt;1.5,0.65&lt;'rc'!E23,SDrc!E23&lt;0.5),"Dissolution","ND")))</f>
        <v>#DIV/0!</v>
      </c>
      <c r="D23" s="79" t="e">
        <f ca="1">IF(AND(LOD!G23&gt;1.5,0.35&gt;'rc'!F23,SDrc!F23&lt;0.5),"Depletion",IF(AND(LOD!G23&gt;1.5,0.35&lt;'rc'!F23,0.65&gt;'rc'!F23,SDrc!F23&lt;0.5),"Diffusion",IF(AND(LOD!G23&gt;1.5,0.65&lt;'rc'!F23,SDrc!F23&lt;0.5),"Dissolution","ND")))</f>
        <v>#DIV/0!</v>
      </c>
      <c r="E23" s="79" t="e">
        <f ca="1">IF(AND(LOD!H23&gt;1.5,0.35&gt;'rc'!G23,SDrc!G23&lt;0.5),"Depletion",IF(AND(LOD!H23&gt;1.5,0.35&lt;'rc'!G23,0.65&gt;'rc'!G23,SDrc!G23&lt;0.5),"Diffusion",IF(AND(LOD!H23&gt;1.5,0.65&lt;'rc'!G23,SDrc!G23&lt;0.5),"Dissolution","ND")))</f>
        <v>#DIV/0!</v>
      </c>
      <c r="F23" s="79" t="e">
        <f ca="1">IF(AND(LOD!I23&gt;1.5,0.35&gt;'rc'!H23,SDrc!H23&lt;0.5),"Depletion",IF(AND(LOD!I23&gt;1.5,0.35&lt;'rc'!H23,0.65&gt;'rc'!H23,SDrc!H23&lt;0.5),"Diffusion",IF(AND(LOD!I23&gt;1.5,0.65&lt;'rc'!H23,SDrc!H23&lt;0.5),"Dissolution","ND")))</f>
        <v>#DIV/0!</v>
      </c>
      <c r="G23" s="86" t="e">
        <f ca="1">IF(AND(LOD!J23&gt;1.5,0.35&gt;'rc'!I23,SDrc!I23&lt;0.5),"Surface Wash-Off",IF(AND(LOD!J23&gt;1.5,0.35&lt;'rc'!I23,0.65&gt;'rc'!I23,SDrc!I23&lt;0.5),"Diffusion",IF(AND(LOD!J23&gt;1.5,0.65&lt;'rc'!I23,SDrc!I23&lt;0.5),"Delayed Diffusion or Dissolution","ND")))</f>
        <v>#DIV/0!</v>
      </c>
      <c r="H23" s="410" t="e">
        <f t="shared" ca="1" si="1"/>
        <v>#DIV/0!</v>
      </c>
      <c r="I23" s="411"/>
      <c r="J23" s="411"/>
      <c r="K23" s="412"/>
      <c r="L23" s="176" t="e">
        <f t="shared" ca="1" si="0"/>
        <v>#DIV/0!</v>
      </c>
      <c r="M23" s="82"/>
      <c r="N23" s="240" t="e">
        <f t="shared" ca="1" si="2"/>
        <v>#DIV/0!</v>
      </c>
      <c r="O23" s="202" t="e">
        <f t="shared" ca="1" si="3"/>
        <v>#DIV/0!</v>
      </c>
      <c r="P23" s="202" t="e">
        <f t="shared" ca="1" si="4"/>
        <v>#DIV/0!</v>
      </c>
      <c r="Q23" s="202" t="e">
        <f t="shared" ca="1" si="5"/>
        <v>#DIV/0!</v>
      </c>
      <c r="R23" s="202" t="e">
        <f t="shared" ca="1" si="6"/>
        <v>#DIV/0!</v>
      </c>
      <c r="S23" s="80"/>
      <c r="T23" s="80"/>
      <c r="U23" s="80"/>
      <c r="V23" s="80"/>
      <c r="W23" s="81"/>
      <c r="X23" s="81"/>
    </row>
    <row r="24" spans="1:24" ht="27.75" customHeight="1" x14ac:dyDescent="0.2">
      <c r="A24" s="175">
        <f>'Analytical Data'!A25</f>
        <v>0</v>
      </c>
      <c r="B24" s="78" t="e">
        <f ca="1">IF(AND(LOD!E24&gt;1.5,0.35&gt;'rc'!D24,SDrc!D24&lt;0.5),"Surface Wash-Off",IF(AND(LOD!E24&gt;1.5,0.35&lt;'rc'!D24,0.65&gt;'rc'!D24,SDrc!D24&lt;0.5),"Diffusion",IF(AND(LOD!E24&gt;1.5,0.65&lt;'rc'!D24,SDrc!D24&lt;0.5),"Dissolution","ND")))</f>
        <v>#DIV/0!</v>
      </c>
      <c r="C24" s="79" t="e">
        <f ca="1">IF(AND(LOD!F24&gt;1.5,0.35&gt;'rc'!E24,SDrc!E24&lt;0.5),"Depletion",IF(AND(LOD!F24&gt;1.5,0.35&lt;'rc'!E24,0.65&gt;'rc'!E24,SDrc!E24&lt;0.5),"Diffusion",IF(AND(LOD!F24&gt;1.5,0.65&lt;'rc'!E24,SDrc!E24&lt;0.5),"Dissolution","ND")))</f>
        <v>#DIV/0!</v>
      </c>
      <c r="D24" s="79" t="e">
        <f ca="1">IF(AND(LOD!G24&gt;1.5,0.35&gt;'rc'!F24,SDrc!F24&lt;0.5),"Depletion",IF(AND(LOD!G24&gt;1.5,0.35&lt;'rc'!F24,0.65&gt;'rc'!F24,SDrc!F24&lt;0.5),"Diffusion",IF(AND(LOD!G24&gt;1.5,0.65&lt;'rc'!F24,SDrc!F24&lt;0.5),"Dissolution","ND")))</f>
        <v>#DIV/0!</v>
      </c>
      <c r="E24" s="79" t="e">
        <f ca="1">IF(AND(LOD!H24&gt;1.5,0.35&gt;'rc'!G24,SDrc!G24&lt;0.5),"Depletion",IF(AND(LOD!H24&gt;1.5,0.35&lt;'rc'!G24,0.65&gt;'rc'!G24,SDrc!G24&lt;0.5),"Diffusion",IF(AND(LOD!H24&gt;1.5,0.65&lt;'rc'!G24,SDrc!G24&lt;0.5),"Dissolution","ND")))</f>
        <v>#DIV/0!</v>
      </c>
      <c r="F24" s="79" t="e">
        <f ca="1">IF(AND(LOD!I24&gt;1.5,0.35&gt;'rc'!H24,SDrc!H24&lt;0.5),"Depletion",IF(AND(LOD!I24&gt;1.5,0.35&lt;'rc'!H24,0.65&gt;'rc'!H24,SDrc!H24&lt;0.5),"Diffusion",IF(AND(LOD!I24&gt;1.5,0.65&lt;'rc'!H24,SDrc!H24&lt;0.5),"Dissolution","ND")))</f>
        <v>#DIV/0!</v>
      </c>
      <c r="G24" s="86" t="e">
        <f ca="1">IF(AND(LOD!J24&gt;1.5,0.35&gt;'rc'!I24,SDrc!I24&lt;0.5),"Surface Wash-Off",IF(AND(LOD!J24&gt;1.5,0.35&lt;'rc'!I24,0.65&gt;'rc'!I24,SDrc!I24&lt;0.5),"Diffusion",IF(AND(LOD!J24&gt;1.5,0.65&lt;'rc'!I24,SDrc!I24&lt;0.5),"Delayed Diffusion or Dissolution","ND")))</f>
        <v>#DIV/0!</v>
      </c>
      <c r="H24" s="410" t="e">
        <f t="shared" ca="1" si="1"/>
        <v>#DIV/0!</v>
      </c>
      <c r="I24" s="411"/>
      <c r="J24" s="411"/>
      <c r="K24" s="412"/>
      <c r="L24" s="176" t="e">
        <f t="shared" ca="1" si="0"/>
        <v>#DIV/0!</v>
      </c>
      <c r="M24" s="82"/>
      <c r="N24" s="240" t="e">
        <f t="shared" ca="1" si="2"/>
        <v>#DIV/0!</v>
      </c>
      <c r="O24" s="202" t="e">
        <f t="shared" ca="1" si="3"/>
        <v>#DIV/0!</v>
      </c>
      <c r="P24" s="202" t="e">
        <f t="shared" ca="1" si="4"/>
        <v>#DIV/0!</v>
      </c>
      <c r="Q24" s="202" t="e">
        <f t="shared" ca="1" si="5"/>
        <v>#DIV/0!</v>
      </c>
      <c r="R24" s="202" t="e">
        <f t="shared" ca="1" si="6"/>
        <v>#DIV/0!</v>
      </c>
      <c r="S24" s="80"/>
      <c r="T24" s="80"/>
      <c r="U24" s="80"/>
      <c r="V24" s="80"/>
      <c r="W24" s="81"/>
      <c r="X24" s="81"/>
    </row>
    <row r="25" spans="1:24" ht="27.75" customHeight="1" x14ac:dyDescent="0.2">
      <c r="A25" s="175">
        <f>'Analytical Data'!A26</f>
        <v>0</v>
      </c>
      <c r="B25" s="78" t="e">
        <f ca="1">IF(AND(LOD!E25&gt;1.5,0.35&gt;'rc'!D25,SDrc!D25&lt;0.5),"Surface Wash-Off",IF(AND(LOD!E25&gt;1.5,0.35&lt;'rc'!D25,0.65&gt;'rc'!D25,SDrc!D25&lt;0.5),"Diffusion",IF(AND(LOD!E25&gt;1.5,0.65&lt;'rc'!D25,SDrc!D25&lt;0.5),"Dissolution","ND")))</f>
        <v>#DIV/0!</v>
      </c>
      <c r="C25" s="79" t="e">
        <f ca="1">IF(AND(LOD!F25&gt;1.5,0.35&gt;'rc'!E25,SDrc!E25&lt;0.5),"Depletion",IF(AND(LOD!F25&gt;1.5,0.35&lt;'rc'!E25,0.65&gt;'rc'!E25,SDrc!E25&lt;0.5),"Diffusion",IF(AND(LOD!F25&gt;1.5,0.65&lt;'rc'!E25,SDrc!E25&lt;0.5),"Dissolution","ND")))</f>
        <v>#DIV/0!</v>
      </c>
      <c r="D25" s="79" t="e">
        <f ca="1">IF(AND(LOD!G25&gt;1.5,0.35&gt;'rc'!F25,SDrc!F25&lt;0.5),"Depletion",IF(AND(LOD!G25&gt;1.5,0.35&lt;'rc'!F25,0.65&gt;'rc'!F25,SDrc!F25&lt;0.5),"Diffusion",IF(AND(LOD!G25&gt;1.5,0.65&lt;'rc'!F25,SDrc!F25&lt;0.5),"Dissolution","ND")))</f>
        <v>#DIV/0!</v>
      </c>
      <c r="E25" s="79" t="e">
        <f ca="1">IF(AND(LOD!H25&gt;1.5,0.35&gt;'rc'!G25,SDrc!G25&lt;0.5),"Depletion",IF(AND(LOD!H25&gt;1.5,0.35&lt;'rc'!G25,0.65&gt;'rc'!G25,SDrc!G25&lt;0.5),"Diffusion",IF(AND(LOD!H25&gt;1.5,0.65&lt;'rc'!G25,SDrc!G25&lt;0.5),"Dissolution","ND")))</f>
        <v>#DIV/0!</v>
      </c>
      <c r="F25" s="79" t="e">
        <f ca="1">IF(AND(LOD!I25&gt;1.5,0.35&gt;'rc'!H25,SDrc!H25&lt;0.5),"Depletion",IF(AND(LOD!I25&gt;1.5,0.35&lt;'rc'!H25,0.65&gt;'rc'!H25,SDrc!H25&lt;0.5),"Diffusion",IF(AND(LOD!I25&gt;1.5,0.65&lt;'rc'!H25,SDrc!H25&lt;0.5),"Dissolution","ND")))</f>
        <v>#DIV/0!</v>
      </c>
      <c r="G25" s="86" t="e">
        <f ca="1">IF(AND(LOD!J25&gt;1.5,0.35&gt;'rc'!I25,SDrc!I25&lt;0.5),"Surface Wash-Off",IF(AND(LOD!J25&gt;1.5,0.35&lt;'rc'!I25,0.65&gt;'rc'!I25,SDrc!I25&lt;0.5),"Diffusion",IF(AND(LOD!J25&gt;1.5,0.65&lt;'rc'!I25,SDrc!I25&lt;0.5),"Delayed Diffusion or Dissolution","ND")))</f>
        <v>#DIV/0!</v>
      </c>
      <c r="H25" s="410" t="e">
        <f t="shared" ca="1" si="1"/>
        <v>#DIV/0!</v>
      </c>
      <c r="I25" s="411"/>
      <c r="J25" s="411"/>
      <c r="K25" s="412"/>
      <c r="L25" s="176" t="e">
        <f t="shared" ca="1" si="0"/>
        <v>#DIV/0!</v>
      </c>
      <c r="M25" s="82"/>
      <c r="N25" s="240" t="e">
        <f t="shared" ca="1" si="2"/>
        <v>#DIV/0!</v>
      </c>
      <c r="O25" s="202" t="e">
        <f t="shared" ca="1" si="3"/>
        <v>#DIV/0!</v>
      </c>
      <c r="P25" s="202" t="e">
        <f t="shared" ca="1" si="4"/>
        <v>#DIV/0!</v>
      </c>
      <c r="Q25" s="202" t="e">
        <f t="shared" ca="1" si="5"/>
        <v>#DIV/0!</v>
      </c>
      <c r="R25" s="202" t="e">
        <f t="shared" ca="1" si="6"/>
        <v>#DIV/0!</v>
      </c>
      <c r="S25" s="80"/>
      <c r="T25" s="80"/>
      <c r="U25" s="80"/>
      <c r="V25" s="80"/>
      <c r="W25" s="81"/>
      <c r="X25" s="81"/>
    </row>
    <row r="26" spans="1:24" ht="30" customHeight="1" x14ac:dyDescent="0.2">
      <c r="A26" s="175">
        <f>'Analytical Data'!A27</f>
        <v>0</v>
      </c>
      <c r="B26" s="78" t="e">
        <f ca="1">IF(AND(LOD!E26&gt;1.5,0.35&gt;'rc'!D26,SDrc!D26&lt;0.5),"Surface Wash-Off",IF(AND(LOD!E26&gt;1.5,0.35&lt;'rc'!D26,0.65&gt;'rc'!D26,SDrc!D26&lt;0.5),"Diffusion",IF(AND(LOD!E26&gt;1.5,0.65&lt;'rc'!D26,SDrc!D26&lt;0.5),"Dissolution","ND")))</f>
        <v>#DIV/0!</v>
      </c>
      <c r="C26" s="79" t="e">
        <f ca="1">IF(AND(LOD!F26&gt;1.5,0.35&gt;'rc'!E26,SDrc!E26&lt;0.5),"Depletion",IF(AND(LOD!F26&gt;1.5,0.35&lt;'rc'!E26,0.65&gt;'rc'!E26,SDrc!E26&lt;0.5),"Diffusion",IF(AND(LOD!F26&gt;1.5,0.65&lt;'rc'!E26,SDrc!E26&lt;0.5),"Dissolution","ND")))</f>
        <v>#DIV/0!</v>
      </c>
      <c r="D26" s="79" t="e">
        <f ca="1">IF(AND(LOD!G26&gt;1.5,0.35&gt;'rc'!F26,SDrc!F26&lt;0.5),"Depletion",IF(AND(LOD!G26&gt;1.5,0.35&lt;'rc'!F26,0.65&gt;'rc'!F26,SDrc!F26&lt;0.5),"Diffusion",IF(AND(LOD!G26&gt;1.5,0.65&lt;'rc'!F26,SDrc!F26&lt;0.5),"Dissolution","ND")))</f>
        <v>#DIV/0!</v>
      </c>
      <c r="E26" s="79" t="e">
        <f ca="1">IF(AND(LOD!H26&gt;1.5,0.35&gt;'rc'!G26,SDrc!G26&lt;0.5),"Depletion",IF(AND(LOD!H26&gt;1.5,0.35&lt;'rc'!G26,0.65&gt;'rc'!G26,SDrc!G26&lt;0.5),"Diffusion",IF(AND(LOD!H26&gt;1.5,0.65&lt;'rc'!G26,SDrc!G26&lt;0.5),"Dissolution","ND")))</f>
        <v>#DIV/0!</v>
      </c>
      <c r="F26" s="79" t="e">
        <f ca="1">IF(AND(LOD!I26&gt;1.5,0.35&gt;'rc'!H26,SDrc!H26&lt;0.5),"Depletion",IF(AND(LOD!I26&gt;1.5,0.35&lt;'rc'!H26,0.65&gt;'rc'!H26,SDrc!H26&lt;0.5),"Diffusion",IF(AND(LOD!I26&gt;1.5,0.65&lt;'rc'!H26,SDrc!H26&lt;0.5),"Dissolution","ND")))</f>
        <v>#DIV/0!</v>
      </c>
      <c r="G26" s="86" t="e">
        <f ca="1">IF(AND(LOD!J26&gt;1.5,0.35&gt;'rc'!I26,SDrc!I26&lt;0.5),"Surface Wash-Off",IF(AND(LOD!J26&gt;1.5,0.35&lt;'rc'!I26,0.65&gt;'rc'!I26,SDrc!I26&lt;0.5),"Diffusion",IF(AND(LOD!J26&gt;1.5,0.65&lt;'rc'!I26,SDrc!I26&lt;0.5),"Delayed Diffusion or Dissolution","ND")))</f>
        <v>#DIV/0!</v>
      </c>
      <c r="H26" s="410" t="e">
        <f t="shared" ca="1" si="1"/>
        <v>#DIV/0!</v>
      </c>
      <c r="I26" s="411"/>
      <c r="J26" s="411"/>
      <c r="K26" s="412"/>
      <c r="L26" s="176" t="e">
        <f t="shared" ca="1" si="0"/>
        <v>#DIV/0!</v>
      </c>
      <c r="M26" s="82"/>
      <c r="N26" s="240" t="e">
        <f t="shared" ca="1" si="2"/>
        <v>#DIV/0!</v>
      </c>
      <c r="O26" s="202" t="e">
        <f t="shared" ca="1" si="3"/>
        <v>#DIV/0!</v>
      </c>
      <c r="P26" s="202" t="e">
        <f t="shared" ca="1" si="4"/>
        <v>#DIV/0!</v>
      </c>
      <c r="Q26" s="202" t="e">
        <f t="shared" ca="1" si="5"/>
        <v>#DIV/0!</v>
      </c>
      <c r="R26" s="202" t="e">
        <f t="shared" ca="1" si="6"/>
        <v>#DIV/0!</v>
      </c>
      <c r="S26" s="80"/>
      <c r="T26" s="80"/>
      <c r="U26" s="80"/>
      <c r="V26" s="80"/>
      <c r="W26" s="81"/>
      <c r="X26" s="81"/>
    </row>
    <row r="27" spans="1:24" ht="30" customHeight="1" x14ac:dyDescent="0.2">
      <c r="A27" s="175">
        <f>'Analytical Data'!A28</f>
        <v>0</v>
      </c>
      <c r="B27" s="78" t="e">
        <f ca="1">IF(AND(LOD!E27&gt;1.5,0.35&gt;'rc'!D27,SDrc!D27&lt;0.5),"Surface Wash-Off",IF(AND(LOD!E27&gt;1.5,0.35&lt;'rc'!D27,0.65&gt;'rc'!D27,SDrc!D27&lt;0.5),"Diffusion",IF(AND(LOD!E27&gt;1.5,0.65&lt;'rc'!D27,SDrc!D27&lt;0.5),"Dissolution","ND")))</f>
        <v>#DIV/0!</v>
      </c>
      <c r="C27" s="79" t="e">
        <f ca="1">IF(AND(LOD!F27&gt;1.5,0.35&gt;'rc'!E27,SDrc!E27&lt;0.5),"Depletion",IF(AND(LOD!F27&gt;1.5,0.35&lt;'rc'!E27,0.65&gt;'rc'!E27,SDrc!E27&lt;0.5),"Diffusion",IF(AND(LOD!F27&gt;1.5,0.65&lt;'rc'!E27,SDrc!E27&lt;0.5),"Dissolution","ND")))</f>
        <v>#DIV/0!</v>
      </c>
      <c r="D27" s="79" t="e">
        <f ca="1">IF(AND(LOD!G27&gt;1.5,0.35&gt;'rc'!F27,SDrc!F27&lt;0.5),"Depletion",IF(AND(LOD!G27&gt;1.5,0.35&lt;'rc'!F27,0.65&gt;'rc'!F27,SDrc!F27&lt;0.5),"Diffusion",IF(AND(LOD!G27&gt;1.5,0.65&lt;'rc'!F27,SDrc!F27&lt;0.5),"Dissolution","ND")))</f>
        <v>#DIV/0!</v>
      </c>
      <c r="E27" s="79" t="e">
        <f ca="1">IF(AND(LOD!H27&gt;1.5,0.35&gt;'rc'!G27,SDrc!G27&lt;0.5),"Depletion",IF(AND(LOD!H27&gt;1.5,0.35&lt;'rc'!G27,0.65&gt;'rc'!G27,SDrc!G27&lt;0.5),"Diffusion",IF(AND(LOD!H27&gt;1.5,0.65&lt;'rc'!G27,SDrc!G27&lt;0.5),"Dissolution","ND")))</f>
        <v>#DIV/0!</v>
      </c>
      <c r="F27" s="79" t="e">
        <f ca="1">IF(AND(LOD!I27&gt;1.5,0.35&gt;'rc'!H27,SDrc!H27&lt;0.5),"Depletion",IF(AND(LOD!I27&gt;1.5,0.35&lt;'rc'!H27,0.65&gt;'rc'!H27,SDrc!H27&lt;0.5),"Diffusion",IF(AND(LOD!I27&gt;1.5,0.65&lt;'rc'!H27,SDrc!H27&lt;0.5),"Dissolution","ND")))</f>
        <v>#DIV/0!</v>
      </c>
      <c r="G27" s="86" t="e">
        <f ca="1">IF(AND(LOD!J27&gt;1.5,0.35&gt;'rc'!I27,SDrc!I27&lt;0.5),"Surface Wash-Off",IF(AND(LOD!J27&gt;1.5,0.35&lt;'rc'!I27,0.65&gt;'rc'!I27,SDrc!I27&lt;0.5),"Diffusion",IF(AND(LOD!J27&gt;1.5,0.65&lt;'rc'!I27,SDrc!I27&lt;0.5),"Delayed Diffusion or Dissolution","ND")))</f>
        <v>#DIV/0!</v>
      </c>
      <c r="H27" s="410" t="e">
        <f t="shared" ca="1" si="1"/>
        <v>#DIV/0!</v>
      </c>
      <c r="I27" s="411"/>
      <c r="J27" s="411"/>
      <c r="K27" s="412"/>
      <c r="L27" s="176" t="e">
        <f t="shared" ca="1" si="0"/>
        <v>#DIV/0!</v>
      </c>
      <c r="M27" s="82"/>
      <c r="N27" s="240" t="e">
        <f t="shared" ca="1" si="2"/>
        <v>#DIV/0!</v>
      </c>
      <c r="O27" s="202" t="e">
        <f t="shared" ca="1" si="3"/>
        <v>#DIV/0!</v>
      </c>
      <c r="P27" s="202" t="e">
        <f t="shared" ca="1" si="4"/>
        <v>#DIV/0!</v>
      </c>
      <c r="Q27" s="202" t="e">
        <f t="shared" ca="1" si="5"/>
        <v>#DIV/0!</v>
      </c>
      <c r="R27" s="202" t="e">
        <f t="shared" ca="1" si="6"/>
        <v>#DIV/0!</v>
      </c>
      <c r="S27" s="80"/>
      <c r="T27" s="80"/>
      <c r="U27" s="80"/>
      <c r="V27" s="80"/>
      <c r="W27" s="81"/>
      <c r="X27" s="81"/>
    </row>
    <row r="28" spans="1:24" ht="30" customHeight="1" x14ac:dyDescent="0.2">
      <c r="A28" s="175">
        <f>'Analytical Data'!A29</f>
        <v>0</v>
      </c>
      <c r="B28" s="78" t="e">
        <f ca="1">IF(AND(LOD!E28&gt;1.5,0.35&gt;'rc'!D28,SDrc!D28&lt;0.5),"Surface Wash-Off",IF(AND(LOD!E28&gt;1.5,0.35&lt;'rc'!D28,0.65&gt;'rc'!D28,SDrc!D28&lt;0.5),"Diffusion",IF(AND(LOD!E28&gt;1.5,0.65&lt;'rc'!D28,SDrc!D28&lt;0.5),"Dissolution","ND")))</f>
        <v>#DIV/0!</v>
      </c>
      <c r="C28" s="79" t="e">
        <f ca="1">IF(AND(LOD!F28&gt;1.5,0.35&gt;'rc'!E28,SDrc!E28&lt;0.5),"Depletion",IF(AND(LOD!F28&gt;1.5,0.35&lt;'rc'!E28,0.65&gt;'rc'!E28,SDrc!E28&lt;0.5),"Diffusion",IF(AND(LOD!F28&gt;1.5,0.65&lt;'rc'!E28,SDrc!E28&lt;0.5),"Dissolution","ND")))</f>
        <v>#DIV/0!</v>
      </c>
      <c r="D28" s="79" t="e">
        <f ca="1">IF(AND(LOD!G28&gt;1.5,0.35&gt;'rc'!F28,SDrc!F28&lt;0.5),"Depletion",IF(AND(LOD!G28&gt;1.5,0.35&lt;'rc'!F28,0.65&gt;'rc'!F28,SDrc!F28&lt;0.5),"Diffusion",IF(AND(LOD!G28&gt;1.5,0.65&lt;'rc'!F28,SDrc!F28&lt;0.5),"Dissolution","ND")))</f>
        <v>#DIV/0!</v>
      </c>
      <c r="E28" s="79" t="e">
        <f ca="1">IF(AND(LOD!H28&gt;1.5,0.35&gt;'rc'!G28,SDrc!G28&lt;0.5),"Depletion",IF(AND(LOD!H28&gt;1.5,0.35&lt;'rc'!G28,0.65&gt;'rc'!G28,SDrc!G28&lt;0.5),"Diffusion",IF(AND(LOD!H28&gt;1.5,0.65&lt;'rc'!G28,SDrc!G28&lt;0.5),"Dissolution","ND")))</f>
        <v>#DIV/0!</v>
      </c>
      <c r="F28" s="79" t="e">
        <f ca="1">IF(AND(LOD!I28&gt;1.5,0.35&gt;'rc'!H28,SDrc!H28&lt;0.5),"Depletion",IF(AND(LOD!I28&gt;1.5,0.35&lt;'rc'!H28,0.65&gt;'rc'!H28,SDrc!H28&lt;0.5),"Diffusion",IF(AND(LOD!I28&gt;1.5,0.65&lt;'rc'!H28,SDrc!H28&lt;0.5),"Dissolution","ND")))</f>
        <v>#DIV/0!</v>
      </c>
      <c r="G28" s="86" t="e">
        <f ca="1">IF(AND(LOD!J28&gt;1.5,0.35&gt;'rc'!I28,SDrc!I28&lt;0.5),"Surface Wash-Off",IF(AND(LOD!J28&gt;1.5,0.35&lt;'rc'!I28,0.65&gt;'rc'!I28,SDrc!I28&lt;0.5),"Diffusion",IF(AND(LOD!J28&gt;1.5,0.65&lt;'rc'!I28,SDrc!I28&lt;0.5),"Delayed Diffusion or Dissolution","ND")))</f>
        <v>#DIV/0!</v>
      </c>
      <c r="H28" s="410" t="e">
        <f ca="1">IF(N28="Diffusion",CONCATENATE(N28,O28),IF(AND(N28="",P28="",O28="",Q28=""),"Not possible to Determine Leaching Mechanism",IF(AND(N28="",O28="",P28="",Q28="Dissolution"),"Dissolution",IF(N28="",CONCATENATE(P28,O28),""))))</f>
        <v>#DIV/0!</v>
      </c>
      <c r="I28" s="411"/>
      <c r="J28" s="411"/>
      <c r="K28" s="412"/>
      <c r="L28" s="176" t="e">
        <f t="shared" ca="1" si="0"/>
        <v>#DIV/0!</v>
      </c>
      <c r="M28" s="82"/>
      <c r="N28" s="240" t="e">
        <f t="shared" ca="1" si="2"/>
        <v>#DIV/0!</v>
      </c>
      <c r="O28" s="202" t="e">
        <f t="shared" ca="1" si="3"/>
        <v>#DIV/0!</v>
      </c>
      <c r="P28" s="202" t="e">
        <f t="shared" ca="1" si="4"/>
        <v>#DIV/0!</v>
      </c>
      <c r="Q28" s="202" t="e">
        <f t="shared" ca="1" si="5"/>
        <v>#DIV/0!</v>
      </c>
      <c r="R28" s="202" t="e">
        <f t="shared" ca="1" si="6"/>
        <v>#DIV/0!</v>
      </c>
      <c r="S28" s="80"/>
      <c r="T28" s="80"/>
      <c r="U28" s="80"/>
      <c r="V28" s="80"/>
      <c r="W28" s="81"/>
      <c r="X28" s="81"/>
    </row>
    <row r="29" spans="1:24" ht="30" customHeight="1" x14ac:dyDescent="0.2">
      <c r="A29" s="175">
        <f>'Analytical Data'!A30</f>
        <v>0</v>
      </c>
      <c r="B29" s="78" t="e">
        <f ca="1">IF(AND(LOD!E29&gt;1.5,0.35&gt;'rc'!D29,SDrc!D29&lt;0.5),"Surface Wash-Off",IF(AND(LOD!E29&gt;1.5,0.35&lt;'rc'!D29,0.65&gt;'rc'!D29,SDrc!D29&lt;0.5),"Diffusion",IF(AND(LOD!E29&gt;1.5,0.65&lt;'rc'!D29,SDrc!D29&lt;0.5),"Dissolution","ND")))</f>
        <v>#DIV/0!</v>
      </c>
      <c r="C29" s="79" t="e">
        <f ca="1">IF(AND(LOD!F29&gt;1.5,0.35&gt;'rc'!E29,SDrc!E29&lt;0.5),"Depletion",IF(AND(LOD!F29&gt;1.5,0.35&lt;'rc'!E29,0.65&gt;'rc'!E29,SDrc!E29&lt;0.5),"Diffusion",IF(AND(LOD!F29&gt;1.5,0.65&lt;'rc'!E29,SDrc!E29&lt;0.5),"Dissolution","ND")))</f>
        <v>#DIV/0!</v>
      </c>
      <c r="D29" s="79" t="e">
        <f ca="1">IF(AND(LOD!G29&gt;1.5,0.35&gt;'rc'!F29,SDrc!F29&lt;0.5),"Depletion",IF(AND(LOD!G29&gt;1.5,0.35&lt;'rc'!F29,0.65&gt;'rc'!F29,SDrc!F29&lt;0.5),"Diffusion",IF(AND(LOD!G29&gt;1.5,0.65&lt;'rc'!F29,SDrc!F29&lt;0.5),"Dissolution","ND")))</f>
        <v>#DIV/0!</v>
      </c>
      <c r="E29" s="79" t="e">
        <f ca="1">IF(AND(LOD!H29&gt;1.5,0.35&gt;'rc'!G29,SDrc!G29&lt;0.5),"Depletion",IF(AND(LOD!H29&gt;1.5,0.35&lt;'rc'!G29,0.65&gt;'rc'!G29,SDrc!G29&lt;0.5),"Diffusion",IF(AND(LOD!H29&gt;1.5,0.65&lt;'rc'!G29,SDrc!G29&lt;0.5),"Dissolution","ND")))</f>
        <v>#DIV/0!</v>
      </c>
      <c r="F29" s="79" t="e">
        <f ca="1">IF(AND(LOD!I29&gt;1.5,0.35&gt;'rc'!H29,SDrc!H29&lt;0.5),"Depletion",IF(AND(LOD!I29&gt;1.5,0.35&lt;'rc'!H29,0.65&gt;'rc'!H29,SDrc!H29&lt;0.5),"Diffusion",IF(AND(LOD!I29&gt;1.5,0.65&lt;'rc'!H29,SDrc!H29&lt;0.5),"Dissolution","ND")))</f>
        <v>#DIV/0!</v>
      </c>
      <c r="G29" s="86" t="e">
        <f ca="1">IF(AND(LOD!J29&gt;1.5,0.35&gt;'rc'!I29,SDrc!I29&lt;0.5),"Surface Wash-Off",IF(AND(LOD!J29&gt;1.5,0.35&lt;'rc'!I29,0.65&gt;'rc'!I29,SDrc!I29&lt;0.5),"Diffusion",IF(AND(LOD!J29&gt;1.5,0.65&lt;'rc'!I29,SDrc!I29&lt;0.5),"Delayed Diffusion or Dissolution","ND")))</f>
        <v>#DIV/0!</v>
      </c>
      <c r="H29" s="410" t="e">
        <f ca="1">IF(N29="Diffusion",CONCATENATE(N29,O29),IF(AND(N29="",P29="",O29="",Q29=""),"Not possible to Determine Leaching Mechanism",IF(AND(N29="",O29="",P29="",Q29="Dissolution"),"Dissolution",IF(N29="",CONCATENATE(P29,O29),""))))</f>
        <v>#DIV/0!</v>
      </c>
      <c r="I29" s="411"/>
      <c r="J29" s="411"/>
      <c r="K29" s="412"/>
      <c r="L29" s="176" t="e">
        <f t="shared" ca="1" si="0"/>
        <v>#DIV/0!</v>
      </c>
      <c r="M29" s="82"/>
      <c r="N29" s="240" t="e">
        <f t="shared" ca="1" si="2"/>
        <v>#DIV/0!</v>
      </c>
      <c r="O29" s="202" t="e">
        <f t="shared" ca="1" si="3"/>
        <v>#DIV/0!</v>
      </c>
      <c r="P29" s="202" t="e">
        <f t="shared" ca="1" si="4"/>
        <v>#DIV/0!</v>
      </c>
      <c r="Q29" s="202" t="e">
        <f t="shared" ca="1" si="5"/>
        <v>#DIV/0!</v>
      </c>
      <c r="R29" s="202" t="e">
        <f t="shared" ca="1" si="6"/>
        <v>#DIV/0!</v>
      </c>
      <c r="S29" s="80"/>
      <c r="T29" s="80"/>
      <c r="U29" s="80"/>
      <c r="V29" s="80"/>
      <c r="W29" s="81"/>
      <c r="X29" s="81"/>
    </row>
    <row r="30" spans="1:24" ht="30" customHeight="1" x14ac:dyDescent="0.2">
      <c r="A30" s="175">
        <f>'Analytical Data'!A31</f>
        <v>0</v>
      </c>
      <c r="B30" s="78" t="e">
        <f ca="1">IF(AND(LOD!E30&gt;1.5,0.35&gt;'rc'!D30,SDrc!D30&lt;0.5),"Surface Wash-Off",IF(AND(LOD!E30&gt;1.5,0.35&lt;'rc'!D30,0.65&gt;'rc'!D30,SDrc!D30&lt;0.5),"Diffusion",IF(AND(LOD!E30&gt;1.5,0.65&lt;'rc'!D30,SDrc!D30&lt;0.5),"Dissolution","ND")))</f>
        <v>#DIV/0!</v>
      </c>
      <c r="C30" s="79" t="e">
        <f ca="1">IF(AND(LOD!F30&gt;1.5,0.35&gt;'rc'!E30,SDrc!E30&lt;0.5),"Depletion",IF(AND(LOD!F30&gt;1.5,0.35&lt;'rc'!E30,0.65&gt;'rc'!E30,SDrc!E30&lt;0.5),"Diffusion",IF(AND(LOD!F30&gt;1.5,0.65&lt;'rc'!E30,SDrc!E30&lt;0.5),"Dissolution","ND")))</f>
        <v>#DIV/0!</v>
      </c>
      <c r="D30" s="79" t="e">
        <f ca="1">IF(AND(LOD!G30&gt;1.5,0.35&gt;'rc'!F30,SDrc!F30&lt;0.5),"Depletion",IF(AND(LOD!G30&gt;1.5,0.35&lt;'rc'!F30,0.65&gt;'rc'!F30,SDrc!F30&lt;0.5),"Diffusion",IF(AND(LOD!G30&gt;1.5,0.65&lt;'rc'!F30,SDrc!F30&lt;0.5),"Dissolution","ND")))</f>
        <v>#DIV/0!</v>
      </c>
      <c r="E30" s="79" t="e">
        <f ca="1">IF(AND(LOD!H30&gt;1.5,0.35&gt;'rc'!G30,SDrc!G30&lt;0.5),"Depletion",IF(AND(LOD!H30&gt;1.5,0.35&lt;'rc'!G30,0.65&gt;'rc'!G30,SDrc!G30&lt;0.5),"Diffusion",IF(AND(LOD!H30&gt;1.5,0.65&lt;'rc'!G30,SDrc!G30&lt;0.5),"Dissolution","ND")))</f>
        <v>#DIV/0!</v>
      </c>
      <c r="F30" s="79" t="e">
        <f ca="1">IF(AND(LOD!I30&gt;1.5,0.35&gt;'rc'!H30,SDrc!H30&lt;0.5),"Depletion",IF(AND(LOD!I30&gt;1.5,0.35&lt;'rc'!H30,0.65&gt;'rc'!H30,SDrc!H30&lt;0.5),"Diffusion",IF(AND(LOD!I30&gt;1.5,0.65&lt;'rc'!H30,SDrc!H30&lt;0.5),"Dissolution","ND")))</f>
        <v>#DIV/0!</v>
      </c>
      <c r="G30" s="86" t="e">
        <f ca="1">IF(AND(LOD!J30&gt;1.5,0.35&gt;'rc'!I30,SDrc!I30&lt;0.5),"Surface Wash-Off",IF(AND(LOD!J30&gt;1.5,0.35&lt;'rc'!I30,0.65&gt;'rc'!I30,SDrc!I30&lt;0.5),"Diffusion",IF(AND(LOD!J30&gt;1.5,0.65&lt;'rc'!I30,SDrc!I30&lt;0.5),"Delayed Diffusion or Dissolution","ND")))</f>
        <v>#DIV/0!</v>
      </c>
      <c r="H30" s="410" t="e">
        <f ca="1">IF(N30="Diffusion",CONCATENATE(N30,O30),IF(AND(N30="",P30="",O30="",Q30=""),"Not possible to Determine Leaching Mechanism",IF(AND(N30="",O30="",P30="",Q30="Dissolution"),"Dissolution",IF(N30="",CONCATENATE(P30,O30),""))))</f>
        <v>#DIV/0!</v>
      </c>
      <c r="I30" s="411"/>
      <c r="J30" s="411"/>
      <c r="K30" s="412"/>
      <c r="L30" s="176" t="e">
        <f t="shared" ca="1" si="0"/>
        <v>#DIV/0!</v>
      </c>
      <c r="M30" s="82"/>
      <c r="N30" s="240" t="e">
        <f t="shared" ca="1" si="2"/>
        <v>#DIV/0!</v>
      </c>
      <c r="O30" s="202" t="e">
        <f t="shared" ca="1" si="3"/>
        <v>#DIV/0!</v>
      </c>
      <c r="P30" s="202" t="e">
        <f t="shared" ca="1" si="4"/>
        <v>#DIV/0!</v>
      </c>
      <c r="Q30" s="202" t="e">
        <f t="shared" ca="1" si="5"/>
        <v>#DIV/0!</v>
      </c>
      <c r="R30" s="202" t="e">
        <f t="shared" ca="1" si="6"/>
        <v>#DIV/0!</v>
      </c>
      <c r="S30" s="80"/>
      <c r="T30" s="81"/>
      <c r="U30" s="81"/>
      <c r="V30" s="81"/>
      <c r="W30" s="81"/>
      <c r="X30" s="81"/>
    </row>
    <row r="31" spans="1:24" ht="30" customHeight="1" x14ac:dyDescent="0.2">
      <c r="A31" s="175">
        <f>'Analytical Data'!A32</f>
        <v>0</v>
      </c>
      <c r="B31" s="78" t="e">
        <f ca="1">IF(AND(LOD!E31&gt;1.5,0.35&gt;'rc'!D31,SDrc!D31&lt;0.5),"Surface Wash-Off",IF(AND(LOD!E31&gt;1.5,0.35&lt;'rc'!D31,0.65&gt;'rc'!D31,SDrc!D31&lt;0.5),"Diffusion",IF(AND(LOD!E31&gt;1.5,0.65&lt;'rc'!D31,SDrc!D31&lt;0.5),"Dissolution","ND")))</f>
        <v>#DIV/0!</v>
      </c>
      <c r="C31" s="79" t="e">
        <f ca="1">IF(AND(LOD!F31&gt;1.5,0.35&gt;'rc'!E31,SDrc!E31&lt;0.5),"Depletion",IF(AND(LOD!F31&gt;1.5,0.35&lt;'rc'!E31,0.65&gt;'rc'!E31,SDrc!E31&lt;0.5),"Diffusion",IF(AND(LOD!F31&gt;1.5,0.65&lt;'rc'!E31,SDrc!E31&lt;0.5),"Dissolution","ND")))</f>
        <v>#DIV/0!</v>
      </c>
      <c r="D31" s="79" t="e">
        <f ca="1">IF(AND(LOD!G31&gt;1.5,0.35&gt;'rc'!F31,SDrc!F31&lt;0.5),"Depletion",IF(AND(LOD!G31&gt;1.5,0.35&lt;'rc'!F31,0.65&gt;'rc'!F31,SDrc!F31&lt;0.5),"Diffusion",IF(AND(LOD!G31&gt;1.5,0.65&lt;'rc'!F31,SDrc!F31&lt;0.5),"Dissolution","ND")))</f>
        <v>#DIV/0!</v>
      </c>
      <c r="E31" s="79" t="e">
        <f ca="1">IF(AND(LOD!H31&gt;1.5,0.35&gt;'rc'!G31,SDrc!G31&lt;0.5),"Depletion",IF(AND(LOD!H31&gt;1.5,0.35&lt;'rc'!G31,0.65&gt;'rc'!G31,SDrc!G31&lt;0.5),"Diffusion",IF(AND(LOD!H31&gt;1.5,0.65&lt;'rc'!G31,SDrc!G31&lt;0.5),"Dissolution","ND")))</f>
        <v>#DIV/0!</v>
      </c>
      <c r="F31" s="79" t="e">
        <f ca="1">IF(AND(LOD!I31&gt;1.5,0.35&gt;'rc'!H31,SDrc!H31&lt;0.5),"Depletion",IF(AND(LOD!I31&gt;1.5,0.35&lt;'rc'!H31,0.65&gt;'rc'!H31,SDrc!H31&lt;0.5),"Diffusion",IF(AND(LOD!I31&gt;1.5,0.65&lt;'rc'!H31,SDrc!H31&lt;0.5),"Dissolution","ND")))</f>
        <v>#DIV/0!</v>
      </c>
      <c r="G31" s="86" t="e">
        <f ca="1">IF(AND(LOD!J31&gt;1.5,0.35&gt;'rc'!I31,SDrc!I31&lt;0.5),"Surface Wash-Off",IF(AND(LOD!J31&gt;1.5,0.35&lt;'rc'!I31,0.65&gt;'rc'!I31,SDrc!I31&lt;0.5),"Diffusion",IF(AND(LOD!J31&gt;1.5,0.65&lt;'rc'!I31,SDrc!I31&lt;0.5),"Delayed Diffusion or Dissolution","ND")))</f>
        <v>#DIV/0!</v>
      </c>
      <c r="H31" s="410" t="e">
        <f ca="1">IF(N31="Diffusion",CONCATENATE(N31,O31),IF(AND(N31="",P31="",O31="",Q31=""),"Not possible to Determine Leaching Mechanism",IF(AND(N31="",O31="",P31="",Q31="Dissolution"),"Dissolution",IF(N31="",CONCATENATE(P31,O31),""))))</f>
        <v>#DIV/0!</v>
      </c>
      <c r="I31" s="411"/>
      <c r="J31" s="411"/>
      <c r="K31" s="412"/>
      <c r="L31" s="176" t="e">
        <f t="shared" ca="1" si="0"/>
        <v>#DIV/0!</v>
      </c>
      <c r="M31" s="82"/>
      <c r="N31" s="240" t="e">
        <f t="shared" ca="1" si="2"/>
        <v>#DIV/0!</v>
      </c>
      <c r="O31" s="202" t="e">
        <f t="shared" ca="1" si="3"/>
        <v>#DIV/0!</v>
      </c>
      <c r="P31" s="202" t="e">
        <f t="shared" ca="1" si="4"/>
        <v>#DIV/0!</v>
      </c>
      <c r="Q31" s="202" t="e">
        <f t="shared" ca="1" si="5"/>
        <v>#DIV/0!</v>
      </c>
      <c r="R31" s="202" t="e">
        <f t="shared" ca="1" si="6"/>
        <v>#DIV/0!</v>
      </c>
      <c r="S31" s="80"/>
    </row>
    <row r="32" spans="1:24" ht="30" customHeight="1" x14ac:dyDescent="0.2">
      <c r="A32" s="175">
        <f>'Analytical Data'!A33</f>
        <v>0</v>
      </c>
      <c r="B32" s="78" t="e">
        <f ca="1">IF(AND(LOD!E32&gt;1.5,0.35&gt;'rc'!D32,SDrc!D32&lt;0.5),"Surface Wash-Off",IF(AND(LOD!E32&gt;1.5,0.35&lt;'rc'!D32,0.65&gt;'rc'!D32,SDrc!D32&lt;0.5),"Diffusion",IF(AND(LOD!E32&gt;1.5,0.65&lt;'rc'!D32,SDrc!D32&lt;0.5),"Dissolution","ND")))</f>
        <v>#DIV/0!</v>
      </c>
      <c r="C32" s="79" t="e">
        <f ca="1">IF(AND(LOD!F32&gt;1.5,0.35&gt;'rc'!E32,SDrc!E32&lt;0.5),"Depletion",IF(AND(LOD!F32&gt;1.5,0.35&lt;'rc'!E32,0.65&gt;'rc'!E32,SDrc!E32&lt;0.5),"Diffusion",IF(AND(LOD!F32&gt;1.5,0.65&lt;'rc'!E32,SDrc!E32&lt;0.5),"Dissolution","ND")))</f>
        <v>#DIV/0!</v>
      </c>
      <c r="D32" s="79" t="e">
        <f ca="1">IF(AND(LOD!G32&gt;1.5,0.35&gt;'rc'!F32,SDrc!F32&lt;0.5),"Depletion",IF(AND(LOD!G32&gt;1.5,0.35&lt;'rc'!F32,0.65&gt;'rc'!F32,SDrc!F32&lt;0.5),"Diffusion",IF(AND(LOD!G32&gt;1.5,0.65&lt;'rc'!F32,SDrc!F32&lt;0.5),"Dissolution","ND")))</f>
        <v>#DIV/0!</v>
      </c>
      <c r="E32" s="79" t="e">
        <f ca="1">IF(AND(LOD!H32&gt;1.5,0.35&gt;'rc'!G32,SDrc!G32&lt;0.5),"Depletion",IF(AND(LOD!H32&gt;1.5,0.35&lt;'rc'!G32,0.65&gt;'rc'!G32,SDrc!G32&lt;0.5),"Diffusion",IF(AND(LOD!H32&gt;1.5,0.65&lt;'rc'!G32,SDrc!G32&lt;0.5),"Dissolution","ND")))</f>
        <v>#DIV/0!</v>
      </c>
      <c r="F32" s="79" t="e">
        <f ca="1">IF(AND(LOD!I32&gt;1.5,0.35&gt;'rc'!H32,SDrc!H32&lt;0.5),"Depletion",IF(AND(LOD!I32&gt;1.5,0.35&lt;'rc'!H32,0.65&gt;'rc'!H32,SDrc!H32&lt;0.5),"Diffusion",IF(AND(LOD!I32&gt;1.5,0.65&lt;'rc'!H32,SDrc!H32&lt;0.5),"Dissolution","ND")))</f>
        <v>#DIV/0!</v>
      </c>
      <c r="G32" s="86" t="e">
        <f ca="1">IF(AND(LOD!J32&gt;1.5,0.35&gt;'rc'!I32,SDrc!I32&lt;0.5),"Surface Wash-Off",IF(AND(LOD!J32&gt;1.5,0.35&lt;'rc'!I32,0.65&gt;'rc'!I32,SDrc!I32&lt;0.5),"Diffusion",IF(AND(LOD!J32&gt;1.5,0.65&lt;'rc'!I32,SDrc!I32&lt;0.5),"Delayed Diffusion or Dissolution","ND")))</f>
        <v>#DIV/0!</v>
      </c>
      <c r="H32" s="410" t="e">
        <f ca="1">IF(N32="Diffusion",CONCATENATE(N32,O32),IF(AND(N32="",P32="",O32="",Q32=""),"Not possible to Determine Leaching Mechanism",IF(AND(N32="",O32="",P32="",Q32="Dissolution"),"Dissolution",IF(N32="",CONCATENATE(P32,O32),""))))</f>
        <v>#DIV/0!</v>
      </c>
      <c r="I32" s="411"/>
      <c r="J32" s="411"/>
      <c r="K32" s="412"/>
      <c r="L32" s="176" t="e">
        <f t="shared" ca="1" si="0"/>
        <v>#DIV/0!</v>
      </c>
      <c r="M32" s="82"/>
      <c r="N32" s="240" t="e">
        <f t="shared" ca="1" si="2"/>
        <v>#DIV/0!</v>
      </c>
      <c r="O32" s="202" t="e">
        <f t="shared" ca="1" si="3"/>
        <v>#DIV/0!</v>
      </c>
      <c r="P32" s="202" t="e">
        <f t="shared" ca="1" si="4"/>
        <v>#DIV/0!</v>
      </c>
      <c r="Q32" s="202" t="e">
        <f t="shared" ca="1" si="5"/>
        <v>#DIV/0!</v>
      </c>
      <c r="R32" s="202" t="e">
        <f t="shared" ca="1" si="6"/>
        <v>#DIV/0!</v>
      </c>
      <c r="S32" s="80"/>
    </row>
    <row r="33" spans="1:19" ht="30" customHeight="1" x14ac:dyDescent="0.2">
      <c r="A33" s="175">
        <f>'Analytical Data'!A34</f>
        <v>0</v>
      </c>
      <c r="B33" s="78" t="e">
        <f ca="1">IF(AND(LOD!E33&gt;1.5,0.35&gt;'rc'!D33,SDrc!D33&lt;0.5),"Surface Wash-Off",IF(AND(LOD!E33&gt;1.5,0.35&lt;'rc'!D33,0.65&gt;'rc'!D33,SDrc!D33&lt;0.5),"Diffusion",IF(AND(LOD!E33&gt;1.5,0.65&lt;'rc'!D33,SDrc!D33&lt;0.5),"Dissolution","ND")))</f>
        <v>#DIV/0!</v>
      </c>
      <c r="C33" s="79" t="e">
        <f ca="1">IF(AND(LOD!F33&gt;1.5,0.35&gt;'rc'!E33,SDrc!E33&lt;0.5),"Depletion",IF(AND(LOD!F33&gt;1.5,0.35&lt;'rc'!E33,0.65&gt;'rc'!E33,SDrc!E33&lt;0.5),"Diffusion",IF(AND(LOD!F33&gt;1.5,0.65&lt;'rc'!E33,SDrc!E33&lt;0.5),"Dissolution","ND")))</f>
        <v>#DIV/0!</v>
      </c>
      <c r="D33" s="79" t="e">
        <f ca="1">IF(AND(LOD!G33&gt;1.5,0.35&gt;'rc'!F33,SDrc!F33&lt;0.5),"Depletion",IF(AND(LOD!G33&gt;1.5,0.35&lt;'rc'!F33,0.65&gt;'rc'!F33,SDrc!F33&lt;0.5),"Diffusion",IF(AND(LOD!G33&gt;1.5,0.65&lt;'rc'!F33,SDrc!F33&lt;0.5),"Dissolution","ND")))</f>
        <v>#DIV/0!</v>
      </c>
      <c r="E33" s="79" t="e">
        <f ca="1">IF(AND(LOD!H33&gt;1.5,0.35&gt;'rc'!G33,SDrc!G33&lt;0.5),"Depletion",IF(AND(LOD!H33&gt;1.5,0.35&lt;'rc'!G33,0.65&gt;'rc'!G33,SDrc!G33&lt;0.5),"Diffusion",IF(AND(LOD!H33&gt;1.5,0.65&lt;'rc'!G33,SDrc!G33&lt;0.5),"Dissolution","ND")))</f>
        <v>#DIV/0!</v>
      </c>
      <c r="F33" s="79" t="e">
        <f ca="1">IF(AND(LOD!I33&gt;1.5,0.35&gt;'rc'!H33,SDrc!H33&lt;0.5),"Depletion",IF(AND(LOD!I33&gt;1.5,0.35&lt;'rc'!H33,0.65&gt;'rc'!H33,SDrc!H33&lt;0.5),"Diffusion",IF(AND(LOD!I33&gt;1.5,0.65&lt;'rc'!H33,SDrc!H33&lt;0.5),"Dissolution","ND")))</f>
        <v>#DIV/0!</v>
      </c>
      <c r="G33" s="86" t="e">
        <f ca="1">IF(AND(LOD!J33&gt;1.5,0.35&gt;'rc'!I33,SDrc!I33&lt;0.5),"Surface Wash-Off",IF(AND(LOD!J33&gt;1.5,0.35&lt;'rc'!I33,0.65&gt;'rc'!I33,SDrc!I33&lt;0.5),"Diffusion",IF(AND(LOD!J33&gt;1.5,0.65&lt;'rc'!I33,SDrc!I33&lt;0.5),"Delayed Diffusion or Dissolution","ND")))</f>
        <v>#DIV/0!</v>
      </c>
      <c r="H33" s="410" t="e">
        <f t="shared" ref="H33:H50" ca="1" si="7">IF(N33="Diffusion",CONCATENATE(N33,O33),IF(AND(N33="",P33="",O33="",Q33=""),"Not possible to Determine Leaching Mechanism",IF(AND(N33="",O33="",P33="",Q33="Dissolution"),"Dissolution",IF(N33="",CONCATENATE(P33,O33),""))))</f>
        <v>#DIV/0!</v>
      </c>
      <c r="I33" s="411"/>
      <c r="J33" s="411"/>
      <c r="K33" s="412"/>
      <c r="L33" s="176" t="e">
        <f t="shared" ca="1" si="0"/>
        <v>#DIV/0!</v>
      </c>
      <c r="M33" s="82"/>
      <c r="N33" s="240" t="e">
        <f t="shared" ca="1" si="2"/>
        <v>#DIV/0!</v>
      </c>
      <c r="O33" s="202" t="e">
        <f t="shared" ca="1" si="3"/>
        <v>#DIV/0!</v>
      </c>
      <c r="P33" s="202" t="e">
        <f t="shared" ca="1" si="4"/>
        <v>#DIV/0!</v>
      </c>
      <c r="Q33" s="202" t="e">
        <f t="shared" ca="1" si="5"/>
        <v>#DIV/0!</v>
      </c>
      <c r="R33" s="202" t="e">
        <f t="shared" ca="1" si="6"/>
        <v>#DIV/0!</v>
      </c>
      <c r="S33" s="80"/>
    </row>
    <row r="34" spans="1:19" ht="30" customHeight="1" x14ac:dyDescent="0.2">
      <c r="A34" s="175">
        <f>'Analytical Data'!A35</f>
        <v>0</v>
      </c>
      <c r="B34" s="78" t="e">
        <f ca="1">IF(AND(LOD!E34&gt;1.5,0.35&gt;'rc'!D34,SDrc!D34&lt;0.5),"Surface Wash-Off",IF(AND(LOD!E34&gt;1.5,0.35&lt;'rc'!D34,0.65&gt;'rc'!D34,SDrc!D34&lt;0.5),"Diffusion",IF(AND(LOD!E34&gt;1.5,0.65&lt;'rc'!D34,SDrc!D34&lt;0.5),"Dissolution","ND")))</f>
        <v>#DIV/0!</v>
      </c>
      <c r="C34" s="79" t="e">
        <f ca="1">IF(AND(LOD!F34&gt;1.5,0.35&gt;'rc'!E34,SDrc!E34&lt;0.5),"Depletion",IF(AND(LOD!F34&gt;1.5,0.35&lt;'rc'!E34,0.65&gt;'rc'!E34,SDrc!E34&lt;0.5),"Diffusion",IF(AND(LOD!F34&gt;1.5,0.65&lt;'rc'!E34,SDrc!E34&lt;0.5),"Dissolution","ND")))</f>
        <v>#DIV/0!</v>
      </c>
      <c r="D34" s="79" t="e">
        <f ca="1">IF(AND(LOD!G34&gt;1.5,0.35&gt;'rc'!F34,SDrc!F34&lt;0.5),"Depletion",IF(AND(LOD!G34&gt;1.5,0.35&lt;'rc'!F34,0.65&gt;'rc'!F34,SDrc!F34&lt;0.5),"Diffusion",IF(AND(LOD!G34&gt;1.5,0.65&lt;'rc'!F34,SDrc!F34&lt;0.5),"Dissolution","ND")))</f>
        <v>#DIV/0!</v>
      </c>
      <c r="E34" s="79" t="e">
        <f ca="1">IF(AND(LOD!H34&gt;1.5,0.35&gt;'rc'!G34,SDrc!G34&lt;0.5),"Depletion",IF(AND(LOD!H34&gt;1.5,0.35&lt;'rc'!G34,0.65&gt;'rc'!G34,SDrc!G34&lt;0.5),"Diffusion",IF(AND(LOD!H34&gt;1.5,0.65&lt;'rc'!G34,SDrc!G34&lt;0.5),"Dissolution","ND")))</f>
        <v>#DIV/0!</v>
      </c>
      <c r="F34" s="79" t="e">
        <f ca="1">IF(AND(LOD!I34&gt;1.5,0.35&gt;'rc'!H34,SDrc!H34&lt;0.5),"Depletion",IF(AND(LOD!I34&gt;1.5,0.35&lt;'rc'!H34,0.65&gt;'rc'!H34,SDrc!H34&lt;0.5),"Diffusion",IF(AND(LOD!I34&gt;1.5,0.65&lt;'rc'!H34,SDrc!H34&lt;0.5),"Dissolution","ND")))</f>
        <v>#DIV/0!</v>
      </c>
      <c r="G34" s="86" t="e">
        <f ca="1">IF(AND(LOD!J34&gt;1.5,0.35&gt;'rc'!I34,SDrc!I34&lt;0.5),"Surface Wash-Off",IF(AND(LOD!J34&gt;1.5,0.35&lt;'rc'!I34,0.65&gt;'rc'!I34,SDrc!I34&lt;0.5),"Diffusion",IF(AND(LOD!J34&gt;1.5,0.65&lt;'rc'!I34,SDrc!I34&lt;0.5),"Delayed Diffusion or Dissolution","ND")))</f>
        <v>#DIV/0!</v>
      </c>
      <c r="H34" s="410" t="e">
        <f t="shared" ca="1" si="7"/>
        <v>#DIV/0!</v>
      </c>
      <c r="I34" s="411"/>
      <c r="J34" s="411"/>
      <c r="K34" s="412"/>
      <c r="L34" s="176" t="e">
        <f t="shared" ca="1" si="0"/>
        <v>#DIV/0!</v>
      </c>
      <c r="M34" s="82"/>
      <c r="N34" s="240" t="e">
        <f t="shared" ca="1" si="2"/>
        <v>#DIV/0!</v>
      </c>
      <c r="O34" s="202" t="e">
        <f t="shared" ca="1" si="3"/>
        <v>#DIV/0!</v>
      </c>
      <c r="P34" s="202" t="e">
        <f t="shared" ca="1" si="4"/>
        <v>#DIV/0!</v>
      </c>
      <c r="Q34" s="202" t="e">
        <f t="shared" ca="1" si="5"/>
        <v>#DIV/0!</v>
      </c>
      <c r="R34" s="202" t="e">
        <f t="shared" ca="1" si="6"/>
        <v>#DIV/0!</v>
      </c>
      <c r="S34" s="80"/>
    </row>
    <row r="35" spans="1:19" ht="30" customHeight="1" x14ac:dyDescent="0.2">
      <c r="A35" s="175">
        <f>'Analytical Data'!A36</f>
        <v>0</v>
      </c>
      <c r="B35" s="78" t="e">
        <f ca="1">IF(AND(LOD!E35&gt;1.5,0.35&gt;'rc'!D35,SDrc!D35&lt;0.5),"Surface Wash-Off",IF(AND(LOD!E35&gt;1.5,0.35&lt;'rc'!D35,0.65&gt;'rc'!D35,SDrc!D35&lt;0.5),"Diffusion",IF(AND(LOD!E35&gt;1.5,0.65&lt;'rc'!D35,SDrc!D35&lt;0.5),"Dissolution","ND")))</f>
        <v>#DIV/0!</v>
      </c>
      <c r="C35" s="79" t="e">
        <f ca="1">IF(AND(LOD!F35&gt;1.5,0.35&gt;'rc'!E35,SDrc!E35&lt;0.5),"Depletion",IF(AND(LOD!F35&gt;1.5,0.35&lt;'rc'!E35,0.65&gt;'rc'!E35,SDrc!E35&lt;0.5),"Diffusion",IF(AND(LOD!F35&gt;1.5,0.65&lt;'rc'!E35,SDrc!E35&lt;0.5),"Dissolution","ND")))</f>
        <v>#DIV/0!</v>
      </c>
      <c r="D35" s="79" t="e">
        <f ca="1">IF(AND(LOD!G35&gt;1.5,0.35&gt;'rc'!F35,SDrc!F35&lt;0.5),"Depletion",IF(AND(LOD!G35&gt;1.5,0.35&lt;'rc'!F35,0.65&gt;'rc'!F35,SDrc!F35&lt;0.5),"Diffusion",IF(AND(LOD!G35&gt;1.5,0.65&lt;'rc'!F35,SDrc!F35&lt;0.5),"Dissolution","ND")))</f>
        <v>#DIV/0!</v>
      </c>
      <c r="E35" s="79" t="e">
        <f ca="1">IF(AND(LOD!H35&gt;1.5,0.35&gt;'rc'!G35,SDrc!G35&lt;0.5),"Depletion",IF(AND(LOD!H35&gt;1.5,0.35&lt;'rc'!G35,0.65&gt;'rc'!G35,SDrc!G35&lt;0.5),"Diffusion",IF(AND(LOD!H35&gt;1.5,0.65&lt;'rc'!G35,SDrc!G35&lt;0.5),"Dissolution","ND")))</f>
        <v>#DIV/0!</v>
      </c>
      <c r="F35" s="79" t="e">
        <f ca="1">IF(AND(LOD!I35&gt;1.5,0.35&gt;'rc'!H35,SDrc!H35&lt;0.5),"Depletion",IF(AND(LOD!I35&gt;1.5,0.35&lt;'rc'!H35,0.65&gt;'rc'!H35,SDrc!H35&lt;0.5),"Diffusion",IF(AND(LOD!I35&gt;1.5,0.65&lt;'rc'!H35,SDrc!H35&lt;0.5),"Dissolution","ND")))</f>
        <v>#DIV/0!</v>
      </c>
      <c r="G35" s="86" t="e">
        <f ca="1">IF(AND(LOD!J35&gt;1.5,0.35&gt;'rc'!I35,SDrc!I35&lt;0.5),"Surface Wash-Off",IF(AND(LOD!J35&gt;1.5,0.35&lt;'rc'!I35,0.65&gt;'rc'!I35,SDrc!I35&lt;0.5),"Diffusion",IF(AND(LOD!J35&gt;1.5,0.65&lt;'rc'!I35,SDrc!I35&lt;0.5),"Delayed Diffusion or Dissolution","ND")))</f>
        <v>#DIV/0!</v>
      </c>
      <c r="H35" s="410" t="e">
        <f t="shared" ca="1" si="7"/>
        <v>#DIV/0!</v>
      </c>
      <c r="I35" s="411"/>
      <c r="J35" s="411"/>
      <c r="K35" s="412"/>
      <c r="L35" s="176" t="e">
        <f t="shared" ca="1" si="0"/>
        <v>#DIV/0!</v>
      </c>
      <c r="M35" s="82"/>
      <c r="N35" s="240" t="e">
        <f t="shared" ca="1" si="2"/>
        <v>#DIV/0!</v>
      </c>
      <c r="O35" s="202" t="e">
        <f t="shared" ca="1" si="3"/>
        <v>#DIV/0!</v>
      </c>
      <c r="P35" s="202" t="e">
        <f t="shared" ca="1" si="4"/>
        <v>#DIV/0!</v>
      </c>
      <c r="Q35" s="202" t="e">
        <f t="shared" ca="1" si="5"/>
        <v>#DIV/0!</v>
      </c>
      <c r="R35" s="202" t="e">
        <f t="shared" ca="1" si="6"/>
        <v>#DIV/0!</v>
      </c>
      <c r="S35" s="80"/>
    </row>
    <row r="36" spans="1:19" ht="30" customHeight="1" x14ac:dyDescent="0.2">
      <c r="A36" s="175">
        <f>'Analytical Data'!A37</f>
        <v>0</v>
      </c>
      <c r="B36" s="78" t="e">
        <f ca="1">IF(AND(LOD!E36&gt;1.5,0.35&gt;'rc'!D36,SDrc!D36&lt;0.5),"Surface Wash-Off",IF(AND(LOD!E36&gt;1.5,0.35&lt;'rc'!D36,0.65&gt;'rc'!D36,SDrc!D36&lt;0.5),"Diffusion",IF(AND(LOD!E36&gt;1.5,0.65&lt;'rc'!D36,SDrc!D36&lt;0.5),"Dissolution","ND")))</f>
        <v>#DIV/0!</v>
      </c>
      <c r="C36" s="79" t="e">
        <f ca="1">IF(AND(LOD!F36&gt;1.5,0.35&gt;'rc'!E36,SDrc!E36&lt;0.5),"Depletion",IF(AND(LOD!F36&gt;1.5,0.35&lt;'rc'!E36,0.65&gt;'rc'!E36,SDrc!E36&lt;0.5),"Diffusion",IF(AND(LOD!F36&gt;1.5,0.65&lt;'rc'!E36,SDrc!E36&lt;0.5),"Dissolution","ND")))</f>
        <v>#DIV/0!</v>
      </c>
      <c r="D36" s="79" t="e">
        <f ca="1">IF(AND(LOD!G36&gt;1.5,0.35&gt;'rc'!F36,SDrc!F36&lt;0.5),"Depletion",IF(AND(LOD!G36&gt;1.5,0.35&lt;'rc'!F36,0.65&gt;'rc'!F36,SDrc!F36&lt;0.5),"Diffusion",IF(AND(LOD!G36&gt;1.5,0.65&lt;'rc'!F36,SDrc!F36&lt;0.5),"Dissolution","ND")))</f>
        <v>#DIV/0!</v>
      </c>
      <c r="E36" s="79" t="e">
        <f ca="1">IF(AND(LOD!H36&gt;1.5,0.35&gt;'rc'!G36,SDrc!G36&lt;0.5),"Depletion",IF(AND(LOD!H36&gt;1.5,0.35&lt;'rc'!G36,0.65&gt;'rc'!G36,SDrc!G36&lt;0.5),"Diffusion",IF(AND(LOD!H36&gt;1.5,0.65&lt;'rc'!G36,SDrc!G36&lt;0.5),"Dissolution","ND")))</f>
        <v>#DIV/0!</v>
      </c>
      <c r="F36" s="79" t="e">
        <f ca="1">IF(AND(LOD!I36&gt;1.5,0.35&gt;'rc'!H36,SDrc!H36&lt;0.5),"Depletion",IF(AND(LOD!I36&gt;1.5,0.35&lt;'rc'!H36,0.65&gt;'rc'!H36,SDrc!H36&lt;0.5),"Diffusion",IF(AND(LOD!I36&gt;1.5,0.65&lt;'rc'!H36,SDrc!H36&lt;0.5),"Dissolution","ND")))</f>
        <v>#DIV/0!</v>
      </c>
      <c r="G36" s="86" t="e">
        <f ca="1">IF(AND(LOD!J36&gt;1.5,0.35&gt;'rc'!I36,SDrc!I36&lt;0.5),"Surface Wash-Off",IF(AND(LOD!J36&gt;1.5,0.35&lt;'rc'!I36,0.65&gt;'rc'!I36,SDrc!I36&lt;0.5),"Diffusion",IF(AND(LOD!J36&gt;1.5,0.65&lt;'rc'!I36,SDrc!I36&lt;0.5),"Delayed Diffusion or Dissolution","ND")))</f>
        <v>#DIV/0!</v>
      </c>
      <c r="H36" s="410" t="e">
        <f t="shared" ca="1" si="7"/>
        <v>#DIV/0!</v>
      </c>
      <c r="I36" s="411"/>
      <c r="J36" s="411"/>
      <c r="K36" s="412"/>
      <c r="L36" s="176" t="e">
        <f t="shared" ca="1" si="0"/>
        <v>#DIV/0!</v>
      </c>
      <c r="M36" s="82"/>
      <c r="N36" s="240" t="e">
        <f t="shared" ca="1" si="2"/>
        <v>#DIV/0!</v>
      </c>
      <c r="O36" s="202" t="e">
        <f t="shared" ca="1" si="3"/>
        <v>#DIV/0!</v>
      </c>
      <c r="P36" s="202" t="e">
        <f t="shared" ca="1" si="4"/>
        <v>#DIV/0!</v>
      </c>
      <c r="Q36" s="202" t="e">
        <f t="shared" ca="1" si="5"/>
        <v>#DIV/0!</v>
      </c>
      <c r="R36" s="202" t="e">
        <f t="shared" ca="1" si="6"/>
        <v>#DIV/0!</v>
      </c>
      <c r="S36" s="80"/>
    </row>
    <row r="37" spans="1:19" ht="30" customHeight="1" x14ac:dyDescent="0.2">
      <c r="A37" s="175">
        <f>'Analytical Data'!A38</f>
        <v>0</v>
      </c>
      <c r="B37" s="78" t="e">
        <f ca="1">IF(AND(LOD!E37&gt;1.5,0.35&gt;'rc'!D37,SDrc!D37&lt;0.5),"Surface Wash-Off",IF(AND(LOD!E37&gt;1.5,0.35&lt;'rc'!D37,0.65&gt;'rc'!D37,SDrc!D37&lt;0.5),"Diffusion",IF(AND(LOD!E37&gt;1.5,0.65&lt;'rc'!D37,SDrc!D37&lt;0.5),"Dissolution","ND")))</f>
        <v>#DIV/0!</v>
      </c>
      <c r="C37" s="79" t="e">
        <f ca="1">IF(AND(LOD!F37&gt;1.5,0.35&gt;'rc'!E37,SDrc!E37&lt;0.5),"Depletion",IF(AND(LOD!F37&gt;1.5,0.35&lt;'rc'!E37,0.65&gt;'rc'!E37,SDrc!E37&lt;0.5),"Diffusion",IF(AND(LOD!F37&gt;1.5,0.65&lt;'rc'!E37,SDrc!E37&lt;0.5),"Dissolution","ND")))</f>
        <v>#DIV/0!</v>
      </c>
      <c r="D37" s="79" t="e">
        <f ca="1">IF(AND(LOD!G37&gt;1.5,0.35&gt;'rc'!F37,SDrc!F37&lt;0.5),"Depletion",IF(AND(LOD!G37&gt;1.5,0.35&lt;'rc'!F37,0.65&gt;'rc'!F37,SDrc!F37&lt;0.5),"Diffusion",IF(AND(LOD!G37&gt;1.5,0.65&lt;'rc'!F37,SDrc!F37&lt;0.5),"Dissolution","ND")))</f>
        <v>#DIV/0!</v>
      </c>
      <c r="E37" s="79" t="e">
        <f ca="1">IF(AND(LOD!H37&gt;1.5,0.35&gt;'rc'!G37,SDrc!G37&lt;0.5),"Depletion",IF(AND(LOD!H37&gt;1.5,0.35&lt;'rc'!G37,0.65&gt;'rc'!G37,SDrc!G37&lt;0.5),"Diffusion",IF(AND(LOD!H37&gt;1.5,0.65&lt;'rc'!G37,SDrc!G37&lt;0.5),"Dissolution","ND")))</f>
        <v>#DIV/0!</v>
      </c>
      <c r="F37" s="79" t="e">
        <f ca="1">IF(AND(LOD!I37&gt;1.5,0.35&gt;'rc'!H37,SDrc!H37&lt;0.5),"Depletion",IF(AND(LOD!I37&gt;1.5,0.35&lt;'rc'!H37,0.65&gt;'rc'!H37,SDrc!H37&lt;0.5),"Diffusion",IF(AND(LOD!I37&gt;1.5,0.65&lt;'rc'!H37,SDrc!H37&lt;0.5),"Dissolution","ND")))</f>
        <v>#DIV/0!</v>
      </c>
      <c r="G37" s="86" t="e">
        <f ca="1">IF(AND(LOD!J37&gt;1.5,0.35&gt;'rc'!I37,SDrc!I37&lt;0.5),"Surface Wash-Off",IF(AND(LOD!J37&gt;1.5,0.35&lt;'rc'!I37,0.65&gt;'rc'!I37,SDrc!I37&lt;0.5),"Diffusion",IF(AND(LOD!J37&gt;1.5,0.65&lt;'rc'!I37,SDrc!I37&lt;0.5),"Delayed Diffusion or Dissolution","ND")))</f>
        <v>#DIV/0!</v>
      </c>
      <c r="H37" s="410" t="e">
        <f t="shared" ca="1" si="7"/>
        <v>#DIV/0!</v>
      </c>
      <c r="I37" s="411"/>
      <c r="J37" s="411"/>
      <c r="K37" s="412"/>
      <c r="L37" s="176" t="e">
        <f t="shared" ca="1" si="0"/>
        <v>#DIV/0!</v>
      </c>
      <c r="M37" s="82"/>
      <c r="N37" s="240" t="e">
        <f t="shared" ca="1" si="2"/>
        <v>#DIV/0!</v>
      </c>
      <c r="O37" s="202" t="e">
        <f t="shared" ca="1" si="3"/>
        <v>#DIV/0!</v>
      </c>
      <c r="P37" s="202" t="e">
        <f t="shared" ca="1" si="4"/>
        <v>#DIV/0!</v>
      </c>
      <c r="Q37" s="202" t="e">
        <f t="shared" ca="1" si="5"/>
        <v>#DIV/0!</v>
      </c>
      <c r="R37" s="202" t="e">
        <f t="shared" ca="1" si="6"/>
        <v>#DIV/0!</v>
      </c>
      <c r="S37" s="80"/>
    </row>
    <row r="38" spans="1:19" ht="30" customHeight="1" x14ac:dyDescent="0.2">
      <c r="A38" s="175">
        <f>'Analytical Data'!A39</f>
        <v>0</v>
      </c>
      <c r="B38" s="78" t="e">
        <f ca="1">IF(AND(LOD!E38&gt;1.5,0.35&gt;'rc'!D38,SDrc!D38&lt;0.5),"Surface Wash-Off",IF(AND(LOD!E38&gt;1.5,0.35&lt;'rc'!D38,0.65&gt;'rc'!D38,SDrc!D38&lt;0.5),"Diffusion",IF(AND(LOD!E38&gt;1.5,0.65&lt;'rc'!D38,SDrc!D38&lt;0.5),"Dissolution","ND")))</f>
        <v>#DIV/0!</v>
      </c>
      <c r="C38" s="79" t="e">
        <f ca="1">IF(AND(LOD!F38&gt;1.5,0.35&gt;'rc'!E38,SDrc!E38&lt;0.5),"Depletion",IF(AND(LOD!F38&gt;1.5,0.35&lt;'rc'!E38,0.65&gt;'rc'!E38,SDrc!E38&lt;0.5),"Diffusion",IF(AND(LOD!F38&gt;1.5,0.65&lt;'rc'!E38,SDrc!E38&lt;0.5),"Dissolution","ND")))</f>
        <v>#DIV/0!</v>
      </c>
      <c r="D38" s="79" t="e">
        <f ca="1">IF(AND(LOD!G38&gt;1.5,0.35&gt;'rc'!F38,SDrc!F38&lt;0.5),"Depletion",IF(AND(LOD!G38&gt;1.5,0.35&lt;'rc'!F38,0.65&gt;'rc'!F38,SDrc!F38&lt;0.5),"Diffusion",IF(AND(LOD!G38&gt;1.5,0.65&lt;'rc'!F38,SDrc!F38&lt;0.5),"Dissolution","ND")))</f>
        <v>#DIV/0!</v>
      </c>
      <c r="E38" s="79" t="e">
        <f ca="1">IF(AND(LOD!H38&gt;1.5,0.35&gt;'rc'!G38,SDrc!G38&lt;0.5),"Depletion",IF(AND(LOD!H38&gt;1.5,0.35&lt;'rc'!G38,0.65&gt;'rc'!G38,SDrc!G38&lt;0.5),"Diffusion",IF(AND(LOD!H38&gt;1.5,0.65&lt;'rc'!G38,SDrc!G38&lt;0.5),"Dissolution","ND")))</f>
        <v>#DIV/0!</v>
      </c>
      <c r="F38" s="79" t="e">
        <f ca="1">IF(AND(LOD!I38&gt;1.5,0.35&gt;'rc'!H38,SDrc!H38&lt;0.5),"Depletion",IF(AND(LOD!I38&gt;1.5,0.35&lt;'rc'!H38,0.65&gt;'rc'!H38,SDrc!H38&lt;0.5),"Diffusion",IF(AND(LOD!I38&gt;1.5,0.65&lt;'rc'!H38,SDrc!H38&lt;0.5),"Dissolution","ND")))</f>
        <v>#DIV/0!</v>
      </c>
      <c r="G38" s="86" t="e">
        <f ca="1">IF(AND(LOD!J38&gt;1.5,0.35&gt;'rc'!I38,SDrc!I38&lt;0.5),"Surface Wash-Off",IF(AND(LOD!J38&gt;1.5,0.35&lt;'rc'!I38,0.65&gt;'rc'!I38,SDrc!I38&lt;0.5),"Diffusion",IF(AND(LOD!J38&gt;1.5,0.65&lt;'rc'!I38,SDrc!I38&lt;0.5),"Delayed Diffusion or Dissolution","ND")))</f>
        <v>#DIV/0!</v>
      </c>
      <c r="H38" s="410" t="e">
        <f t="shared" ca="1" si="7"/>
        <v>#DIV/0!</v>
      </c>
      <c r="I38" s="411"/>
      <c r="J38" s="411"/>
      <c r="K38" s="412"/>
      <c r="L38" s="176" t="e">
        <f t="shared" ca="1" si="0"/>
        <v>#DIV/0!</v>
      </c>
      <c r="M38" s="82"/>
      <c r="N38" s="240" t="e">
        <f t="shared" ca="1" si="2"/>
        <v>#DIV/0!</v>
      </c>
      <c r="O38" s="202" t="e">
        <f t="shared" ca="1" si="3"/>
        <v>#DIV/0!</v>
      </c>
      <c r="P38" s="202" t="e">
        <f t="shared" ca="1" si="4"/>
        <v>#DIV/0!</v>
      </c>
      <c r="Q38" s="202" t="e">
        <f t="shared" ca="1" si="5"/>
        <v>#DIV/0!</v>
      </c>
      <c r="R38" s="202" t="e">
        <f t="shared" ca="1" si="6"/>
        <v>#DIV/0!</v>
      </c>
      <c r="S38" s="80"/>
    </row>
    <row r="39" spans="1:19" ht="30" customHeight="1" x14ac:dyDescent="0.2">
      <c r="A39" s="175">
        <f>'Analytical Data'!A40</f>
        <v>0</v>
      </c>
      <c r="B39" s="78" t="e">
        <f ca="1">IF(AND(LOD!E39&gt;1.5,0.35&gt;'rc'!D39,SDrc!D39&lt;0.5),"Surface Wash-Off",IF(AND(LOD!E39&gt;1.5,0.35&lt;'rc'!D39,0.65&gt;'rc'!D39,SDrc!D39&lt;0.5),"Diffusion",IF(AND(LOD!E39&gt;1.5,0.65&lt;'rc'!D39,SDrc!D39&lt;0.5),"Dissolution","ND")))</f>
        <v>#DIV/0!</v>
      </c>
      <c r="C39" s="79" t="e">
        <f ca="1">IF(AND(LOD!F39&gt;1.5,0.35&gt;'rc'!E39,SDrc!E39&lt;0.5),"Depletion",IF(AND(LOD!F39&gt;1.5,0.35&lt;'rc'!E39,0.65&gt;'rc'!E39,SDrc!E39&lt;0.5),"Diffusion",IF(AND(LOD!F39&gt;1.5,0.65&lt;'rc'!E39,SDrc!E39&lt;0.5),"Dissolution","ND")))</f>
        <v>#DIV/0!</v>
      </c>
      <c r="D39" s="79" t="e">
        <f ca="1">IF(AND(LOD!G39&gt;1.5,0.35&gt;'rc'!F39,SDrc!F39&lt;0.5),"Depletion",IF(AND(LOD!G39&gt;1.5,0.35&lt;'rc'!F39,0.65&gt;'rc'!F39,SDrc!F39&lt;0.5),"Diffusion",IF(AND(LOD!G39&gt;1.5,0.65&lt;'rc'!F39,SDrc!F39&lt;0.5),"Dissolution","ND")))</f>
        <v>#DIV/0!</v>
      </c>
      <c r="E39" s="79" t="e">
        <f ca="1">IF(AND(LOD!H39&gt;1.5,0.35&gt;'rc'!G39,SDrc!G39&lt;0.5),"Depletion",IF(AND(LOD!H39&gt;1.5,0.35&lt;'rc'!G39,0.65&gt;'rc'!G39,SDrc!G39&lt;0.5),"Diffusion",IF(AND(LOD!H39&gt;1.5,0.65&lt;'rc'!G39,SDrc!G39&lt;0.5),"Dissolution","ND")))</f>
        <v>#DIV/0!</v>
      </c>
      <c r="F39" s="79" t="e">
        <f ca="1">IF(AND(LOD!I39&gt;1.5,0.35&gt;'rc'!H39,SDrc!H39&lt;0.5),"Depletion",IF(AND(LOD!I39&gt;1.5,0.35&lt;'rc'!H39,0.65&gt;'rc'!H39,SDrc!H39&lt;0.5),"Diffusion",IF(AND(LOD!I39&gt;1.5,0.65&lt;'rc'!H39,SDrc!H39&lt;0.5),"Dissolution","ND")))</f>
        <v>#DIV/0!</v>
      </c>
      <c r="G39" s="86" t="e">
        <f ca="1">IF(AND(LOD!J39&gt;1.5,0.35&gt;'rc'!I39,SDrc!I39&lt;0.5),"Surface Wash-Off",IF(AND(LOD!J39&gt;1.5,0.35&lt;'rc'!I39,0.65&gt;'rc'!I39,SDrc!I39&lt;0.5),"Diffusion",IF(AND(LOD!J39&gt;1.5,0.65&lt;'rc'!I39,SDrc!I39&lt;0.5),"Delayed Diffusion or Dissolution","ND")))</f>
        <v>#DIV/0!</v>
      </c>
      <c r="H39" s="410" t="e">
        <f t="shared" ca="1" si="7"/>
        <v>#DIV/0!</v>
      </c>
      <c r="I39" s="411"/>
      <c r="J39" s="411"/>
      <c r="K39" s="412"/>
      <c r="L39" s="176" t="e">
        <f t="shared" ca="1" si="0"/>
        <v>#DIV/0!</v>
      </c>
      <c r="M39" s="82"/>
      <c r="N39" s="240" t="e">
        <f t="shared" ca="1" si="2"/>
        <v>#DIV/0!</v>
      </c>
      <c r="O39" s="202" t="e">
        <f t="shared" ca="1" si="3"/>
        <v>#DIV/0!</v>
      </c>
      <c r="P39" s="202" t="e">
        <f t="shared" ca="1" si="4"/>
        <v>#DIV/0!</v>
      </c>
      <c r="Q39" s="202" t="e">
        <f t="shared" ca="1" si="5"/>
        <v>#DIV/0!</v>
      </c>
      <c r="R39" s="202" t="e">
        <f t="shared" ca="1" si="6"/>
        <v>#DIV/0!</v>
      </c>
      <c r="S39" s="80"/>
    </row>
    <row r="40" spans="1:19" ht="30" customHeight="1" x14ac:dyDescent="0.2">
      <c r="A40" s="175">
        <f>'Analytical Data'!A41</f>
        <v>0</v>
      </c>
      <c r="B40" s="78" t="e">
        <f ca="1">IF(AND(LOD!E40&gt;1.5,0.35&gt;'rc'!D40,SDrc!D40&lt;0.5),"Surface Wash-Off",IF(AND(LOD!E40&gt;1.5,0.35&lt;'rc'!D40,0.65&gt;'rc'!D40,SDrc!D40&lt;0.5),"Diffusion",IF(AND(LOD!E40&gt;1.5,0.65&lt;'rc'!D40,SDrc!D40&lt;0.5),"Dissolution","ND")))</f>
        <v>#DIV/0!</v>
      </c>
      <c r="C40" s="79" t="e">
        <f ca="1">IF(AND(LOD!F40&gt;1.5,0.35&gt;'rc'!E40,SDrc!E40&lt;0.5),"Depletion",IF(AND(LOD!F40&gt;1.5,0.35&lt;'rc'!E40,0.65&gt;'rc'!E40,SDrc!E40&lt;0.5),"Diffusion",IF(AND(LOD!F40&gt;1.5,0.65&lt;'rc'!E40,SDrc!E40&lt;0.5),"Dissolution","ND")))</f>
        <v>#DIV/0!</v>
      </c>
      <c r="D40" s="79" t="e">
        <f ca="1">IF(AND(LOD!G40&gt;1.5,0.35&gt;'rc'!F40,SDrc!F40&lt;0.5),"Depletion",IF(AND(LOD!G40&gt;1.5,0.35&lt;'rc'!F40,0.65&gt;'rc'!F40,SDrc!F40&lt;0.5),"Diffusion",IF(AND(LOD!G40&gt;1.5,0.65&lt;'rc'!F40,SDrc!F40&lt;0.5),"Dissolution","ND")))</f>
        <v>#DIV/0!</v>
      </c>
      <c r="E40" s="79" t="e">
        <f ca="1">IF(AND(LOD!H40&gt;1.5,0.35&gt;'rc'!G40,SDrc!G40&lt;0.5),"Depletion",IF(AND(LOD!H40&gt;1.5,0.35&lt;'rc'!G40,0.65&gt;'rc'!G40,SDrc!G40&lt;0.5),"Diffusion",IF(AND(LOD!H40&gt;1.5,0.65&lt;'rc'!G40,SDrc!G40&lt;0.5),"Dissolution","ND")))</f>
        <v>#DIV/0!</v>
      </c>
      <c r="F40" s="79" t="e">
        <f ca="1">IF(AND(LOD!I40&gt;1.5,0.35&gt;'rc'!H40,SDrc!H40&lt;0.5),"Depletion",IF(AND(LOD!I40&gt;1.5,0.35&lt;'rc'!H40,0.65&gt;'rc'!H40,SDrc!H40&lt;0.5),"Diffusion",IF(AND(LOD!I40&gt;1.5,0.65&lt;'rc'!H40,SDrc!H40&lt;0.5),"Dissolution","ND")))</f>
        <v>#DIV/0!</v>
      </c>
      <c r="G40" s="86" t="e">
        <f ca="1">IF(AND(LOD!J40&gt;1.5,0.35&gt;'rc'!I40,SDrc!I40&lt;0.5),"Surface Wash-Off",IF(AND(LOD!J40&gt;1.5,0.35&lt;'rc'!I40,0.65&gt;'rc'!I40,SDrc!I40&lt;0.5),"Diffusion",IF(AND(LOD!J40&gt;1.5,0.65&lt;'rc'!I40,SDrc!I40&lt;0.5),"Delayed Diffusion or Dissolution","ND")))</f>
        <v>#DIV/0!</v>
      </c>
      <c r="H40" s="410" t="e">
        <f t="shared" ca="1" si="7"/>
        <v>#DIV/0!</v>
      </c>
      <c r="I40" s="411"/>
      <c r="J40" s="411"/>
      <c r="K40" s="412"/>
      <c r="L40" s="176" t="e">
        <f t="shared" ca="1" si="0"/>
        <v>#DIV/0!</v>
      </c>
      <c r="M40" s="82"/>
      <c r="N40" s="240" t="e">
        <f t="shared" ca="1" si="2"/>
        <v>#DIV/0!</v>
      </c>
      <c r="O40" s="202" t="e">
        <f t="shared" ca="1" si="3"/>
        <v>#DIV/0!</v>
      </c>
      <c r="P40" s="202" t="e">
        <f t="shared" ca="1" si="4"/>
        <v>#DIV/0!</v>
      </c>
      <c r="Q40" s="202" t="e">
        <f t="shared" ca="1" si="5"/>
        <v>#DIV/0!</v>
      </c>
      <c r="R40" s="202" t="e">
        <f t="shared" ca="1" si="6"/>
        <v>#DIV/0!</v>
      </c>
      <c r="S40" s="80"/>
    </row>
    <row r="41" spans="1:19" ht="30" customHeight="1" x14ac:dyDescent="0.2">
      <c r="A41" s="175">
        <f>'Analytical Data'!A42</f>
        <v>0</v>
      </c>
      <c r="B41" s="78" t="e">
        <f ca="1">IF(AND(LOD!E41&gt;1.5,0.35&gt;'rc'!D41,SDrc!D41&lt;0.5),"Surface Wash-Off",IF(AND(LOD!E41&gt;1.5,0.35&lt;'rc'!D41,0.65&gt;'rc'!D41,SDrc!D41&lt;0.5),"Diffusion",IF(AND(LOD!E41&gt;1.5,0.65&lt;'rc'!D41,SDrc!D41&lt;0.5),"Dissolution","ND")))</f>
        <v>#DIV/0!</v>
      </c>
      <c r="C41" s="79" t="e">
        <f ca="1">IF(AND(LOD!F41&gt;1.5,0.35&gt;'rc'!E41,SDrc!E41&lt;0.5),"Depletion",IF(AND(LOD!F41&gt;1.5,0.35&lt;'rc'!E41,0.65&gt;'rc'!E41,SDrc!E41&lt;0.5),"Diffusion",IF(AND(LOD!F41&gt;1.5,0.65&lt;'rc'!E41,SDrc!E41&lt;0.5),"Dissolution","ND")))</f>
        <v>#DIV/0!</v>
      </c>
      <c r="D41" s="79" t="e">
        <f ca="1">IF(AND(LOD!G41&gt;1.5,0.35&gt;'rc'!F41,SDrc!F41&lt;0.5),"Depletion",IF(AND(LOD!G41&gt;1.5,0.35&lt;'rc'!F41,0.65&gt;'rc'!F41,SDrc!F41&lt;0.5),"Diffusion",IF(AND(LOD!G41&gt;1.5,0.65&lt;'rc'!F41,SDrc!F41&lt;0.5),"Dissolution","ND")))</f>
        <v>#DIV/0!</v>
      </c>
      <c r="E41" s="79" t="e">
        <f ca="1">IF(AND(LOD!H41&gt;1.5,0.35&gt;'rc'!G41,SDrc!G41&lt;0.5),"Depletion",IF(AND(LOD!H41&gt;1.5,0.35&lt;'rc'!G41,0.65&gt;'rc'!G41,SDrc!G41&lt;0.5),"Diffusion",IF(AND(LOD!H41&gt;1.5,0.65&lt;'rc'!G41,SDrc!G41&lt;0.5),"Dissolution","ND")))</f>
        <v>#DIV/0!</v>
      </c>
      <c r="F41" s="79" t="e">
        <f ca="1">IF(AND(LOD!I41&gt;1.5,0.35&gt;'rc'!H41,SDrc!H41&lt;0.5),"Depletion",IF(AND(LOD!I41&gt;1.5,0.35&lt;'rc'!H41,0.65&gt;'rc'!H41,SDrc!H41&lt;0.5),"Diffusion",IF(AND(LOD!I41&gt;1.5,0.65&lt;'rc'!H41,SDrc!H41&lt;0.5),"Dissolution","ND")))</f>
        <v>#DIV/0!</v>
      </c>
      <c r="G41" s="86" t="e">
        <f ca="1">IF(AND(LOD!J41&gt;1.5,0.35&gt;'rc'!I41,SDrc!I41&lt;0.5),"Surface Wash-Off",IF(AND(LOD!J41&gt;1.5,0.35&lt;'rc'!I41,0.65&gt;'rc'!I41,SDrc!I41&lt;0.5),"Diffusion",IF(AND(LOD!J41&gt;1.5,0.65&lt;'rc'!I41,SDrc!I41&lt;0.5),"Delayed Diffusion or Dissolution","ND")))</f>
        <v>#DIV/0!</v>
      </c>
      <c r="H41" s="410" t="e">
        <f t="shared" ca="1" si="7"/>
        <v>#DIV/0!</v>
      </c>
      <c r="I41" s="411"/>
      <c r="J41" s="411"/>
      <c r="K41" s="412"/>
      <c r="L41" s="176" t="e">
        <f t="shared" ca="1" si="0"/>
        <v>#DIV/0!</v>
      </c>
      <c r="M41" s="82"/>
      <c r="N41" s="240" t="e">
        <f t="shared" ca="1" si="2"/>
        <v>#DIV/0!</v>
      </c>
      <c r="O41" s="202" t="e">
        <f t="shared" ca="1" si="3"/>
        <v>#DIV/0!</v>
      </c>
      <c r="P41" s="202" t="e">
        <f t="shared" ca="1" si="4"/>
        <v>#DIV/0!</v>
      </c>
      <c r="Q41" s="202" t="e">
        <f t="shared" ca="1" si="5"/>
        <v>#DIV/0!</v>
      </c>
      <c r="R41" s="202" t="e">
        <f t="shared" ca="1" si="6"/>
        <v>#DIV/0!</v>
      </c>
      <c r="S41" s="80"/>
    </row>
    <row r="42" spans="1:19" ht="30" customHeight="1" x14ac:dyDescent="0.2">
      <c r="A42" s="175">
        <f>'Analytical Data'!A43</f>
        <v>0</v>
      </c>
      <c r="B42" s="78" t="e">
        <f ca="1">IF(AND(LOD!E42&gt;1.5,0.35&gt;'rc'!D42,SDrc!D42&lt;0.5),"Surface Wash-Off",IF(AND(LOD!E42&gt;1.5,0.35&lt;'rc'!D42,0.65&gt;'rc'!D42,SDrc!D42&lt;0.5),"Diffusion",IF(AND(LOD!E42&gt;1.5,0.65&lt;'rc'!D42,SDrc!D42&lt;0.5),"Dissolution","ND")))</f>
        <v>#DIV/0!</v>
      </c>
      <c r="C42" s="79" t="e">
        <f ca="1">IF(AND(LOD!F42&gt;1.5,0.35&gt;'rc'!E42,SDrc!E42&lt;0.5),"Depletion",IF(AND(LOD!F42&gt;1.5,0.35&lt;'rc'!E42,0.65&gt;'rc'!E42,SDrc!E42&lt;0.5),"Diffusion",IF(AND(LOD!F42&gt;1.5,0.65&lt;'rc'!E42,SDrc!E42&lt;0.5),"Dissolution","ND")))</f>
        <v>#DIV/0!</v>
      </c>
      <c r="D42" s="79" t="e">
        <f ca="1">IF(AND(LOD!G42&gt;1.5,0.35&gt;'rc'!F42,SDrc!F42&lt;0.5),"Depletion",IF(AND(LOD!G42&gt;1.5,0.35&lt;'rc'!F42,0.65&gt;'rc'!F42,SDrc!F42&lt;0.5),"Diffusion",IF(AND(LOD!G42&gt;1.5,0.65&lt;'rc'!F42,SDrc!F42&lt;0.5),"Dissolution","ND")))</f>
        <v>#DIV/0!</v>
      </c>
      <c r="E42" s="79" t="e">
        <f ca="1">IF(AND(LOD!H42&gt;1.5,0.35&gt;'rc'!G42,SDrc!G42&lt;0.5),"Depletion",IF(AND(LOD!H42&gt;1.5,0.35&lt;'rc'!G42,0.65&gt;'rc'!G42,SDrc!G42&lt;0.5),"Diffusion",IF(AND(LOD!H42&gt;1.5,0.65&lt;'rc'!G42,SDrc!G42&lt;0.5),"Dissolution","ND")))</f>
        <v>#DIV/0!</v>
      </c>
      <c r="F42" s="79" t="e">
        <f ca="1">IF(AND(LOD!I42&gt;1.5,0.35&gt;'rc'!H42,SDrc!H42&lt;0.5),"Depletion",IF(AND(LOD!I42&gt;1.5,0.35&lt;'rc'!H42,0.65&gt;'rc'!H42,SDrc!H42&lt;0.5),"Diffusion",IF(AND(LOD!I42&gt;1.5,0.65&lt;'rc'!H42,SDrc!H42&lt;0.5),"Dissolution","ND")))</f>
        <v>#DIV/0!</v>
      </c>
      <c r="G42" s="86" t="e">
        <f ca="1">IF(AND(LOD!J42&gt;1.5,0.35&gt;'rc'!I42,SDrc!I42&lt;0.5),"Surface Wash-Off",IF(AND(LOD!J42&gt;1.5,0.35&lt;'rc'!I42,0.65&gt;'rc'!I42,SDrc!I42&lt;0.5),"Diffusion",IF(AND(LOD!J42&gt;1.5,0.65&lt;'rc'!I42,SDrc!I42&lt;0.5),"Delayed Diffusion or Dissolution","ND")))</f>
        <v>#DIV/0!</v>
      </c>
      <c r="H42" s="410" t="e">
        <f t="shared" ca="1" si="7"/>
        <v>#DIV/0!</v>
      </c>
      <c r="I42" s="411"/>
      <c r="J42" s="411"/>
      <c r="K42" s="412"/>
      <c r="L42" s="176" t="e">
        <f t="shared" ca="1" si="0"/>
        <v>#DIV/0!</v>
      </c>
      <c r="M42" s="82"/>
      <c r="N42" s="240" t="e">
        <f t="shared" ca="1" si="2"/>
        <v>#DIV/0!</v>
      </c>
      <c r="O42" s="202" t="e">
        <f t="shared" ca="1" si="3"/>
        <v>#DIV/0!</v>
      </c>
      <c r="P42" s="202" t="e">
        <f t="shared" ca="1" si="4"/>
        <v>#DIV/0!</v>
      </c>
      <c r="Q42" s="202" t="e">
        <f t="shared" ca="1" si="5"/>
        <v>#DIV/0!</v>
      </c>
      <c r="R42" s="202" t="e">
        <f t="shared" ca="1" si="6"/>
        <v>#DIV/0!</v>
      </c>
      <c r="S42" s="80"/>
    </row>
    <row r="43" spans="1:19" ht="30" customHeight="1" x14ac:dyDescent="0.2">
      <c r="A43" s="175">
        <f>'Analytical Data'!A44</f>
        <v>0</v>
      </c>
      <c r="B43" s="78" t="e">
        <f ca="1">IF(AND(LOD!E43&gt;1.5,0.35&gt;'rc'!D43,SDrc!D43&lt;0.5),"Surface Wash-Off",IF(AND(LOD!E43&gt;1.5,0.35&lt;'rc'!D43,0.65&gt;'rc'!D43,SDrc!D43&lt;0.5),"Diffusion",IF(AND(LOD!E43&gt;1.5,0.65&lt;'rc'!D43,SDrc!D43&lt;0.5),"Dissolution","ND")))</f>
        <v>#DIV/0!</v>
      </c>
      <c r="C43" s="79" t="e">
        <f ca="1">IF(AND(LOD!F43&gt;1.5,0.35&gt;'rc'!E43,SDrc!E43&lt;0.5),"Depletion",IF(AND(LOD!F43&gt;1.5,0.35&lt;'rc'!E43,0.65&gt;'rc'!E43,SDrc!E43&lt;0.5),"Diffusion",IF(AND(LOD!F43&gt;1.5,0.65&lt;'rc'!E43,SDrc!E43&lt;0.5),"Dissolution","ND")))</f>
        <v>#DIV/0!</v>
      </c>
      <c r="D43" s="79" t="e">
        <f ca="1">IF(AND(LOD!G43&gt;1.5,0.35&gt;'rc'!F43,SDrc!F43&lt;0.5),"Depletion",IF(AND(LOD!G43&gt;1.5,0.35&lt;'rc'!F43,0.65&gt;'rc'!F43,SDrc!F43&lt;0.5),"Diffusion",IF(AND(LOD!G43&gt;1.5,0.65&lt;'rc'!F43,SDrc!F43&lt;0.5),"Dissolution","ND")))</f>
        <v>#DIV/0!</v>
      </c>
      <c r="E43" s="79" t="e">
        <f ca="1">IF(AND(LOD!H43&gt;1.5,0.35&gt;'rc'!G43,SDrc!G43&lt;0.5),"Depletion",IF(AND(LOD!H43&gt;1.5,0.35&lt;'rc'!G43,0.65&gt;'rc'!G43,SDrc!G43&lt;0.5),"Diffusion",IF(AND(LOD!H43&gt;1.5,0.65&lt;'rc'!G43,SDrc!G43&lt;0.5),"Dissolution","ND")))</f>
        <v>#DIV/0!</v>
      </c>
      <c r="F43" s="79" t="e">
        <f ca="1">IF(AND(LOD!I43&gt;1.5,0.35&gt;'rc'!H43,SDrc!H43&lt;0.5),"Depletion",IF(AND(LOD!I43&gt;1.5,0.35&lt;'rc'!H43,0.65&gt;'rc'!H43,SDrc!H43&lt;0.5),"Diffusion",IF(AND(LOD!I43&gt;1.5,0.65&lt;'rc'!H43,SDrc!H43&lt;0.5),"Dissolution","ND")))</f>
        <v>#DIV/0!</v>
      </c>
      <c r="G43" s="86" t="e">
        <f ca="1">IF(AND(LOD!J43&gt;1.5,0.35&gt;'rc'!I43,SDrc!I43&lt;0.5),"Surface Wash-Off",IF(AND(LOD!J43&gt;1.5,0.35&lt;'rc'!I43,0.65&gt;'rc'!I43,SDrc!I43&lt;0.5),"Diffusion",IF(AND(LOD!J43&gt;1.5,0.65&lt;'rc'!I43,SDrc!I43&lt;0.5),"Delayed Diffusion or Dissolution","ND")))</f>
        <v>#DIV/0!</v>
      </c>
      <c r="H43" s="410" t="e">
        <f t="shared" ca="1" si="7"/>
        <v>#DIV/0!</v>
      </c>
      <c r="I43" s="411"/>
      <c r="J43" s="411"/>
      <c r="K43" s="412"/>
      <c r="L43" s="176" t="e">
        <f t="shared" ca="1" si="0"/>
        <v>#DIV/0!</v>
      </c>
      <c r="M43" s="82"/>
      <c r="N43" s="240" t="e">
        <f t="shared" ca="1" si="2"/>
        <v>#DIV/0!</v>
      </c>
      <c r="O43" s="202" t="e">
        <f t="shared" ca="1" si="3"/>
        <v>#DIV/0!</v>
      </c>
      <c r="P43" s="202" t="e">
        <f t="shared" ca="1" si="4"/>
        <v>#DIV/0!</v>
      </c>
      <c r="Q43" s="202" t="e">
        <f t="shared" ca="1" si="5"/>
        <v>#DIV/0!</v>
      </c>
      <c r="R43" s="202" t="e">
        <f t="shared" ca="1" si="6"/>
        <v>#DIV/0!</v>
      </c>
      <c r="S43" s="80"/>
    </row>
    <row r="44" spans="1:19" ht="30" customHeight="1" x14ac:dyDescent="0.2">
      <c r="A44" s="175">
        <f>'Analytical Data'!A45</f>
        <v>0</v>
      </c>
      <c r="B44" s="78" t="e">
        <f ca="1">IF(AND(LOD!E44&gt;1.5,0.35&gt;'rc'!D44,SDrc!D44&lt;0.5),"Surface Wash-Off",IF(AND(LOD!E44&gt;1.5,0.35&lt;'rc'!D44,0.65&gt;'rc'!D44,SDrc!D44&lt;0.5),"Diffusion",IF(AND(LOD!E44&gt;1.5,0.65&lt;'rc'!D44,SDrc!D44&lt;0.5),"Dissolution","ND")))</f>
        <v>#DIV/0!</v>
      </c>
      <c r="C44" s="79" t="e">
        <f ca="1">IF(AND(LOD!F44&gt;1.5,0.35&gt;'rc'!E44,SDrc!E44&lt;0.5),"Depletion",IF(AND(LOD!F44&gt;1.5,0.35&lt;'rc'!E44,0.65&gt;'rc'!E44,SDrc!E44&lt;0.5),"Diffusion",IF(AND(LOD!F44&gt;1.5,0.65&lt;'rc'!E44,SDrc!E44&lt;0.5),"Dissolution","ND")))</f>
        <v>#DIV/0!</v>
      </c>
      <c r="D44" s="79" t="e">
        <f ca="1">IF(AND(LOD!G44&gt;1.5,0.35&gt;'rc'!F44,SDrc!F44&lt;0.5),"Depletion",IF(AND(LOD!G44&gt;1.5,0.35&lt;'rc'!F44,0.65&gt;'rc'!F44,SDrc!F44&lt;0.5),"Diffusion",IF(AND(LOD!G44&gt;1.5,0.65&lt;'rc'!F44,SDrc!F44&lt;0.5),"Dissolution","ND")))</f>
        <v>#DIV/0!</v>
      </c>
      <c r="E44" s="79" t="e">
        <f ca="1">IF(AND(LOD!H44&gt;1.5,0.35&gt;'rc'!G44,SDrc!G44&lt;0.5),"Depletion",IF(AND(LOD!H44&gt;1.5,0.35&lt;'rc'!G44,0.65&gt;'rc'!G44,SDrc!G44&lt;0.5),"Diffusion",IF(AND(LOD!H44&gt;1.5,0.65&lt;'rc'!G44,SDrc!G44&lt;0.5),"Dissolution","ND")))</f>
        <v>#DIV/0!</v>
      </c>
      <c r="F44" s="79" t="e">
        <f ca="1">IF(AND(LOD!I44&gt;1.5,0.35&gt;'rc'!H44,SDrc!H44&lt;0.5),"Depletion",IF(AND(LOD!I44&gt;1.5,0.35&lt;'rc'!H44,0.65&gt;'rc'!H44,SDrc!H44&lt;0.5),"Diffusion",IF(AND(LOD!I44&gt;1.5,0.65&lt;'rc'!H44,SDrc!H44&lt;0.5),"Dissolution","ND")))</f>
        <v>#DIV/0!</v>
      </c>
      <c r="G44" s="86" t="e">
        <f ca="1">IF(AND(LOD!J44&gt;1.5,0.35&gt;'rc'!I44,SDrc!I44&lt;0.5),"Surface Wash-Off",IF(AND(LOD!J44&gt;1.5,0.35&lt;'rc'!I44,0.65&gt;'rc'!I44,SDrc!I44&lt;0.5),"Diffusion",IF(AND(LOD!J44&gt;1.5,0.65&lt;'rc'!I44,SDrc!I44&lt;0.5),"Delayed Diffusion or Dissolution","ND")))</f>
        <v>#DIV/0!</v>
      </c>
      <c r="H44" s="410" t="e">
        <f t="shared" ca="1" si="7"/>
        <v>#DIV/0!</v>
      </c>
      <c r="I44" s="411"/>
      <c r="J44" s="411"/>
      <c r="K44" s="412"/>
      <c r="L44" s="176" t="e">
        <f t="shared" ca="1" si="0"/>
        <v>#DIV/0!</v>
      </c>
      <c r="M44" s="82"/>
      <c r="N44" s="240" t="e">
        <f t="shared" ca="1" si="2"/>
        <v>#DIV/0!</v>
      </c>
      <c r="O44" s="202" t="e">
        <f t="shared" ca="1" si="3"/>
        <v>#DIV/0!</v>
      </c>
      <c r="P44" s="202" t="e">
        <f t="shared" ca="1" si="4"/>
        <v>#DIV/0!</v>
      </c>
      <c r="Q44" s="202" t="e">
        <f t="shared" ca="1" si="5"/>
        <v>#DIV/0!</v>
      </c>
      <c r="R44" s="202" t="e">
        <f t="shared" ca="1" si="6"/>
        <v>#DIV/0!</v>
      </c>
      <c r="S44" s="80"/>
    </row>
    <row r="45" spans="1:19" ht="30" customHeight="1" x14ac:dyDescent="0.2">
      <c r="A45" s="175">
        <f>'Analytical Data'!A46</f>
        <v>0</v>
      </c>
      <c r="B45" s="78" t="e">
        <f ca="1">IF(AND(LOD!E45&gt;1.5,0.35&gt;'rc'!D45,SDrc!D45&lt;0.5),"Surface Wash-Off",IF(AND(LOD!E45&gt;1.5,0.35&lt;'rc'!D45,0.65&gt;'rc'!D45,SDrc!D45&lt;0.5),"Diffusion",IF(AND(LOD!E45&gt;1.5,0.65&lt;'rc'!D45,SDrc!D45&lt;0.5),"Dissolution","ND")))</f>
        <v>#DIV/0!</v>
      </c>
      <c r="C45" s="79" t="e">
        <f ca="1">IF(AND(LOD!F45&gt;1.5,0.35&gt;'rc'!E45,SDrc!E45&lt;0.5),"Depletion",IF(AND(LOD!F45&gt;1.5,0.35&lt;'rc'!E45,0.65&gt;'rc'!E45,SDrc!E45&lt;0.5),"Diffusion",IF(AND(LOD!F45&gt;1.5,0.65&lt;'rc'!E45,SDrc!E45&lt;0.5),"Dissolution","ND")))</f>
        <v>#DIV/0!</v>
      </c>
      <c r="D45" s="79" t="e">
        <f ca="1">IF(AND(LOD!G45&gt;1.5,0.35&gt;'rc'!F45,SDrc!F45&lt;0.5),"Depletion",IF(AND(LOD!G45&gt;1.5,0.35&lt;'rc'!F45,0.65&gt;'rc'!F45,SDrc!F45&lt;0.5),"Diffusion",IF(AND(LOD!G45&gt;1.5,0.65&lt;'rc'!F45,SDrc!F45&lt;0.5),"Dissolution","ND")))</f>
        <v>#DIV/0!</v>
      </c>
      <c r="E45" s="79" t="e">
        <f ca="1">IF(AND(LOD!H45&gt;1.5,0.35&gt;'rc'!G45,SDrc!G45&lt;0.5),"Depletion",IF(AND(LOD!H45&gt;1.5,0.35&lt;'rc'!G45,0.65&gt;'rc'!G45,SDrc!G45&lt;0.5),"Diffusion",IF(AND(LOD!H45&gt;1.5,0.65&lt;'rc'!G45,SDrc!G45&lt;0.5),"Dissolution","ND")))</f>
        <v>#DIV/0!</v>
      </c>
      <c r="F45" s="79" t="e">
        <f ca="1">IF(AND(LOD!I45&gt;1.5,0.35&gt;'rc'!H45,SDrc!H45&lt;0.5),"Depletion",IF(AND(LOD!I45&gt;1.5,0.35&lt;'rc'!H45,0.65&gt;'rc'!H45,SDrc!H45&lt;0.5),"Diffusion",IF(AND(LOD!I45&gt;1.5,0.65&lt;'rc'!H45,SDrc!H45&lt;0.5),"Dissolution","ND")))</f>
        <v>#DIV/0!</v>
      </c>
      <c r="G45" s="86" t="e">
        <f ca="1">IF(AND(LOD!J45&gt;1.5,0.35&gt;'rc'!I45,SDrc!I45&lt;0.5),"Surface Wash-Off",IF(AND(LOD!J45&gt;1.5,0.35&lt;'rc'!I45,0.65&gt;'rc'!I45,SDrc!I45&lt;0.5),"Diffusion",IF(AND(LOD!J45&gt;1.5,0.65&lt;'rc'!I45,SDrc!I45&lt;0.5),"Delayed Diffusion or Dissolution","ND")))</f>
        <v>#DIV/0!</v>
      </c>
      <c r="H45" s="410" t="e">
        <f t="shared" ca="1" si="7"/>
        <v>#DIV/0!</v>
      </c>
      <c r="I45" s="411"/>
      <c r="J45" s="411"/>
      <c r="K45" s="412"/>
      <c r="L45" s="176" t="e">
        <f t="shared" ca="1" si="0"/>
        <v>#DIV/0!</v>
      </c>
      <c r="M45" s="82"/>
      <c r="N45" s="240" t="e">
        <f t="shared" ca="1" si="2"/>
        <v>#DIV/0!</v>
      </c>
      <c r="O45" s="202" t="e">
        <f t="shared" ca="1" si="3"/>
        <v>#DIV/0!</v>
      </c>
      <c r="P45" s="202" t="e">
        <f t="shared" ca="1" si="4"/>
        <v>#DIV/0!</v>
      </c>
      <c r="Q45" s="202" t="e">
        <f t="shared" ca="1" si="5"/>
        <v>#DIV/0!</v>
      </c>
      <c r="R45" s="202" t="e">
        <f t="shared" ca="1" si="6"/>
        <v>#DIV/0!</v>
      </c>
      <c r="S45" s="80"/>
    </row>
    <row r="46" spans="1:19" ht="30" customHeight="1" x14ac:dyDescent="0.2">
      <c r="A46" s="175">
        <f>'Analytical Data'!A47</f>
        <v>0</v>
      </c>
      <c r="B46" s="78" t="e">
        <f ca="1">IF(AND(LOD!E46&gt;1.5,0.35&gt;'rc'!D46,SDrc!D46&lt;0.5),"Surface Wash-Off",IF(AND(LOD!E46&gt;1.5,0.35&lt;'rc'!D46,0.65&gt;'rc'!D46,SDrc!D46&lt;0.5),"Diffusion",IF(AND(LOD!E46&gt;1.5,0.65&lt;'rc'!D46,SDrc!D46&lt;0.5),"Dissolution","ND")))</f>
        <v>#DIV/0!</v>
      </c>
      <c r="C46" s="79" t="e">
        <f ca="1">IF(AND(LOD!F46&gt;1.5,0.35&gt;'rc'!E46,SDrc!E46&lt;0.5),"Depletion",IF(AND(LOD!F46&gt;1.5,0.35&lt;'rc'!E46,0.65&gt;'rc'!E46,SDrc!E46&lt;0.5),"Diffusion",IF(AND(LOD!F46&gt;1.5,0.65&lt;'rc'!E46,SDrc!E46&lt;0.5),"Dissolution","ND")))</f>
        <v>#DIV/0!</v>
      </c>
      <c r="D46" s="79" t="e">
        <f ca="1">IF(AND(LOD!G46&gt;1.5,0.35&gt;'rc'!F46,SDrc!F46&lt;0.5),"Depletion",IF(AND(LOD!G46&gt;1.5,0.35&lt;'rc'!F46,0.65&gt;'rc'!F46,SDrc!F46&lt;0.5),"Diffusion",IF(AND(LOD!G46&gt;1.5,0.65&lt;'rc'!F46,SDrc!F46&lt;0.5),"Dissolution","ND")))</f>
        <v>#DIV/0!</v>
      </c>
      <c r="E46" s="79" t="e">
        <f ca="1">IF(AND(LOD!H46&gt;1.5,0.35&gt;'rc'!G46,SDrc!G46&lt;0.5),"Depletion",IF(AND(LOD!H46&gt;1.5,0.35&lt;'rc'!G46,0.65&gt;'rc'!G46,SDrc!G46&lt;0.5),"Diffusion",IF(AND(LOD!H46&gt;1.5,0.65&lt;'rc'!G46,SDrc!G46&lt;0.5),"Dissolution","ND")))</f>
        <v>#DIV/0!</v>
      </c>
      <c r="F46" s="79" t="e">
        <f ca="1">IF(AND(LOD!I46&gt;1.5,0.35&gt;'rc'!H46,SDrc!H46&lt;0.5),"Depletion",IF(AND(LOD!I46&gt;1.5,0.35&lt;'rc'!H46,0.65&gt;'rc'!H46,SDrc!H46&lt;0.5),"Diffusion",IF(AND(LOD!I46&gt;1.5,0.65&lt;'rc'!H46,SDrc!H46&lt;0.5),"Dissolution","ND")))</f>
        <v>#DIV/0!</v>
      </c>
      <c r="G46" s="86" t="e">
        <f ca="1">IF(AND(LOD!J46&gt;1.5,0.35&gt;'rc'!I46,SDrc!I46&lt;0.5),"Surface Wash-Off",IF(AND(LOD!J46&gt;1.5,0.35&lt;'rc'!I46,0.65&gt;'rc'!I46,SDrc!I46&lt;0.5),"Diffusion",IF(AND(LOD!J46&gt;1.5,0.65&lt;'rc'!I46,SDrc!I46&lt;0.5),"Delayed Diffusion or Dissolution","ND")))</f>
        <v>#DIV/0!</v>
      </c>
      <c r="H46" s="410" t="e">
        <f t="shared" ca="1" si="7"/>
        <v>#DIV/0!</v>
      </c>
      <c r="I46" s="411"/>
      <c r="J46" s="411"/>
      <c r="K46" s="412"/>
      <c r="L46" s="176" t="e">
        <f t="shared" ca="1" si="0"/>
        <v>#DIV/0!</v>
      </c>
      <c r="M46" s="82"/>
      <c r="N46" s="240" t="e">
        <f t="shared" ca="1" si="2"/>
        <v>#DIV/0!</v>
      </c>
      <c r="O46" s="202" t="e">
        <f t="shared" ca="1" si="3"/>
        <v>#DIV/0!</v>
      </c>
      <c r="P46" s="202" t="e">
        <f t="shared" ca="1" si="4"/>
        <v>#DIV/0!</v>
      </c>
      <c r="Q46" s="202" t="e">
        <f t="shared" ca="1" si="5"/>
        <v>#DIV/0!</v>
      </c>
      <c r="R46" s="202" t="e">
        <f t="shared" ca="1" si="6"/>
        <v>#DIV/0!</v>
      </c>
      <c r="S46" s="80"/>
    </row>
    <row r="47" spans="1:19" ht="30" customHeight="1" x14ac:dyDescent="0.2">
      <c r="A47" s="175">
        <f>'Analytical Data'!A48</f>
        <v>0</v>
      </c>
      <c r="B47" s="78" t="e">
        <f ca="1">IF(AND(LOD!E47&gt;1.5,0.35&gt;'rc'!D47,SDrc!D47&lt;0.5),"Surface Wash-Off",IF(AND(LOD!E47&gt;1.5,0.35&lt;'rc'!D47,0.65&gt;'rc'!D47,SDrc!D47&lt;0.5),"Diffusion",IF(AND(LOD!E47&gt;1.5,0.65&lt;'rc'!D47,SDrc!D47&lt;0.5),"Dissolution","ND")))</f>
        <v>#DIV/0!</v>
      </c>
      <c r="C47" s="79" t="e">
        <f ca="1">IF(AND(LOD!F47&gt;1.5,0.35&gt;'rc'!E47,SDrc!E47&lt;0.5),"Depletion",IF(AND(LOD!F47&gt;1.5,0.35&lt;'rc'!E47,0.65&gt;'rc'!E47,SDrc!E47&lt;0.5),"Diffusion",IF(AND(LOD!F47&gt;1.5,0.65&lt;'rc'!E47,SDrc!E47&lt;0.5),"Dissolution","ND")))</f>
        <v>#DIV/0!</v>
      </c>
      <c r="D47" s="79" t="e">
        <f ca="1">IF(AND(LOD!G47&gt;1.5,0.35&gt;'rc'!F47,SDrc!F47&lt;0.5),"Depletion",IF(AND(LOD!G47&gt;1.5,0.35&lt;'rc'!F47,0.65&gt;'rc'!F47,SDrc!F47&lt;0.5),"Diffusion",IF(AND(LOD!G47&gt;1.5,0.65&lt;'rc'!F47,SDrc!F47&lt;0.5),"Dissolution","ND")))</f>
        <v>#DIV/0!</v>
      </c>
      <c r="E47" s="79" t="e">
        <f ca="1">IF(AND(LOD!H47&gt;1.5,0.35&gt;'rc'!G47,SDrc!G47&lt;0.5),"Depletion",IF(AND(LOD!H47&gt;1.5,0.35&lt;'rc'!G47,0.65&gt;'rc'!G47,SDrc!G47&lt;0.5),"Diffusion",IF(AND(LOD!H47&gt;1.5,0.65&lt;'rc'!G47,SDrc!G47&lt;0.5),"Dissolution","ND")))</f>
        <v>#DIV/0!</v>
      </c>
      <c r="F47" s="79" t="e">
        <f ca="1">IF(AND(LOD!I47&gt;1.5,0.35&gt;'rc'!H47,SDrc!H47&lt;0.5),"Depletion",IF(AND(LOD!I47&gt;1.5,0.35&lt;'rc'!H47,0.65&gt;'rc'!H47,SDrc!H47&lt;0.5),"Diffusion",IF(AND(LOD!I47&gt;1.5,0.65&lt;'rc'!H47,SDrc!H47&lt;0.5),"Dissolution","ND")))</f>
        <v>#DIV/0!</v>
      </c>
      <c r="G47" s="86" t="e">
        <f ca="1">IF(AND(LOD!J47&gt;1.5,0.35&gt;'rc'!I47,SDrc!I47&lt;0.5),"Surface Wash-Off",IF(AND(LOD!J47&gt;1.5,0.35&lt;'rc'!I47,0.65&gt;'rc'!I47,SDrc!I47&lt;0.5),"Diffusion",IF(AND(LOD!J47&gt;1.5,0.65&lt;'rc'!I47,SDrc!I47&lt;0.5),"Delayed Diffusion or Dissolution","ND")))</f>
        <v>#DIV/0!</v>
      </c>
      <c r="H47" s="410" t="e">
        <f t="shared" ca="1" si="7"/>
        <v>#DIV/0!</v>
      </c>
      <c r="I47" s="411"/>
      <c r="J47" s="411"/>
      <c r="K47" s="412"/>
      <c r="L47" s="176" t="e">
        <f t="shared" ca="1" si="0"/>
        <v>#DIV/0!</v>
      </c>
      <c r="M47" s="82"/>
      <c r="N47" s="240" t="e">
        <f t="shared" ca="1" si="2"/>
        <v>#DIV/0!</v>
      </c>
      <c r="O47" s="202" t="e">
        <f t="shared" ca="1" si="3"/>
        <v>#DIV/0!</v>
      </c>
      <c r="P47" s="202" t="e">
        <f t="shared" ca="1" si="4"/>
        <v>#DIV/0!</v>
      </c>
      <c r="Q47" s="202" t="e">
        <f t="shared" ca="1" si="5"/>
        <v>#DIV/0!</v>
      </c>
      <c r="R47" s="202" t="e">
        <f t="shared" ca="1" si="6"/>
        <v>#DIV/0!</v>
      </c>
      <c r="S47" s="80"/>
    </row>
    <row r="48" spans="1:19" ht="30" customHeight="1" x14ac:dyDescent="0.2">
      <c r="A48" s="175">
        <f>'Analytical Data'!A49</f>
        <v>0</v>
      </c>
      <c r="B48" s="78" t="e">
        <f ca="1">IF(AND(LOD!E48&gt;1.5,0.35&gt;'rc'!D48,SDrc!D48&lt;0.5),"Surface Wash-Off",IF(AND(LOD!E48&gt;1.5,0.35&lt;'rc'!D48,0.65&gt;'rc'!D48,SDrc!D48&lt;0.5),"Diffusion",IF(AND(LOD!E48&gt;1.5,0.65&lt;'rc'!D48,SDrc!D48&lt;0.5),"Dissolution","ND")))</f>
        <v>#DIV/0!</v>
      </c>
      <c r="C48" s="79" t="e">
        <f ca="1">IF(AND(LOD!F48&gt;1.5,0.35&gt;'rc'!E48,SDrc!E48&lt;0.5),"Depletion",IF(AND(LOD!F48&gt;1.5,0.35&lt;'rc'!E48,0.65&gt;'rc'!E48,SDrc!E48&lt;0.5),"Diffusion",IF(AND(LOD!F48&gt;1.5,0.65&lt;'rc'!E48,SDrc!E48&lt;0.5),"Dissolution","ND")))</f>
        <v>#DIV/0!</v>
      </c>
      <c r="D48" s="79" t="e">
        <f ca="1">IF(AND(LOD!G48&gt;1.5,0.35&gt;'rc'!F48,SDrc!F48&lt;0.5),"Depletion",IF(AND(LOD!G48&gt;1.5,0.35&lt;'rc'!F48,0.65&gt;'rc'!F48,SDrc!F48&lt;0.5),"Diffusion",IF(AND(LOD!G48&gt;1.5,0.65&lt;'rc'!F48,SDrc!F48&lt;0.5),"Dissolution","ND")))</f>
        <v>#DIV/0!</v>
      </c>
      <c r="E48" s="79" t="e">
        <f ca="1">IF(AND(LOD!H48&gt;1.5,0.35&gt;'rc'!G48,SDrc!G48&lt;0.5),"Depletion",IF(AND(LOD!H48&gt;1.5,0.35&lt;'rc'!G48,0.65&gt;'rc'!G48,SDrc!G48&lt;0.5),"Diffusion",IF(AND(LOD!H48&gt;1.5,0.65&lt;'rc'!G48,SDrc!G48&lt;0.5),"Dissolution","ND")))</f>
        <v>#DIV/0!</v>
      </c>
      <c r="F48" s="79" t="e">
        <f ca="1">IF(AND(LOD!I48&gt;1.5,0.35&gt;'rc'!H48,SDrc!H48&lt;0.5),"Depletion",IF(AND(LOD!I48&gt;1.5,0.35&lt;'rc'!H48,0.65&gt;'rc'!H48,SDrc!H48&lt;0.5),"Diffusion",IF(AND(LOD!I48&gt;1.5,0.65&lt;'rc'!H48,SDrc!H48&lt;0.5),"Dissolution","ND")))</f>
        <v>#DIV/0!</v>
      </c>
      <c r="G48" s="86" t="e">
        <f ca="1">IF(AND(LOD!J48&gt;1.5,0.35&gt;'rc'!I48,SDrc!I48&lt;0.5),"Surface Wash-Off",IF(AND(LOD!J48&gt;1.5,0.35&lt;'rc'!I48,0.65&gt;'rc'!I48,SDrc!I48&lt;0.5),"Diffusion",IF(AND(LOD!J48&gt;1.5,0.65&lt;'rc'!I48,SDrc!I48&lt;0.5),"Delayed Diffusion or Dissolution","ND")))</f>
        <v>#DIV/0!</v>
      </c>
      <c r="H48" s="410" t="e">
        <f t="shared" ca="1" si="7"/>
        <v>#DIV/0!</v>
      </c>
      <c r="I48" s="411"/>
      <c r="J48" s="411"/>
      <c r="K48" s="412"/>
      <c r="L48" s="176" t="e">
        <f t="shared" ca="1" si="0"/>
        <v>#DIV/0!</v>
      </c>
      <c r="M48" s="82"/>
      <c r="N48" s="240" t="e">
        <f t="shared" ca="1" si="2"/>
        <v>#DIV/0!</v>
      </c>
      <c r="O48" s="202" t="e">
        <f t="shared" ca="1" si="3"/>
        <v>#DIV/0!</v>
      </c>
      <c r="P48" s="202" t="e">
        <f t="shared" ca="1" si="4"/>
        <v>#DIV/0!</v>
      </c>
      <c r="Q48" s="202" t="e">
        <f t="shared" ca="1" si="5"/>
        <v>#DIV/0!</v>
      </c>
      <c r="R48" s="202" t="e">
        <f t="shared" ca="1" si="6"/>
        <v>#DIV/0!</v>
      </c>
      <c r="S48" s="80"/>
    </row>
    <row r="49" spans="1:19" ht="30" customHeight="1" x14ac:dyDescent="0.2">
      <c r="A49" s="175">
        <f>'Analytical Data'!A50</f>
        <v>0</v>
      </c>
      <c r="B49" s="78" t="e">
        <f ca="1">IF(AND(LOD!E49&gt;1.5,0.35&gt;'rc'!D49,SDrc!D49&lt;0.5),"Surface Wash-Off",IF(AND(LOD!E49&gt;1.5,0.35&lt;'rc'!D49,0.65&gt;'rc'!D49,SDrc!D49&lt;0.5),"Diffusion",IF(AND(LOD!E49&gt;1.5,0.65&lt;'rc'!D49,SDrc!D49&lt;0.5),"Dissolution","ND")))</f>
        <v>#DIV/0!</v>
      </c>
      <c r="C49" s="79" t="e">
        <f ca="1">IF(AND(LOD!F49&gt;1.5,0.35&gt;'rc'!E49,SDrc!E49&lt;0.5),"Depletion",IF(AND(LOD!F49&gt;1.5,0.35&lt;'rc'!E49,0.65&gt;'rc'!E49,SDrc!E49&lt;0.5),"Diffusion",IF(AND(LOD!F49&gt;1.5,0.65&lt;'rc'!E49,SDrc!E49&lt;0.5),"Dissolution","ND")))</f>
        <v>#DIV/0!</v>
      </c>
      <c r="D49" s="79" t="e">
        <f ca="1">IF(AND(LOD!G49&gt;1.5,0.35&gt;'rc'!F49,SDrc!F49&lt;0.5),"Depletion",IF(AND(LOD!G49&gt;1.5,0.35&lt;'rc'!F49,0.65&gt;'rc'!F49,SDrc!F49&lt;0.5),"Diffusion",IF(AND(LOD!G49&gt;1.5,0.65&lt;'rc'!F49,SDrc!F49&lt;0.5),"Dissolution","ND")))</f>
        <v>#DIV/0!</v>
      </c>
      <c r="E49" s="79" t="e">
        <f ca="1">IF(AND(LOD!H49&gt;1.5,0.35&gt;'rc'!G49,SDrc!G49&lt;0.5),"Depletion",IF(AND(LOD!H49&gt;1.5,0.35&lt;'rc'!G49,0.65&gt;'rc'!G49,SDrc!G49&lt;0.5),"Diffusion",IF(AND(LOD!H49&gt;1.5,0.65&lt;'rc'!G49,SDrc!G49&lt;0.5),"Dissolution","ND")))</f>
        <v>#DIV/0!</v>
      </c>
      <c r="F49" s="79" t="e">
        <f ca="1">IF(AND(LOD!I49&gt;1.5,0.35&gt;'rc'!H49,SDrc!H49&lt;0.5),"Depletion",IF(AND(LOD!I49&gt;1.5,0.35&lt;'rc'!H49,0.65&gt;'rc'!H49,SDrc!H49&lt;0.5),"Diffusion",IF(AND(LOD!I49&gt;1.5,0.65&lt;'rc'!H49,SDrc!H49&lt;0.5),"Dissolution","ND")))</f>
        <v>#DIV/0!</v>
      </c>
      <c r="G49" s="86" t="e">
        <f ca="1">IF(AND(LOD!J49&gt;1.5,0.35&gt;'rc'!I49,SDrc!I49&lt;0.5),"Surface Wash-Off",IF(AND(LOD!J49&gt;1.5,0.35&lt;'rc'!I49,0.65&gt;'rc'!I49,SDrc!I49&lt;0.5),"Diffusion",IF(AND(LOD!J49&gt;1.5,0.65&lt;'rc'!I49,SDrc!I49&lt;0.5),"Delayed Diffusion or Dissolution","ND")))</f>
        <v>#DIV/0!</v>
      </c>
      <c r="H49" s="410" t="e">
        <f t="shared" ca="1" si="7"/>
        <v>#DIV/0!</v>
      </c>
      <c r="I49" s="411"/>
      <c r="J49" s="411"/>
      <c r="K49" s="412"/>
      <c r="L49" s="176" t="e">
        <f t="shared" ca="1" si="0"/>
        <v>#DIV/0!</v>
      </c>
      <c r="M49" s="82"/>
      <c r="N49" s="240" t="e">
        <f t="shared" ca="1" si="2"/>
        <v>#DIV/0!</v>
      </c>
      <c r="O49" s="202" t="e">
        <f t="shared" ca="1" si="3"/>
        <v>#DIV/0!</v>
      </c>
      <c r="P49" s="202" t="e">
        <f t="shared" ca="1" si="4"/>
        <v>#DIV/0!</v>
      </c>
      <c r="Q49" s="202" t="e">
        <f t="shared" ca="1" si="5"/>
        <v>#DIV/0!</v>
      </c>
      <c r="R49" s="202" t="e">
        <f t="shared" ca="1" si="6"/>
        <v>#DIV/0!</v>
      </c>
      <c r="S49" s="80"/>
    </row>
    <row r="50" spans="1:19" ht="30" customHeight="1" x14ac:dyDescent="0.2">
      <c r="A50" s="175">
        <f>'Analytical Data'!A51</f>
        <v>0</v>
      </c>
      <c r="B50" s="78" t="e">
        <f ca="1">IF(AND(LOD!E50&gt;1.5,0.35&gt;'rc'!D50,SDrc!D50&lt;0.5),"Surface Wash-Off",IF(AND(LOD!E50&gt;1.5,0.35&lt;'rc'!D50,0.65&gt;'rc'!D50,SDrc!D50&lt;0.5),"Diffusion",IF(AND(LOD!E50&gt;1.5,0.65&lt;'rc'!D50,SDrc!D50&lt;0.5),"Dissolution","ND")))</f>
        <v>#DIV/0!</v>
      </c>
      <c r="C50" s="79" t="e">
        <f ca="1">IF(AND(LOD!F50&gt;1.5,0.35&gt;'rc'!E50,SDrc!E50&lt;0.5),"Depletion",IF(AND(LOD!F50&gt;1.5,0.35&lt;'rc'!E50,0.65&gt;'rc'!E50,SDrc!E50&lt;0.5),"Diffusion",IF(AND(LOD!F50&gt;1.5,0.65&lt;'rc'!E50,SDrc!E50&lt;0.5),"Dissolution","ND")))</f>
        <v>#DIV/0!</v>
      </c>
      <c r="D50" s="79" t="e">
        <f ca="1">IF(AND(LOD!G50&gt;1.5,0.35&gt;'rc'!F50,SDrc!F50&lt;0.5),"Depletion",IF(AND(LOD!G50&gt;1.5,0.35&lt;'rc'!F50,0.65&gt;'rc'!F50,SDrc!F50&lt;0.5),"Diffusion",IF(AND(LOD!G50&gt;1.5,0.65&lt;'rc'!F50,SDrc!F50&lt;0.5),"Dissolution","ND")))</f>
        <v>#DIV/0!</v>
      </c>
      <c r="E50" s="79" t="e">
        <f ca="1">IF(AND(LOD!H50&gt;1.5,0.35&gt;'rc'!G50,SDrc!G50&lt;0.5),"Depletion",IF(AND(LOD!H50&gt;1.5,0.35&lt;'rc'!G50,0.65&gt;'rc'!G50,SDrc!G50&lt;0.5),"Diffusion",IF(AND(LOD!H50&gt;1.5,0.65&lt;'rc'!G50,SDrc!G50&lt;0.5),"Dissolution","ND")))</f>
        <v>#DIV/0!</v>
      </c>
      <c r="F50" s="79" t="e">
        <f ca="1">IF(AND(LOD!I50&gt;1.5,0.35&gt;'rc'!H50,SDrc!H50&lt;0.5),"Depletion",IF(AND(LOD!I50&gt;1.5,0.35&lt;'rc'!H50,0.65&gt;'rc'!H50,SDrc!H50&lt;0.5),"Diffusion",IF(AND(LOD!I50&gt;1.5,0.65&lt;'rc'!H50,SDrc!H50&lt;0.5),"Dissolution","ND")))</f>
        <v>#DIV/0!</v>
      </c>
      <c r="G50" s="86" t="e">
        <f ca="1">IF(AND(LOD!J50&gt;1.5,0.35&gt;'rc'!I50,SDrc!I50&lt;0.5),"Surface Wash-Off",IF(AND(LOD!J50&gt;1.5,0.35&lt;'rc'!I50,0.65&gt;'rc'!I50,SDrc!I50&lt;0.5),"Diffusion",IF(AND(LOD!J50&gt;1.5,0.65&lt;'rc'!I50,SDrc!I50&lt;0.5),"Delayed Diffusion or Dissolution","ND")))</f>
        <v>#DIV/0!</v>
      </c>
      <c r="H50" s="410" t="e">
        <f t="shared" ca="1" si="7"/>
        <v>#DIV/0!</v>
      </c>
      <c r="I50" s="411"/>
      <c r="J50" s="411"/>
      <c r="K50" s="412"/>
      <c r="L50" s="176" t="e">
        <f t="shared" ca="1" si="0"/>
        <v>#DIV/0!</v>
      </c>
      <c r="M50" s="82"/>
      <c r="N50" s="240" t="e">
        <f t="shared" ca="1" si="2"/>
        <v>#DIV/0!</v>
      </c>
      <c r="O50" s="202" t="e">
        <f t="shared" ca="1" si="3"/>
        <v>#DIV/0!</v>
      </c>
      <c r="P50" s="202" t="e">
        <f t="shared" ca="1" si="4"/>
        <v>#DIV/0!</v>
      </c>
      <c r="Q50" s="202" t="e">
        <f t="shared" ca="1" si="5"/>
        <v>#DIV/0!</v>
      </c>
      <c r="R50" s="202" t="e">
        <f t="shared" ca="1" si="6"/>
        <v>#DIV/0!</v>
      </c>
      <c r="S50" s="80"/>
    </row>
    <row r="51" spans="1:19" ht="30" customHeight="1" x14ac:dyDescent="0.2">
      <c r="A51" s="175">
        <f>'Analytical Data'!A52</f>
        <v>0</v>
      </c>
      <c r="B51" s="78" t="e">
        <f ca="1">IF(AND(LOD!E51&gt;1.5,0.35&gt;'rc'!D51,SDrc!D51&lt;0.5),"Surface Wash-Off",IF(AND(LOD!E51&gt;1.5,0.35&lt;'rc'!D51,0.65&gt;'rc'!D51,SDrc!D51&lt;0.5),"Diffusion",IF(AND(LOD!E51&gt;1.5,0.65&lt;'rc'!D51,SDrc!D51&lt;0.5),"Dissolution","ND")))</f>
        <v>#DIV/0!</v>
      </c>
      <c r="C51" s="79" t="e">
        <f ca="1">IF(AND(LOD!F51&gt;1.5,0.35&gt;'rc'!E51,SDrc!E51&lt;0.5),"Depletion",IF(AND(LOD!F51&gt;1.5,0.35&lt;'rc'!E51,0.65&gt;'rc'!E51,SDrc!E51&lt;0.5),"Diffusion",IF(AND(LOD!F51&gt;1.5,0.65&lt;'rc'!E51,SDrc!E51&lt;0.5),"Dissolution","ND")))</f>
        <v>#DIV/0!</v>
      </c>
      <c r="D51" s="79" t="e">
        <f ca="1">IF(AND(LOD!G51&gt;1.5,0.35&gt;'rc'!F51,SDrc!F51&lt;0.5),"Depletion",IF(AND(LOD!G51&gt;1.5,0.35&lt;'rc'!F51,0.65&gt;'rc'!F51,SDrc!F51&lt;0.5),"Diffusion",IF(AND(LOD!G51&gt;1.5,0.65&lt;'rc'!F51,SDrc!F51&lt;0.5),"Dissolution","ND")))</f>
        <v>#DIV/0!</v>
      </c>
      <c r="E51" s="79" t="e">
        <f ca="1">IF(AND(LOD!H51&gt;1.5,0.35&gt;'rc'!G51,SDrc!G51&lt;0.5),"Depletion",IF(AND(LOD!H51&gt;1.5,0.35&lt;'rc'!G51,0.65&gt;'rc'!G51,SDrc!G51&lt;0.5),"Diffusion",IF(AND(LOD!H51&gt;1.5,0.65&lt;'rc'!G51,SDrc!G51&lt;0.5),"Dissolution","ND")))</f>
        <v>#DIV/0!</v>
      </c>
      <c r="F51" s="79" t="e">
        <f ca="1">IF(AND(LOD!I51&gt;1.5,0.35&gt;'rc'!H51,SDrc!H51&lt;0.5),"Depletion",IF(AND(LOD!I51&gt;1.5,0.35&lt;'rc'!H51,0.65&gt;'rc'!H51,SDrc!H51&lt;0.5),"Diffusion",IF(AND(LOD!I51&gt;1.5,0.65&lt;'rc'!H51,SDrc!H51&lt;0.5),"Dissolution","ND")))</f>
        <v>#DIV/0!</v>
      </c>
      <c r="G51" s="86" t="e">
        <f ca="1">IF(AND(LOD!J51&gt;1.5,0.35&gt;'rc'!I51,SDrc!I51&lt;0.5),"Surface Wash-Off",IF(AND(LOD!J51&gt;1.5,0.35&lt;'rc'!I51,0.65&gt;'rc'!I51,SDrc!I51&lt;0.5),"Diffusion",IF(AND(LOD!J51&gt;1.5,0.65&lt;'rc'!I51,SDrc!I51&lt;0.5),"Delayed Diffusion or Dissolution","ND")))</f>
        <v>#DIV/0!</v>
      </c>
      <c r="H51" s="410" t="e">
        <f t="shared" ref="H51:H60" ca="1" si="8">IF(N51="Diffusion",CONCATENATE(N51,O51),IF(AND(N51="",P51="",O51="",Q51=""),"Not possible to Determine Leaching Mechanism",IF(AND(N51="",O51="",P51="",Q51="Dissolution"),"Dissolution",IF(N51="",CONCATENATE(P51,O51),""))))</f>
        <v>#DIV/0!</v>
      </c>
      <c r="I51" s="411"/>
      <c r="J51" s="411"/>
      <c r="K51" s="412"/>
      <c r="L51" s="176" t="e">
        <f t="shared" ca="1" si="0"/>
        <v>#DIV/0!</v>
      </c>
      <c r="M51" s="82"/>
      <c r="N51" s="240" t="e">
        <f t="shared" ca="1" si="2"/>
        <v>#DIV/0!</v>
      </c>
      <c r="O51" s="202" t="e">
        <f t="shared" ca="1" si="3"/>
        <v>#DIV/0!</v>
      </c>
      <c r="P51" s="202" t="e">
        <f t="shared" ca="1" si="4"/>
        <v>#DIV/0!</v>
      </c>
      <c r="Q51" s="202" t="e">
        <f t="shared" ca="1" si="5"/>
        <v>#DIV/0!</v>
      </c>
      <c r="R51" s="202" t="e">
        <f t="shared" ca="1" si="6"/>
        <v>#DIV/0!</v>
      </c>
      <c r="S51" s="80"/>
    </row>
    <row r="52" spans="1:19" ht="30" customHeight="1" x14ac:dyDescent="0.2">
      <c r="A52" s="175">
        <f>'Analytical Data'!A53</f>
        <v>0</v>
      </c>
      <c r="B52" s="78" t="e">
        <f ca="1">IF(AND(LOD!E52&gt;1.5,0.35&gt;'rc'!D52,SDrc!D52&lt;0.5),"Surface Wash-Off",IF(AND(LOD!E52&gt;1.5,0.35&lt;'rc'!D52,0.65&gt;'rc'!D52,SDrc!D52&lt;0.5),"Diffusion",IF(AND(LOD!E52&gt;1.5,0.65&lt;'rc'!D52,SDrc!D52&lt;0.5),"Dissolution","ND")))</f>
        <v>#DIV/0!</v>
      </c>
      <c r="C52" s="79" t="e">
        <f ca="1">IF(AND(LOD!F52&gt;1.5,0.35&gt;'rc'!E52,SDrc!E52&lt;0.5),"Depletion",IF(AND(LOD!F52&gt;1.5,0.35&lt;'rc'!E52,0.65&gt;'rc'!E52,SDrc!E52&lt;0.5),"Diffusion",IF(AND(LOD!F52&gt;1.5,0.65&lt;'rc'!E52,SDrc!E52&lt;0.5),"Dissolution","ND")))</f>
        <v>#DIV/0!</v>
      </c>
      <c r="D52" s="79" t="e">
        <f ca="1">IF(AND(LOD!G52&gt;1.5,0.35&gt;'rc'!F52,SDrc!F52&lt;0.5),"Depletion",IF(AND(LOD!G52&gt;1.5,0.35&lt;'rc'!F52,0.65&gt;'rc'!F52,SDrc!F52&lt;0.5),"Diffusion",IF(AND(LOD!G52&gt;1.5,0.65&lt;'rc'!F52,SDrc!F52&lt;0.5),"Dissolution","ND")))</f>
        <v>#DIV/0!</v>
      </c>
      <c r="E52" s="79" t="e">
        <f ca="1">IF(AND(LOD!H52&gt;1.5,0.35&gt;'rc'!G52,SDrc!G52&lt;0.5),"Depletion",IF(AND(LOD!H52&gt;1.5,0.35&lt;'rc'!G52,0.65&gt;'rc'!G52,SDrc!G52&lt;0.5),"Diffusion",IF(AND(LOD!H52&gt;1.5,0.65&lt;'rc'!G52,SDrc!G52&lt;0.5),"Dissolution","ND")))</f>
        <v>#DIV/0!</v>
      </c>
      <c r="F52" s="79" t="e">
        <f ca="1">IF(AND(LOD!I52&gt;1.5,0.35&gt;'rc'!H52,SDrc!H52&lt;0.5),"Depletion",IF(AND(LOD!I52&gt;1.5,0.35&lt;'rc'!H52,0.65&gt;'rc'!H52,SDrc!H52&lt;0.5),"Diffusion",IF(AND(LOD!I52&gt;1.5,0.65&lt;'rc'!H52,SDrc!H52&lt;0.5),"Dissolution","ND")))</f>
        <v>#DIV/0!</v>
      </c>
      <c r="G52" s="86" t="e">
        <f ca="1">IF(AND(LOD!J52&gt;1.5,0.35&gt;'rc'!I52,SDrc!I52&lt;0.5),"Surface Wash-Off",IF(AND(LOD!J52&gt;1.5,0.35&lt;'rc'!I52,0.65&gt;'rc'!I52,SDrc!I52&lt;0.5),"Diffusion",IF(AND(LOD!J52&gt;1.5,0.65&lt;'rc'!I52,SDrc!I52&lt;0.5),"Delayed Diffusion or Dissolution","ND")))</f>
        <v>#DIV/0!</v>
      </c>
      <c r="H52" s="410" t="e">
        <f t="shared" ca="1" si="8"/>
        <v>#DIV/0!</v>
      </c>
      <c r="I52" s="411"/>
      <c r="J52" s="411"/>
      <c r="K52" s="412"/>
      <c r="L52" s="176" t="e">
        <f t="shared" ca="1" si="0"/>
        <v>#DIV/0!</v>
      </c>
      <c r="M52" s="82"/>
      <c r="N52" s="240" t="e">
        <f t="shared" ca="1" si="2"/>
        <v>#DIV/0!</v>
      </c>
      <c r="O52" s="202" t="e">
        <f t="shared" ca="1" si="3"/>
        <v>#DIV/0!</v>
      </c>
      <c r="P52" s="202" t="e">
        <f t="shared" ca="1" si="4"/>
        <v>#DIV/0!</v>
      </c>
      <c r="Q52" s="202" t="e">
        <f t="shared" ca="1" si="5"/>
        <v>#DIV/0!</v>
      </c>
      <c r="R52" s="202" t="e">
        <f t="shared" ca="1" si="6"/>
        <v>#DIV/0!</v>
      </c>
      <c r="S52" s="80"/>
    </row>
    <row r="53" spans="1:19" ht="30" customHeight="1" x14ac:dyDescent="0.2">
      <c r="A53" s="175">
        <f>'Analytical Data'!A54</f>
        <v>0</v>
      </c>
      <c r="B53" s="78" t="e">
        <f ca="1">IF(AND(LOD!E53&gt;1.5,0.35&gt;'rc'!D53,SDrc!D53&lt;0.5),"Surface Wash-Off",IF(AND(LOD!E53&gt;1.5,0.35&lt;'rc'!D53,0.65&gt;'rc'!D53,SDrc!D53&lt;0.5),"Diffusion",IF(AND(LOD!E53&gt;1.5,0.65&lt;'rc'!D53,SDrc!D53&lt;0.5),"Dissolution","ND")))</f>
        <v>#DIV/0!</v>
      </c>
      <c r="C53" s="79" t="e">
        <f ca="1">IF(AND(LOD!F53&gt;1.5,0.35&gt;'rc'!E53,SDrc!E53&lt;0.5),"Depletion",IF(AND(LOD!F53&gt;1.5,0.35&lt;'rc'!E53,0.65&gt;'rc'!E53,SDrc!E53&lt;0.5),"Diffusion",IF(AND(LOD!F53&gt;1.5,0.65&lt;'rc'!E53,SDrc!E53&lt;0.5),"Dissolution","ND")))</f>
        <v>#DIV/0!</v>
      </c>
      <c r="D53" s="79" t="e">
        <f ca="1">IF(AND(LOD!G53&gt;1.5,0.35&gt;'rc'!F53,SDrc!F53&lt;0.5),"Depletion",IF(AND(LOD!G53&gt;1.5,0.35&lt;'rc'!F53,0.65&gt;'rc'!F53,SDrc!F53&lt;0.5),"Diffusion",IF(AND(LOD!G53&gt;1.5,0.65&lt;'rc'!F53,SDrc!F53&lt;0.5),"Dissolution","ND")))</f>
        <v>#DIV/0!</v>
      </c>
      <c r="E53" s="79" t="e">
        <f ca="1">IF(AND(LOD!H53&gt;1.5,0.35&gt;'rc'!G53,SDrc!G53&lt;0.5),"Depletion",IF(AND(LOD!H53&gt;1.5,0.35&lt;'rc'!G53,0.65&gt;'rc'!G53,SDrc!G53&lt;0.5),"Diffusion",IF(AND(LOD!H53&gt;1.5,0.65&lt;'rc'!G53,SDrc!G53&lt;0.5),"Dissolution","ND")))</f>
        <v>#DIV/0!</v>
      </c>
      <c r="F53" s="79" t="e">
        <f ca="1">IF(AND(LOD!I53&gt;1.5,0.35&gt;'rc'!H53,SDrc!H53&lt;0.5),"Depletion",IF(AND(LOD!I53&gt;1.5,0.35&lt;'rc'!H53,0.65&gt;'rc'!H53,SDrc!H53&lt;0.5),"Diffusion",IF(AND(LOD!I53&gt;1.5,0.65&lt;'rc'!H53,SDrc!H53&lt;0.5),"Dissolution","ND")))</f>
        <v>#DIV/0!</v>
      </c>
      <c r="G53" s="86" t="e">
        <f ca="1">IF(AND(LOD!J53&gt;1.5,0.35&gt;'rc'!I53,SDrc!I53&lt;0.5),"Surface Wash-Off",IF(AND(LOD!J53&gt;1.5,0.35&lt;'rc'!I53,0.65&gt;'rc'!I53,SDrc!I53&lt;0.5),"Diffusion",IF(AND(LOD!J53&gt;1.5,0.65&lt;'rc'!I53,SDrc!I53&lt;0.5),"Delayed Diffusion or Dissolution","ND")))</f>
        <v>#DIV/0!</v>
      </c>
      <c r="H53" s="410" t="e">
        <f t="shared" ca="1" si="8"/>
        <v>#DIV/0!</v>
      </c>
      <c r="I53" s="411"/>
      <c r="J53" s="411"/>
      <c r="K53" s="412"/>
      <c r="L53" s="176" t="e">
        <f t="shared" ca="1" si="0"/>
        <v>#DIV/0!</v>
      </c>
      <c r="N53" s="240" t="e">
        <f t="shared" ca="1" si="2"/>
        <v>#DIV/0!</v>
      </c>
      <c r="O53" s="202" t="e">
        <f t="shared" ref="O53:O74" ca="1" si="9">IF(AND(B53="Surface wash-off", G53="Delayed Diffusion or Dissolution"), " with Surface Wash-off and Delayed Diffusion / Dissolution", IF(OR(B53="Surface wash-off",G53="Surface wash-off")," with Surface wash-off",IF(G53="Delayed Diffusion or Dissolution"," with Delayed Diffusion or Dissolution","")))</f>
        <v>#DIV/0!</v>
      </c>
      <c r="P53" s="202" t="e">
        <f t="shared" ref="P53:P74" ca="1" si="10">IF(AND(N53="",OR(C53="Depletion",D53="Depletion",E53="Depletion",F53="Depletion")),"Depletion", "")</f>
        <v>#DIV/0!</v>
      </c>
      <c r="Q53" s="202" t="e">
        <f t="shared" ref="Q53:Q74" ca="1" si="11">IF(AND(O53="",OR(D53="Dissolution",E53="Dissolution",F53="Dissolution",C53="Dissolution")),"Dissolution", "")</f>
        <v>#DIV/0!</v>
      </c>
      <c r="R53" s="202" t="e">
        <f t="shared" ref="R53:R74" ca="1" si="12">IF(AND(P53="",Q53="Dissolution"),1,"")</f>
        <v>#DIV/0!</v>
      </c>
      <c r="S53" s="80"/>
    </row>
    <row r="54" spans="1:19" ht="30" customHeight="1" x14ac:dyDescent="0.2">
      <c r="A54" s="175">
        <f>'Analytical Data'!A55</f>
        <v>0</v>
      </c>
      <c r="B54" s="78" t="e">
        <f ca="1">IF(AND(LOD!E54&gt;1.5,0.35&gt;'rc'!D54,SDrc!D54&lt;0.5),"Surface Wash-Off",IF(AND(LOD!E54&gt;1.5,0.35&lt;'rc'!D54,0.65&gt;'rc'!D54,SDrc!D54&lt;0.5),"Diffusion",IF(AND(LOD!E54&gt;1.5,0.65&lt;'rc'!D54,SDrc!D54&lt;0.5),"Dissolution","ND")))</f>
        <v>#DIV/0!</v>
      </c>
      <c r="C54" s="79" t="e">
        <f ca="1">IF(AND(LOD!F54&gt;1.5,0.35&gt;'rc'!E54,SDrc!E54&lt;0.5),"Depletion",IF(AND(LOD!F54&gt;1.5,0.35&lt;'rc'!E54,0.65&gt;'rc'!E54,SDrc!E54&lt;0.5),"Diffusion",IF(AND(LOD!F54&gt;1.5,0.65&lt;'rc'!E54,SDrc!E54&lt;0.5),"Dissolution","ND")))</f>
        <v>#DIV/0!</v>
      </c>
      <c r="D54" s="79" t="e">
        <f ca="1">IF(AND(LOD!G54&gt;1.5,0.35&gt;'rc'!F54,SDrc!F54&lt;0.5),"Depletion",IF(AND(LOD!G54&gt;1.5,0.35&lt;'rc'!F54,0.65&gt;'rc'!F54,SDrc!F54&lt;0.5),"Diffusion",IF(AND(LOD!G54&gt;1.5,0.65&lt;'rc'!F54,SDrc!F54&lt;0.5),"Dissolution","ND")))</f>
        <v>#DIV/0!</v>
      </c>
      <c r="E54" s="79" t="e">
        <f ca="1">IF(AND(LOD!H54&gt;1.5,0.35&gt;'rc'!G54,SDrc!G54&lt;0.5),"Depletion",IF(AND(LOD!H54&gt;1.5,0.35&lt;'rc'!G54,0.65&gt;'rc'!G54,SDrc!G54&lt;0.5),"Diffusion",IF(AND(LOD!H54&gt;1.5,0.65&lt;'rc'!G54,SDrc!G54&lt;0.5),"Dissolution","ND")))</f>
        <v>#DIV/0!</v>
      </c>
      <c r="F54" s="79" t="e">
        <f ca="1">IF(AND(LOD!I54&gt;1.5,0.35&gt;'rc'!H54,SDrc!H54&lt;0.5),"Depletion",IF(AND(LOD!I54&gt;1.5,0.35&lt;'rc'!H54,0.65&gt;'rc'!H54,SDrc!H54&lt;0.5),"Diffusion",IF(AND(LOD!I54&gt;1.5,0.65&lt;'rc'!H54,SDrc!H54&lt;0.5),"Dissolution","ND")))</f>
        <v>#DIV/0!</v>
      </c>
      <c r="G54" s="86" t="e">
        <f ca="1">IF(AND(LOD!J54&gt;1.5,0.35&gt;'rc'!I54,SDrc!I54&lt;0.5),"Surface Wash-Off",IF(AND(LOD!J54&gt;1.5,0.35&lt;'rc'!I54,0.65&gt;'rc'!I54,SDrc!I54&lt;0.5),"Diffusion",IF(AND(LOD!J54&gt;1.5,0.65&lt;'rc'!I54,SDrc!I54&lt;0.5),"Delayed Diffusion or Dissolution","ND")))</f>
        <v>#DIV/0!</v>
      </c>
      <c r="H54" s="410" t="e">
        <f t="shared" ca="1" si="8"/>
        <v>#DIV/0!</v>
      </c>
      <c r="I54" s="411"/>
      <c r="J54" s="411"/>
      <c r="K54" s="412"/>
      <c r="L54" s="176" t="e">
        <f t="shared" ca="1" si="0"/>
        <v>#DIV/0!</v>
      </c>
      <c r="N54" s="240" t="e">
        <f t="shared" ca="1" si="2"/>
        <v>#DIV/0!</v>
      </c>
      <c r="O54" s="202" t="e">
        <f t="shared" ca="1" si="9"/>
        <v>#DIV/0!</v>
      </c>
      <c r="P54" s="202" t="e">
        <f t="shared" ca="1" si="10"/>
        <v>#DIV/0!</v>
      </c>
      <c r="Q54" s="202" t="e">
        <f t="shared" ca="1" si="11"/>
        <v>#DIV/0!</v>
      </c>
      <c r="R54" s="202" t="e">
        <f t="shared" ca="1" si="12"/>
        <v>#DIV/0!</v>
      </c>
      <c r="S54" s="80"/>
    </row>
    <row r="55" spans="1:19" ht="30" customHeight="1" x14ac:dyDescent="0.2">
      <c r="A55" s="175">
        <f>'Analytical Data'!A56</f>
        <v>0</v>
      </c>
      <c r="B55" s="78" t="e">
        <f ca="1">IF(AND(LOD!E55&gt;1.5,0.35&gt;'rc'!D55,SDrc!D55&lt;0.5),"Surface Wash-Off",IF(AND(LOD!E55&gt;1.5,0.35&lt;'rc'!D55,0.65&gt;'rc'!D55,SDrc!D55&lt;0.5),"Diffusion",IF(AND(LOD!E55&gt;1.5,0.65&lt;'rc'!D55,SDrc!D55&lt;0.5),"Dissolution","ND")))</f>
        <v>#DIV/0!</v>
      </c>
      <c r="C55" s="79" t="e">
        <f ca="1">IF(AND(LOD!F55&gt;1.5,0.35&gt;'rc'!E55,SDrc!E55&lt;0.5),"Depletion",IF(AND(LOD!F55&gt;1.5,0.35&lt;'rc'!E55,0.65&gt;'rc'!E55,SDrc!E55&lt;0.5),"Diffusion",IF(AND(LOD!F55&gt;1.5,0.65&lt;'rc'!E55,SDrc!E55&lt;0.5),"Dissolution","ND")))</f>
        <v>#DIV/0!</v>
      </c>
      <c r="D55" s="79" t="e">
        <f ca="1">IF(AND(LOD!G55&gt;1.5,0.35&gt;'rc'!F55,SDrc!F55&lt;0.5),"Depletion",IF(AND(LOD!G55&gt;1.5,0.35&lt;'rc'!F55,0.65&gt;'rc'!F55,SDrc!F55&lt;0.5),"Diffusion",IF(AND(LOD!G55&gt;1.5,0.65&lt;'rc'!F55,SDrc!F55&lt;0.5),"Dissolution","ND")))</f>
        <v>#DIV/0!</v>
      </c>
      <c r="E55" s="79" t="e">
        <f ca="1">IF(AND(LOD!H55&gt;1.5,0.35&gt;'rc'!G55,SDrc!G55&lt;0.5),"Depletion",IF(AND(LOD!H55&gt;1.5,0.35&lt;'rc'!G55,0.65&gt;'rc'!G55,SDrc!G55&lt;0.5),"Diffusion",IF(AND(LOD!H55&gt;1.5,0.65&lt;'rc'!G55,SDrc!G55&lt;0.5),"Dissolution","ND")))</f>
        <v>#DIV/0!</v>
      </c>
      <c r="F55" s="79" t="e">
        <f ca="1">IF(AND(LOD!I55&gt;1.5,0.35&gt;'rc'!H55,SDrc!H55&lt;0.5),"Depletion",IF(AND(LOD!I55&gt;1.5,0.35&lt;'rc'!H55,0.65&gt;'rc'!H55,SDrc!H55&lt;0.5),"Diffusion",IF(AND(LOD!I55&gt;1.5,0.65&lt;'rc'!H55,SDrc!H55&lt;0.5),"Dissolution","ND")))</f>
        <v>#DIV/0!</v>
      </c>
      <c r="G55" s="86" t="e">
        <f ca="1">IF(AND(LOD!J55&gt;1.5,0.35&gt;'rc'!I55,SDrc!I55&lt;0.5),"Surface Wash-Off",IF(AND(LOD!J55&gt;1.5,0.35&lt;'rc'!I55,0.65&gt;'rc'!I55,SDrc!I55&lt;0.5),"Diffusion",IF(AND(LOD!J55&gt;1.5,0.65&lt;'rc'!I55,SDrc!I55&lt;0.5),"Delayed Diffusion or Dissolution","ND")))</f>
        <v>#DIV/0!</v>
      </c>
      <c r="H55" s="410" t="e">
        <f t="shared" ca="1" si="8"/>
        <v>#DIV/0!</v>
      </c>
      <c r="I55" s="411"/>
      <c r="J55" s="411"/>
      <c r="K55" s="412"/>
      <c r="L55" s="176" t="e">
        <f t="shared" ca="1" si="0"/>
        <v>#DIV/0!</v>
      </c>
      <c r="N55" s="240" t="e">
        <f t="shared" ca="1" si="2"/>
        <v>#DIV/0!</v>
      </c>
      <c r="O55" s="202" t="e">
        <f t="shared" ca="1" si="9"/>
        <v>#DIV/0!</v>
      </c>
      <c r="P55" s="202" t="e">
        <f t="shared" ca="1" si="10"/>
        <v>#DIV/0!</v>
      </c>
      <c r="Q55" s="202" t="e">
        <f t="shared" ca="1" si="11"/>
        <v>#DIV/0!</v>
      </c>
      <c r="R55" s="202" t="e">
        <f t="shared" ca="1" si="12"/>
        <v>#DIV/0!</v>
      </c>
      <c r="S55" s="80"/>
    </row>
    <row r="56" spans="1:19" ht="30" customHeight="1" x14ac:dyDescent="0.2">
      <c r="A56" s="175">
        <f>'Analytical Data'!A57</f>
        <v>0</v>
      </c>
      <c r="B56" s="78" t="e">
        <f ca="1">IF(AND(LOD!E56&gt;1.5,0.35&gt;'rc'!D56,SDrc!D56&lt;0.5),"Surface Wash-Off",IF(AND(LOD!E56&gt;1.5,0.35&lt;'rc'!D56,0.65&gt;'rc'!D56,SDrc!D56&lt;0.5),"Diffusion",IF(AND(LOD!E56&gt;1.5,0.65&lt;'rc'!D56,SDrc!D56&lt;0.5),"Dissolution","ND")))</f>
        <v>#DIV/0!</v>
      </c>
      <c r="C56" s="79" t="e">
        <f ca="1">IF(AND(LOD!F56&gt;1.5,0.35&gt;'rc'!E56,SDrc!E56&lt;0.5),"Depletion",IF(AND(LOD!F56&gt;1.5,0.35&lt;'rc'!E56,0.65&gt;'rc'!E56,SDrc!E56&lt;0.5),"Diffusion",IF(AND(LOD!F56&gt;1.5,0.65&lt;'rc'!E56,SDrc!E56&lt;0.5),"Dissolution","ND")))</f>
        <v>#DIV/0!</v>
      </c>
      <c r="D56" s="79" t="e">
        <f ca="1">IF(AND(LOD!G56&gt;1.5,0.35&gt;'rc'!F56,SDrc!F56&lt;0.5),"Depletion",IF(AND(LOD!G56&gt;1.5,0.35&lt;'rc'!F56,0.65&gt;'rc'!F56,SDrc!F56&lt;0.5),"Diffusion",IF(AND(LOD!G56&gt;1.5,0.65&lt;'rc'!F56,SDrc!F56&lt;0.5),"Dissolution","ND")))</f>
        <v>#DIV/0!</v>
      </c>
      <c r="E56" s="79" t="e">
        <f ca="1">IF(AND(LOD!H56&gt;1.5,0.35&gt;'rc'!G56,SDrc!G56&lt;0.5),"Depletion",IF(AND(LOD!H56&gt;1.5,0.35&lt;'rc'!G56,0.65&gt;'rc'!G56,SDrc!G56&lt;0.5),"Diffusion",IF(AND(LOD!H56&gt;1.5,0.65&lt;'rc'!G56,SDrc!G56&lt;0.5),"Dissolution","ND")))</f>
        <v>#DIV/0!</v>
      </c>
      <c r="F56" s="79" t="e">
        <f ca="1">IF(AND(LOD!I56&gt;1.5,0.35&gt;'rc'!H56,SDrc!H56&lt;0.5),"Depletion",IF(AND(LOD!I56&gt;1.5,0.35&lt;'rc'!H56,0.65&gt;'rc'!H56,SDrc!H56&lt;0.5),"Diffusion",IF(AND(LOD!I56&gt;1.5,0.65&lt;'rc'!H56,SDrc!H56&lt;0.5),"Dissolution","ND")))</f>
        <v>#DIV/0!</v>
      </c>
      <c r="G56" s="86" t="e">
        <f ca="1">IF(AND(LOD!J56&gt;1.5,0.35&gt;'rc'!I56,SDrc!I56&lt;0.5),"Surface Wash-Off",IF(AND(LOD!J56&gt;1.5,0.35&lt;'rc'!I56,0.65&gt;'rc'!I56,SDrc!I56&lt;0.5),"Diffusion",IF(AND(LOD!J56&gt;1.5,0.65&lt;'rc'!I56,SDrc!I56&lt;0.5),"Delayed Diffusion or Dissolution","ND")))</f>
        <v>#DIV/0!</v>
      </c>
      <c r="H56" s="410" t="e">
        <f t="shared" ca="1" si="8"/>
        <v>#DIV/0!</v>
      </c>
      <c r="I56" s="411"/>
      <c r="J56" s="411"/>
      <c r="K56" s="412"/>
      <c r="L56" s="176" t="e">
        <f t="shared" ca="1" si="0"/>
        <v>#DIV/0!</v>
      </c>
      <c r="N56" s="240" t="e">
        <f t="shared" ca="1" si="2"/>
        <v>#DIV/0!</v>
      </c>
      <c r="O56" s="202" t="e">
        <f t="shared" ca="1" si="9"/>
        <v>#DIV/0!</v>
      </c>
      <c r="P56" s="202" t="e">
        <f t="shared" ca="1" si="10"/>
        <v>#DIV/0!</v>
      </c>
      <c r="Q56" s="202" t="e">
        <f t="shared" ca="1" si="11"/>
        <v>#DIV/0!</v>
      </c>
      <c r="R56" s="202" t="e">
        <f t="shared" ca="1" si="12"/>
        <v>#DIV/0!</v>
      </c>
      <c r="S56" s="80"/>
    </row>
    <row r="57" spans="1:19" ht="30" customHeight="1" x14ac:dyDescent="0.2">
      <c r="A57" s="175">
        <f>'Analytical Data'!A58</f>
        <v>0</v>
      </c>
      <c r="B57" s="78" t="e">
        <f ca="1">IF(AND(LOD!E57&gt;1.5,0.35&gt;'rc'!D57,SDrc!D57&lt;0.5),"Surface Wash-Off",IF(AND(LOD!E57&gt;1.5,0.35&lt;'rc'!D57,0.65&gt;'rc'!D57,SDrc!D57&lt;0.5),"Diffusion",IF(AND(LOD!E57&gt;1.5,0.65&lt;'rc'!D57,SDrc!D57&lt;0.5),"Dissolution","ND")))</f>
        <v>#DIV/0!</v>
      </c>
      <c r="C57" s="79" t="e">
        <f ca="1">IF(AND(LOD!F57&gt;1.5,0.35&gt;'rc'!E57,SDrc!E57&lt;0.5),"Depletion",IF(AND(LOD!F57&gt;1.5,0.35&lt;'rc'!E57,0.65&gt;'rc'!E57,SDrc!E57&lt;0.5),"Diffusion",IF(AND(LOD!F57&gt;1.5,0.65&lt;'rc'!E57,SDrc!E57&lt;0.5),"Dissolution","ND")))</f>
        <v>#DIV/0!</v>
      </c>
      <c r="D57" s="79" t="e">
        <f ca="1">IF(AND(LOD!G57&gt;1.5,0.35&gt;'rc'!F57,SDrc!F57&lt;0.5),"Depletion",IF(AND(LOD!G57&gt;1.5,0.35&lt;'rc'!F57,0.65&gt;'rc'!F57,SDrc!F57&lt;0.5),"Diffusion",IF(AND(LOD!G57&gt;1.5,0.65&lt;'rc'!F57,SDrc!F57&lt;0.5),"Dissolution","ND")))</f>
        <v>#DIV/0!</v>
      </c>
      <c r="E57" s="79" t="e">
        <f ca="1">IF(AND(LOD!H57&gt;1.5,0.35&gt;'rc'!G57,SDrc!G57&lt;0.5),"Depletion",IF(AND(LOD!H57&gt;1.5,0.35&lt;'rc'!G57,0.65&gt;'rc'!G57,SDrc!G57&lt;0.5),"Diffusion",IF(AND(LOD!H57&gt;1.5,0.65&lt;'rc'!G57,SDrc!G57&lt;0.5),"Dissolution","ND")))</f>
        <v>#DIV/0!</v>
      </c>
      <c r="F57" s="79" t="e">
        <f ca="1">IF(AND(LOD!I57&gt;1.5,0.35&gt;'rc'!H57,SDrc!H57&lt;0.5),"Depletion",IF(AND(LOD!I57&gt;1.5,0.35&lt;'rc'!H57,0.65&gt;'rc'!H57,SDrc!H57&lt;0.5),"Diffusion",IF(AND(LOD!I57&gt;1.5,0.65&lt;'rc'!H57,SDrc!H57&lt;0.5),"Dissolution","ND")))</f>
        <v>#DIV/0!</v>
      </c>
      <c r="G57" s="86" t="e">
        <f ca="1">IF(AND(LOD!J57&gt;1.5,0.35&gt;'rc'!I57,SDrc!I57&lt;0.5),"Surface Wash-Off",IF(AND(LOD!J57&gt;1.5,0.35&lt;'rc'!I57,0.65&gt;'rc'!I57,SDrc!I57&lt;0.5),"Diffusion",IF(AND(LOD!J57&gt;1.5,0.65&lt;'rc'!I57,SDrc!I57&lt;0.5),"Delayed Diffusion or Dissolution","ND")))</f>
        <v>#DIV/0!</v>
      </c>
      <c r="H57" s="410" t="e">
        <f t="shared" ca="1" si="8"/>
        <v>#DIV/0!</v>
      </c>
      <c r="I57" s="411"/>
      <c r="J57" s="411"/>
      <c r="K57" s="412"/>
      <c r="L57" s="176" t="e">
        <f t="shared" ca="1" si="0"/>
        <v>#DIV/0!</v>
      </c>
      <c r="N57" s="240" t="e">
        <f t="shared" ca="1" si="2"/>
        <v>#DIV/0!</v>
      </c>
      <c r="O57" s="202" t="e">
        <f t="shared" ca="1" si="9"/>
        <v>#DIV/0!</v>
      </c>
      <c r="P57" s="202" t="e">
        <f t="shared" ca="1" si="10"/>
        <v>#DIV/0!</v>
      </c>
      <c r="Q57" s="202" t="e">
        <f t="shared" ca="1" si="11"/>
        <v>#DIV/0!</v>
      </c>
      <c r="R57" s="202" t="e">
        <f t="shared" ca="1" si="12"/>
        <v>#DIV/0!</v>
      </c>
      <c r="S57" s="80"/>
    </row>
    <row r="58" spans="1:19" ht="30" customHeight="1" x14ac:dyDescent="0.2">
      <c r="A58" s="175">
        <f>'Analytical Data'!A59</f>
        <v>0</v>
      </c>
      <c r="B58" s="78" t="e">
        <f ca="1">IF(AND(LOD!E58&gt;1.5,0.35&gt;'rc'!D58,SDrc!D58&lt;0.5),"Surface Wash-Off",IF(AND(LOD!E58&gt;1.5,0.35&lt;'rc'!D58,0.65&gt;'rc'!D58,SDrc!D58&lt;0.5),"Diffusion",IF(AND(LOD!E58&gt;1.5,0.65&lt;'rc'!D58,SDrc!D58&lt;0.5),"Dissolution","ND")))</f>
        <v>#DIV/0!</v>
      </c>
      <c r="C58" s="79" t="e">
        <f ca="1">IF(AND(LOD!F58&gt;1.5,0.35&gt;'rc'!E58,SDrc!E58&lt;0.5),"Depletion",IF(AND(LOD!F58&gt;1.5,0.35&lt;'rc'!E58,0.65&gt;'rc'!E58,SDrc!E58&lt;0.5),"Diffusion",IF(AND(LOD!F58&gt;1.5,0.65&lt;'rc'!E58,SDrc!E58&lt;0.5),"Dissolution","ND")))</f>
        <v>#DIV/0!</v>
      </c>
      <c r="D58" s="79" t="e">
        <f ca="1">IF(AND(LOD!G58&gt;1.5,0.35&gt;'rc'!F58,SDrc!F58&lt;0.5),"Depletion",IF(AND(LOD!G58&gt;1.5,0.35&lt;'rc'!F58,0.65&gt;'rc'!F58,SDrc!F58&lt;0.5),"Diffusion",IF(AND(LOD!G58&gt;1.5,0.65&lt;'rc'!F58,SDrc!F58&lt;0.5),"Dissolution","ND")))</f>
        <v>#DIV/0!</v>
      </c>
      <c r="E58" s="79" t="e">
        <f ca="1">IF(AND(LOD!H58&gt;1.5,0.35&gt;'rc'!G58,SDrc!G58&lt;0.5),"Depletion",IF(AND(LOD!H58&gt;1.5,0.35&lt;'rc'!G58,0.65&gt;'rc'!G58,SDrc!G58&lt;0.5),"Diffusion",IF(AND(LOD!H58&gt;1.5,0.65&lt;'rc'!G58,SDrc!G58&lt;0.5),"Dissolution","ND")))</f>
        <v>#DIV/0!</v>
      </c>
      <c r="F58" s="79" t="e">
        <f ca="1">IF(AND(LOD!I58&gt;1.5,0.35&gt;'rc'!H58,SDrc!H58&lt;0.5),"Depletion",IF(AND(LOD!I58&gt;1.5,0.35&lt;'rc'!H58,0.65&gt;'rc'!H58,SDrc!H58&lt;0.5),"Diffusion",IF(AND(LOD!I58&gt;1.5,0.65&lt;'rc'!H58,SDrc!H58&lt;0.5),"Dissolution","ND")))</f>
        <v>#DIV/0!</v>
      </c>
      <c r="G58" s="86" t="e">
        <f ca="1">IF(AND(LOD!J58&gt;1.5,0.35&gt;'rc'!I58,SDrc!I58&lt;0.5),"Surface Wash-Off",IF(AND(LOD!J58&gt;1.5,0.35&lt;'rc'!I58,0.65&gt;'rc'!I58,SDrc!I58&lt;0.5),"Diffusion",IF(AND(LOD!J58&gt;1.5,0.65&lt;'rc'!I58,SDrc!I58&lt;0.5),"Delayed Diffusion or Dissolution","ND")))</f>
        <v>#DIV/0!</v>
      </c>
      <c r="H58" s="410" t="e">
        <f t="shared" ca="1" si="8"/>
        <v>#DIV/0!</v>
      </c>
      <c r="I58" s="411"/>
      <c r="J58" s="411"/>
      <c r="K58" s="412"/>
      <c r="L58" s="176" t="e">
        <f t="shared" ca="1" si="0"/>
        <v>#DIV/0!</v>
      </c>
      <c r="N58" s="240" t="e">
        <f t="shared" ca="1" si="2"/>
        <v>#DIV/0!</v>
      </c>
      <c r="O58" s="202" t="e">
        <f t="shared" ca="1" si="9"/>
        <v>#DIV/0!</v>
      </c>
      <c r="P58" s="202" t="e">
        <f t="shared" ca="1" si="10"/>
        <v>#DIV/0!</v>
      </c>
      <c r="Q58" s="202" t="e">
        <f t="shared" ca="1" si="11"/>
        <v>#DIV/0!</v>
      </c>
      <c r="R58" s="202" t="e">
        <f t="shared" ca="1" si="12"/>
        <v>#DIV/0!</v>
      </c>
      <c r="S58" s="80"/>
    </row>
    <row r="59" spans="1:19" ht="30" customHeight="1" x14ac:dyDescent="0.2">
      <c r="A59" s="175">
        <f>'Analytical Data'!A60</f>
        <v>0</v>
      </c>
      <c r="B59" s="78" t="e">
        <f ca="1">IF(AND(LOD!E59&gt;1.5,0.35&gt;'rc'!D59,SDrc!D59&lt;0.5),"Surface Wash-Off",IF(AND(LOD!E59&gt;1.5,0.35&lt;'rc'!D59,0.65&gt;'rc'!D59,SDrc!D59&lt;0.5),"Diffusion",IF(AND(LOD!E59&gt;1.5,0.65&lt;'rc'!D59,SDrc!D59&lt;0.5),"Dissolution","ND")))</f>
        <v>#DIV/0!</v>
      </c>
      <c r="C59" s="79" t="e">
        <f ca="1">IF(AND(LOD!F59&gt;1.5,0.35&gt;'rc'!E59,SDrc!E59&lt;0.5),"Depletion",IF(AND(LOD!F59&gt;1.5,0.35&lt;'rc'!E59,0.65&gt;'rc'!E59,SDrc!E59&lt;0.5),"Diffusion",IF(AND(LOD!F59&gt;1.5,0.65&lt;'rc'!E59,SDrc!E59&lt;0.5),"Dissolution","ND")))</f>
        <v>#DIV/0!</v>
      </c>
      <c r="D59" s="79" t="e">
        <f ca="1">IF(AND(LOD!G59&gt;1.5,0.35&gt;'rc'!F59,SDrc!F59&lt;0.5),"Depletion",IF(AND(LOD!G59&gt;1.5,0.35&lt;'rc'!F59,0.65&gt;'rc'!F59,SDrc!F59&lt;0.5),"Diffusion",IF(AND(LOD!G59&gt;1.5,0.65&lt;'rc'!F59,SDrc!F59&lt;0.5),"Dissolution","ND")))</f>
        <v>#DIV/0!</v>
      </c>
      <c r="E59" s="79" t="e">
        <f ca="1">IF(AND(LOD!H59&gt;1.5,0.35&gt;'rc'!G59,SDrc!G59&lt;0.5),"Depletion",IF(AND(LOD!H59&gt;1.5,0.35&lt;'rc'!G59,0.65&gt;'rc'!G59,SDrc!G59&lt;0.5),"Diffusion",IF(AND(LOD!H59&gt;1.5,0.65&lt;'rc'!G59,SDrc!G59&lt;0.5),"Dissolution","ND")))</f>
        <v>#DIV/0!</v>
      </c>
      <c r="F59" s="79" t="e">
        <f ca="1">IF(AND(LOD!I59&gt;1.5,0.35&gt;'rc'!H59,SDrc!H59&lt;0.5),"Depletion",IF(AND(LOD!I59&gt;1.5,0.35&lt;'rc'!H59,0.65&gt;'rc'!H59,SDrc!H59&lt;0.5),"Diffusion",IF(AND(LOD!I59&gt;1.5,0.65&lt;'rc'!H59,SDrc!H59&lt;0.5),"Dissolution","ND")))</f>
        <v>#DIV/0!</v>
      </c>
      <c r="G59" s="86" t="e">
        <f ca="1">IF(AND(LOD!J59&gt;1.5,0.35&gt;'rc'!I59,SDrc!I59&lt;0.5),"Surface Wash-Off",IF(AND(LOD!J59&gt;1.5,0.35&lt;'rc'!I59,0.65&gt;'rc'!I59,SDrc!I59&lt;0.5),"Diffusion",IF(AND(LOD!J59&gt;1.5,0.65&lt;'rc'!I59,SDrc!I59&lt;0.5),"Delayed Diffusion or Dissolution","ND")))</f>
        <v>#DIV/0!</v>
      </c>
      <c r="H59" s="410" t="e">
        <f t="shared" ca="1" si="8"/>
        <v>#DIV/0!</v>
      </c>
      <c r="I59" s="411"/>
      <c r="J59" s="411"/>
      <c r="K59" s="412"/>
      <c r="L59" s="176" t="e">
        <f t="shared" ca="1" si="0"/>
        <v>#DIV/0!</v>
      </c>
      <c r="N59" s="240" t="e">
        <f t="shared" ca="1" si="2"/>
        <v>#DIV/0!</v>
      </c>
      <c r="O59" s="202" t="e">
        <f t="shared" ca="1" si="9"/>
        <v>#DIV/0!</v>
      </c>
      <c r="P59" s="202" t="e">
        <f t="shared" ca="1" si="10"/>
        <v>#DIV/0!</v>
      </c>
      <c r="Q59" s="202" t="e">
        <f t="shared" ca="1" si="11"/>
        <v>#DIV/0!</v>
      </c>
      <c r="R59" s="202" t="e">
        <f t="shared" ca="1" si="12"/>
        <v>#DIV/0!</v>
      </c>
      <c r="S59" s="80"/>
    </row>
    <row r="60" spans="1:19" ht="30" customHeight="1" x14ac:dyDescent="0.2">
      <c r="A60" s="175">
        <f>'Analytical Data'!A61</f>
        <v>0</v>
      </c>
      <c r="B60" s="78" t="e">
        <f ca="1">IF(AND(LOD!E60&gt;1.5,0.35&gt;'rc'!D60,SDrc!D60&lt;0.5),"Surface Wash-Off",IF(AND(LOD!E60&gt;1.5,0.35&lt;'rc'!D60,0.65&gt;'rc'!D60,SDrc!D60&lt;0.5),"Diffusion",IF(AND(LOD!E60&gt;1.5,0.65&lt;'rc'!D60,SDrc!D60&lt;0.5),"Dissolution","ND")))</f>
        <v>#DIV/0!</v>
      </c>
      <c r="C60" s="79" t="e">
        <f ca="1">IF(AND(LOD!F60&gt;1.5,0.35&gt;'rc'!E60,SDrc!E60&lt;0.5),"Depletion",IF(AND(LOD!F60&gt;1.5,0.35&lt;'rc'!E60,0.65&gt;'rc'!E60,SDrc!E60&lt;0.5),"Diffusion",IF(AND(LOD!F60&gt;1.5,0.65&lt;'rc'!E60,SDrc!E60&lt;0.5),"Dissolution","ND")))</f>
        <v>#DIV/0!</v>
      </c>
      <c r="D60" s="79" t="e">
        <f ca="1">IF(AND(LOD!G60&gt;1.5,0.35&gt;'rc'!F60,SDrc!F60&lt;0.5),"Depletion",IF(AND(LOD!G60&gt;1.5,0.35&lt;'rc'!F60,0.65&gt;'rc'!F60,SDrc!F60&lt;0.5),"Diffusion",IF(AND(LOD!G60&gt;1.5,0.65&lt;'rc'!F60,SDrc!F60&lt;0.5),"Dissolution","ND")))</f>
        <v>#DIV/0!</v>
      </c>
      <c r="E60" s="79" t="e">
        <f ca="1">IF(AND(LOD!H60&gt;1.5,0.35&gt;'rc'!G60,SDrc!G60&lt;0.5),"Depletion",IF(AND(LOD!H60&gt;1.5,0.35&lt;'rc'!G60,0.65&gt;'rc'!G60,SDrc!G60&lt;0.5),"Diffusion",IF(AND(LOD!H60&gt;1.5,0.65&lt;'rc'!G60,SDrc!G60&lt;0.5),"Dissolution","ND")))</f>
        <v>#DIV/0!</v>
      </c>
      <c r="F60" s="79" t="e">
        <f ca="1">IF(AND(LOD!I60&gt;1.5,0.35&gt;'rc'!H60,SDrc!H60&lt;0.5),"Depletion",IF(AND(LOD!I60&gt;1.5,0.35&lt;'rc'!H60,0.65&gt;'rc'!H60,SDrc!H60&lt;0.5),"Diffusion",IF(AND(LOD!I60&gt;1.5,0.65&lt;'rc'!H60,SDrc!H60&lt;0.5),"Dissolution","ND")))</f>
        <v>#DIV/0!</v>
      </c>
      <c r="G60" s="86" t="e">
        <f ca="1">IF(AND(LOD!J60&gt;1.5,0.35&gt;'rc'!I60,SDrc!I60&lt;0.5),"Surface Wash-Off",IF(AND(LOD!J60&gt;1.5,0.35&lt;'rc'!I60,0.65&gt;'rc'!I60,SDrc!I60&lt;0.5),"Diffusion",IF(AND(LOD!J60&gt;1.5,0.65&lt;'rc'!I60,SDrc!I60&lt;0.5),"Delayed Diffusion or Dissolution","ND")))</f>
        <v>#DIV/0!</v>
      </c>
      <c r="H60" s="410" t="e">
        <f t="shared" ca="1" si="8"/>
        <v>#DIV/0!</v>
      </c>
      <c r="I60" s="411"/>
      <c r="J60" s="411"/>
      <c r="K60" s="412"/>
      <c r="L60" s="176" t="e">
        <f t="shared" ca="1" si="0"/>
        <v>#DIV/0!</v>
      </c>
      <c r="N60" s="240" t="e">
        <f t="shared" ca="1" si="2"/>
        <v>#DIV/0!</v>
      </c>
      <c r="O60" s="202" t="e">
        <f t="shared" ca="1" si="9"/>
        <v>#DIV/0!</v>
      </c>
      <c r="P60" s="202" t="e">
        <f t="shared" ca="1" si="10"/>
        <v>#DIV/0!</v>
      </c>
      <c r="Q60" s="202" t="e">
        <f t="shared" ca="1" si="11"/>
        <v>#DIV/0!</v>
      </c>
      <c r="R60" s="202" t="e">
        <f t="shared" ca="1" si="12"/>
        <v>#DIV/0!</v>
      </c>
      <c r="S60" s="80"/>
    </row>
    <row r="61" spans="1:19" ht="30" customHeight="1" x14ac:dyDescent="0.2">
      <c r="A61" s="175">
        <f>'Analytical Data'!A62</f>
        <v>0</v>
      </c>
      <c r="B61" s="78" t="e">
        <f ca="1">IF(AND(LOD!E61&gt;1.5,0.35&gt;'rc'!D61,SDrc!D61&lt;0.5),"Surface Wash-Off",IF(AND(LOD!E61&gt;1.5,0.35&lt;'rc'!D61,0.65&gt;'rc'!D61,SDrc!D61&lt;0.5),"Diffusion",IF(AND(LOD!E61&gt;1.5,0.65&lt;'rc'!D61,SDrc!D61&lt;0.5),"Dissolution","ND")))</f>
        <v>#DIV/0!</v>
      </c>
      <c r="C61" s="79" t="e">
        <f ca="1">IF(AND(LOD!F61&gt;1.5,0.35&gt;'rc'!E61,SDrc!E61&lt;0.5),"Depletion",IF(AND(LOD!F61&gt;1.5,0.35&lt;'rc'!E61,0.65&gt;'rc'!E61,SDrc!E61&lt;0.5),"Diffusion",IF(AND(LOD!F61&gt;1.5,0.65&lt;'rc'!E61,SDrc!E61&lt;0.5),"Dissolution","ND")))</f>
        <v>#DIV/0!</v>
      </c>
      <c r="D61" s="79" t="e">
        <f ca="1">IF(AND(LOD!G61&gt;1.5,0.35&gt;'rc'!F61,SDrc!F61&lt;0.5),"Depletion",IF(AND(LOD!G61&gt;1.5,0.35&lt;'rc'!F61,0.65&gt;'rc'!F61,SDrc!F61&lt;0.5),"Diffusion",IF(AND(LOD!G61&gt;1.5,0.65&lt;'rc'!F61,SDrc!F61&lt;0.5),"Dissolution","ND")))</f>
        <v>#DIV/0!</v>
      </c>
      <c r="E61" s="79" t="e">
        <f ca="1">IF(AND(LOD!H61&gt;1.5,0.35&gt;'rc'!G61,SDrc!G61&lt;0.5),"Depletion",IF(AND(LOD!H61&gt;1.5,0.35&lt;'rc'!G61,0.65&gt;'rc'!G61,SDrc!G61&lt;0.5),"Diffusion",IF(AND(LOD!H61&gt;1.5,0.65&lt;'rc'!G61,SDrc!G61&lt;0.5),"Dissolution","ND")))</f>
        <v>#DIV/0!</v>
      </c>
      <c r="F61" s="79" t="e">
        <f ca="1">IF(AND(LOD!I61&gt;1.5,0.35&gt;'rc'!H61,SDrc!H61&lt;0.5),"Depletion",IF(AND(LOD!I61&gt;1.5,0.35&lt;'rc'!H61,0.65&gt;'rc'!H61,SDrc!H61&lt;0.5),"Diffusion",IF(AND(LOD!I61&gt;1.5,0.65&lt;'rc'!H61,SDrc!H61&lt;0.5),"Dissolution","ND")))</f>
        <v>#DIV/0!</v>
      </c>
      <c r="G61" s="86" t="e">
        <f ca="1">IF(AND(LOD!J61&gt;1.5,0.35&gt;'rc'!I61,SDrc!I61&lt;0.5),"Surface Wash-Off",IF(AND(LOD!J61&gt;1.5,0.35&lt;'rc'!I61,0.65&gt;'rc'!I61,SDrc!I61&lt;0.5),"Diffusion",IF(AND(LOD!J61&gt;1.5,0.65&lt;'rc'!I61,SDrc!I61&lt;0.5),"Delayed Diffusion or Dissolution","ND")))</f>
        <v>#DIV/0!</v>
      </c>
      <c r="H61" s="410" t="e">
        <f t="shared" ref="H61:H73" ca="1" si="13">IF(N61="Diffusion",CONCATENATE(N61,O61),IF(AND(N61="",P61="",O61="",Q61=""),"Not possible to Determine Leaching Mechanism",IF(AND(N61="",O61="",P61="",Q61="Dissolution"),"Dissolution",IF(N61="",CONCATENATE(P61,O61),""))))</f>
        <v>#DIV/0!</v>
      </c>
      <c r="I61" s="411"/>
      <c r="J61" s="411"/>
      <c r="K61" s="412"/>
      <c r="L61" s="176" t="e">
        <f t="shared" ca="1" si="0"/>
        <v>#DIV/0!</v>
      </c>
      <c r="N61" s="240" t="e">
        <f t="shared" ca="1" si="2"/>
        <v>#DIV/0!</v>
      </c>
      <c r="O61" s="202" t="e">
        <f t="shared" ca="1" si="9"/>
        <v>#DIV/0!</v>
      </c>
      <c r="P61" s="202" t="e">
        <f t="shared" ca="1" si="10"/>
        <v>#DIV/0!</v>
      </c>
      <c r="Q61" s="202" t="e">
        <f t="shared" ca="1" si="11"/>
        <v>#DIV/0!</v>
      </c>
      <c r="R61" s="202" t="e">
        <f t="shared" ca="1" si="12"/>
        <v>#DIV/0!</v>
      </c>
      <c r="S61" s="80"/>
    </row>
    <row r="62" spans="1:19" ht="30" customHeight="1" x14ac:dyDescent="0.2">
      <c r="A62" s="175">
        <f>'Analytical Data'!A63</f>
        <v>0</v>
      </c>
      <c r="B62" s="78" t="e">
        <f ca="1">IF(AND(LOD!E62&gt;1.5,0.35&gt;'rc'!D62,SDrc!D62&lt;0.5),"Surface Wash-Off",IF(AND(LOD!E62&gt;1.5,0.35&lt;'rc'!D62,0.65&gt;'rc'!D62,SDrc!D62&lt;0.5),"Diffusion",IF(AND(LOD!E62&gt;1.5,0.65&lt;'rc'!D62,SDrc!D62&lt;0.5),"Dissolution","ND")))</f>
        <v>#DIV/0!</v>
      </c>
      <c r="C62" s="79" t="e">
        <f ca="1">IF(AND(LOD!F62&gt;1.5,0.35&gt;'rc'!E62,SDrc!E62&lt;0.5),"Depletion",IF(AND(LOD!F62&gt;1.5,0.35&lt;'rc'!E62,0.65&gt;'rc'!E62,SDrc!E62&lt;0.5),"Diffusion",IF(AND(LOD!F62&gt;1.5,0.65&lt;'rc'!E62,SDrc!E62&lt;0.5),"Dissolution","ND")))</f>
        <v>#DIV/0!</v>
      </c>
      <c r="D62" s="79" t="e">
        <f ca="1">IF(AND(LOD!G62&gt;1.5,0.35&gt;'rc'!F62,SDrc!F62&lt;0.5),"Depletion",IF(AND(LOD!G62&gt;1.5,0.35&lt;'rc'!F62,0.65&gt;'rc'!F62,SDrc!F62&lt;0.5),"Diffusion",IF(AND(LOD!G62&gt;1.5,0.65&lt;'rc'!F62,SDrc!F62&lt;0.5),"Dissolution","ND")))</f>
        <v>#DIV/0!</v>
      </c>
      <c r="E62" s="79" t="e">
        <f ca="1">IF(AND(LOD!H62&gt;1.5,0.35&gt;'rc'!G62,SDrc!G62&lt;0.5),"Depletion",IF(AND(LOD!H62&gt;1.5,0.35&lt;'rc'!G62,0.65&gt;'rc'!G62,SDrc!G62&lt;0.5),"Diffusion",IF(AND(LOD!H62&gt;1.5,0.65&lt;'rc'!G62,SDrc!G62&lt;0.5),"Dissolution","ND")))</f>
        <v>#DIV/0!</v>
      </c>
      <c r="F62" s="79" t="e">
        <f ca="1">IF(AND(LOD!I62&gt;1.5,0.35&gt;'rc'!H62,SDrc!H62&lt;0.5),"Depletion",IF(AND(LOD!I62&gt;1.5,0.35&lt;'rc'!H62,0.65&gt;'rc'!H62,SDrc!H62&lt;0.5),"Diffusion",IF(AND(LOD!I62&gt;1.5,0.65&lt;'rc'!H62,SDrc!H62&lt;0.5),"Dissolution","ND")))</f>
        <v>#DIV/0!</v>
      </c>
      <c r="G62" s="86" t="e">
        <f ca="1">IF(AND(LOD!J62&gt;1.5,0.35&gt;'rc'!I62,SDrc!I62&lt;0.5),"Surface Wash-Off",IF(AND(LOD!J62&gt;1.5,0.35&lt;'rc'!I62,0.65&gt;'rc'!I62,SDrc!I62&lt;0.5),"Diffusion",IF(AND(LOD!J62&gt;1.5,0.65&lt;'rc'!I62,SDrc!I62&lt;0.5),"Delayed Diffusion or Dissolution","ND")))</f>
        <v>#DIV/0!</v>
      </c>
      <c r="H62" s="410" t="e">
        <f t="shared" ca="1" si="13"/>
        <v>#DIV/0!</v>
      </c>
      <c r="I62" s="411"/>
      <c r="J62" s="411"/>
      <c r="K62" s="412"/>
      <c r="L62" s="176" t="e">
        <f t="shared" ca="1" si="0"/>
        <v>#DIV/0!</v>
      </c>
      <c r="N62" s="240" t="e">
        <f t="shared" ca="1" si="2"/>
        <v>#DIV/0!</v>
      </c>
      <c r="O62" s="202" t="e">
        <f t="shared" ca="1" si="9"/>
        <v>#DIV/0!</v>
      </c>
      <c r="P62" s="202" t="e">
        <f t="shared" ca="1" si="10"/>
        <v>#DIV/0!</v>
      </c>
      <c r="Q62" s="202" t="e">
        <f t="shared" ca="1" si="11"/>
        <v>#DIV/0!</v>
      </c>
      <c r="R62" s="202" t="e">
        <f t="shared" ca="1" si="12"/>
        <v>#DIV/0!</v>
      </c>
      <c r="S62" s="80"/>
    </row>
    <row r="63" spans="1:19" ht="30" customHeight="1" x14ac:dyDescent="0.2">
      <c r="A63" s="175">
        <f>'Analytical Data'!A64</f>
        <v>0</v>
      </c>
      <c r="B63" s="78" t="e">
        <f ca="1">IF(AND(LOD!E63&gt;1.5,0.35&gt;'rc'!D63,SDrc!D63&lt;0.5),"Surface Wash-Off",IF(AND(LOD!E63&gt;1.5,0.35&lt;'rc'!D63,0.65&gt;'rc'!D63,SDrc!D63&lt;0.5),"Diffusion",IF(AND(LOD!E63&gt;1.5,0.65&lt;'rc'!D63,SDrc!D63&lt;0.5),"Dissolution","ND")))</f>
        <v>#DIV/0!</v>
      </c>
      <c r="C63" s="79" t="e">
        <f ca="1">IF(AND(LOD!F63&gt;1.5,0.35&gt;'rc'!E63,SDrc!E63&lt;0.5),"Depletion",IF(AND(LOD!F63&gt;1.5,0.35&lt;'rc'!E63,0.65&gt;'rc'!E63,SDrc!E63&lt;0.5),"Diffusion",IF(AND(LOD!F63&gt;1.5,0.65&lt;'rc'!E63,SDrc!E63&lt;0.5),"Dissolution","ND")))</f>
        <v>#DIV/0!</v>
      </c>
      <c r="D63" s="79" t="e">
        <f ca="1">IF(AND(LOD!G63&gt;1.5,0.35&gt;'rc'!F63,SDrc!F63&lt;0.5),"Depletion",IF(AND(LOD!G63&gt;1.5,0.35&lt;'rc'!F63,0.65&gt;'rc'!F63,SDrc!F63&lt;0.5),"Diffusion",IF(AND(LOD!G63&gt;1.5,0.65&lt;'rc'!F63,SDrc!F63&lt;0.5),"Dissolution","ND")))</f>
        <v>#DIV/0!</v>
      </c>
      <c r="E63" s="79" t="e">
        <f ca="1">IF(AND(LOD!H63&gt;1.5,0.35&gt;'rc'!G63,SDrc!G63&lt;0.5),"Depletion",IF(AND(LOD!H63&gt;1.5,0.35&lt;'rc'!G63,0.65&gt;'rc'!G63,SDrc!G63&lt;0.5),"Diffusion",IF(AND(LOD!H63&gt;1.5,0.65&lt;'rc'!G63,SDrc!G63&lt;0.5),"Dissolution","ND")))</f>
        <v>#DIV/0!</v>
      </c>
      <c r="F63" s="79" t="e">
        <f ca="1">IF(AND(LOD!I63&gt;1.5,0.35&gt;'rc'!H63,SDrc!H63&lt;0.5),"Depletion",IF(AND(LOD!I63&gt;1.5,0.35&lt;'rc'!H63,0.65&gt;'rc'!H63,SDrc!H63&lt;0.5),"Diffusion",IF(AND(LOD!I63&gt;1.5,0.65&lt;'rc'!H63,SDrc!H63&lt;0.5),"Dissolution","ND")))</f>
        <v>#DIV/0!</v>
      </c>
      <c r="G63" s="86" t="e">
        <f ca="1">IF(AND(LOD!J63&gt;1.5,0.35&gt;'rc'!I63,SDrc!I63&lt;0.5),"Surface Wash-Off",IF(AND(LOD!J63&gt;1.5,0.35&lt;'rc'!I63,0.65&gt;'rc'!I63,SDrc!I63&lt;0.5),"Diffusion",IF(AND(LOD!J63&gt;1.5,0.65&lt;'rc'!I63,SDrc!I63&lt;0.5),"Delayed Diffusion or Dissolution","ND")))</f>
        <v>#DIV/0!</v>
      </c>
      <c r="H63" s="410" t="e">
        <f t="shared" ca="1" si="13"/>
        <v>#DIV/0!</v>
      </c>
      <c r="I63" s="411"/>
      <c r="J63" s="411"/>
      <c r="K63" s="412"/>
      <c r="L63" s="176" t="e">
        <f t="shared" ca="1" si="0"/>
        <v>#DIV/0!</v>
      </c>
      <c r="N63" s="240" t="e">
        <f t="shared" ca="1" si="2"/>
        <v>#DIV/0!</v>
      </c>
      <c r="O63" s="202" t="e">
        <f t="shared" ca="1" si="9"/>
        <v>#DIV/0!</v>
      </c>
      <c r="P63" s="202" t="e">
        <f t="shared" ca="1" si="10"/>
        <v>#DIV/0!</v>
      </c>
      <c r="Q63" s="202" t="e">
        <f t="shared" ca="1" si="11"/>
        <v>#DIV/0!</v>
      </c>
      <c r="R63" s="202" t="e">
        <f t="shared" ca="1" si="12"/>
        <v>#DIV/0!</v>
      </c>
      <c r="S63" s="80"/>
    </row>
    <row r="64" spans="1:19" ht="30" customHeight="1" x14ac:dyDescent="0.2">
      <c r="A64" s="175">
        <f>'Analytical Data'!A65</f>
        <v>0</v>
      </c>
      <c r="B64" s="78" t="e">
        <f ca="1">IF(AND(LOD!E64&gt;1.5,0.35&gt;'rc'!D64,SDrc!D64&lt;0.5),"Surface Wash-Off",IF(AND(LOD!E64&gt;1.5,0.35&lt;'rc'!D64,0.65&gt;'rc'!D64,SDrc!D64&lt;0.5),"Diffusion",IF(AND(LOD!E64&gt;1.5,0.65&lt;'rc'!D64,SDrc!D64&lt;0.5),"Dissolution","ND")))</f>
        <v>#DIV/0!</v>
      </c>
      <c r="C64" s="79" t="e">
        <f ca="1">IF(AND(LOD!F64&gt;1.5,0.35&gt;'rc'!E64,SDrc!E64&lt;0.5),"Depletion",IF(AND(LOD!F64&gt;1.5,0.35&lt;'rc'!E64,0.65&gt;'rc'!E64,SDrc!E64&lt;0.5),"Diffusion",IF(AND(LOD!F64&gt;1.5,0.65&lt;'rc'!E64,SDrc!E64&lt;0.5),"Dissolution","ND")))</f>
        <v>#DIV/0!</v>
      </c>
      <c r="D64" s="79" t="e">
        <f ca="1">IF(AND(LOD!G64&gt;1.5,0.35&gt;'rc'!F64,SDrc!F64&lt;0.5),"Depletion",IF(AND(LOD!G64&gt;1.5,0.35&lt;'rc'!F64,0.65&gt;'rc'!F64,SDrc!F64&lt;0.5),"Diffusion",IF(AND(LOD!G64&gt;1.5,0.65&lt;'rc'!F64,SDrc!F64&lt;0.5),"Dissolution","ND")))</f>
        <v>#DIV/0!</v>
      </c>
      <c r="E64" s="79" t="e">
        <f ca="1">IF(AND(LOD!H64&gt;1.5,0.35&gt;'rc'!G64,SDrc!G64&lt;0.5),"Depletion",IF(AND(LOD!H64&gt;1.5,0.35&lt;'rc'!G64,0.65&gt;'rc'!G64,SDrc!G64&lt;0.5),"Diffusion",IF(AND(LOD!H64&gt;1.5,0.65&lt;'rc'!G64,SDrc!G64&lt;0.5),"Dissolution","ND")))</f>
        <v>#DIV/0!</v>
      </c>
      <c r="F64" s="79" t="e">
        <f ca="1">IF(AND(LOD!I64&gt;1.5,0.35&gt;'rc'!H64,SDrc!H64&lt;0.5),"Depletion",IF(AND(LOD!I64&gt;1.5,0.35&lt;'rc'!H64,0.65&gt;'rc'!H64,SDrc!H64&lt;0.5),"Diffusion",IF(AND(LOD!I64&gt;1.5,0.65&lt;'rc'!H64,SDrc!H64&lt;0.5),"Dissolution","ND")))</f>
        <v>#DIV/0!</v>
      </c>
      <c r="G64" s="86" t="e">
        <f ca="1">IF(AND(LOD!J64&gt;1.5,0.35&gt;'rc'!I64,SDrc!I64&lt;0.5),"Surface Wash-Off",IF(AND(LOD!J64&gt;1.5,0.35&lt;'rc'!I64,0.65&gt;'rc'!I64,SDrc!I64&lt;0.5),"Diffusion",IF(AND(LOD!J64&gt;1.5,0.65&lt;'rc'!I64,SDrc!I64&lt;0.5),"Delayed Diffusion or Dissolution","ND")))</f>
        <v>#DIV/0!</v>
      </c>
      <c r="H64" s="410" t="e">
        <f t="shared" ca="1" si="13"/>
        <v>#DIV/0!</v>
      </c>
      <c r="I64" s="411"/>
      <c r="J64" s="411"/>
      <c r="K64" s="412"/>
      <c r="L64" s="176" t="e">
        <f t="shared" ca="1" si="0"/>
        <v>#DIV/0!</v>
      </c>
      <c r="N64" s="240" t="e">
        <f t="shared" ca="1" si="2"/>
        <v>#DIV/0!</v>
      </c>
      <c r="O64" s="202" t="e">
        <f t="shared" ca="1" si="9"/>
        <v>#DIV/0!</v>
      </c>
      <c r="P64" s="202" t="e">
        <f t="shared" ca="1" si="10"/>
        <v>#DIV/0!</v>
      </c>
      <c r="Q64" s="202" t="e">
        <f t="shared" ca="1" si="11"/>
        <v>#DIV/0!</v>
      </c>
      <c r="R64" s="202" t="e">
        <f t="shared" ca="1" si="12"/>
        <v>#DIV/0!</v>
      </c>
      <c r="S64" s="80"/>
    </row>
    <row r="65" spans="1:19" ht="30" customHeight="1" x14ac:dyDescent="0.2">
      <c r="A65" s="175">
        <f>'Analytical Data'!A66</f>
        <v>0</v>
      </c>
      <c r="B65" s="78" t="e">
        <f ca="1">IF(AND(LOD!E65&gt;1.5,0.35&gt;'rc'!D65,SDrc!D65&lt;0.5),"Surface Wash-Off",IF(AND(LOD!E65&gt;1.5,0.35&lt;'rc'!D65,0.65&gt;'rc'!D65,SDrc!D65&lt;0.5),"Diffusion",IF(AND(LOD!E65&gt;1.5,0.65&lt;'rc'!D65,SDrc!D65&lt;0.5),"Dissolution","ND")))</f>
        <v>#DIV/0!</v>
      </c>
      <c r="C65" s="79" t="e">
        <f ca="1">IF(AND(LOD!F65&gt;1.5,0.35&gt;'rc'!E65,SDrc!E65&lt;0.5),"Depletion",IF(AND(LOD!F65&gt;1.5,0.35&lt;'rc'!E65,0.65&gt;'rc'!E65,SDrc!E65&lt;0.5),"Diffusion",IF(AND(LOD!F65&gt;1.5,0.65&lt;'rc'!E65,SDrc!E65&lt;0.5),"Dissolution","ND")))</f>
        <v>#DIV/0!</v>
      </c>
      <c r="D65" s="79" t="e">
        <f ca="1">IF(AND(LOD!G65&gt;1.5,0.35&gt;'rc'!F65,SDrc!F65&lt;0.5),"Depletion",IF(AND(LOD!G65&gt;1.5,0.35&lt;'rc'!F65,0.65&gt;'rc'!F65,SDrc!F65&lt;0.5),"Diffusion",IF(AND(LOD!G65&gt;1.5,0.65&lt;'rc'!F65,SDrc!F65&lt;0.5),"Dissolution","ND")))</f>
        <v>#DIV/0!</v>
      </c>
      <c r="E65" s="79" t="e">
        <f ca="1">IF(AND(LOD!H65&gt;1.5,0.35&gt;'rc'!G65,SDrc!G65&lt;0.5),"Depletion",IF(AND(LOD!H65&gt;1.5,0.35&lt;'rc'!G65,0.65&gt;'rc'!G65,SDrc!G65&lt;0.5),"Diffusion",IF(AND(LOD!H65&gt;1.5,0.65&lt;'rc'!G65,SDrc!G65&lt;0.5),"Dissolution","ND")))</f>
        <v>#DIV/0!</v>
      </c>
      <c r="F65" s="79" t="e">
        <f ca="1">IF(AND(LOD!I65&gt;1.5,0.35&gt;'rc'!H65,SDrc!H65&lt;0.5),"Depletion",IF(AND(LOD!I65&gt;1.5,0.35&lt;'rc'!H65,0.65&gt;'rc'!H65,SDrc!H65&lt;0.5),"Diffusion",IF(AND(LOD!I65&gt;1.5,0.65&lt;'rc'!H65,SDrc!H65&lt;0.5),"Dissolution","ND")))</f>
        <v>#DIV/0!</v>
      </c>
      <c r="G65" s="86" t="e">
        <f ca="1">IF(AND(LOD!J65&gt;1.5,0.35&gt;'rc'!I65,SDrc!I65&lt;0.5),"Surface Wash-Off",IF(AND(LOD!J65&gt;1.5,0.35&lt;'rc'!I65,0.65&gt;'rc'!I65,SDrc!I65&lt;0.5),"Diffusion",IF(AND(LOD!J65&gt;1.5,0.65&lt;'rc'!I65,SDrc!I65&lt;0.5),"Delayed Diffusion or Dissolution","ND")))</f>
        <v>#DIV/0!</v>
      </c>
      <c r="H65" s="410" t="e">
        <f t="shared" ca="1" si="13"/>
        <v>#DIV/0!</v>
      </c>
      <c r="I65" s="411"/>
      <c r="J65" s="411"/>
      <c r="K65" s="412"/>
      <c r="L65" s="176" t="e">
        <f t="shared" ca="1" si="0"/>
        <v>#DIV/0!</v>
      </c>
      <c r="N65" s="240" t="e">
        <f t="shared" ca="1" si="2"/>
        <v>#DIV/0!</v>
      </c>
      <c r="O65" s="202" t="e">
        <f t="shared" ca="1" si="9"/>
        <v>#DIV/0!</v>
      </c>
      <c r="P65" s="202" t="e">
        <f t="shared" ca="1" si="10"/>
        <v>#DIV/0!</v>
      </c>
      <c r="Q65" s="202" t="e">
        <f t="shared" ca="1" si="11"/>
        <v>#DIV/0!</v>
      </c>
      <c r="R65" s="202" t="e">
        <f t="shared" ca="1" si="12"/>
        <v>#DIV/0!</v>
      </c>
      <c r="S65" s="80"/>
    </row>
    <row r="66" spans="1:19" ht="30" customHeight="1" x14ac:dyDescent="0.2">
      <c r="A66" s="175">
        <f>'Analytical Data'!A67</f>
        <v>0</v>
      </c>
      <c r="B66" s="78" t="e">
        <f ca="1">IF(AND(LOD!E66&gt;1.5,0.35&gt;'rc'!D66,SDrc!D66&lt;0.5),"Surface Wash-Off",IF(AND(LOD!E66&gt;1.5,0.35&lt;'rc'!D66,0.65&gt;'rc'!D66,SDrc!D66&lt;0.5),"Diffusion",IF(AND(LOD!E66&gt;1.5,0.65&lt;'rc'!D66,SDrc!D66&lt;0.5),"Dissolution","ND")))</f>
        <v>#DIV/0!</v>
      </c>
      <c r="C66" s="79" t="e">
        <f ca="1">IF(AND(LOD!F66&gt;1.5,0.35&gt;'rc'!E66,SDrc!E66&lt;0.5),"Depletion",IF(AND(LOD!F66&gt;1.5,0.35&lt;'rc'!E66,0.65&gt;'rc'!E66,SDrc!E66&lt;0.5),"Diffusion",IF(AND(LOD!F66&gt;1.5,0.65&lt;'rc'!E66,SDrc!E66&lt;0.5),"Dissolution","ND")))</f>
        <v>#DIV/0!</v>
      </c>
      <c r="D66" s="79" t="e">
        <f ca="1">IF(AND(LOD!G66&gt;1.5,0.35&gt;'rc'!F66,SDrc!F66&lt;0.5),"Depletion",IF(AND(LOD!G66&gt;1.5,0.35&lt;'rc'!F66,0.65&gt;'rc'!F66,SDrc!F66&lt;0.5),"Diffusion",IF(AND(LOD!G66&gt;1.5,0.65&lt;'rc'!F66,SDrc!F66&lt;0.5),"Dissolution","ND")))</f>
        <v>#DIV/0!</v>
      </c>
      <c r="E66" s="79" t="e">
        <f ca="1">IF(AND(LOD!H66&gt;1.5,0.35&gt;'rc'!G66,SDrc!G66&lt;0.5),"Depletion",IF(AND(LOD!H66&gt;1.5,0.35&lt;'rc'!G66,0.65&gt;'rc'!G66,SDrc!G66&lt;0.5),"Diffusion",IF(AND(LOD!H66&gt;1.5,0.65&lt;'rc'!G66,SDrc!G66&lt;0.5),"Dissolution","ND")))</f>
        <v>#DIV/0!</v>
      </c>
      <c r="F66" s="79" t="e">
        <f ca="1">IF(AND(LOD!I66&gt;1.5,0.35&gt;'rc'!H66,SDrc!H66&lt;0.5),"Depletion",IF(AND(LOD!I66&gt;1.5,0.35&lt;'rc'!H66,0.65&gt;'rc'!H66,SDrc!H66&lt;0.5),"Diffusion",IF(AND(LOD!I66&gt;1.5,0.65&lt;'rc'!H66,SDrc!H66&lt;0.5),"Dissolution","ND")))</f>
        <v>#DIV/0!</v>
      </c>
      <c r="G66" s="86" t="e">
        <f ca="1">IF(AND(LOD!J66&gt;1.5,0.35&gt;'rc'!I66,SDrc!I66&lt;0.5),"Surface Wash-Off",IF(AND(LOD!J66&gt;1.5,0.35&lt;'rc'!I66,0.65&gt;'rc'!I66,SDrc!I66&lt;0.5),"Diffusion",IF(AND(LOD!J66&gt;1.5,0.65&lt;'rc'!I66,SDrc!I66&lt;0.5),"Delayed Diffusion or Dissolution","ND")))</f>
        <v>#DIV/0!</v>
      </c>
      <c r="H66" s="410" t="e">
        <f t="shared" ca="1" si="13"/>
        <v>#DIV/0!</v>
      </c>
      <c r="I66" s="411"/>
      <c r="J66" s="411"/>
      <c r="K66" s="412"/>
      <c r="L66" s="176" t="e">
        <f t="shared" ca="1" si="0"/>
        <v>#DIV/0!</v>
      </c>
      <c r="N66" s="240" t="e">
        <f t="shared" ca="1" si="2"/>
        <v>#DIV/0!</v>
      </c>
      <c r="O66" s="202" t="e">
        <f t="shared" ca="1" si="9"/>
        <v>#DIV/0!</v>
      </c>
      <c r="P66" s="202" t="e">
        <f t="shared" ca="1" si="10"/>
        <v>#DIV/0!</v>
      </c>
      <c r="Q66" s="202" t="e">
        <f t="shared" ca="1" si="11"/>
        <v>#DIV/0!</v>
      </c>
      <c r="R66" s="202" t="e">
        <f t="shared" ca="1" si="12"/>
        <v>#DIV/0!</v>
      </c>
      <c r="S66" s="80"/>
    </row>
    <row r="67" spans="1:19" ht="30" customHeight="1" x14ac:dyDescent="0.2">
      <c r="A67" s="175">
        <f>'Analytical Data'!A68</f>
        <v>0</v>
      </c>
      <c r="B67" s="78" t="e">
        <f ca="1">IF(AND(LOD!E67&gt;1.5,0.35&gt;'rc'!D67,SDrc!D67&lt;0.5),"Surface Wash-Off",IF(AND(LOD!E67&gt;1.5,0.35&lt;'rc'!D67,0.65&gt;'rc'!D67,SDrc!D67&lt;0.5),"Diffusion",IF(AND(LOD!E67&gt;1.5,0.65&lt;'rc'!D67,SDrc!D67&lt;0.5),"Dissolution","ND")))</f>
        <v>#DIV/0!</v>
      </c>
      <c r="C67" s="79" t="e">
        <f ca="1">IF(AND(LOD!F67&gt;1.5,0.35&gt;'rc'!E67,SDrc!E67&lt;0.5),"Depletion",IF(AND(LOD!F67&gt;1.5,0.35&lt;'rc'!E67,0.65&gt;'rc'!E67,SDrc!E67&lt;0.5),"Diffusion",IF(AND(LOD!F67&gt;1.5,0.65&lt;'rc'!E67,SDrc!E67&lt;0.5),"Dissolution","ND")))</f>
        <v>#DIV/0!</v>
      </c>
      <c r="D67" s="79" t="e">
        <f ca="1">IF(AND(LOD!G67&gt;1.5,0.35&gt;'rc'!F67,SDrc!F67&lt;0.5),"Depletion",IF(AND(LOD!G67&gt;1.5,0.35&lt;'rc'!F67,0.65&gt;'rc'!F67,SDrc!F67&lt;0.5),"Diffusion",IF(AND(LOD!G67&gt;1.5,0.65&lt;'rc'!F67,SDrc!F67&lt;0.5),"Dissolution","ND")))</f>
        <v>#DIV/0!</v>
      </c>
      <c r="E67" s="79" t="e">
        <f ca="1">IF(AND(LOD!H67&gt;1.5,0.35&gt;'rc'!G67,SDrc!G67&lt;0.5),"Depletion",IF(AND(LOD!H67&gt;1.5,0.35&lt;'rc'!G67,0.65&gt;'rc'!G67,SDrc!G67&lt;0.5),"Diffusion",IF(AND(LOD!H67&gt;1.5,0.65&lt;'rc'!G67,SDrc!G67&lt;0.5),"Dissolution","ND")))</f>
        <v>#DIV/0!</v>
      </c>
      <c r="F67" s="79" t="e">
        <f ca="1">IF(AND(LOD!I67&gt;1.5,0.35&gt;'rc'!H67,SDrc!H67&lt;0.5),"Depletion",IF(AND(LOD!I67&gt;1.5,0.35&lt;'rc'!H67,0.65&gt;'rc'!H67,SDrc!H67&lt;0.5),"Diffusion",IF(AND(LOD!I67&gt;1.5,0.65&lt;'rc'!H67,SDrc!H67&lt;0.5),"Dissolution","ND")))</f>
        <v>#DIV/0!</v>
      </c>
      <c r="G67" s="86" t="e">
        <f ca="1">IF(AND(LOD!J67&gt;1.5,0.35&gt;'rc'!I67,SDrc!I67&lt;0.5),"Surface Wash-Off",IF(AND(LOD!J67&gt;1.5,0.35&lt;'rc'!I67,0.65&gt;'rc'!I67,SDrc!I67&lt;0.5),"Diffusion",IF(AND(LOD!J67&gt;1.5,0.65&lt;'rc'!I67,SDrc!I67&lt;0.5),"Delayed Diffusion or Dissolution","ND")))</f>
        <v>#DIV/0!</v>
      </c>
      <c r="H67" s="410" t="e">
        <f t="shared" ca="1" si="13"/>
        <v>#DIV/0!</v>
      </c>
      <c r="I67" s="411"/>
      <c r="J67" s="411"/>
      <c r="K67" s="412"/>
      <c r="L67" s="176" t="e">
        <f t="shared" ca="1" si="0"/>
        <v>#DIV/0!</v>
      </c>
      <c r="N67" s="240" t="e">
        <f t="shared" ca="1" si="2"/>
        <v>#DIV/0!</v>
      </c>
      <c r="O67" s="202" t="e">
        <f t="shared" ca="1" si="9"/>
        <v>#DIV/0!</v>
      </c>
      <c r="P67" s="202" t="e">
        <f t="shared" ca="1" si="10"/>
        <v>#DIV/0!</v>
      </c>
      <c r="Q67" s="202" t="e">
        <f t="shared" ca="1" si="11"/>
        <v>#DIV/0!</v>
      </c>
      <c r="R67" s="202" t="e">
        <f t="shared" ca="1" si="12"/>
        <v>#DIV/0!</v>
      </c>
      <c r="S67" s="80"/>
    </row>
    <row r="68" spans="1:19" ht="30" customHeight="1" x14ac:dyDescent="0.2">
      <c r="A68" s="175">
        <f>'Analytical Data'!A69</f>
        <v>0</v>
      </c>
      <c r="B68" s="78" t="e">
        <f ca="1">IF(AND(LOD!E68&gt;1.5,0.35&gt;'rc'!D68,SDrc!D68&lt;0.5),"Surface Wash-Off",IF(AND(LOD!E68&gt;1.5,0.35&lt;'rc'!D68,0.65&gt;'rc'!D68,SDrc!D68&lt;0.5),"Diffusion",IF(AND(LOD!E68&gt;1.5,0.65&lt;'rc'!D68,SDrc!D68&lt;0.5),"Dissolution","ND")))</f>
        <v>#DIV/0!</v>
      </c>
      <c r="C68" s="79" t="e">
        <f ca="1">IF(AND(LOD!F68&gt;1.5,0.35&gt;'rc'!E68,SDrc!E68&lt;0.5),"Depletion",IF(AND(LOD!F68&gt;1.5,0.35&lt;'rc'!E68,0.65&gt;'rc'!E68,SDrc!E68&lt;0.5),"Diffusion",IF(AND(LOD!F68&gt;1.5,0.65&lt;'rc'!E68,SDrc!E68&lt;0.5),"Dissolution","ND")))</f>
        <v>#DIV/0!</v>
      </c>
      <c r="D68" s="79" t="e">
        <f ca="1">IF(AND(LOD!G68&gt;1.5,0.35&gt;'rc'!F68,SDrc!F68&lt;0.5),"Depletion",IF(AND(LOD!G68&gt;1.5,0.35&lt;'rc'!F68,0.65&gt;'rc'!F68,SDrc!F68&lt;0.5),"Diffusion",IF(AND(LOD!G68&gt;1.5,0.65&lt;'rc'!F68,SDrc!F68&lt;0.5),"Dissolution","ND")))</f>
        <v>#DIV/0!</v>
      </c>
      <c r="E68" s="79" t="e">
        <f ca="1">IF(AND(LOD!H68&gt;1.5,0.35&gt;'rc'!G68,SDrc!G68&lt;0.5),"Depletion",IF(AND(LOD!H68&gt;1.5,0.35&lt;'rc'!G68,0.65&gt;'rc'!G68,SDrc!G68&lt;0.5),"Diffusion",IF(AND(LOD!H68&gt;1.5,0.65&lt;'rc'!G68,SDrc!G68&lt;0.5),"Dissolution","ND")))</f>
        <v>#DIV/0!</v>
      </c>
      <c r="F68" s="79" t="e">
        <f ca="1">IF(AND(LOD!I68&gt;1.5,0.35&gt;'rc'!H68,SDrc!H68&lt;0.5),"Depletion",IF(AND(LOD!I68&gt;1.5,0.35&lt;'rc'!H68,0.65&gt;'rc'!H68,SDrc!H68&lt;0.5),"Diffusion",IF(AND(LOD!I68&gt;1.5,0.65&lt;'rc'!H68,SDrc!H68&lt;0.5),"Dissolution","ND")))</f>
        <v>#DIV/0!</v>
      </c>
      <c r="G68" s="86" t="e">
        <f ca="1">IF(AND(LOD!J68&gt;1.5,0.35&gt;'rc'!I68,SDrc!I68&lt;0.5),"Surface Wash-Off",IF(AND(LOD!J68&gt;1.5,0.35&lt;'rc'!I68,0.65&gt;'rc'!I68,SDrc!I68&lt;0.5),"Diffusion",IF(AND(LOD!J68&gt;1.5,0.65&lt;'rc'!I68,SDrc!I68&lt;0.5),"Delayed Diffusion or Dissolution","ND")))</f>
        <v>#DIV/0!</v>
      </c>
      <c r="H68" s="410" t="e">
        <f t="shared" ca="1" si="13"/>
        <v>#DIV/0!</v>
      </c>
      <c r="I68" s="411"/>
      <c r="J68" s="411"/>
      <c r="K68" s="412"/>
      <c r="L68" s="176" t="e">
        <f t="shared" ref="L68:L73" ca="1" si="14">IF(B68="Diffusion",B$3,IF(C68="Diffusion",C$3,IF(D68="Diffusion",D$3,IF(E68="Diffusion",E$3,IF(F68="Diffusion",F$3,IF(ISNUMBER((SEARCH("Diffusion",G68,1))),G$3,"Non-Diffusion Based"))))))</f>
        <v>#DIV/0!</v>
      </c>
      <c r="N68" s="240" t="e">
        <f t="shared" ca="1" si="2"/>
        <v>#DIV/0!</v>
      </c>
      <c r="O68" s="202" t="e">
        <f t="shared" ca="1" si="9"/>
        <v>#DIV/0!</v>
      </c>
      <c r="P68" s="202" t="e">
        <f t="shared" ca="1" si="10"/>
        <v>#DIV/0!</v>
      </c>
      <c r="Q68" s="202" t="e">
        <f t="shared" ca="1" si="11"/>
        <v>#DIV/0!</v>
      </c>
      <c r="R68" s="202" t="e">
        <f t="shared" ca="1" si="12"/>
        <v>#DIV/0!</v>
      </c>
      <c r="S68" s="80"/>
    </row>
    <row r="69" spans="1:19" ht="30" customHeight="1" x14ac:dyDescent="0.2">
      <c r="A69" s="175">
        <f>'Analytical Data'!A70</f>
        <v>0</v>
      </c>
      <c r="B69" s="78" t="e">
        <f ca="1">IF(AND(LOD!E69&gt;1.5,0.35&gt;'rc'!D69,SDrc!D69&lt;0.5),"Surface Wash-Off",IF(AND(LOD!E69&gt;1.5,0.35&lt;'rc'!D69,0.65&gt;'rc'!D69,SDrc!D69&lt;0.5),"Diffusion",IF(AND(LOD!E69&gt;1.5,0.65&lt;'rc'!D69,SDrc!D69&lt;0.5),"Dissolution","ND")))</f>
        <v>#DIV/0!</v>
      </c>
      <c r="C69" s="79" t="e">
        <f ca="1">IF(AND(LOD!F69&gt;1.5,0.35&gt;'rc'!E69,SDrc!E69&lt;0.5),"Depletion",IF(AND(LOD!F69&gt;1.5,0.35&lt;'rc'!E69,0.65&gt;'rc'!E69,SDrc!E69&lt;0.5),"Diffusion",IF(AND(LOD!F69&gt;1.5,0.65&lt;'rc'!E69,SDrc!E69&lt;0.5),"Dissolution","ND")))</f>
        <v>#DIV/0!</v>
      </c>
      <c r="D69" s="79" t="e">
        <f ca="1">IF(AND(LOD!G69&gt;1.5,0.35&gt;'rc'!F69,SDrc!F69&lt;0.5),"Depletion",IF(AND(LOD!G69&gt;1.5,0.35&lt;'rc'!F69,0.65&gt;'rc'!F69,SDrc!F69&lt;0.5),"Diffusion",IF(AND(LOD!G69&gt;1.5,0.65&lt;'rc'!F69,SDrc!F69&lt;0.5),"Dissolution","ND")))</f>
        <v>#DIV/0!</v>
      </c>
      <c r="E69" s="79" t="e">
        <f ca="1">IF(AND(LOD!H69&gt;1.5,0.35&gt;'rc'!G69,SDrc!G69&lt;0.5),"Depletion",IF(AND(LOD!H69&gt;1.5,0.35&lt;'rc'!G69,0.65&gt;'rc'!G69,SDrc!G69&lt;0.5),"Diffusion",IF(AND(LOD!H69&gt;1.5,0.65&lt;'rc'!G69,SDrc!G69&lt;0.5),"Dissolution","ND")))</f>
        <v>#DIV/0!</v>
      </c>
      <c r="F69" s="79" t="e">
        <f ca="1">IF(AND(LOD!I69&gt;1.5,0.35&gt;'rc'!H69,SDrc!H69&lt;0.5),"Depletion",IF(AND(LOD!I69&gt;1.5,0.35&lt;'rc'!H69,0.65&gt;'rc'!H69,SDrc!H69&lt;0.5),"Diffusion",IF(AND(LOD!I69&gt;1.5,0.65&lt;'rc'!H69,SDrc!H69&lt;0.5),"Dissolution","ND")))</f>
        <v>#DIV/0!</v>
      </c>
      <c r="G69" s="86" t="e">
        <f ca="1">IF(AND(LOD!J69&gt;1.5,0.35&gt;'rc'!I69,SDrc!I69&lt;0.5),"Surface Wash-Off",IF(AND(LOD!J69&gt;1.5,0.35&lt;'rc'!I69,0.65&gt;'rc'!I69,SDrc!I69&lt;0.5),"Diffusion",IF(AND(LOD!J69&gt;1.5,0.65&lt;'rc'!I69,SDrc!I69&lt;0.5),"Delayed Diffusion or Dissolution","ND")))</f>
        <v>#DIV/0!</v>
      </c>
      <c r="H69" s="410" t="e">
        <f t="shared" ca="1" si="13"/>
        <v>#DIV/0!</v>
      </c>
      <c r="I69" s="411"/>
      <c r="J69" s="411"/>
      <c r="K69" s="412"/>
      <c r="L69" s="176" t="e">
        <f t="shared" ca="1" si="14"/>
        <v>#DIV/0!</v>
      </c>
      <c r="N69" s="240" t="e">
        <f ca="1">IF(OR(B69="Diffusion",C69="Diffusion",D69="Diffusion",E69="Diffusion",F69="Diffusion",G69="Diffusion"),"Diffusion","")</f>
        <v>#DIV/0!</v>
      </c>
      <c r="O69" s="202" t="e">
        <f t="shared" ca="1" si="9"/>
        <v>#DIV/0!</v>
      </c>
      <c r="P69" s="202" t="e">
        <f t="shared" ca="1" si="10"/>
        <v>#DIV/0!</v>
      </c>
      <c r="Q69" s="202" t="e">
        <f t="shared" ca="1" si="11"/>
        <v>#DIV/0!</v>
      </c>
      <c r="R69" s="202" t="e">
        <f t="shared" ca="1" si="12"/>
        <v>#DIV/0!</v>
      </c>
      <c r="S69" s="80"/>
    </row>
    <row r="70" spans="1:19" ht="30" customHeight="1" x14ac:dyDescent="0.2">
      <c r="A70" s="175">
        <f>'Analytical Data'!A71</f>
        <v>0</v>
      </c>
      <c r="B70" s="78" t="e">
        <f ca="1">IF(AND(LOD!E70&gt;1.5,0.35&gt;'rc'!D70,SDrc!D70&lt;0.5),"Surface Wash-Off",IF(AND(LOD!E70&gt;1.5,0.35&lt;'rc'!D70,0.65&gt;'rc'!D70,SDrc!D70&lt;0.5),"Diffusion",IF(AND(LOD!E70&gt;1.5,0.65&lt;'rc'!D70,SDrc!D70&lt;0.5),"Dissolution","ND")))</f>
        <v>#DIV/0!</v>
      </c>
      <c r="C70" s="79" t="e">
        <f ca="1">IF(AND(LOD!F70&gt;1.5,0.35&gt;'rc'!E70,SDrc!E70&lt;0.5),"Depletion",IF(AND(LOD!F70&gt;1.5,0.35&lt;'rc'!E70,0.65&gt;'rc'!E70,SDrc!E70&lt;0.5),"Diffusion",IF(AND(LOD!F70&gt;1.5,0.65&lt;'rc'!E70,SDrc!E70&lt;0.5),"Dissolution","ND")))</f>
        <v>#DIV/0!</v>
      </c>
      <c r="D70" s="79" t="e">
        <f ca="1">IF(AND(LOD!G70&gt;1.5,0.35&gt;'rc'!F70,SDrc!F70&lt;0.5),"Depletion",IF(AND(LOD!G70&gt;1.5,0.35&lt;'rc'!F70,0.65&gt;'rc'!F70,SDrc!F70&lt;0.5),"Diffusion",IF(AND(LOD!G70&gt;1.5,0.65&lt;'rc'!F70,SDrc!F70&lt;0.5),"Dissolution","ND")))</f>
        <v>#DIV/0!</v>
      </c>
      <c r="E70" s="79" t="e">
        <f ca="1">IF(AND(LOD!H70&gt;1.5,0.35&gt;'rc'!G70,SDrc!G70&lt;0.5),"Depletion",IF(AND(LOD!H70&gt;1.5,0.35&lt;'rc'!G70,0.65&gt;'rc'!G70,SDrc!G70&lt;0.5),"Diffusion",IF(AND(LOD!H70&gt;1.5,0.65&lt;'rc'!G70,SDrc!G70&lt;0.5),"Dissolution","ND")))</f>
        <v>#DIV/0!</v>
      </c>
      <c r="F70" s="79" t="e">
        <f ca="1">IF(AND(LOD!I70&gt;1.5,0.35&gt;'rc'!H70,SDrc!H70&lt;0.5),"Depletion",IF(AND(LOD!I70&gt;1.5,0.35&lt;'rc'!H70,0.65&gt;'rc'!H70,SDrc!H70&lt;0.5),"Diffusion",IF(AND(LOD!I70&gt;1.5,0.65&lt;'rc'!H70,SDrc!H70&lt;0.5),"Dissolution","ND")))</f>
        <v>#DIV/0!</v>
      </c>
      <c r="G70" s="86" t="e">
        <f ca="1">IF(AND(LOD!J70&gt;1.5,0.35&gt;'rc'!I70,SDrc!I70&lt;0.5),"Surface Wash-Off",IF(AND(LOD!J70&gt;1.5,0.35&lt;'rc'!I70,0.65&gt;'rc'!I70,SDrc!I70&lt;0.5),"Diffusion",IF(AND(LOD!J70&gt;1.5,0.65&lt;'rc'!I70,SDrc!I70&lt;0.5),"Delayed Diffusion or Dissolution","ND")))</f>
        <v>#DIV/0!</v>
      </c>
      <c r="H70" s="410" t="e">
        <f t="shared" ca="1" si="13"/>
        <v>#DIV/0!</v>
      </c>
      <c r="I70" s="411"/>
      <c r="J70" s="411"/>
      <c r="K70" s="412"/>
      <c r="L70" s="176" t="e">
        <f t="shared" ca="1" si="14"/>
        <v>#DIV/0!</v>
      </c>
      <c r="N70" s="240" t="e">
        <f ca="1">IF(OR(B70="Diffusion",C70="Diffusion",D70="Diffusion",E70="Diffusion",F70="Diffusion",G70="Diffusion"),"Diffusion","")</f>
        <v>#DIV/0!</v>
      </c>
      <c r="O70" s="202" t="e">
        <f t="shared" ca="1" si="9"/>
        <v>#DIV/0!</v>
      </c>
      <c r="P70" s="202" t="e">
        <f t="shared" ca="1" si="10"/>
        <v>#DIV/0!</v>
      </c>
      <c r="Q70" s="202" t="e">
        <f t="shared" ca="1" si="11"/>
        <v>#DIV/0!</v>
      </c>
      <c r="R70" s="202" t="e">
        <f t="shared" ca="1" si="12"/>
        <v>#DIV/0!</v>
      </c>
      <c r="S70" s="80"/>
    </row>
    <row r="71" spans="1:19" ht="30" customHeight="1" x14ac:dyDescent="0.2">
      <c r="A71" s="175">
        <f>'Analytical Data'!A72</f>
        <v>0</v>
      </c>
      <c r="B71" s="78" t="e">
        <f ca="1">IF(AND(LOD!E71&gt;1.5,0.35&gt;'rc'!D71,SDrc!D71&lt;0.5),"Surface Wash-Off",IF(AND(LOD!E71&gt;1.5,0.35&lt;'rc'!D71,0.65&gt;'rc'!D71,SDrc!D71&lt;0.5),"Diffusion",IF(AND(LOD!E71&gt;1.5,0.65&lt;'rc'!D71,SDrc!D71&lt;0.5),"Dissolution","ND")))</f>
        <v>#DIV/0!</v>
      </c>
      <c r="C71" s="79" t="e">
        <f ca="1">IF(AND(LOD!F71&gt;1.5,0.35&gt;'rc'!E71,SDrc!E71&lt;0.5),"Depletion",IF(AND(LOD!F71&gt;1.5,0.35&lt;'rc'!E71,0.65&gt;'rc'!E71,SDrc!E71&lt;0.5),"Diffusion",IF(AND(LOD!F71&gt;1.5,0.65&lt;'rc'!E71,SDrc!E71&lt;0.5),"Dissolution","ND")))</f>
        <v>#DIV/0!</v>
      </c>
      <c r="D71" s="79" t="e">
        <f ca="1">IF(AND(LOD!G71&gt;1.5,0.35&gt;'rc'!F71,SDrc!F71&lt;0.5),"Depletion",IF(AND(LOD!G71&gt;1.5,0.35&lt;'rc'!F71,0.65&gt;'rc'!F71,SDrc!F71&lt;0.5),"Diffusion",IF(AND(LOD!G71&gt;1.5,0.65&lt;'rc'!F71,SDrc!F71&lt;0.5),"Dissolution","ND")))</f>
        <v>#DIV/0!</v>
      </c>
      <c r="E71" s="79" t="e">
        <f ca="1">IF(AND(LOD!H71&gt;1.5,0.35&gt;'rc'!G71,SDrc!G71&lt;0.5),"Depletion",IF(AND(LOD!H71&gt;1.5,0.35&lt;'rc'!G71,0.65&gt;'rc'!G71,SDrc!G71&lt;0.5),"Diffusion",IF(AND(LOD!H71&gt;1.5,0.65&lt;'rc'!G71,SDrc!G71&lt;0.5),"Dissolution","ND")))</f>
        <v>#DIV/0!</v>
      </c>
      <c r="F71" s="79" t="e">
        <f ca="1">IF(AND(LOD!I71&gt;1.5,0.35&gt;'rc'!H71,SDrc!H71&lt;0.5),"Depletion",IF(AND(LOD!I71&gt;1.5,0.35&lt;'rc'!H71,0.65&gt;'rc'!H71,SDrc!H71&lt;0.5),"Diffusion",IF(AND(LOD!I71&gt;1.5,0.65&lt;'rc'!H71,SDrc!H71&lt;0.5),"Dissolution","ND")))</f>
        <v>#DIV/0!</v>
      </c>
      <c r="G71" s="86" t="e">
        <f ca="1">IF(AND(LOD!J71&gt;1.5,0.35&gt;'rc'!I71,SDrc!I71&lt;0.5),"Surface Wash-Off",IF(AND(LOD!J71&gt;1.5,0.35&lt;'rc'!I71,0.65&gt;'rc'!I71,SDrc!I71&lt;0.5),"Diffusion",IF(AND(LOD!J71&gt;1.5,0.65&lt;'rc'!I71,SDrc!I71&lt;0.5),"Delayed Diffusion or Dissolution","ND")))</f>
        <v>#DIV/0!</v>
      </c>
      <c r="H71" s="410" t="e">
        <f t="shared" ca="1" si="13"/>
        <v>#DIV/0!</v>
      </c>
      <c r="I71" s="411"/>
      <c r="J71" s="411"/>
      <c r="K71" s="412"/>
      <c r="L71" s="176" t="e">
        <f t="shared" ca="1" si="14"/>
        <v>#DIV/0!</v>
      </c>
      <c r="N71" s="240" t="e">
        <f ca="1">IF(OR(B71="Diffusion",C71="Diffusion",D71="Diffusion",E71="Diffusion",F71="Diffusion",G71="Diffusion"),"Diffusion","")</f>
        <v>#DIV/0!</v>
      </c>
      <c r="O71" s="202" t="e">
        <f t="shared" ca="1" si="9"/>
        <v>#DIV/0!</v>
      </c>
      <c r="P71" s="202" t="e">
        <f t="shared" ca="1" si="10"/>
        <v>#DIV/0!</v>
      </c>
      <c r="Q71" s="202" t="e">
        <f t="shared" ca="1" si="11"/>
        <v>#DIV/0!</v>
      </c>
      <c r="R71" s="202" t="e">
        <f t="shared" ca="1" si="12"/>
        <v>#DIV/0!</v>
      </c>
      <c r="S71" s="80"/>
    </row>
    <row r="72" spans="1:19" ht="30" customHeight="1" x14ac:dyDescent="0.2">
      <c r="A72" s="175">
        <f>'Analytical Data'!A73</f>
        <v>0</v>
      </c>
      <c r="B72" s="78" t="e">
        <f ca="1">IF(AND(LOD!E72&gt;1.5,0.35&gt;'rc'!D72,SDrc!D72&lt;0.5),"Surface Wash-Off",IF(AND(LOD!E72&gt;1.5,0.35&lt;'rc'!D72,0.65&gt;'rc'!D72,SDrc!D72&lt;0.5),"Diffusion",IF(AND(LOD!E72&gt;1.5,0.65&lt;'rc'!D72,SDrc!D72&lt;0.5),"Dissolution","ND")))</f>
        <v>#DIV/0!</v>
      </c>
      <c r="C72" s="79" t="e">
        <f ca="1">IF(AND(LOD!F72&gt;1.5,0.35&gt;'rc'!E72,SDrc!E72&lt;0.5),"Depletion",IF(AND(LOD!F72&gt;1.5,0.35&lt;'rc'!E72,0.65&gt;'rc'!E72,SDrc!E72&lt;0.5),"Diffusion",IF(AND(LOD!F72&gt;1.5,0.65&lt;'rc'!E72,SDrc!E72&lt;0.5),"Dissolution","ND")))</f>
        <v>#DIV/0!</v>
      </c>
      <c r="D72" s="79" t="e">
        <f ca="1">IF(AND(LOD!G72&gt;1.5,0.35&gt;'rc'!F72,SDrc!F72&lt;0.5),"Depletion",IF(AND(LOD!G72&gt;1.5,0.35&lt;'rc'!F72,0.65&gt;'rc'!F72,SDrc!F72&lt;0.5),"Diffusion",IF(AND(LOD!G72&gt;1.5,0.65&lt;'rc'!F72,SDrc!F72&lt;0.5),"Dissolution","ND")))</f>
        <v>#DIV/0!</v>
      </c>
      <c r="E72" s="79" t="e">
        <f ca="1">IF(AND(LOD!H72&gt;1.5,0.35&gt;'rc'!G72,SDrc!G72&lt;0.5),"Depletion",IF(AND(LOD!H72&gt;1.5,0.35&lt;'rc'!G72,0.65&gt;'rc'!G72,SDrc!G72&lt;0.5),"Diffusion",IF(AND(LOD!H72&gt;1.5,0.65&lt;'rc'!G72,SDrc!G72&lt;0.5),"Dissolution","ND")))</f>
        <v>#DIV/0!</v>
      </c>
      <c r="F72" s="79" t="e">
        <f ca="1">IF(AND(LOD!I72&gt;1.5,0.35&gt;'rc'!H72,SDrc!H72&lt;0.5),"Depletion",IF(AND(LOD!I72&gt;1.5,0.35&lt;'rc'!H72,0.65&gt;'rc'!H72,SDrc!H72&lt;0.5),"Diffusion",IF(AND(LOD!I72&gt;1.5,0.65&lt;'rc'!H72,SDrc!H72&lt;0.5),"Dissolution","ND")))</f>
        <v>#DIV/0!</v>
      </c>
      <c r="G72" s="86" t="e">
        <f ca="1">IF(AND(LOD!J72&gt;1.5,0.35&gt;'rc'!I72,SDrc!I72&lt;0.5),"Surface Wash-Off",IF(AND(LOD!J72&gt;1.5,0.35&lt;'rc'!I72,0.65&gt;'rc'!I72,SDrc!I72&lt;0.5),"Diffusion",IF(AND(LOD!J72&gt;1.5,0.65&lt;'rc'!I72,SDrc!I72&lt;0.5),"Delayed Diffusion or Dissolution","ND")))</f>
        <v>#DIV/0!</v>
      </c>
      <c r="H72" s="410" t="e">
        <f t="shared" ca="1" si="13"/>
        <v>#DIV/0!</v>
      </c>
      <c r="I72" s="411"/>
      <c r="J72" s="411"/>
      <c r="K72" s="412"/>
      <c r="L72" s="176" t="e">
        <f t="shared" ca="1" si="14"/>
        <v>#DIV/0!</v>
      </c>
      <c r="N72" s="240" t="e">
        <f ca="1">IF(OR(B72="Diffusion",C72="Diffusion",D72="Diffusion",E72="Diffusion",F72="Diffusion",G72="Diffusion"),"Diffusion","")</f>
        <v>#DIV/0!</v>
      </c>
      <c r="O72" s="202" t="e">
        <f t="shared" ca="1" si="9"/>
        <v>#DIV/0!</v>
      </c>
      <c r="P72" s="202" t="e">
        <f t="shared" ca="1" si="10"/>
        <v>#DIV/0!</v>
      </c>
      <c r="Q72" s="202" t="e">
        <f t="shared" ca="1" si="11"/>
        <v>#DIV/0!</v>
      </c>
      <c r="R72" s="202" t="e">
        <f t="shared" ca="1" si="12"/>
        <v>#DIV/0!</v>
      </c>
      <c r="S72" s="80"/>
    </row>
    <row r="73" spans="1:19" ht="30" customHeight="1" x14ac:dyDescent="0.2">
      <c r="A73" s="175">
        <f>'Analytical Data'!A74</f>
        <v>0</v>
      </c>
      <c r="B73" s="78" t="e">
        <f ca="1">IF(AND(LOD!E73&gt;1.5,0.35&gt;'rc'!D73,SDrc!D73&lt;0.5),"Surface Wash-Off",IF(AND(LOD!E73&gt;1.5,0.35&lt;'rc'!D73,0.65&gt;'rc'!D73,SDrc!D73&lt;0.5),"Diffusion",IF(AND(LOD!E73&gt;1.5,0.65&lt;'rc'!D73,SDrc!D73&lt;0.5),"Dissolution","ND")))</f>
        <v>#DIV/0!</v>
      </c>
      <c r="C73" s="79" t="e">
        <f ca="1">IF(AND(LOD!F73&gt;1.5,0.35&gt;'rc'!E73,SDrc!E73&lt;0.5),"Depletion",IF(AND(LOD!F73&gt;1.5,0.35&lt;'rc'!E73,0.65&gt;'rc'!E73,SDrc!E73&lt;0.5),"Diffusion",IF(AND(LOD!F73&gt;1.5,0.65&lt;'rc'!E73,SDrc!E73&lt;0.5),"Dissolution","ND")))</f>
        <v>#DIV/0!</v>
      </c>
      <c r="D73" s="79" t="e">
        <f ca="1">IF(AND(LOD!G73&gt;1.5,0.35&gt;'rc'!F73,SDrc!F73&lt;0.5),"Depletion",IF(AND(LOD!G73&gt;1.5,0.35&lt;'rc'!F73,0.65&gt;'rc'!F73,SDrc!F73&lt;0.5),"Diffusion",IF(AND(LOD!G73&gt;1.5,0.65&lt;'rc'!F73,SDrc!F73&lt;0.5),"Dissolution","ND")))</f>
        <v>#DIV/0!</v>
      </c>
      <c r="E73" s="79" t="e">
        <f ca="1">IF(AND(LOD!H73&gt;1.5,0.35&gt;'rc'!G73,SDrc!G73&lt;0.5),"Depletion",IF(AND(LOD!H73&gt;1.5,0.35&lt;'rc'!G73,0.65&gt;'rc'!G73,SDrc!G73&lt;0.5),"Diffusion",IF(AND(LOD!H73&gt;1.5,0.65&lt;'rc'!G73,SDrc!G73&lt;0.5),"Dissolution","ND")))</f>
        <v>#DIV/0!</v>
      </c>
      <c r="F73" s="79" t="e">
        <f ca="1">IF(AND(LOD!I73&gt;1.5,0.35&gt;'rc'!H73,SDrc!H73&lt;0.5),"Depletion",IF(AND(LOD!I73&gt;1.5,0.35&lt;'rc'!H73,0.65&gt;'rc'!H73,SDrc!H73&lt;0.5),"Diffusion",IF(AND(LOD!I73&gt;1.5,0.65&lt;'rc'!H73,SDrc!H73&lt;0.5),"Dissolution","ND")))</f>
        <v>#DIV/0!</v>
      </c>
      <c r="G73" s="86" t="e">
        <f ca="1">IF(AND(LOD!J73&gt;1.5,0.35&gt;'rc'!I73,SDrc!I73&lt;0.5),"Surface Wash-Off",IF(AND(LOD!J73&gt;1.5,0.35&lt;'rc'!I73,0.65&gt;'rc'!I73,SDrc!I73&lt;0.5),"Diffusion",IF(AND(LOD!J73&gt;1.5,0.65&lt;'rc'!I73,SDrc!I73&lt;0.5),"Delayed Diffusion or Dissolution","ND")))</f>
        <v>#DIV/0!</v>
      </c>
      <c r="H73" s="410" t="e">
        <f t="shared" ca="1" si="13"/>
        <v>#DIV/0!</v>
      </c>
      <c r="I73" s="411"/>
      <c r="J73" s="411"/>
      <c r="K73" s="412"/>
      <c r="L73" s="176" t="e">
        <f t="shared" ca="1" si="14"/>
        <v>#DIV/0!</v>
      </c>
      <c r="N73" s="240" t="e">
        <f ca="1">IF(OR(B73="Diffusion",C73="Diffusion",D73="Diffusion",E73="Diffusion",F73="Diffusion",G73="Diffusion"),"Diffusion","")</f>
        <v>#DIV/0!</v>
      </c>
      <c r="O73" s="202" t="e">
        <f t="shared" ca="1" si="9"/>
        <v>#DIV/0!</v>
      </c>
      <c r="P73" s="202" t="e">
        <f t="shared" ca="1" si="10"/>
        <v>#DIV/0!</v>
      </c>
      <c r="Q73" s="202" t="e">
        <f t="shared" ca="1" si="11"/>
        <v>#DIV/0!</v>
      </c>
      <c r="R73" s="202" t="e">
        <f t="shared" ca="1" si="12"/>
        <v>#DIV/0!</v>
      </c>
      <c r="S73" s="80"/>
    </row>
    <row r="74" spans="1:19" ht="21.75" customHeight="1" x14ac:dyDescent="0.2">
      <c r="A74" s="175">
        <f>'Analytical Data'!A75</f>
        <v>0</v>
      </c>
      <c r="B74" s="257" t="e">
        <f ca="1">IF(AND(LOD!E74&gt;1.5,0.35&gt;'rc'!D74,SDrc!D74&lt;0.5),"Surface Wash-Off",IF(AND(LOD!E74&gt;1.5,0.35&lt;'rc'!D74,0.65&gt;'rc'!D74,SDrc!D74&lt;0.5),"Diffusion",IF(AND(LOD!E74&gt;1.5,0.65&lt;'rc'!D74,SDrc!D74&lt;0.5),"Dissolution","ND")))</f>
        <v>#DIV/0!</v>
      </c>
      <c r="C74" s="258" t="e">
        <f ca="1">IF(AND(LOD!F74&gt;1.5,0.35&gt;'rc'!E74,SDrc!E74&lt;0.5),"Depletion",IF(AND(LOD!F74&gt;1.5,0.35&lt;'rc'!E74,0.65&gt;'rc'!E74,SDrc!E74&lt;0.5),"Diffusion",IF(AND(LOD!F74&gt;1.5,0.65&lt;'rc'!E74,SDrc!E74&lt;0.5),"Dissolution","ND")))</f>
        <v>#DIV/0!</v>
      </c>
      <c r="D74" s="258" t="e">
        <f ca="1">IF(AND(LOD!G74&gt;1.5,0.35&gt;'rc'!F74,SDrc!F74&lt;0.5),"Depletion",IF(AND(LOD!G74&gt;1.5,0.35&lt;'rc'!F74,0.65&gt;'rc'!F74,SDrc!F74&lt;0.5),"Diffusion",IF(AND(LOD!G74&gt;1.5,0.65&lt;'rc'!F74,SDrc!F74&lt;0.5),"Dissolution","ND")))</f>
        <v>#DIV/0!</v>
      </c>
      <c r="E74" s="258" t="e">
        <f ca="1">IF(AND(LOD!H74&gt;1.5,0.35&gt;'rc'!G74,SDrc!G74&lt;0.5),"Depletion",IF(AND(LOD!H74&gt;1.5,0.35&lt;'rc'!G74,0.65&gt;'rc'!G74,SDrc!G74&lt;0.5),"Diffusion",IF(AND(LOD!H74&gt;1.5,0.65&lt;'rc'!G74,SDrc!G74&lt;0.5),"Dissolution","ND")))</f>
        <v>#DIV/0!</v>
      </c>
      <c r="F74" s="258" t="e">
        <f ca="1">IF(AND(LOD!I74&gt;1.5,0.35&gt;'rc'!H74,SDrc!H74&lt;0.5),"Depletion",IF(AND(LOD!I74&gt;1.5,0.35&lt;'rc'!H74,0.65&gt;'rc'!H74,SDrc!H74&lt;0.5),"Diffusion",IF(AND(LOD!I74&gt;1.5,0.65&lt;'rc'!H74,SDrc!H74&lt;0.5),"Dissolution","ND")))</f>
        <v>#DIV/0!</v>
      </c>
      <c r="G74" s="259" t="e">
        <f ca="1">IF(AND(LOD!J74&gt;1.5,0.35&gt;'rc'!I74,SDrc!I74&lt;0.5),"Surface Wash-Off",IF(AND(LOD!J74&gt;1.5,0.35&lt;'rc'!I74,0.65&gt;'rc'!I74,SDrc!I74&lt;0.5),"Diffusion",IF(AND(LOD!J74&gt;1.5,0.65&lt;'rc'!I74,SDrc!I74&lt;0.5),"Delayed Diffusion or Dissolution","ND")))</f>
        <v>#DIV/0!</v>
      </c>
      <c r="H74" s="410" t="e">
        <f t="shared" ref="H74:H75" ca="1" si="15">IF(N74="Diffusion",CONCATENATE(N74,O74),IF(AND(N74="",P74="",O74="",Q74=""),"Not possible to Determine Leaching Mechanism",IF(AND(N74="",O74="",P74="",Q74="Dissolution"),"Dissolution",IF(N74="",CONCATENATE(P74,O74),""))))</f>
        <v>#DIV/0!</v>
      </c>
      <c r="I74" s="411"/>
      <c r="J74" s="411"/>
      <c r="K74" s="412"/>
      <c r="L74" s="176" t="e">
        <f t="shared" ref="L74:L75" ca="1" si="16">IF(B74="Diffusion",B$3,IF(C74="Diffusion",C$3,IF(D74="Diffusion",D$3,IF(E74="Diffusion",E$3,IF(F74="Diffusion",F$3,IF(ISNUMBER((SEARCH("Diffusion",G74,1))),G$3,"Non-Diffusion Based"))))))</f>
        <v>#DIV/0!</v>
      </c>
      <c r="O74" s="202" t="e">
        <f t="shared" ca="1" si="9"/>
        <v>#DIV/0!</v>
      </c>
      <c r="P74" s="202" t="e">
        <f t="shared" ca="1" si="10"/>
        <v>#DIV/0!</v>
      </c>
      <c r="Q74" s="202" t="e">
        <f t="shared" ca="1" si="11"/>
        <v>#DIV/0!</v>
      </c>
      <c r="R74" s="202" t="e">
        <f t="shared" ca="1" si="12"/>
        <v>#DIV/0!</v>
      </c>
      <c r="S74" s="80"/>
    </row>
    <row r="75" spans="1:19" ht="21.75" customHeight="1" x14ac:dyDescent="0.2">
      <c r="A75" s="175">
        <f>'Analytical Data'!A76</f>
        <v>0</v>
      </c>
      <c r="B75" s="257" t="e">
        <f ca="1">IF(AND(LOD!E75&gt;1.5,0.35&gt;'rc'!D75,SDrc!D75&lt;0.5),"Surface Wash-Off",IF(AND(LOD!E75&gt;1.5,0.35&lt;'rc'!D75,0.65&gt;'rc'!D75,SDrc!D75&lt;0.5),"Diffusion",IF(AND(LOD!E75&gt;1.5,0.65&lt;'rc'!D75,SDrc!D75&lt;0.5),"Dissolution","ND")))</f>
        <v>#DIV/0!</v>
      </c>
      <c r="C75" s="258" t="e">
        <f ca="1">IF(AND(LOD!F75&gt;1.5,0.35&gt;'rc'!E75,SDrc!E75&lt;0.5),"Depletion",IF(AND(LOD!F75&gt;1.5,0.35&lt;'rc'!E75,0.65&gt;'rc'!E75,SDrc!E75&lt;0.5),"Diffusion",IF(AND(LOD!F75&gt;1.5,0.65&lt;'rc'!E75,SDrc!E75&lt;0.5),"Dissolution","ND")))</f>
        <v>#DIV/0!</v>
      </c>
      <c r="D75" s="258" t="e">
        <f ca="1">IF(AND(LOD!G75&gt;1.5,0.35&gt;'rc'!F75,SDrc!F75&lt;0.5),"Depletion",IF(AND(LOD!G75&gt;1.5,0.35&lt;'rc'!F75,0.65&gt;'rc'!F75,SDrc!F75&lt;0.5),"Diffusion",IF(AND(LOD!G75&gt;1.5,0.65&lt;'rc'!F75,SDrc!F75&lt;0.5),"Dissolution","ND")))</f>
        <v>#DIV/0!</v>
      </c>
      <c r="E75" s="258" t="e">
        <f ca="1">IF(AND(LOD!H75&gt;1.5,0.35&gt;'rc'!G75,SDrc!G75&lt;0.5),"Depletion",IF(AND(LOD!H75&gt;1.5,0.35&lt;'rc'!G75,0.65&gt;'rc'!G75,SDrc!G75&lt;0.5),"Diffusion",IF(AND(LOD!H75&gt;1.5,0.65&lt;'rc'!G75,SDrc!G75&lt;0.5),"Dissolution","ND")))</f>
        <v>#DIV/0!</v>
      </c>
      <c r="F75" s="258" t="e">
        <f ca="1">IF(AND(LOD!I75&gt;1.5,0.35&gt;'rc'!H75,SDrc!H75&lt;0.5),"Depletion",IF(AND(LOD!I75&gt;1.5,0.35&lt;'rc'!H75,0.65&gt;'rc'!H75,SDrc!H75&lt;0.5),"Diffusion",IF(AND(LOD!I75&gt;1.5,0.65&lt;'rc'!H75,SDrc!H75&lt;0.5),"Dissolution","ND")))</f>
        <v>#DIV/0!</v>
      </c>
      <c r="G75" s="259" t="e">
        <f ca="1">IF(AND(LOD!J75&gt;1.5,0.35&gt;'rc'!I75,SDrc!I75&lt;0.5),"Surface Wash-Off",IF(AND(LOD!J75&gt;1.5,0.35&lt;'rc'!I75,0.65&gt;'rc'!I75,SDrc!I75&lt;0.5),"Diffusion",IF(AND(LOD!J75&gt;1.5,0.65&lt;'rc'!I75,SDrc!I75&lt;0.5),"Delayed Diffusion or Dissolution","ND")))</f>
        <v>#DIV/0!</v>
      </c>
      <c r="H75" s="410" t="str">
        <f t="shared" si="15"/>
        <v>Not possible to Determine Leaching Mechanism</v>
      </c>
      <c r="I75" s="411"/>
      <c r="J75" s="411"/>
      <c r="K75" s="412"/>
      <c r="L75" s="176" t="e">
        <f t="shared" ca="1" si="16"/>
        <v>#DIV/0!</v>
      </c>
    </row>
  </sheetData>
  <mergeCells count="73">
    <mergeCell ref="H65:K65"/>
    <mergeCell ref="H66:K66"/>
    <mergeCell ref="H67:K67"/>
    <mergeCell ref="H68:K68"/>
    <mergeCell ref="H73:K73"/>
    <mergeCell ref="H69:K69"/>
    <mergeCell ref="H70:K70"/>
    <mergeCell ref="H71:K71"/>
    <mergeCell ref="H72:K72"/>
    <mergeCell ref="H63:K63"/>
    <mergeCell ref="H64:K64"/>
    <mergeCell ref="H57:K57"/>
    <mergeCell ref="H58:K58"/>
    <mergeCell ref="H59:K59"/>
    <mergeCell ref="H60:K60"/>
    <mergeCell ref="H8:K8"/>
    <mergeCell ref="H20:K20"/>
    <mergeCell ref="H9:K9"/>
    <mergeCell ref="H10:K10"/>
    <mergeCell ref="H11:K11"/>
    <mergeCell ref="H12:K12"/>
    <mergeCell ref="H13:K13"/>
    <mergeCell ref="H14:K14"/>
    <mergeCell ref="H15:K15"/>
    <mergeCell ref="H16:K16"/>
    <mergeCell ref="H17:K17"/>
    <mergeCell ref="H18:K18"/>
    <mergeCell ref="H19:K19"/>
    <mergeCell ref="H3:K3"/>
    <mergeCell ref="H4:K4"/>
    <mergeCell ref="H5:K5"/>
    <mergeCell ref="H6:K6"/>
    <mergeCell ref="H7:K7"/>
    <mergeCell ref="H32:K32"/>
    <mergeCell ref="H21:K21"/>
    <mergeCell ref="H22:K22"/>
    <mergeCell ref="H23:K23"/>
    <mergeCell ref="H24:K24"/>
    <mergeCell ref="H25:K25"/>
    <mergeCell ref="H26:K26"/>
    <mergeCell ref="H27:K27"/>
    <mergeCell ref="H28:K28"/>
    <mergeCell ref="H29:K29"/>
    <mergeCell ref="H30:K30"/>
    <mergeCell ref="H31:K31"/>
    <mergeCell ref="H44:K44"/>
    <mergeCell ref="H33:K33"/>
    <mergeCell ref="H34:K34"/>
    <mergeCell ref="H35:K35"/>
    <mergeCell ref="H36:K36"/>
    <mergeCell ref="H37:K37"/>
    <mergeCell ref="H38:K38"/>
    <mergeCell ref="H39:K39"/>
    <mergeCell ref="H40:K40"/>
    <mergeCell ref="H41:K41"/>
    <mergeCell ref="H42:K42"/>
    <mergeCell ref="H43:K43"/>
    <mergeCell ref="H74:K74"/>
    <mergeCell ref="H75:K75"/>
    <mergeCell ref="H45:K45"/>
    <mergeCell ref="H46:K46"/>
    <mergeCell ref="H52:K52"/>
    <mergeCell ref="H51:K51"/>
    <mergeCell ref="H47:K47"/>
    <mergeCell ref="H48:K48"/>
    <mergeCell ref="H49:K49"/>
    <mergeCell ref="H50:K50"/>
    <mergeCell ref="H53:K53"/>
    <mergeCell ref="H54:K54"/>
    <mergeCell ref="H55:K55"/>
    <mergeCell ref="H56:K56"/>
    <mergeCell ref="H61:K61"/>
    <mergeCell ref="H62:K62"/>
  </mergeCells>
  <phoneticPr fontId="15" type="noConversion"/>
  <conditionalFormatting sqref="B4:G75">
    <cfRule type="cellIs" dxfId="10" priority="1" stopIfTrue="1" operator="equal">
      <formula>"Diffusion"</formula>
    </cfRule>
  </conditionalFormatting>
  <pageMargins left="0.75" right="0.75" top="1" bottom="1" header="0.5" footer="0.5"/>
  <pageSetup scale="4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>
    <pageSetUpPr fitToPage="1"/>
  </sheetPr>
  <dimension ref="A2:L77"/>
  <sheetViews>
    <sheetView view="pageBreakPreview" zoomScale="60" zoomScaleNormal="100" workbookViewId="0">
      <selection activeCell="Q10" sqref="Q10"/>
    </sheetView>
  </sheetViews>
  <sheetFormatPr defaultRowHeight="12.75" x14ac:dyDescent="0.2"/>
  <cols>
    <col min="1" max="1" width="40.42578125" style="2" customWidth="1"/>
    <col min="2" max="2" width="9.140625" style="2"/>
    <col min="3" max="3" width="9.28515625" style="2" bestFit="1" customWidth="1"/>
    <col min="4" max="11" width="19" style="2" customWidth="1"/>
    <col min="12" max="16384" width="9.140625" style="2"/>
  </cols>
  <sheetData>
    <row r="2" spans="1:11" x14ac:dyDescent="0.2">
      <c r="C2" s="21">
        <v>0</v>
      </c>
      <c r="D2" s="170">
        <f>SQRT(D3)</f>
        <v>83.138438763306112</v>
      </c>
      <c r="E2" s="170">
        <f t="shared" ref="E2:K2" si="0">SQRT(E3)</f>
        <v>293.9387691339814</v>
      </c>
      <c r="F2" s="170">
        <f t="shared" si="0"/>
        <v>440.90815370097204</v>
      </c>
      <c r="G2" s="170">
        <f t="shared" si="0"/>
        <v>831.38438763306112</v>
      </c>
      <c r="H2" s="170">
        <f t="shared" si="0"/>
        <v>1099.8181667894016</v>
      </c>
      <c r="I2" s="170">
        <f t="shared" si="0"/>
        <v>1138.4199576606165</v>
      </c>
      <c r="J2" s="170">
        <f t="shared" si="0"/>
        <v>1555.3777676178865</v>
      </c>
      <c r="K2" s="170">
        <f t="shared" si="0"/>
        <v>1763.6326148038881</v>
      </c>
    </row>
    <row r="3" spans="1:11" x14ac:dyDescent="0.2">
      <c r="C3" s="21"/>
      <c r="D3" s="170">
        <f>60*60*24*D4</f>
        <v>6912</v>
      </c>
      <c r="E3" s="170">
        <f t="shared" ref="E3:K3" si="1">E4*60*60*24</f>
        <v>86400</v>
      </c>
      <c r="F3" s="170">
        <f t="shared" si="1"/>
        <v>194400</v>
      </c>
      <c r="G3" s="170">
        <f t="shared" si="1"/>
        <v>691200</v>
      </c>
      <c r="H3" s="170">
        <f t="shared" si="1"/>
        <v>1209600</v>
      </c>
      <c r="I3" s="170">
        <f t="shared" si="1"/>
        <v>1296000</v>
      </c>
      <c r="J3" s="170">
        <f t="shared" si="1"/>
        <v>2419200</v>
      </c>
      <c r="K3" s="170">
        <f t="shared" si="1"/>
        <v>3110400</v>
      </c>
    </row>
    <row r="4" spans="1:11" ht="15.75" thickBot="1" x14ac:dyDescent="0.3">
      <c r="A4" s="25" t="s">
        <v>72</v>
      </c>
      <c r="B4" s="22"/>
      <c r="C4" s="201">
        <v>0</v>
      </c>
      <c r="D4" s="248">
        <v>0.08</v>
      </c>
      <c r="E4" s="248">
        <v>1</v>
      </c>
      <c r="F4" s="248">
        <v>2.25</v>
      </c>
      <c r="G4" s="248">
        <v>8</v>
      </c>
      <c r="H4" s="248">
        <v>14</v>
      </c>
      <c r="I4" s="249">
        <v>15</v>
      </c>
      <c r="J4" s="113">
        <v>28</v>
      </c>
      <c r="K4" s="113">
        <v>36</v>
      </c>
    </row>
    <row r="5" spans="1:11" ht="15.75" thickBot="1" x14ac:dyDescent="0.3">
      <c r="A5" s="25"/>
      <c r="B5" s="22"/>
      <c r="C5" s="22"/>
      <c r="D5" s="163" t="s">
        <v>73</v>
      </c>
      <c r="E5" s="164" t="s">
        <v>74</v>
      </c>
      <c r="F5" s="164" t="s">
        <v>75</v>
      </c>
      <c r="G5" s="164" t="s">
        <v>76</v>
      </c>
      <c r="H5" s="164" t="s">
        <v>77</v>
      </c>
      <c r="I5" s="164" t="s">
        <v>78</v>
      </c>
      <c r="J5" s="164" t="s">
        <v>79</v>
      </c>
      <c r="K5" s="165" t="s">
        <v>80</v>
      </c>
    </row>
    <row r="6" spans="1:11" ht="14.25" x14ac:dyDescent="0.2">
      <c r="A6" s="161" t="str">
        <f>'Analytical Data'!A5</f>
        <v>pH</v>
      </c>
      <c r="B6" s="30"/>
      <c r="C6" s="34"/>
      <c r="D6" s="155">
        <f>Normalisation!E5/(SQRT(Uxy!D$4)-SQRT(C$4))</f>
        <v>2210.5898301533034</v>
      </c>
      <c r="E6" s="96">
        <f>Normalisation!F5/(SQRT(Uxy!E$4)-SQRT(D$4))</f>
        <v>683.36666777581354</v>
      </c>
      <c r="F6" s="96">
        <f>Normalisation!G5/(SQRT(Uxy!F$4)-SQRT(E$4))</f>
        <v>1017.2145775453505</v>
      </c>
      <c r="G6" s="96">
        <f>Normalisation!H5/(SQRT(Uxy!G$4)-SQRT(F$4))</f>
        <v>370.68856941889391</v>
      </c>
      <c r="H6" s="96">
        <f>Normalisation!I5/(SQRT(Uxy!H$4)-SQRT(G$4))</f>
        <v>547.10117697128396</v>
      </c>
      <c r="I6" s="96">
        <f>Normalisation!J5/(SQRT(Uxy!I$4)-SQRT(H$4))</f>
        <v>3677.5367235221993</v>
      </c>
      <c r="J6" s="96">
        <f>Normalisation!K5/(SQRT(Uxy!J$4)-SQRT(I$4))</f>
        <v>339.81190922407541</v>
      </c>
      <c r="K6" s="97">
        <f>Normalisation!L5/(SQRT(Uxy!K$4)-SQRT(J$4))</f>
        <v>708.21286155325015</v>
      </c>
    </row>
    <row r="7" spans="1:11" ht="14.25" x14ac:dyDescent="0.2">
      <c r="A7" s="162" t="str">
        <f>'Analytical Data'!A6</f>
        <v>Electrical Conductivity</v>
      </c>
      <c r="B7" s="47"/>
      <c r="C7" s="89"/>
      <c r="D7" s="156">
        <f>Normalisation!E6/(SQRT(Uxy!D$4)-SQRT(C$4))</f>
        <v>3577.2507792794186</v>
      </c>
      <c r="E7" s="98">
        <f>Normalisation!F6/(SQRT(Uxy!E$4)-SQRT(D$4))</f>
        <v>4084.5018482500291</v>
      </c>
      <c r="F7" s="98">
        <f>Normalisation!G6/(SQRT(Uxy!F$4)-SQRT(E$4))</f>
        <v>81670.730511521484</v>
      </c>
      <c r="G7" s="98">
        <f>Normalisation!H6/(SQRT(Uxy!G$4)-SQRT(F$4))</f>
        <v>140261.98944152912</v>
      </c>
      <c r="H7" s="98">
        <f>Normalisation!I6/(SQRT(Uxy!H$4)-SQRT(G$4))</f>
        <v>215891.18035931871</v>
      </c>
      <c r="I7" s="98">
        <f>Normalisation!J6/(SQRT(Uxy!I$4)-SQRT(H$4))</f>
        <v>1153502.9616713184</v>
      </c>
      <c r="J7" s="98">
        <f>Normalisation!K6/(SQRT(Uxy!J$4)-SQRT(I$4))</f>
        <v>119549.49651933473</v>
      </c>
      <c r="K7" s="99">
        <f>Normalisation!L6/(SQRT(Uxy!K$4)-SQRT(J$4))</f>
        <v>174991.53352778405</v>
      </c>
    </row>
    <row r="8" spans="1:11" ht="14.25" x14ac:dyDescent="0.2">
      <c r="A8" s="162" t="str">
        <f>'Analytical Data'!A7</f>
        <v>Redox potential</v>
      </c>
      <c r="B8" s="47"/>
      <c r="C8" s="89"/>
      <c r="D8" s="156">
        <f>Normalisation!E7/(SQRT(Uxy!D$4)-SQRT(C$4))</f>
        <v>0</v>
      </c>
      <c r="E8" s="98">
        <f>Normalisation!F7/(SQRT(Uxy!E$4)-SQRT(D$4))</f>
        <v>0</v>
      </c>
      <c r="F8" s="98">
        <f>Normalisation!G7/(SQRT(Uxy!F$4)-SQRT(E$4))</f>
        <v>0</v>
      </c>
      <c r="G8" s="98">
        <f>Normalisation!H7/(SQRT(Uxy!G$4)-SQRT(F$4))</f>
        <v>0</v>
      </c>
      <c r="H8" s="98">
        <f>Normalisation!I7/(SQRT(Uxy!H$4)-SQRT(G$4))</f>
        <v>0</v>
      </c>
      <c r="I8" s="98">
        <f>Normalisation!J7/(SQRT(Uxy!I$4)-SQRT(H$4))</f>
        <v>0</v>
      </c>
      <c r="J8" s="98">
        <f>Normalisation!K7/(SQRT(Uxy!J$4)-SQRT(I$4))</f>
        <v>0</v>
      </c>
      <c r="K8" s="99">
        <f>Normalisation!L7/(SQRT(Uxy!K$4)-SQRT(J$4))</f>
        <v>0</v>
      </c>
    </row>
    <row r="9" spans="1:11" ht="14.25" x14ac:dyDescent="0.2">
      <c r="A9" s="162" t="str">
        <f>'Analytical Data'!A8</f>
        <v>Chloride</v>
      </c>
      <c r="B9" s="47"/>
      <c r="C9" s="89"/>
      <c r="D9" s="156">
        <f>Normalisation!E8/(SQRT(Uxy!D$4)-SQRT(C$4))</f>
        <v>251.91906896333933</v>
      </c>
      <c r="E9" s="98">
        <f>Normalisation!F8/(SQRT(Uxy!E$4)-SQRT(D$4))</f>
        <v>208.64640917842522</v>
      </c>
      <c r="F9" s="98">
        <f>Normalisation!G8/(SQRT(Uxy!F$4)-SQRT(E$4))</f>
        <v>4275.2083673802908</v>
      </c>
      <c r="G9" s="98">
        <f>Normalisation!H8/(SQRT(Uxy!G$4)-SQRT(F$4))</f>
        <v>17163.991059766468</v>
      </c>
      <c r="H9" s="98">
        <f>Normalisation!I8/(SQRT(Uxy!H$4)-SQRT(G$4))</f>
        <v>39792.013727232574</v>
      </c>
      <c r="I9" s="98">
        <f>Normalisation!J8/(SQRT(Uxy!I$4)-SQRT(H$4))</f>
        <v>206176.44658283211</v>
      </c>
      <c r="J9" s="98">
        <f>Normalisation!K8/(SQRT(Uxy!J$4)-SQRT(I$4))</f>
        <v>20092.352356190713</v>
      </c>
      <c r="K9" s="99">
        <f>Normalisation!L8/(SQRT(Uxy!K$4)-SQRT(J$4))</f>
        <v>51290.621896074634</v>
      </c>
    </row>
    <row r="10" spans="1:11" ht="14.25" x14ac:dyDescent="0.2">
      <c r="A10" s="162" t="str">
        <f>'Analytical Data'!A9</f>
        <v>Sodium</v>
      </c>
      <c r="B10" s="47"/>
      <c r="C10" s="89"/>
      <c r="D10" s="156">
        <f>Normalisation!E9/(SQRT(Uxy!D$4)-SQRT(C$4))</f>
        <v>5038.381379266787</v>
      </c>
      <c r="E10" s="98">
        <f>Normalisation!F9/(SQRT(Uxy!E$4)-SQRT(D$4))</f>
        <v>3974.2173176842898</v>
      </c>
      <c r="F10" s="98">
        <f>Normalisation!G9/(SQRT(Uxy!F$4)-SQRT(E$4))</f>
        <v>7125.3472789671514</v>
      </c>
      <c r="G10" s="98">
        <f>Normalisation!H9/(SQRT(Uxy!G$4)-SQRT(F$4))</f>
        <v>12336.618574207148</v>
      </c>
      <c r="H10" s="98">
        <f>Normalisation!I9/(SQRT(Uxy!H$4)-SQRT(G$4))</f>
        <v>26528.009151488382</v>
      </c>
      <c r="I10" s="98">
        <f>Normalisation!J9/(SQRT(Uxy!I$4)-SQRT(H$4))</f>
        <v>124791.00714224047</v>
      </c>
      <c r="J10" s="98">
        <f>Normalisation!K9/(SQRT(Uxy!J$4)-SQRT(I$4))</f>
        <v>12557.720222619193</v>
      </c>
      <c r="K10" s="99">
        <f>Normalisation!L9/(SQRT(Uxy!K$4)-SQRT(J$4))</f>
        <v>35199.446399266904</v>
      </c>
    </row>
    <row r="11" spans="1:11" ht="14.25" x14ac:dyDescent="0.2">
      <c r="A11" s="162">
        <f>'Analytical Data'!A10</f>
        <v>0</v>
      </c>
      <c r="B11" s="47"/>
      <c r="C11" s="89"/>
      <c r="D11" s="156">
        <f>Normalisation!E10/(SQRT(Uxy!D$4)-SQRT(C$4))</f>
        <v>0</v>
      </c>
      <c r="E11" s="98">
        <f>Normalisation!F10/(SQRT(Uxy!E$4)-SQRT(D$4))</f>
        <v>0</v>
      </c>
      <c r="F11" s="98">
        <f>Normalisation!G10/(SQRT(Uxy!F$4)-SQRT(E$4))</f>
        <v>0</v>
      </c>
      <c r="G11" s="98">
        <f>Normalisation!H10/(SQRT(Uxy!G$4)-SQRT(F$4))</f>
        <v>0</v>
      </c>
      <c r="H11" s="98">
        <f>Normalisation!I10/(SQRT(Uxy!H$4)-SQRT(G$4))</f>
        <v>0</v>
      </c>
      <c r="I11" s="98">
        <f>Normalisation!J10/(SQRT(Uxy!I$4)-SQRT(H$4))</f>
        <v>0</v>
      </c>
      <c r="J11" s="98">
        <f>Normalisation!K10/(SQRT(Uxy!J$4)-SQRT(I$4))</f>
        <v>0</v>
      </c>
      <c r="K11" s="99">
        <f>Normalisation!L10/(SQRT(Uxy!K$4)-SQRT(J$4))</f>
        <v>0</v>
      </c>
    </row>
    <row r="12" spans="1:11" ht="14.25" x14ac:dyDescent="0.2">
      <c r="A12" s="162">
        <f>'Analytical Data'!A11</f>
        <v>0</v>
      </c>
      <c r="B12" s="47"/>
      <c r="C12" s="89"/>
      <c r="D12" s="156">
        <f>Normalisation!E11/(SQRT(Uxy!D$4)-SQRT(C$4))</f>
        <v>0</v>
      </c>
      <c r="E12" s="98">
        <f>Normalisation!F11/(SQRT(Uxy!E$4)-SQRT(D$4))</f>
        <v>0</v>
      </c>
      <c r="F12" s="98">
        <f>Normalisation!G11/(SQRT(Uxy!F$4)-SQRT(E$4))</f>
        <v>0</v>
      </c>
      <c r="G12" s="98">
        <f>Normalisation!H11/(SQRT(Uxy!G$4)-SQRT(F$4))</f>
        <v>0</v>
      </c>
      <c r="H12" s="98">
        <f>Normalisation!I11/(SQRT(Uxy!H$4)-SQRT(G$4))</f>
        <v>0</v>
      </c>
      <c r="I12" s="98">
        <f>Normalisation!J11/(SQRT(Uxy!I$4)-SQRT(H$4))</f>
        <v>0</v>
      </c>
      <c r="J12" s="98">
        <f>Normalisation!K11/(SQRT(Uxy!J$4)-SQRT(I$4))</f>
        <v>0</v>
      </c>
      <c r="K12" s="99">
        <f>Normalisation!L11/(SQRT(Uxy!K$4)-SQRT(J$4))</f>
        <v>0</v>
      </c>
    </row>
    <row r="13" spans="1:11" ht="14.25" x14ac:dyDescent="0.2">
      <c r="A13" s="162">
        <f>'Analytical Data'!A12</f>
        <v>0</v>
      </c>
      <c r="B13" s="47"/>
      <c r="C13" s="89"/>
      <c r="D13" s="156">
        <f>Normalisation!E12/(SQRT(Uxy!D$4)-SQRT(C$4))</f>
        <v>0</v>
      </c>
      <c r="E13" s="98">
        <f>Normalisation!F12/(SQRT(Uxy!E$4)-SQRT(D$4))</f>
        <v>0</v>
      </c>
      <c r="F13" s="98">
        <f>Normalisation!G12/(SQRT(Uxy!F$4)-SQRT(E$4))</f>
        <v>0</v>
      </c>
      <c r="G13" s="98">
        <f>Normalisation!H12/(SQRT(Uxy!G$4)-SQRT(F$4))</f>
        <v>0</v>
      </c>
      <c r="H13" s="98">
        <f>Normalisation!I12/(SQRT(Uxy!H$4)-SQRT(G$4))</f>
        <v>0</v>
      </c>
      <c r="I13" s="98">
        <f>Normalisation!J12/(SQRT(Uxy!I$4)-SQRT(H$4))</f>
        <v>0</v>
      </c>
      <c r="J13" s="98">
        <f>Normalisation!K12/(SQRT(Uxy!J$4)-SQRT(I$4))</f>
        <v>0</v>
      </c>
      <c r="K13" s="99">
        <f>Normalisation!L12/(SQRT(Uxy!K$4)-SQRT(J$4))</f>
        <v>0</v>
      </c>
    </row>
    <row r="14" spans="1:11" ht="14.25" x14ac:dyDescent="0.2">
      <c r="A14" s="162">
        <f>'Analytical Data'!A13</f>
        <v>0</v>
      </c>
      <c r="B14" s="47"/>
      <c r="C14" s="89"/>
      <c r="D14" s="156">
        <f>Normalisation!E13/(SQRT(Uxy!D$4)-SQRT(C$4))</f>
        <v>0</v>
      </c>
      <c r="E14" s="98">
        <f>Normalisation!F13/(SQRT(Uxy!E$4)-SQRT(D$4))</f>
        <v>0</v>
      </c>
      <c r="F14" s="98">
        <f>Normalisation!G13/(SQRT(Uxy!F$4)-SQRT(E$4))</f>
        <v>0</v>
      </c>
      <c r="G14" s="98">
        <f>Normalisation!H13/(SQRT(Uxy!G$4)-SQRT(F$4))</f>
        <v>0</v>
      </c>
      <c r="H14" s="98">
        <f>Normalisation!I13/(SQRT(Uxy!H$4)-SQRT(G$4))</f>
        <v>0</v>
      </c>
      <c r="I14" s="98">
        <f>Normalisation!J13/(SQRT(Uxy!I$4)-SQRT(H$4))</f>
        <v>0</v>
      </c>
      <c r="J14" s="98">
        <f>Normalisation!K13/(SQRT(Uxy!J$4)-SQRT(I$4))</f>
        <v>0</v>
      </c>
      <c r="K14" s="99">
        <f>Normalisation!L13/(SQRT(Uxy!K$4)-SQRT(J$4))</f>
        <v>0</v>
      </c>
    </row>
    <row r="15" spans="1:11" ht="14.25" x14ac:dyDescent="0.2">
      <c r="A15" s="162">
        <f>'Analytical Data'!A14</f>
        <v>0</v>
      </c>
      <c r="B15" s="47"/>
      <c r="C15" s="89"/>
      <c r="D15" s="156">
        <f>Normalisation!E14/(SQRT(Uxy!D$4)-SQRT(C$4))</f>
        <v>0</v>
      </c>
      <c r="E15" s="98">
        <f>Normalisation!F14/(SQRT(Uxy!E$4)-SQRT(D$4))</f>
        <v>0</v>
      </c>
      <c r="F15" s="98">
        <f>Normalisation!G14/(SQRT(Uxy!F$4)-SQRT(E$4))</f>
        <v>0</v>
      </c>
      <c r="G15" s="98">
        <f>Normalisation!H14/(SQRT(Uxy!G$4)-SQRT(F$4))</f>
        <v>0</v>
      </c>
      <c r="H15" s="98">
        <f>Normalisation!I14/(SQRT(Uxy!H$4)-SQRT(G$4))</f>
        <v>0</v>
      </c>
      <c r="I15" s="98">
        <f>Normalisation!J14/(SQRT(Uxy!I$4)-SQRT(H$4))</f>
        <v>0</v>
      </c>
      <c r="J15" s="98">
        <f>Normalisation!K14/(SQRT(Uxy!J$4)-SQRT(I$4))</f>
        <v>0</v>
      </c>
      <c r="K15" s="99">
        <f>Normalisation!L14/(SQRT(Uxy!K$4)-SQRT(J$4))</f>
        <v>0</v>
      </c>
    </row>
    <row r="16" spans="1:11" ht="14.25" x14ac:dyDescent="0.2">
      <c r="A16" s="162">
        <f>'Analytical Data'!A15</f>
        <v>0</v>
      </c>
      <c r="B16" s="47"/>
      <c r="C16" s="89"/>
      <c r="D16" s="156">
        <f>Normalisation!E15/(SQRT(Uxy!D$4)-SQRT(C$4))</f>
        <v>0</v>
      </c>
      <c r="E16" s="98">
        <f>Normalisation!F15/(SQRT(Uxy!E$4)-SQRT(D$4))</f>
        <v>0</v>
      </c>
      <c r="F16" s="98">
        <f>Normalisation!G15/(SQRT(Uxy!F$4)-SQRT(E$4))</f>
        <v>0</v>
      </c>
      <c r="G16" s="98">
        <f>Normalisation!H15/(SQRT(Uxy!G$4)-SQRT(F$4))</f>
        <v>0</v>
      </c>
      <c r="H16" s="98">
        <f>Normalisation!I15/(SQRT(Uxy!H$4)-SQRT(G$4))</f>
        <v>0</v>
      </c>
      <c r="I16" s="98">
        <f>Normalisation!J15/(SQRT(Uxy!I$4)-SQRT(H$4))</f>
        <v>0</v>
      </c>
      <c r="J16" s="98">
        <f>Normalisation!K15/(SQRT(Uxy!J$4)-SQRT(I$4))</f>
        <v>0</v>
      </c>
      <c r="K16" s="99">
        <f>Normalisation!L15/(SQRT(Uxy!K$4)-SQRT(J$4))</f>
        <v>0</v>
      </c>
    </row>
    <row r="17" spans="1:11" ht="14.25" x14ac:dyDescent="0.2">
      <c r="A17" s="162">
        <f>'Analytical Data'!A16</f>
        <v>0</v>
      </c>
      <c r="B17" s="47"/>
      <c r="C17" s="89"/>
      <c r="D17" s="156">
        <f>Normalisation!E16/(SQRT(Uxy!D$4)-SQRT(C$4))</f>
        <v>0</v>
      </c>
      <c r="E17" s="98">
        <f>Normalisation!F16/(SQRT(Uxy!E$4)-SQRT(D$4))</f>
        <v>0</v>
      </c>
      <c r="F17" s="98">
        <f>Normalisation!G16/(SQRT(Uxy!F$4)-SQRT(E$4))</f>
        <v>0</v>
      </c>
      <c r="G17" s="98">
        <f>Normalisation!H16/(SQRT(Uxy!G$4)-SQRT(F$4))</f>
        <v>0</v>
      </c>
      <c r="H17" s="98">
        <f>Normalisation!I16/(SQRT(Uxy!H$4)-SQRT(G$4))</f>
        <v>0</v>
      </c>
      <c r="I17" s="98">
        <f>Normalisation!J16/(SQRT(Uxy!I$4)-SQRT(H$4))</f>
        <v>0</v>
      </c>
      <c r="J17" s="98">
        <f>Normalisation!K16/(SQRT(Uxy!J$4)-SQRT(I$4))</f>
        <v>0</v>
      </c>
      <c r="K17" s="99">
        <f>Normalisation!L16/(SQRT(Uxy!K$4)-SQRT(J$4))</f>
        <v>0</v>
      </c>
    </row>
    <row r="18" spans="1:11" ht="14.25" x14ac:dyDescent="0.2">
      <c r="A18" s="162">
        <f>'Analytical Data'!A17</f>
        <v>0</v>
      </c>
      <c r="B18" s="47"/>
      <c r="C18" s="89"/>
      <c r="D18" s="156">
        <f>Normalisation!E17/(SQRT(Uxy!D$4)-SQRT(C$4))</f>
        <v>0</v>
      </c>
      <c r="E18" s="98">
        <f>Normalisation!F17/(SQRT(Uxy!E$4)-SQRT(D$4))</f>
        <v>0</v>
      </c>
      <c r="F18" s="98">
        <f>Normalisation!G17/(SQRT(Uxy!F$4)-SQRT(E$4))</f>
        <v>0</v>
      </c>
      <c r="G18" s="98">
        <f>Normalisation!H17/(SQRT(Uxy!G$4)-SQRT(F$4))</f>
        <v>0</v>
      </c>
      <c r="H18" s="98">
        <f>Normalisation!I17/(SQRT(Uxy!H$4)-SQRT(G$4))</f>
        <v>0</v>
      </c>
      <c r="I18" s="98">
        <f>Normalisation!J17/(SQRT(Uxy!I$4)-SQRT(H$4))</f>
        <v>0</v>
      </c>
      <c r="J18" s="98">
        <f>Normalisation!K17/(SQRT(Uxy!J$4)-SQRT(I$4))</f>
        <v>0</v>
      </c>
      <c r="K18" s="99">
        <f>Normalisation!L17/(SQRT(Uxy!K$4)-SQRT(J$4))</f>
        <v>0</v>
      </c>
    </row>
    <row r="19" spans="1:11" ht="14.25" x14ac:dyDescent="0.2">
      <c r="A19" s="162">
        <f>'Analytical Data'!A18</f>
        <v>0</v>
      </c>
      <c r="B19" s="47"/>
      <c r="C19" s="89"/>
      <c r="D19" s="156">
        <f>Normalisation!E18/(SQRT(Uxy!D$4)-SQRT(C$4))</f>
        <v>0</v>
      </c>
      <c r="E19" s="98">
        <f>Normalisation!F18/(SQRT(Uxy!E$4)-SQRT(D$4))</f>
        <v>0</v>
      </c>
      <c r="F19" s="98">
        <f>Normalisation!G18/(SQRT(Uxy!F$4)-SQRT(E$4))</f>
        <v>0</v>
      </c>
      <c r="G19" s="98">
        <f>Normalisation!H18/(SQRT(Uxy!G$4)-SQRT(F$4))</f>
        <v>0</v>
      </c>
      <c r="H19" s="98">
        <f>Normalisation!I18/(SQRT(Uxy!H$4)-SQRT(G$4))</f>
        <v>0</v>
      </c>
      <c r="I19" s="98">
        <f>Normalisation!J18/(SQRT(Uxy!I$4)-SQRT(H$4))</f>
        <v>0</v>
      </c>
      <c r="J19" s="98">
        <f>Normalisation!K18/(SQRT(Uxy!J$4)-SQRT(I$4))</f>
        <v>0</v>
      </c>
      <c r="K19" s="99">
        <f>Normalisation!L18/(SQRT(Uxy!K$4)-SQRT(J$4))</f>
        <v>0</v>
      </c>
    </row>
    <row r="20" spans="1:11" ht="14.25" x14ac:dyDescent="0.2">
      <c r="A20" s="162">
        <f>'Analytical Data'!A19</f>
        <v>0</v>
      </c>
      <c r="B20" s="47"/>
      <c r="C20" s="89"/>
      <c r="D20" s="156">
        <f>Normalisation!E19/(SQRT(Uxy!D$4)-SQRT(C$4))</f>
        <v>0</v>
      </c>
      <c r="E20" s="98">
        <f>Normalisation!F19/(SQRT(Uxy!E$4)-SQRT(D$4))</f>
        <v>0</v>
      </c>
      <c r="F20" s="98">
        <f>Normalisation!G19/(SQRT(Uxy!F$4)-SQRT(E$4))</f>
        <v>0</v>
      </c>
      <c r="G20" s="98">
        <f>Normalisation!H19/(SQRT(Uxy!G$4)-SQRT(F$4))</f>
        <v>0</v>
      </c>
      <c r="H20" s="98">
        <f>Normalisation!I19/(SQRT(Uxy!H$4)-SQRT(G$4))</f>
        <v>0</v>
      </c>
      <c r="I20" s="98">
        <f>Normalisation!J19/(SQRT(Uxy!I$4)-SQRT(H$4))</f>
        <v>0</v>
      </c>
      <c r="J20" s="98">
        <f>Normalisation!K19/(SQRT(Uxy!J$4)-SQRT(I$4))</f>
        <v>0</v>
      </c>
      <c r="K20" s="99">
        <f>Normalisation!L19/(SQRT(Uxy!K$4)-SQRT(J$4))</f>
        <v>0</v>
      </c>
    </row>
    <row r="21" spans="1:11" ht="14.25" x14ac:dyDescent="0.2">
      <c r="A21" s="162">
        <f>'Analytical Data'!A20</f>
        <v>0</v>
      </c>
      <c r="B21" s="47"/>
      <c r="C21" s="89"/>
      <c r="D21" s="156">
        <f>Normalisation!E20/(SQRT(Uxy!D$4)-SQRT(C$4))</f>
        <v>0</v>
      </c>
      <c r="E21" s="98">
        <f>Normalisation!F20/(SQRT(Uxy!E$4)-SQRT(D$4))</f>
        <v>0</v>
      </c>
      <c r="F21" s="98">
        <f>Normalisation!G20/(SQRT(Uxy!F$4)-SQRT(E$4))</f>
        <v>0</v>
      </c>
      <c r="G21" s="98">
        <f>Normalisation!H20/(SQRT(Uxy!G$4)-SQRT(F$4))</f>
        <v>0</v>
      </c>
      <c r="H21" s="98">
        <f>Normalisation!I20/(SQRT(Uxy!H$4)-SQRT(G$4))</f>
        <v>0</v>
      </c>
      <c r="I21" s="98">
        <f>Normalisation!J20/(SQRT(Uxy!I$4)-SQRT(H$4))</f>
        <v>0</v>
      </c>
      <c r="J21" s="98">
        <f>Normalisation!K20/(SQRT(Uxy!J$4)-SQRT(I$4))</f>
        <v>0</v>
      </c>
      <c r="K21" s="99">
        <f>Normalisation!L20/(SQRT(Uxy!K$4)-SQRT(J$4))</f>
        <v>0</v>
      </c>
    </row>
    <row r="22" spans="1:11" ht="14.25" x14ac:dyDescent="0.2">
      <c r="A22" s="162">
        <f>'Analytical Data'!A21</f>
        <v>0</v>
      </c>
      <c r="B22" s="47"/>
      <c r="C22" s="89"/>
      <c r="D22" s="156">
        <f>Normalisation!E21/(SQRT(Uxy!D$4)-SQRT(C$4))</f>
        <v>0</v>
      </c>
      <c r="E22" s="98">
        <f>Normalisation!F21/(SQRT(Uxy!E$4)-SQRT(D$4))</f>
        <v>0</v>
      </c>
      <c r="F22" s="98">
        <f>Normalisation!G21/(SQRT(Uxy!F$4)-SQRT(E$4))</f>
        <v>0</v>
      </c>
      <c r="G22" s="98">
        <f>Normalisation!H21/(SQRT(Uxy!G$4)-SQRT(F$4))</f>
        <v>0</v>
      </c>
      <c r="H22" s="98">
        <f>Normalisation!I21/(SQRT(Uxy!H$4)-SQRT(G$4))</f>
        <v>0</v>
      </c>
      <c r="I22" s="98">
        <f>Normalisation!J21/(SQRT(Uxy!I$4)-SQRT(H$4))</f>
        <v>0</v>
      </c>
      <c r="J22" s="98">
        <f>Normalisation!K21/(SQRT(Uxy!J$4)-SQRT(I$4))</f>
        <v>0</v>
      </c>
      <c r="K22" s="99">
        <f>Normalisation!L21/(SQRT(Uxy!K$4)-SQRT(J$4))</f>
        <v>0</v>
      </c>
    </row>
    <row r="23" spans="1:11" ht="14.25" x14ac:dyDescent="0.2">
      <c r="A23" s="162">
        <f>'Analytical Data'!A22</f>
        <v>0</v>
      </c>
      <c r="B23" s="47"/>
      <c r="C23" s="89"/>
      <c r="D23" s="156">
        <f>Normalisation!E22/(SQRT(Uxy!D$4)-SQRT(C$4))</f>
        <v>0</v>
      </c>
      <c r="E23" s="98">
        <f>Normalisation!F22/(SQRT(Uxy!E$4)-SQRT(D$4))</f>
        <v>0</v>
      </c>
      <c r="F23" s="98">
        <f>Normalisation!G22/(SQRT(Uxy!F$4)-SQRT(E$4))</f>
        <v>0</v>
      </c>
      <c r="G23" s="98">
        <f>Normalisation!H22/(SQRT(Uxy!G$4)-SQRT(F$4))</f>
        <v>0</v>
      </c>
      <c r="H23" s="98">
        <f>Normalisation!I22/(SQRT(Uxy!H$4)-SQRT(G$4))</f>
        <v>0</v>
      </c>
      <c r="I23" s="98">
        <f>Normalisation!J22/(SQRT(Uxy!I$4)-SQRT(H$4))</f>
        <v>0</v>
      </c>
      <c r="J23" s="98">
        <f>Normalisation!K22/(SQRT(Uxy!J$4)-SQRT(I$4))</f>
        <v>0</v>
      </c>
      <c r="K23" s="99">
        <f>Normalisation!L22/(SQRT(Uxy!K$4)-SQRT(J$4))</f>
        <v>0</v>
      </c>
    </row>
    <row r="24" spans="1:11" ht="14.25" hidden="1" x14ac:dyDescent="0.2">
      <c r="A24" s="162">
        <f>'Analytical Data'!A23</f>
        <v>0</v>
      </c>
      <c r="B24" s="47"/>
      <c r="C24" s="89"/>
      <c r="D24" s="156">
        <f>Normalisation!E23/(SQRT(Uxy!D$4)-SQRT(C$4))</f>
        <v>0</v>
      </c>
      <c r="E24" s="98">
        <f>Normalisation!F23/(SQRT(Uxy!E$4)-SQRT(D$4))</f>
        <v>0</v>
      </c>
      <c r="F24" s="98">
        <f>Normalisation!G23/(SQRT(Uxy!F$4)-SQRT(E$4))</f>
        <v>0</v>
      </c>
      <c r="G24" s="98">
        <f>Normalisation!H23/(SQRT(Uxy!G$4)-SQRT(F$4))</f>
        <v>0</v>
      </c>
      <c r="H24" s="98">
        <f>Normalisation!I23/(SQRT(Uxy!H$4)-SQRT(G$4))</f>
        <v>0</v>
      </c>
      <c r="I24" s="98">
        <f>Normalisation!J23/(SQRT(Uxy!I$4)-SQRT(H$4))</f>
        <v>0</v>
      </c>
      <c r="J24" s="98">
        <f>Normalisation!K23/(SQRT(Uxy!J$4)-SQRT(I$4))</f>
        <v>0</v>
      </c>
      <c r="K24" s="99">
        <f>Normalisation!L23/(SQRT(Uxy!K$4)-SQRT(J$4))</f>
        <v>0</v>
      </c>
    </row>
    <row r="25" spans="1:11" ht="14.25" hidden="1" x14ac:dyDescent="0.2">
      <c r="A25" s="162">
        <f>'Analytical Data'!A24</f>
        <v>0</v>
      </c>
      <c r="B25" s="47"/>
      <c r="C25" s="89"/>
      <c r="D25" s="156">
        <f>Normalisation!E24/(SQRT(Uxy!D$4)-SQRT(C$4))</f>
        <v>0</v>
      </c>
      <c r="E25" s="98">
        <f>Normalisation!F24/(SQRT(Uxy!E$4)-SQRT(D$4))</f>
        <v>0</v>
      </c>
      <c r="F25" s="98">
        <f>Normalisation!G24/(SQRT(Uxy!F$4)-SQRT(E$4))</f>
        <v>0</v>
      </c>
      <c r="G25" s="98">
        <f>Normalisation!H24/(SQRT(Uxy!G$4)-SQRT(F$4))</f>
        <v>0</v>
      </c>
      <c r="H25" s="98">
        <f>Normalisation!I24/(SQRT(Uxy!H$4)-SQRT(G$4))</f>
        <v>0</v>
      </c>
      <c r="I25" s="98">
        <f>Normalisation!J24/(SQRT(Uxy!I$4)-SQRT(H$4))</f>
        <v>0</v>
      </c>
      <c r="J25" s="98">
        <f>Normalisation!K24/(SQRT(Uxy!J$4)-SQRT(I$4))</f>
        <v>0</v>
      </c>
      <c r="K25" s="99">
        <f>Normalisation!L24/(SQRT(Uxy!K$4)-SQRT(J$4))</f>
        <v>0</v>
      </c>
    </row>
    <row r="26" spans="1:11" ht="14.25" x14ac:dyDescent="0.2">
      <c r="A26" s="162">
        <f>'Analytical Data'!A25</f>
        <v>0</v>
      </c>
      <c r="B26" s="47"/>
      <c r="C26" s="89"/>
      <c r="D26" s="156">
        <f>Normalisation!E25/(SQRT(Uxy!D$4)-SQRT(C$4))</f>
        <v>0</v>
      </c>
      <c r="E26" s="98">
        <f>Normalisation!F25/(SQRT(Uxy!E$4)-SQRT(D$4))</f>
        <v>0</v>
      </c>
      <c r="F26" s="98">
        <f>Normalisation!G25/(SQRT(Uxy!F$4)-SQRT(E$4))</f>
        <v>0</v>
      </c>
      <c r="G26" s="98">
        <f>Normalisation!H25/(SQRT(Uxy!G$4)-SQRT(F$4))</f>
        <v>0</v>
      </c>
      <c r="H26" s="98">
        <f>Normalisation!I25/(SQRT(Uxy!H$4)-SQRT(G$4))</f>
        <v>0</v>
      </c>
      <c r="I26" s="98">
        <f>Normalisation!J25/(SQRT(Uxy!I$4)-SQRT(H$4))</f>
        <v>0</v>
      </c>
      <c r="J26" s="98">
        <f>Normalisation!K25/(SQRT(Uxy!J$4)-SQRT(I$4))</f>
        <v>0</v>
      </c>
      <c r="K26" s="99">
        <f>Normalisation!L25/(SQRT(Uxy!K$4)-SQRT(J$4))</f>
        <v>0</v>
      </c>
    </row>
    <row r="27" spans="1:11" ht="14.25" x14ac:dyDescent="0.2">
      <c r="A27" s="162">
        <f>'Analytical Data'!A26</f>
        <v>0</v>
      </c>
      <c r="B27" s="47"/>
      <c r="C27" s="89"/>
      <c r="D27" s="156">
        <f>Normalisation!E26/(SQRT(Uxy!D$4)-SQRT(C$4))</f>
        <v>0</v>
      </c>
      <c r="E27" s="98">
        <f>Normalisation!F26/(SQRT(Uxy!E$4)-SQRT(D$4))</f>
        <v>0</v>
      </c>
      <c r="F27" s="98">
        <f>Normalisation!G26/(SQRT(Uxy!F$4)-SQRT(E$4))</f>
        <v>0</v>
      </c>
      <c r="G27" s="98">
        <f>Normalisation!H26/(SQRT(Uxy!G$4)-SQRT(F$4))</f>
        <v>0</v>
      </c>
      <c r="H27" s="98">
        <f>Normalisation!I26/(SQRT(Uxy!H$4)-SQRT(G$4))</f>
        <v>0</v>
      </c>
      <c r="I27" s="98">
        <f>Normalisation!J26/(SQRT(Uxy!I$4)-SQRT(H$4))</f>
        <v>0</v>
      </c>
      <c r="J27" s="98">
        <f>Normalisation!K26/(SQRT(Uxy!J$4)-SQRT(I$4))</f>
        <v>0</v>
      </c>
      <c r="K27" s="99">
        <f>Normalisation!L26/(SQRT(Uxy!K$4)-SQRT(J$4))</f>
        <v>0</v>
      </c>
    </row>
    <row r="28" spans="1:11" ht="14.25" x14ac:dyDescent="0.2">
      <c r="A28" s="162">
        <f>'Analytical Data'!A27</f>
        <v>0</v>
      </c>
      <c r="B28" s="47"/>
      <c r="C28" s="89"/>
      <c r="D28" s="156">
        <f>Normalisation!E27/(SQRT(Uxy!D$4)-SQRT(C$4))</f>
        <v>0</v>
      </c>
      <c r="E28" s="98">
        <f>Normalisation!F27/(SQRT(Uxy!E$4)-SQRT(D$4))</f>
        <v>0</v>
      </c>
      <c r="F28" s="98">
        <f>Normalisation!G27/(SQRT(Uxy!F$4)-SQRT(E$4))</f>
        <v>0</v>
      </c>
      <c r="G28" s="98">
        <f>Normalisation!H27/(SQRT(Uxy!G$4)-SQRT(F$4))</f>
        <v>0</v>
      </c>
      <c r="H28" s="98">
        <f>Normalisation!I27/(SQRT(Uxy!H$4)-SQRT(G$4))</f>
        <v>0</v>
      </c>
      <c r="I28" s="98">
        <f>Normalisation!J27/(SQRT(Uxy!I$4)-SQRT(H$4))</f>
        <v>0</v>
      </c>
      <c r="J28" s="98">
        <f>Normalisation!K27/(SQRT(Uxy!J$4)-SQRT(I$4))</f>
        <v>0</v>
      </c>
      <c r="K28" s="99">
        <f>Normalisation!L27/(SQRT(Uxy!K$4)-SQRT(J$4))</f>
        <v>0</v>
      </c>
    </row>
    <row r="29" spans="1:11" ht="14.25" x14ac:dyDescent="0.2">
      <c r="A29" s="162">
        <f>'Analytical Data'!A28</f>
        <v>0</v>
      </c>
      <c r="B29" s="47"/>
      <c r="C29" s="89"/>
      <c r="D29" s="156">
        <f>Normalisation!E28/(SQRT(Uxy!D$4)-SQRT(C$4))</f>
        <v>0</v>
      </c>
      <c r="E29" s="98">
        <f>Normalisation!F28/(SQRT(Uxy!E$4)-SQRT(D$4))</f>
        <v>0</v>
      </c>
      <c r="F29" s="98">
        <f>Normalisation!G28/(SQRT(Uxy!F$4)-SQRT(E$4))</f>
        <v>0</v>
      </c>
      <c r="G29" s="98">
        <f>Normalisation!H28/(SQRT(Uxy!G$4)-SQRT(F$4))</f>
        <v>0</v>
      </c>
      <c r="H29" s="98">
        <f>Normalisation!I28/(SQRT(Uxy!H$4)-SQRT(G$4))</f>
        <v>0</v>
      </c>
      <c r="I29" s="98">
        <f>Normalisation!J28/(SQRT(Uxy!I$4)-SQRT(H$4))</f>
        <v>0</v>
      </c>
      <c r="J29" s="98">
        <f>Normalisation!K28/(SQRT(Uxy!J$4)-SQRT(I$4))</f>
        <v>0</v>
      </c>
      <c r="K29" s="99">
        <f>Normalisation!L28/(SQRT(Uxy!K$4)-SQRT(J$4))</f>
        <v>0</v>
      </c>
    </row>
    <row r="30" spans="1:11" ht="14.25" x14ac:dyDescent="0.2">
      <c r="A30" s="162">
        <f>'Analytical Data'!A29</f>
        <v>0</v>
      </c>
      <c r="B30" s="47"/>
      <c r="C30" s="89"/>
      <c r="D30" s="156">
        <f>Normalisation!E29/(SQRT(Uxy!D$4)-SQRT(C$4))</f>
        <v>0</v>
      </c>
      <c r="E30" s="98">
        <f>Normalisation!F29/(SQRT(Uxy!E$4)-SQRT(D$4))</f>
        <v>0</v>
      </c>
      <c r="F30" s="98">
        <f>Normalisation!G29/(SQRT(Uxy!F$4)-SQRT(E$4))</f>
        <v>0</v>
      </c>
      <c r="G30" s="98">
        <f>Normalisation!H29/(SQRT(Uxy!G$4)-SQRT(F$4))</f>
        <v>0</v>
      </c>
      <c r="H30" s="98">
        <f>Normalisation!I29/(SQRT(Uxy!H$4)-SQRT(G$4))</f>
        <v>0</v>
      </c>
      <c r="I30" s="98">
        <f>Normalisation!J29/(SQRT(Uxy!I$4)-SQRT(H$4))</f>
        <v>0</v>
      </c>
      <c r="J30" s="98">
        <f>Normalisation!K29/(SQRT(Uxy!J$4)-SQRT(I$4))</f>
        <v>0</v>
      </c>
      <c r="K30" s="99">
        <f>Normalisation!L29/(SQRT(Uxy!K$4)-SQRT(J$4))</f>
        <v>0</v>
      </c>
    </row>
    <row r="31" spans="1:11" ht="14.25" x14ac:dyDescent="0.2">
      <c r="A31" s="162">
        <f>'Analytical Data'!A30</f>
        <v>0</v>
      </c>
      <c r="B31" s="166"/>
      <c r="C31" s="167"/>
      <c r="D31" s="156">
        <f>Normalisation!E30/(SQRT(Uxy!D$4)-SQRT(C$4))</f>
        <v>0</v>
      </c>
      <c r="E31" s="98">
        <f>Normalisation!F30/(SQRT(Uxy!E$4)-SQRT(D$4))</f>
        <v>0</v>
      </c>
      <c r="F31" s="98">
        <f>Normalisation!G30/(SQRT(Uxy!F$4)-SQRT(E$4))</f>
        <v>0</v>
      </c>
      <c r="G31" s="98">
        <f>Normalisation!H30/(SQRT(Uxy!G$4)-SQRT(F$4))</f>
        <v>0</v>
      </c>
      <c r="H31" s="98">
        <f>Normalisation!I30/(SQRT(Uxy!H$4)-SQRT(G$4))</f>
        <v>0</v>
      </c>
      <c r="I31" s="98">
        <f>Normalisation!J30/(SQRT(Uxy!I$4)-SQRT(H$4))</f>
        <v>0</v>
      </c>
      <c r="J31" s="98">
        <f>Normalisation!K30/(SQRT(Uxy!J$4)-SQRT(I$4))</f>
        <v>0</v>
      </c>
      <c r="K31" s="99">
        <f>Normalisation!L30/(SQRT(Uxy!K$4)-SQRT(J$4))</f>
        <v>0</v>
      </c>
    </row>
    <row r="32" spans="1:11" s="170" customFormat="1" ht="14.25" x14ac:dyDescent="0.2">
      <c r="A32" s="162">
        <f>'Analytical Data'!A31</f>
        <v>0</v>
      </c>
      <c r="B32" s="168"/>
      <c r="C32" s="169"/>
      <c r="D32" s="156">
        <f>Normalisation!E31/(SQRT(Uxy!D$4)-SQRT(C$4))</f>
        <v>0</v>
      </c>
      <c r="E32" s="98">
        <f>Normalisation!F31/(SQRT(Uxy!E$4)-SQRT(D$4))</f>
        <v>0</v>
      </c>
      <c r="F32" s="98">
        <f>Normalisation!G31/(SQRT(Uxy!F$4)-SQRT(E$4))</f>
        <v>0</v>
      </c>
      <c r="G32" s="98">
        <f>Normalisation!H31/(SQRT(Uxy!G$4)-SQRT(F$4))</f>
        <v>0</v>
      </c>
      <c r="H32" s="98">
        <f>Normalisation!I31/(SQRT(Uxy!H$4)-SQRT(G$4))</f>
        <v>0</v>
      </c>
      <c r="I32" s="98">
        <f>Normalisation!J31/(SQRT(Uxy!I$4)-SQRT(H$4))</f>
        <v>0</v>
      </c>
      <c r="J32" s="98">
        <f>Normalisation!K31/(SQRT(Uxy!J$4)-SQRT(I$4))</f>
        <v>0</v>
      </c>
      <c r="K32" s="99">
        <f>Normalisation!L31/(SQRT(Uxy!K$4)-SQRT(J$4))</f>
        <v>0</v>
      </c>
    </row>
    <row r="33" spans="1:12" s="170" customFormat="1" ht="14.25" x14ac:dyDescent="0.2">
      <c r="A33" s="162">
        <f>'Analytical Data'!A32</f>
        <v>0</v>
      </c>
      <c r="B33" s="168"/>
      <c r="C33" s="169"/>
      <c r="D33" s="156">
        <f>Normalisation!E32/(SQRT(Uxy!D$4)-SQRT(C$4))</f>
        <v>0</v>
      </c>
      <c r="E33" s="98">
        <f>Normalisation!F32/(SQRT(Uxy!E$4)-SQRT(D$4))</f>
        <v>0</v>
      </c>
      <c r="F33" s="98">
        <f>Normalisation!G32/(SQRT(Uxy!F$4)-SQRT(E$4))</f>
        <v>0</v>
      </c>
      <c r="G33" s="98">
        <f>Normalisation!H32/(SQRT(Uxy!G$4)-SQRT(F$4))</f>
        <v>0</v>
      </c>
      <c r="H33" s="98">
        <f>Normalisation!I32/(SQRT(Uxy!H$4)-SQRT(G$4))</f>
        <v>0</v>
      </c>
      <c r="I33" s="98">
        <f>Normalisation!J32/(SQRT(Uxy!I$4)-SQRT(H$4))</f>
        <v>0</v>
      </c>
      <c r="J33" s="98">
        <f>Normalisation!K32/(SQRT(Uxy!J$4)-SQRT(I$4))</f>
        <v>0</v>
      </c>
      <c r="K33" s="99">
        <f>Normalisation!L32/(SQRT(Uxy!K$4)-SQRT(J$4))</f>
        <v>0</v>
      </c>
    </row>
    <row r="34" spans="1:12" s="170" customFormat="1" ht="14.25" x14ac:dyDescent="0.2">
      <c r="A34" s="162">
        <f>'Analytical Data'!A33</f>
        <v>0</v>
      </c>
      <c r="B34" s="168"/>
      <c r="C34" s="169"/>
      <c r="D34" s="156">
        <f>Normalisation!E33/(SQRT(Uxy!D$4)-SQRT(C$4))</f>
        <v>0</v>
      </c>
      <c r="E34" s="98">
        <f>Normalisation!F33/(SQRT(Uxy!E$4)-SQRT(D$4))</f>
        <v>0</v>
      </c>
      <c r="F34" s="98">
        <f>Normalisation!G33/(SQRT(Uxy!F$4)-SQRT(E$4))</f>
        <v>0</v>
      </c>
      <c r="G34" s="98">
        <f>Normalisation!H33/(SQRT(Uxy!G$4)-SQRT(F$4))</f>
        <v>0</v>
      </c>
      <c r="H34" s="98">
        <f>Normalisation!I33/(SQRT(Uxy!H$4)-SQRT(G$4))</f>
        <v>0</v>
      </c>
      <c r="I34" s="98">
        <f>Normalisation!J33/(SQRT(Uxy!I$4)-SQRT(H$4))</f>
        <v>0</v>
      </c>
      <c r="J34" s="98">
        <f>Normalisation!K33/(SQRT(Uxy!J$4)-SQRT(I$4))</f>
        <v>0</v>
      </c>
      <c r="K34" s="99">
        <f>Normalisation!L33/(SQRT(Uxy!K$4)-SQRT(J$4))</f>
        <v>0</v>
      </c>
    </row>
    <row r="35" spans="1:12" s="170" customFormat="1" ht="14.25" x14ac:dyDescent="0.2">
      <c r="A35" s="162">
        <f>'Analytical Data'!A34</f>
        <v>0</v>
      </c>
      <c r="B35" s="168"/>
      <c r="C35" s="169"/>
      <c r="D35" s="156">
        <f>Normalisation!E34/(SQRT(Uxy!D$4)-SQRT(C$4))</f>
        <v>0</v>
      </c>
      <c r="E35" s="98">
        <f>Normalisation!F34/(SQRT(Uxy!E$4)-SQRT(D$4))</f>
        <v>0</v>
      </c>
      <c r="F35" s="98">
        <f>Normalisation!G34/(SQRT(Uxy!F$4)-SQRT(E$4))</f>
        <v>0</v>
      </c>
      <c r="G35" s="98">
        <f>Normalisation!H34/(SQRT(Uxy!G$4)-SQRT(F$4))</f>
        <v>0</v>
      </c>
      <c r="H35" s="98">
        <f>Normalisation!I34/(SQRT(Uxy!H$4)-SQRT(G$4))</f>
        <v>0</v>
      </c>
      <c r="I35" s="98">
        <f>Normalisation!J34/(SQRT(Uxy!I$4)-SQRT(H$4))</f>
        <v>0</v>
      </c>
      <c r="J35" s="98">
        <f>Normalisation!K34/(SQRT(Uxy!J$4)-SQRT(I$4))</f>
        <v>0</v>
      </c>
      <c r="K35" s="99">
        <f>Normalisation!L34/(SQRT(Uxy!K$4)-SQRT(J$4))</f>
        <v>0</v>
      </c>
    </row>
    <row r="36" spans="1:12" s="171" customFormat="1" ht="14.25" x14ac:dyDescent="0.2">
      <c r="A36" s="162">
        <f>'Analytical Data'!A35</f>
        <v>0</v>
      </c>
      <c r="B36" s="168"/>
      <c r="C36" s="169"/>
      <c r="D36" s="156">
        <f>Normalisation!E35/(SQRT(Uxy!D$4)-SQRT(C$4))</f>
        <v>0</v>
      </c>
      <c r="E36" s="98">
        <f>Normalisation!F35/(SQRT(Uxy!E$4)-SQRT(D$4))</f>
        <v>0</v>
      </c>
      <c r="F36" s="98">
        <f>Normalisation!G35/(SQRT(Uxy!F$4)-SQRT(E$4))</f>
        <v>0</v>
      </c>
      <c r="G36" s="98">
        <f>Normalisation!H35/(SQRT(Uxy!G$4)-SQRT(F$4))</f>
        <v>0</v>
      </c>
      <c r="H36" s="98">
        <f>Normalisation!I35/(SQRT(Uxy!H$4)-SQRT(G$4))</f>
        <v>0</v>
      </c>
      <c r="I36" s="98">
        <f>Normalisation!J35/(SQRT(Uxy!I$4)-SQRT(H$4))</f>
        <v>0</v>
      </c>
      <c r="J36" s="98">
        <f>Normalisation!K35/(SQRT(Uxy!J$4)-SQRT(I$4))</f>
        <v>0</v>
      </c>
      <c r="K36" s="99">
        <f>Normalisation!L35/(SQRT(Uxy!K$4)-SQRT(J$4))</f>
        <v>0</v>
      </c>
      <c r="L36" s="113"/>
    </row>
    <row r="37" spans="1:12" s="171" customFormat="1" ht="14.25" x14ac:dyDescent="0.2">
      <c r="A37" s="162">
        <f>'Analytical Data'!A36</f>
        <v>0</v>
      </c>
      <c r="B37" s="172"/>
      <c r="C37" s="169"/>
      <c r="D37" s="156">
        <f>Normalisation!E36/(SQRT(Uxy!D$4)-SQRT(C$4))</f>
        <v>0</v>
      </c>
      <c r="E37" s="98">
        <f>Normalisation!F36/(SQRT(Uxy!E$4)-SQRT(D$4))</f>
        <v>0</v>
      </c>
      <c r="F37" s="98">
        <f>Normalisation!G36/(SQRT(Uxy!F$4)-SQRT(E$4))</f>
        <v>0</v>
      </c>
      <c r="G37" s="98">
        <f>Normalisation!H36/(SQRT(Uxy!G$4)-SQRT(F$4))</f>
        <v>0</v>
      </c>
      <c r="H37" s="98">
        <f>Normalisation!I36/(SQRT(Uxy!H$4)-SQRT(G$4))</f>
        <v>0</v>
      </c>
      <c r="I37" s="98">
        <f>Normalisation!J36/(SQRT(Uxy!I$4)-SQRT(H$4))</f>
        <v>0</v>
      </c>
      <c r="J37" s="98">
        <f>Normalisation!K36/(SQRT(Uxy!J$4)-SQRT(I$4))</f>
        <v>0</v>
      </c>
      <c r="K37" s="99">
        <f>Normalisation!L36/(SQRT(Uxy!K$4)-SQRT(J$4))</f>
        <v>0</v>
      </c>
      <c r="L37" s="113"/>
    </row>
    <row r="38" spans="1:12" s="171" customFormat="1" ht="14.25" x14ac:dyDescent="0.2">
      <c r="A38" s="162">
        <f>'Analytical Data'!A37</f>
        <v>0</v>
      </c>
      <c r="B38" s="172"/>
      <c r="C38" s="173"/>
      <c r="D38" s="156">
        <f>Normalisation!E37/(SQRT(Uxy!D$4)-SQRT(C$4))</f>
        <v>0</v>
      </c>
      <c r="E38" s="98">
        <f>Normalisation!F37/(SQRT(Uxy!E$4)-SQRT(D$4))</f>
        <v>0</v>
      </c>
      <c r="F38" s="98">
        <f>Normalisation!G37/(SQRT(Uxy!F$4)-SQRT(E$4))</f>
        <v>0</v>
      </c>
      <c r="G38" s="98">
        <f>Normalisation!H37/(SQRT(Uxy!G$4)-SQRT(F$4))</f>
        <v>0</v>
      </c>
      <c r="H38" s="98">
        <f>Normalisation!I37/(SQRT(Uxy!H$4)-SQRT(G$4))</f>
        <v>0</v>
      </c>
      <c r="I38" s="98">
        <f>Normalisation!J37/(SQRT(Uxy!I$4)-SQRT(H$4))</f>
        <v>0</v>
      </c>
      <c r="J38" s="98">
        <f>Normalisation!K37/(SQRT(Uxy!J$4)-SQRT(I$4))</f>
        <v>0</v>
      </c>
      <c r="K38" s="99">
        <f>Normalisation!L37/(SQRT(Uxy!K$4)-SQRT(J$4))</f>
        <v>0</v>
      </c>
      <c r="L38" s="113"/>
    </row>
    <row r="39" spans="1:12" ht="14.25" x14ac:dyDescent="0.2">
      <c r="A39" s="162">
        <f>'Analytical Data'!A38</f>
        <v>0</v>
      </c>
      <c r="B39" s="166"/>
      <c r="C39" s="167"/>
      <c r="D39" s="156">
        <f>Normalisation!E38/(SQRT(Uxy!D$4)-SQRT(C$4))</f>
        <v>0</v>
      </c>
      <c r="E39" s="98">
        <f>Normalisation!F38/(SQRT(Uxy!E$4)-SQRT(D$4))</f>
        <v>0</v>
      </c>
      <c r="F39" s="98">
        <f>Normalisation!G38/(SQRT(Uxy!F$4)-SQRT(E$4))</f>
        <v>0</v>
      </c>
      <c r="G39" s="98">
        <f>Normalisation!H38/(SQRT(Uxy!G$4)-SQRT(F$4))</f>
        <v>0</v>
      </c>
      <c r="H39" s="98">
        <f>Normalisation!I38/(SQRT(Uxy!H$4)-SQRT(G$4))</f>
        <v>0</v>
      </c>
      <c r="I39" s="98">
        <f>Normalisation!J38/(SQRT(Uxy!I$4)-SQRT(H$4))</f>
        <v>0</v>
      </c>
      <c r="J39" s="98">
        <f>Normalisation!K38/(SQRT(Uxy!J$4)-SQRT(I$4))</f>
        <v>0</v>
      </c>
      <c r="K39" s="99">
        <f>Normalisation!L38/(SQRT(Uxy!K$4)-SQRT(J$4))</f>
        <v>0</v>
      </c>
    </row>
    <row r="40" spans="1:12" ht="14.25" x14ac:dyDescent="0.2">
      <c r="A40" s="162">
        <f>'Analytical Data'!A39</f>
        <v>0</v>
      </c>
      <c r="B40" s="166"/>
      <c r="C40" s="167"/>
      <c r="D40" s="156">
        <f>Normalisation!E39/(SQRT(Uxy!D$4)-SQRT(C$4))</f>
        <v>0</v>
      </c>
      <c r="E40" s="98">
        <f>Normalisation!F39/(SQRT(Uxy!E$4)-SQRT(D$4))</f>
        <v>0</v>
      </c>
      <c r="F40" s="98">
        <f>Normalisation!G39/(SQRT(Uxy!F$4)-SQRT(E$4))</f>
        <v>0</v>
      </c>
      <c r="G40" s="98">
        <f>Normalisation!H39/(SQRT(Uxy!G$4)-SQRT(F$4))</f>
        <v>0</v>
      </c>
      <c r="H40" s="98">
        <f>Normalisation!I39/(SQRT(Uxy!H$4)-SQRT(G$4))</f>
        <v>0</v>
      </c>
      <c r="I40" s="98">
        <f>Normalisation!J39/(SQRT(Uxy!I$4)-SQRT(H$4))</f>
        <v>0</v>
      </c>
      <c r="J40" s="98">
        <f>Normalisation!K39/(SQRT(Uxy!J$4)-SQRT(I$4))</f>
        <v>0</v>
      </c>
      <c r="K40" s="99">
        <f>Normalisation!L39/(SQRT(Uxy!K$4)-SQRT(J$4))</f>
        <v>0</v>
      </c>
    </row>
    <row r="41" spans="1:12" ht="14.25" x14ac:dyDescent="0.2">
      <c r="A41" s="162">
        <f>'Analytical Data'!A40</f>
        <v>0</v>
      </c>
      <c r="B41" s="166"/>
      <c r="C41" s="167"/>
      <c r="D41" s="156">
        <f>Normalisation!E40/(SQRT(Uxy!D$4)-SQRT(C$4))</f>
        <v>0</v>
      </c>
      <c r="E41" s="98">
        <f>Normalisation!F40/(SQRT(Uxy!E$4)-SQRT(D$4))</f>
        <v>0</v>
      </c>
      <c r="F41" s="98">
        <f>Normalisation!G40/(SQRT(Uxy!F$4)-SQRT(E$4))</f>
        <v>0</v>
      </c>
      <c r="G41" s="98">
        <f>Normalisation!H40/(SQRT(Uxy!G$4)-SQRT(F$4))</f>
        <v>0</v>
      </c>
      <c r="H41" s="98">
        <f>Normalisation!I40/(SQRT(Uxy!H$4)-SQRT(G$4))</f>
        <v>0</v>
      </c>
      <c r="I41" s="98">
        <f>Normalisation!J40/(SQRT(Uxy!I$4)-SQRT(H$4))</f>
        <v>0</v>
      </c>
      <c r="J41" s="98">
        <f>Normalisation!K40/(SQRT(Uxy!J$4)-SQRT(I$4))</f>
        <v>0</v>
      </c>
      <c r="K41" s="99">
        <f>Normalisation!L40/(SQRT(Uxy!K$4)-SQRT(J$4))</f>
        <v>0</v>
      </c>
    </row>
    <row r="42" spans="1:12" ht="14.25" x14ac:dyDescent="0.2">
      <c r="A42" s="162">
        <f>'Analytical Data'!A41</f>
        <v>0</v>
      </c>
      <c r="B42" s="166"/>
      <c r="C42" s="167"/>
      <c r="D42" s="156">
        <f>Normalisation!E41/(SQRT(Uxy!D$4)-SQRT(C$4))</f>
        <v>0</v>
      </c>
      <c r="E42" s="98">
        <f>Normalisation!F41/(SQRT(Uxy!E$4)-SQRT(D$4))</f>
        <v>0</v>
      </c>
      <c r="F42" s="98">
        <f>Normalisation!G41/(SQRT(Uxy!F$4)-SQRT(E$4))</f>
        <v>0</v>
      </c>
      <c r="G42" s="98">
        <f>Normalisation!H41/(SQRT(Uxy!G$4)-SQRT(F$4))</f>
        <v>0</v>
      </c>
      <c r="H42" s="98">
        <f>Normalisation!I41/(SQRT(Uxy!H$4)-SQRT(G$4))</f>
        <v>0</v>
      </c>
      <c r="I42" s="98">
        <f>Normalisation!J41/(SQRT(Uxy!I$4)-SQRT(H$4))</f>
        <v>0</v>
      </c>
      <c r="J42" s="98">
        <f>Normalisation!K41/(SQRT(Uxy!J$4)-SQRT(I$4))</f>
        <v>0</v>
      </c>
      <c r="K42" s="99">
        <f>Normalisation!L41/(SQRT(Uxy!K$4)-SQRT(J$4))</f>
        <v>0</v>
      </c>
    </row>
    <row r="43" spans="1:12" ht="14.25" x14ac:dyDescent="0.2">
      <c r="A43" s="162">
        <f>'Analytical Data'!A42</f>
        <v>0</v>
      </c>
      <c r="B43" s="166"/>
      <c r="C43" s="167"/>
      <c r="D43" s="156">
        <f>Normalisation!E42/(SQRT(Uxy!D$4)-SQRT(C$4))</f>
        <v>0</v>
      </c>
      <c r="E43" s="98">
        <f>Normalisation!F42/(SQRT(Uxy!E$4)-SQRT(D$4))</f>
        <v>0</v>
      </c>
      <c r="F43" s="98">
        <f>Normalisation!G42/(SQRT(Uxy!F$4)-SQRT(E$4))</f>
        <v>0</v>
      </c>
      <c r="G43" s="98">
        <f>Normalisation!H42/(SQRT(Uxy!G$4)-SQRT(F$4))</f>
        <v>0</v>
      </c>
      <c r="H43" s="98">
        <f>Normalisation!I42/(SQRT(Uxy!H$4)-SQRT(G$4))</f>
        <v>0</v>
      </c>
      <c r="I43" s="98">
        <f>Normalisation!J42/(SQRT(Uxy!I$4)-SQRT(H$4))</f>
        <v>0</v>
      </c>
      <c r="J43" s="98">
        <f>Normalisation!K42/(SQRT(Uxy!J$4)-SQRT(I$4))</f>
        <v>0</v>
      </c>
      <c r="K43" s="99">
        <f>Normalisation!L42/(SQRT(Uxy!K$4)-SQRT(J$4))</f>
        <v>0</v>
      </c>
    </row>
    <row r="44" spans="1:12" ht="14.25" x14ac:dyDescent="0.2">
      <c r="A44" s="162">
        <f>'Analytical Data'!A43</f>
        <v>0</v>
      </c>
      <c r="B44" s="166"/>
      <c r="C44" s="167"/>
      <c r="D44" s="156">
        <f>Normalisation!E43/(SQRT(Uxy!D$4)-SQRT(C$4))</f>
        <v>0</v>
      </c>
      <c r="E44" s="98">
        <f>Normalisation!F43/(SQRT(Uxy!E$4)-SQRT(D$4))</f>
        <v>0</v>
      </c>
      <c r="F44" s="98">
        <f>Normalisation!G43/(SQRT(Uxy!F$4)-SQRT(E$4))</f>
        <v>0</v>
      </c>
      <c r="G44" s="98">
        <f>Normalisation!H43/(SQRT(Uxy!G$4)-SQRT(F$4))</f>
        <v>0</v>
      </c>
      <c r="H44" s="98">
        <f>Normalisation!I43/(SQRT(Uxy!H$4)-SQRT(G$4))</f>
        <v>0</v>
      </c>
      <c r="I44" s="98">
        <f>Normalisation!J43/(SQRT(Uxy!I$4)-SQRT(H$4))</f>
        <v>0</v>
      </c>
      <c r="J44" s="98">
        <f>Normalisation!K43/(SQRT(Uxy!J$4)-SQRT(I$4))</f>
        <v>0</v>
      </c>
      <c r="K44" s="99">
        <f>Normalisation!L43/(SQRT(Uxy!K$4)-SQRT(J$4))</f>
        <v>0</v>
      </c>
    </row>
    <row r="45" spans="1:12" ht="14.25" x14ac:dyDescent="0.2">
      <c r="A45" s="162">
        <f>'Analytical Data'!A44</f>
        <v>0</v>
      </c>
      <c r="B45" s="166"/>
      <c r="C45" s="167"/>
      <c r="D45" s="156">
        <f>Normalisation!E44/(SQRT(Uxy!D$4)-SQRT(C$4))</f>
        <v>0</v>
      </c>
      <c r="E45" s="98">
        <f>Normalisation!F44/(SQRT(Uxy!E$4)-SQRT(D$4))</f>
        <v>0</v>
      </c>
      <c r="F45" s="98">
        <f>Normalisation!G44/(SQRT(Uxy!F$4)-SQRT(E$4))</f>
        <v>0</v>
      </c>
      <c r="G45" s="98">
        <f>Normalisation!H44/(SQRT(Uxy!G$4)-SQRT(F$4))</f>
        <v>0</v>
      </c>
      <c r="H45" s="98">
        <f>Normalisation!I44/(SQRT(Uxy!H$4)-SQRT(G$4))</f>
        <v>0</v>
      </c>
      <c r="I45" s="98">
        <f>Normalisation!J44/(SQRT(Uxy!I$4)-SQRT(H$4))</f>
        <v>0</v>
      </c>
      <c r="J45" s="98">
        <f>Normalisation!K44/(SQRT(Uxy!J$4)-SQRT(I$4))</f>
        <v>0</v>
      </c>
      <c r="K45" s="99">
        <f>Normalisation!L44/(SQRT(Uxy!K$4)-SQRT(J$4))</f>
        <v>0</v>
      </c>
    </row>
    <row r="46" spans="1:12" ht="14.25" x14ac:dyDescent="0.2">
      <c r="A46" s="162">
        <f>'Analytical Data'!A45</f>
        <v>0</v>
      </c>
      <c r="B46" s="166"/>
      <c r="C46" s="167"/>
      <c r="D46" s="156">
        <f>Normalisation!E45/(SQRT(Uxy!D$4)-SQRT(C$4))</f>
        <v>0</v>
      </c>
      <c r="E46" s="98">
        <f>Normalisation!F45/(SQRT(Uxy!E$4)-SQRT(D$4))</f>
        <v>0</v>
      </c>
      <c r="F46" s="98">
        <f>Normalisation!G45/(SQRT(Uxy!F$4)-SQRT(E$4))</f>
        <v>0</v>
      </c>
      <c r="G46" s="98">
        <f>Normalisation!H45/(SQRT(Uxy!G$4)-SQRT(F$4))</f>
        <v>0</v>
      </c>
      <c r="H46" s="98">
        <f>Normalisation!I45/(SQRT(Uxy!H$4)-SQRT(G$4))</f>
        <v>0</v>
      </c>
      <c r="I46" s="98">
        <f>Normalisation!J45/(SQRT(Uxy!I$4)-SQRT(H$4))</f>
        <v>0</v>
      </c>
      <c r="J46" s="98">
        <f>Normalisation!K45/(SQRT(Uxy!J$4)-SQRT(I$4))</f>
        <v>0</v>
      </c>
      <c r="K46" s="99">
        <f>Normalisation!L45/(SQRT(Uxy!K$4)-SQRT(J$4))</f>
        <v>0</v>
      </c>
    </row>
    <row r="47" spans="1:12" ht="14.25" x14ac:dyDescent="0.2">
      <c r="A47" s="162">
        <f>'Analytical Data'!A46</f>
        <v>0</v>
      </c>
      <c r="B47" s="166"/>
      <c r="C47" s="167"/>
      <c r="D47" s="156">
        <f>Normalisation!E46/(SQRT(Uxy!D$4)-SQRT(C$4))</f>
        <v>0</v>
      </c>
      <c r="E47" s="98">
        <f>Normalisation!F46/(SQRT(Uxy!E$4)-SQRT(D$4))</f>
        <v>0</v>
      </c>
      <c r="F47" s="98">
        <f>Normalisation!G46/(SQRT(Uxy!F$4)-SQRT(E$4))</f>
        <v>0</v>
      </c>
      <c r="G47" s="98">
        <f>Normalisation!H46/(SQRT(Uxy!G$4)-SQRT(F$4))</f>
        <v>0</v>
      </c>
      <c r="H47" s="98">
        <f>Normalisation!I46/(SQRT(Uxy!H$4)-SQRT(G$4))</f>
        <v>0</v>
      </c>
      <c r="I47" s="98">
        <f>Normalisation!J46/(SQRT(Uxy!I$4)-SQRT(H$4))</f>
        <v>0</v>
      </c>
      <c r="J47" s="98">
        <f>Normalisation!K46/(SQRT(Uxy!J$4)-SQRT(I$4))</f>
        <v>0</v>
      </c>
      <c r="K47" s="99">
        <f>Normalisation!L46/(SQRT(Uxy!K$4)-SQRT(J$4))</f>
        <v>0</v>
      </c>
    </row>
    <row r="48" spans="1:12" ht="14.25" x14ac:dyDescent="0.2">
      <c r="A48" s="162">
        <f>'Analytical Data'!A47</f>
        <v>0</v>
      </c>
      <c r="B48" s="166"/>
      <c r="C48" s="167"/>
      <c r="D48" s="156">
        <f>Normalisation!E47/(SQRT(Uxy!D$4)-SQRT(C$4))</f>
        <v>0</v>
      </c>
      <c r="E48" s="98">
        <f>Normalisation!F47/(SQRT(Uxy!E$4)-SQRT(D$4))</f>
        <v>0</v>
      </c>
      <c r="F48" s="98">
        <f>Normalisation!G47/(SQRT(Uxy!F$4)-SQRT(E$4))</f>
        <v>0</v>
      </c>
      <c r="G48" s="98">
        <f>Normalisation!H47/(SQRT(Uxy!G$4)-SQRT(F$4))</f>
        <v>0</v>
      </c>
      <c r="H48" s="98">
        <f>Normalisation!I47/(SQRT(Uxy!H$4)-SQRT(G$4))</f>
        <v>0</v>
      </c>
      <c r="I48" s="98">
        <f>Normalisation!J47/(SQRT(Uxy!I$4)-SQRT(H$4))</f>
        <v>0</v>
      </c>
      <c r="J48" s="98">
        <f>Normalisation!K47/(SQRT(Uxy!J$4)-SQRT(I$4))</f>
        <v>0</v>
      </c>
      <c r="K48" s="99">
        <f>Normalisation!L47/(SQRT(Uxy!K$4)-SQRT(J$4))</f>
        <v>0</v>
      </c>
    </row>
    <row r="49" spans="1:11" ht="14.25" x14ac:dyDescent="0.2">
      <c r="A49" s="162">
        <f>'Analytical Data'!A48</f>
        <v>0</v>
      </c>
      <c r="B49" s="166"/>
      <c r="C49" s="167"/>
      <c r="D49" s="156">
        <f>Normalisation!E48/(SQRT(Uxy!D$4)-SQRT(C$4))</f>
        <v>0</v>
      </c>
      <c r="E49" s="98">
        <f>Normalisation!F48/(SQRT(Uxy!E$4)-SQRT(D$4))</f>
        <v>0</v>
      </c>
      <c r="F49" s="98">
        <f>Normalisation!G48/(SQRT(Uxy!F$4)-SQRT(E$4))</f>
        <v>0</v>
      </c>
      <c r="G49" s="98">
        <f>Normalisation!H48/(SQRT(Uxy!G$4)-SQRT(F$4))</f>
        <v>0</v>
      </c>
      <c r="H49" s="98">
        <f>Normalisation!I48/(SQRT(Uxy!H$4)-SQRT(G$4))</f>
        <v>0</v>
      </c>
      <c r="I49" s="98">
        <f>Normalisation!J48/(SQRT(Uxy!I$4)-SQRT(H$4))</f>
        <v>0</v>
      </c>
      <c r="J49" s="98">
        <f>Normalisation!K48/(SQRT(Uxy!J$4)-SQRT(I$4))</f>
        <v>0</v>
      </c>
      <c r="K49" s="99">
        <f>Normalisation!L48/(SQRT(Uxy!K$4)-SQRT(J$4))</f>
        <v>0</v>
      </c>
    </row>
    <row r="50" spans="1:11" ht="14.25" x14ac:dyDescent="0.2">
      <c r="A50" s="162">
        <f>'Analytical Data'!A49</f>
        <v>0</v>
      </c>
      <c r="B50" s="166"/>
      <c r="C50" s="167"/>
      <c r="D50" s="156">
        <f>Normalisation!E49/(SQRT(Uxy!D$4)-SQRT(C$4))</f>
        <v>0</v>
      </c>
      <c r="E50" s="98">
        <f>Normalisation!F49/(SQRT(Uxy!E$4)-SQRT(D$4))</f>
        <v>0</v>
      </c>
      <c r="F50" s="98">
        <f>Normalisation!G49/(SQRT(Uxy!F$4)-SQRT(E$4))</f>
        <v>0</v>
      </c>
      <c r="G50" s="98">
        <f>Normalisation!H49/(SQRT(Uxy!G$4)-SQRT(F$4))</f>
        <v>0</v>
      </c>
      <c r="H50" s="98">
        <f>Normalisation!I49/(SQRT(Uxy!H$4)-SQRT(G$4))</f>
        <v>0</v>
      </c>
      <c r="I50" s="98">
        <f>Normalisation!J49/(SQRT(Uxy!I$4)-SQRT(H$4))</f>
        <v>0</v>
      </c>
      <c r="J50" s="98">
        <f>Normalisation!K49/(SQRT(Uxy!J$4)-SQRT(I$4))</f>
        <v>0</v>
      </c>
      <c r="K50" s="99">
        <f>Normalisation!L49/(SQRT(Uxy!K$4)-SQRT(J$4))</f>
        <v>0</v>
      </c>
    </row>
    <row r="51" spans="1:11" ht="14.25" x14ac:dyDescent="0.2">
      <c r="A51" s="162">
        <f>'Analytical Data'!A50</f>
        <v>0</v>
      </c>
      <c r="B51" s="166"/>
      <c r="C51" s="167"/>
      <c r="D51" s="156">
        <f>Normalisation!E50/(SQRT(Uxy!D$4)-SQRT(C$4))</f>
        <v>0</v>
      </c>
      <c r="E51" s="98">
        <f>Normalisation!F50/(SQRT(Uxy!E$4)-SQRT(D$4))</f>
        <v>0</v>
      </c>
      <c r="F51" s="98">
        <f>Normalisation!G50/(SQRT(Uxy!F$4)-SQRT(E$4))</f>
        <v>0</v>
      </c>
      <c r="G51" s="98">
        <f>Normalisation!H50/(SQRT(Uxy!G$4)-SQRT(F$4))</f>
        <v>0</v>
      </c>
      <c r="H51" s="98">
        <f>Normalisation!I50/(SQRT(Uxy!H$4)-SQRT(G$4))</f>
        <v>0</v>
      </c>
      <c r="I51" s="98">
        <f>Normalisation!J50/(SQRT(Uxy!I$4)-SQRT(H$4))</f>
        <v>0</v>
      </c>
      <c r="J51" s="98">
        <f>Normalisation!K50/(SQRT(Uxy!J$4)-SQRT(I$4))</f>
        <v>0</v>
      </c>
      <c r="K51" s="99">
        <f>Normalisation!L50/(SQRT(Uxy!K$4)-SQRT(J$4))</f>
        <v>0</v>
      </c>
    </row>
    <row r="52" spans="1:11" ht="14.25" x14ac:dyDescent="0.2">
      <c r="A52" s="162">
        <f>'Analytical Data'!A51</f>
        <v>0</v>
      </c>
      <c r="B52" s="166"/>
      <c r="C52" s="167"/>
      <c r="D52" s="156">
        <f>Normalisation!E51/(SQRT(Uxy!D$4)-SQRT(C$4))</f>
        <v>0</v>
      </c>
      <c r="E52" s="98">
        <f>Normalisation!F51/(SQRT(Uxy!E$4)-SQRT(D$4))</f>
        <v>0</v>
      </c>
      <c r="F52" s="98">
        <f>Normalisation!G51/(SQRT(Uxy!F$4)-SQRT(E$4))</f>
        <v>0</v>
      </c>
      <c r="G52" s="98">
        <f>Normalisation!H51/(SQRT(Uxy!G$4)-SQRT(F$4))</f>
        <v>0</v>
      </c>
      <c r="H52" s="98">
        <f>Normalisation!I51/(SQRT(Uxy!H$4)-SQRT(G$4))</f>
        <v>0</v>
      </c>
      <c r="I52" s="98">
        <f>Normalisation!J51/(SQRT(Uxy!I$4)-SQRT(H$4))</f>
        <v>0</v>
      </c>
      <c r="J52" s="98">
        <f>Normalisation!K51/(SQRT(Uxy!J$4)-SQRT(I$4))</f>
        <v>0</v>
      </c>
      <c r="K52" s="99">
        <f>Normalisation!L51/(SQRT(Uxy!K$4)-SQRT(J$4))</f>
        <v>0</v>
      </c>
    </row>
    <row r="53" spans="1:11" ht="14.25" x14ac:dyDescent="0.2">
      <c r="A53" s="162">
        <f>'Analytical Data'!A52</f>
        <v>0</v>
      </c>
      <c r="B53" s="166"/>
      <c r="C53" s="167"/>
      <c r="D53" s="156">
        <f>Normalisation!E52/(SQRT(Uxy!D$4)-SQRT(C$4))</f>
        <v>0</v>
      </c>
      <c r="E53" s="98">
        <f>Normalisation!F52/(SQRT(Uxy!E$4)-SQRT(D$4))</f>
        <v>0</v>
      </c>
      <c r="F53" s="98">
        <f>Normalisation!G52/(SQRT(Uxy!F$4)-SQRT(E$4))</f>
        <v>0</v>
      </c>
      <c r="G53" s="98">
        <f>Normalisation!H52/(SQRT(Uxy!G$4)-SQRT(F$4))</f>
        <v>0</v>
      </c>
      <c r="H53" s="98">
        <f>Normalisation!I52/(SQRT(Uxy!H$4)-SQRT(G$4))</f>
        <v>0</v>
      </c>
      <c r="I53" s="98">
        <f>Normalisation!J52/(SQRT(Uxy!I$4)-SQRT(H$4))</f>
        <v>0</v>
      </c>
      <c r="J53" s="98">
        <f>Normalisation!K52/(SQRT(Uxy!J$4)-SQRT(I$4))</f>
        <v>0</v>
      </c>
      <c r="K53" s="99">
        <f>Normalisation!L52/(SQRT(Uxy!K$4)-SQRT(J$4))</f>
        <v>0</v>
      </c>
    </row>
    <row r="54" spans="1:11" ht="14.25" x14ac:dyDescent="0.2">
      <c r="A54" s="162">
        <f>'Analytical Data'!A53</f>
        <v>0</v>
      </c>
      <c r="B54" s="166"/>
      <c r="C54" s="167"/>
      <c r="D54" s="156">
        <f>Normalisation!E53/(SQRT(Uxy!D$4)-SQRT(C$4))</f>
        <v>0</v>
      </c>
      <c r="E54" s="98">
        <f>Normalisation!F53/(SQRT(Uxy!E$4)-SQRT(D$4))</f>
        <v>0</v>
      </c>
      <c r="F54" s="98">
        <f>Normalisation!G53/(SQRT(Uxy!F$4)-SQRT(E$4))</f>
        <v>0</v>
      </c>
      <c r="G54" s="98">
        <f>Normalisation!H53/(SQRT(Uxy!G$4)-SQRT(F$4))</f>
        <v>0</v>
      </c>
      <c r="H54" s="98">
        <f>Normalisation!I53/(SQRT(Uxy!H$4)-SQRT(G$4))</f>
        <v>0</v>
      </c>
      <c r="I54" s="98">
        <f>Normalisation!J53/(SQRT(Uxy!I$4)-SQRT(H$4))</f>
        <v>0</v>
      </c>
      <c r="J54" s="98">
        <f>Normalisation!K53/(SQRT(Uxy!J$4)-SQRT(I$4))</f>
        <v>0</v>
      </c>
      <c r="K54" s="99">
        <f>Normalisation!L53/(SQRT(Uxy!K$4)-SQRT(J$4))</f>
        <v>0</v>
      </c>
    </row>
    <row r="55" spans="1:11" ht="14.25" x14ac:dyDescent="0.2">
      <c r="A55" s="162">
        <f>'Analytical Data'!A54</f>
        <v>0</v>
      </c>
      <c r="B55" s="166"/>
      <c r="C55" s="167"/>
      <c r="D55" s="156">
        <f>Normalisation!E54/(SQRT(Uxy!D$4)-SQRT(C$4))</f>
        <v>0</v>
      </c>
      <c r="E55" s="98">
        <f>Normalisation!F54/(SQRT(Uxy!E$4)-SQRT(D$4))</f>
        <v>0</v>
      </c>
      <c r="F55" s="98">
        <f>Normalisation!G54/(SQRT(Uxy!F$4)-SQRT(E$4))</f>
        <v>0</v>
      </c>
      <c r="G55" s="98">
        <f>Normalisation!H54/(SQRT(Uxy!G$4)-SQRT(F$4))</f>
        <v>0</v>
      </c>
      <c r="H55" s="98">
        <f>Normalisation!I54/(SQRT(Uxy!H$4)-SQRT(G$4))</f>
        <v>0</v>
      </c>
      <c r="I55" s="98">
        <f>Normalisation!J54/(SQRT(Uxy!I$4)-SQRT(H$4))</f>
        <v>0</v>
      </c>
      <c r="J55" s="98">
        <f>Normalisation!K54/(SQRT(Uxy!J$4)-SQRT(I$4))</f>
        <v>0</v>
      </c>
      <c r="K55" s="99">
        <f>Normalisation!L54/(SQRT(Uxy!K$4)-SQRT(J$4))</f>
        <v>0</v>
      </c>
    </row>
    <row r="56" spans="1:11" ht="14.25" x14ac:dyDescent="0.2">
      <c r="A56" s="162">
        <f>'Analytical Data'!A55</f>
        <v>0</v>
      </c>
      <c r="B56" s="166"/>
      <c r="C56" s="167"/>
      <c r="D56" s="156">
        <f>Normalisation!E55/(SQRT(Uxy!D$4)-SQRT(C$4))</f>
        <v>0</v>
      </c>
      <c r="E56" s="98">
        <f>Normalisation!F55/(SQRT(Uxy!E$4)-SQRT(D$4))</f>
        <v>0</v>
      </c>
      <c r="F56" s="98">
        <f>Normalisation!G55/(SQRT(Uxy!F$4)-SQRT(E$4))</f>
        <v>0</v>
      </c>
      <c r="G56" s="98">
        <f>Normalisation!H55/(SQRT(Uxy!G$4)-SQRT(F$4))</f>
        <v>0</v>
      </c>
      <c r="H56" s="98">
        <f>Normalisation!I55/(SQRT(Uxy!H$4)-SQRT(G$4))</f>
        <v>0</v>
      </c>
      <c r="I56" s="98">
        <f>Normalisation!J55/(SQRT(Uxy!I$4)-SQRT(H$4))</f>
        <v>0</v>
      </c>
      <c r="J56" s="98">
        <f>Normalisation!K55/(SQRT(Uxy!J$4)-SQRT(I$4))</f>
        <v>0</v>
      </c>
      <c r="K56" s="99">
        <f>Normalisation!L55/(SQRT(Uxy!K$4)-SQRT(J$4))</f>
        <v>0</v>
      </c>
    </row>
    <row r="57" spans="1:11" ht="14.25" x14ac:dyDescent="0.2">
      <c r="A57" s="162">
        <f>'Analytical Data'!A56</f>
        <v>0</v>
      </c>
      <c r="B57" s="166"/>
      <c r="C57" s="167"/>
      <c r="D57" s="156">
        <f>Normalisation!E56/(SQRT(Uxy!D$4)-SQRT(C$4))</f>
        <v>0</v>
      </c>
      <c r="E57" s="98">
        <f>Normalisation!F56/(SQRT(Uxy!E$4)-SQRT(D$4))</f>
        <v>0</v>
      </c>
      <c r="F57" s="98">
        <f>Normalisation!G56/(SQRT(Uxy!F$4)-SQRT(E$4))</f>
        <v>0</v>
      </c>
      <c r="G57" s="98">
        <f>Normalisation!H56/(SQRT(Uxy!G$4)-SQRT(F$4))</f>
        <v>0</v>
      </c>
      <c r="H57" s="98">
        <f>Normalisation!I56/(SQRT(Uxy!H$4)-SQRT(G$4))</f>
        <v>0</v>
      </c>
      <c r="I57" s="98">
        <f>Normalisation!J56/(SQRT(Uxy!I$4)-SQRT(H$4))</f>
        <v>0</v>
      </c>
      <c r="J57" s="98">
        <f>Normalisation!K56/(SQRT(Uxy!J$4)-SQRT(I$4))</f>
        <v>0</v>
      </c>
      <c r="K57" s="99">
        <f>Normalisation!L56/(SQRT(Uxy!K$4)-SQRT(J$4))</f>
        <v>0</v>
      </c>
    </row>
    <row r="58" spans="1:11" ht="14.25" x14ac:dyDescent="0.2">
      <c r="A58" s="162">
        <f>'Analytical Data'!A57</f>
        <v>0</v>
      </c>
      <c r="B58" s="166"/>
      <c r="C58" s="167"/>
      <c r="D58" s="156">
        <f>Normalisation!E57/(SQRT(Uxy!D$4)-SQRT(C$4))</f>
        <v>0</v>
      </c>
      <c r="E58" s="98">
        <f>Normalisation!F57/(SQRT(Uxy!E$4)-SQRT(D$4))</f>
        <v>0</v>
      </c>
      <c r="F58" s="98">
        <f>Normalisation!G57/(SQRT(Uxy!F$4)-SQRT(E$4))</f>
        <v>0</v>
      </c>
      <c r="G58" s="98">
        <f>Normalisation!H57/(SQRT(Uxy!G$4)-SQRT(F$4))</f>
        <v>0</v>
      </c>
      <c r="H58" s="98">
        <f>Normalisation!I57/(SQRT(Uxy!H$4)-SQRT(G$4))</f>
        <v>0</v>
      </c>
      <c r="I58" s="98">
        <f>Normalisation!J57/(SQRT(Uxy!I$4)-SQRT(H$4))</f>
        <v>0</v>
      </c>
      <c r="J58" s="98">
        <f>Normalisation!K57/(SQRT(Uxy!J$4)-SQRT(I$4))</f>
        <v>0</v>
      </c>
      <c r="K58" s="99">
        <f>Normalisation!L57/(SQRT(Uxy!K$4)-SQRT(J$4))</f>
        <v>0</v>
      </c>
    </row>
    <row r="59" spans="1:11" ht="14.25" x14ac:dyDescent="0.2">
      <c r="A59" s="162">
        <f>'Analytical Data'!A58</f>
        <v>0</v>
      </c>
      <c r="B59" s="166"/>
      <c r="C59" s="167"/>
      <c r="D59" s="156">
        <f>Normalisation!E58/(SQRT(Uxy!D$4)-SQRT(C$4))</f>
        <v>0</v>
      </c>
      <c r="E59" s="98">
        <f>Normalisation!F58/(SQRT(Uxy!E$4)-SQRT(D$4))</f>
        <v>0</v>
      </c>
      <c r="F59" s="98">
        <f>Normalisation!G58/(SQRT(Uxy!F$4)-SQRT(E$4))</f>
        <v>0</v>
      </c>
      <c r="G59" s="98">
        <f>Normalisation!H58/(SQRT(Uxy!G$4)-SQRT(F$4))</f>
        <v>0</v>
      </c>
      <c r="H59" s="98">
        <f>Normalisation!I58/(SQRT(Uxy!H$4)-SQRT(G$4))</f>
        <v>0</v>
      </c>
      <c r="I59" s="98">
        <f>Normalisation!J58/(SQRT(Uxy!I$4)-SQRT(H$4))</f>
        <v>0</v>
      </c>
      <c r="J59" s="98">
        <f>Normalisation!K58/(SQRT(Uxy!J$4)-SQRT(I$4))</f>
        <v>0</v>
      </c>
      <c r="K59" s="99">
        <f>Normalisation!L58/(SQRT(Uxy!K$4)-SQRT(J$4))</f>
        <v>0</v>
      </c>
    </row>
    <row r="60" spans="1:11" ht="14.25" x14ac:dyDescent="0.2">
      <c r="A60" s="162">
        <f>'Analytical Data'!A59</f>
        <v>0</v>
      </c>
      <c r="B60" s="166"/>
      <c r="C60" s="167"/>
      <c r="D60" s="156">
        <f>Normalisation!E59/(SQRT(Uxy!D$4)-SQRT(C$4))</f>
        <v>0</v>
      </c>
      <c r="E60" s="98">
        <f>Normalisation!F59/(SQRT(Uxy!E$4)-SQRT(D$4))</f>
        <v>0</v>
      </c>
      <c r="F60" s="98">
        <f>Normalisation!G59/(SQRT(Uxy!F$4)-SQRT(E$4))</f>
        <v>0</v>
      </c>
      <c r="G60" s="98">
        <f>Normalisation!H59/(SQRT(Uxy!G$4)-SQRT(F$4))</f>
        <v>0</v>
      </c>
      <c r="H60" s="98">
        <f>Normalisation!I59/(SQRT(Uxy!H$4)-SQRT(G$4))</f>
        <v>0</v>
      </c>
      <c r="I60" s="98">
        <f>Normalisation!J59/(SQRT(Uxy!I$4)-SQRT(H$4))</f>
        <v>0</v>
      </c>
      <c r="J60" s="98">
        <f>Normalisation!K59/(SQRT(Uxy!J$4)-SQRT(I$4))</f>
        <v>0</v>
      </c>
      <c r="K60" s="99">
        <f>Normalisation!L59/(SQRT(Uxy!K$4)-SQRT(J$4))</f>
        <v>0</v>
      </c>
    </row>
    <row r="61" spans="1:11" ht="14.25" x14ac:dyDescent="0.2">
      <c r="A61" s="162">
        <f>'Analytical Data'!A60</f>
        <v>0</v>
      </c>
      <c r="B61" s="166"/>
      <c r="C61" s="167"/>
      <c r="D61" s="156">
        <f>Normalisation!E60/(SQRT(Uxy!D$4)-SQRT(C$4))</f>
        <v>0</v>
      </c>
      <c r="E61" s="98">
        <f>Normalisation!F60/(SQRT(Uxy!E$4)-SQRT(D$4))</f>
        <v>0</v>
      </c>
      <c r="F61" s="98">
        <f>Normalisation!G60/(SQRT(Uxy!F$4)-SQRT(E$4))</f>
        <v>0</v>
      </c>
      <c r="G61" s="98">
        <f>Normalisation!H60/(SQRT(Uxy!G$4)-SQRT(F$4))</f>
        <v>0</v>
      </c>
      <c r="H61" s="98">
        <f>Normalisation!I60/(SQRT(Uxy!H$4)-SQRT(G$4))</f>
        <v>0</v>
      </c>
      <c r="I61" s="98">
        <f>Normalisation!J60/(SQRT(Uxy!I$4)-SQRT(H$4))</f>
        <v>0</v>
      </c>
      <c r="J61" s="98">
        <f>Normalisation!K60/(SQRT(Uxy!J$4)-SQRT(I$4))</f>
        <v>0</v>
      </c>
      <c r="K61" s="99">
        <f>Normalisation!L60/(SQRT(Uxy!K$4)-SQRT(J$4))</f>
        <v>0</v>
      </c>
    </row>
    <row r="62" spans="1:11" ht="14.25" x14ac:dyDescent="0.2">
      <c r="A62" s="162">
        <f>'Analytical Data'!A61</f>
        <v>0</v>
      </c>
      <c r="B62" s="166"/>
      <c r="C62" s="167"/>
      <c r="D62" s="156">
        <f>Normalisation!E61/(SQRT(Uxy!D$4)-SQRT(C$4))</f>
        <v>0</v>
      </c>
      <c r="E62" s="98">
        <f>Normalisation!F61/(SQRT(Uxy!E$4)-SQRT(D$4))</f>
        <v>0</v>
      </c>
      <c r="F62" s="98">
        <f>Normalisation!G61/(SQRT(Uxy!F$4)-SQRT(E$4))</f>
        <v>0</v>
      </c>
      <c r="G62" s="98">
        <f>Normalisation!H61/(SQRT(Uxy!G$4)-SQRT(F$4))</f>
        <v>0</v>
      </c>
      <c r="H62" s="98">
        <f>Normalisation!I61/(SQRT(Uxy!H$4)-SQRT(G$4))</f>
        <v>0</v>
      </c>
      <c r="I62" s="98">
        <f>Normalisation!J61/(SQRT(Uxy!I$4)-SQRT(H$4))</f>
        <v>0</v>
      </c>
      <c r="J62" s="98">
        <f>Normalisation!K61/(SQRT(Uxy!J$4)-SQRT(I$4))</f>
        <v>0</v>
      </c>
      <c r="K62" s="99">
        <f>Normalisation!L61/(SQRT(Uxy!K$4)-SQRT(J$4))</f>
        <v>0</v>
      </c>
    </row>
    <row r="63" spans="1:11" ht="14.25" x14ac:dyDescent="0.2">
      <c r="A63" s="162">
        <f>'Analytical Data'!A62</f>
        <v>0</v>
      </c>
      <c r="B63" s="166"/>
      <c r="C63" s="167"/>
      <c r="D63" s="156">
        <f>Normalisation!E62/(SQRT(Uxy!D$4)-SQRT(C$4))</f>
        <v>0</v>
      </c>
      <c r="E63" s="98">
        <f>Normalisation!F62/(SQRT(Uxy!E$4)-SQRT(D$4))</f>
        <v>0</v>
      </c>
      <c r="F63" s="98">
        <f>Normalisation!G62/(SQRT(Uxy!F$4)-SQRT(E$4))</f>
        <v>0</v>
      </c>
      <c r="G63" s="98">
        <f>Normalisation!H62/(SQRT(Uxy!G$4)-SQRT(F$4))</f>
        <v>0</v>
      </c>
      <c r="H63" s="98">
        <f>Normalisation!I62/(SQRT(Uxy!H$4)-SQRT(G$4))</f>
        <v>0</v>
      </c>
      <c r="I63" s="98">
        <f>Normalisation!J62/(SQRT(Uxy!I$4)-SQRT(H$4))</f>
        <v>0</v>
      </c>
      <c r="J63" s="98">
        <f>Normalisation!K62/(SQRT(Uxy!J$4)-SQRT(I$4))</f>
        <v>0</v>
      </c>
      <c r="K63" s="99">
        <f>Normalisation!L62/(SQRT(Uxy!K$4)-SQRT(J$4))</f>
        <v>0</v>
      </c>
    </row>
    <row r="64" spans="1:11" ht="14.25" x14ac:dyDescent="0.2">
      <c r="A64" s="162">
        <f>'Analytical Data'!A63</f>
        <v>0</v>
      </c>
      <c r="B64" s="166"/>
      <c r="C64" s="167"/>
      <c r="D64" s="156">
        <f>Normalisation!E63/(SQRT(Uxy!D$4)-SQRT(C$4))</f>
        <v>0</v>
      </c>
      <c r="E64" s="98">
        <f>Normalisation!F63/(SQRT(Uxy!E$4)-SQRT(D$4))</f>
        <v>0</v>
      </c>
      <c r="F64" s="98">
        <f>Normalisation!G63/(SQRT(Uxy!F$4)-SQRT(E$4))</f>
        <v>0</v>
      </c>
      <c r="G64" s="98">
        <f>Normalisation!H63/(SQRT(Uxy!G$4)-SQRT(F$4))</f>
        <v>0</v>
      </c>
      <c r="H64" s="98">
        <f>Normalisation!I63/(SQRT(Uxy!H$4)-SQRT(G$4))</f>
        <v>0</v>
      </c>
      <c r="I64" s="98">
        <f>Normalisation!J63/(SQRT(Uxy!I$4)-SQRT(H$4))</f>
        <v>0</v>
      </c>
      <c r="J64" s="98">
        <f>Normalisation!K63/(SQRT(Uxy!J$4)-SQRT(I$4))</f>
        <v>0</v>
      </c>
      <c r="K64" s="99">
        <f>Normalisation!L63/(SQRT(Uxy!K$4)-SQRT(J$4))</f>
        <v>0</v>
      </c>
    </row>
    <row r="65" spans="1:11" ht="14.25" x14ac:dyDescent="0.2">
      <c r="A65" s="162">
        <f>'Analytical Data'!A64</f>
        <v>0</v>
      </c>
      <c r="B65" s="166"/>
      <c r="C65" s="167"/>
      <c r="D65" s="156">
        <f>Normalisation!E64/(SQRT(Uxy!D$4)-SQRT(C$4))</f>
        <v>0</v>
      </c>
      <c r="E65" s="98">
        <f>Normalisation!F64/(SQRT(Uxy!E$4)-SQRT(D$4))</f>
        <v>0</v>
      </c>
      <c r="F65" s="98">
        <f>Normalisation!G64/(SQRT(Uxy!F$4)-SQRT(E$4))</f>
        <v>0</v>
      </c>
      <c r="G65" s="98">
        <f>Normalisation!H64/(SQRT(Uxy!G$4)-SQRT(F$4))</f>
        <v>0</v>
      </c>
      <c r="H65" s="98">
        <f>Normalisation!I64/(SQRT(Uxy!H$4)-SQRT(G$4))</f>
        <v>0</v>
      </c>
      <c r="I65" s="98">
        <f>Normalisation!J64/(SQRT(Uxy!I$4)-SQRT(H$4))</f>
        <v>0</v>
      </c>
      <c r="J65" s="98">
        <f>Normalisation!K64/(SQRT(Uxy!J$4)-SQRT(I$4))</f>
        <v>0</v>
      </c>
      <c r="K65" s="99">
        <f>Normalisation!L64/(SQRT(Uxy!K$4)-SQRT(J$4))</f>
        <v>0</v>
      </c>
    </row>
    <row r="66" spans="1:11" ht="14.25" x14ac:dyDescent="0.2">
      <c r="A66" s="162">
        <f>'Analytical Data'!A65</f>
        <v>0</v>
      </c>
      <c r="B66" s="166"/>
      <c r="C66" s="167"/>
      <c r="D66" s="156">
        <f>Normalisation!E65/(SQRT(Uxy!D$4)-SQRT(C$4))</f>
        <v>0</v>
      </c>
      <c r="E66" s="98">
        <f>Normalisation!F65/(SQRT(Uxy!E$4)-SQRT(D$4))</f>
        <v>0</v>
      </c>
      <c r="F66" s="98">
        <f>Normalisation!G65/(SQRT(Uxy!F$4)-SQRT(E$4))</f>
        <v>0</v>
      </c>
      <c r="G66" s="98">
        <f>Normalisation!H65/(SQRT(Uxy!G$4)-SQRT(F$4))</f>
        <v>0</v>
      </c>
      <c r="H66" s="98">
        <f>Normalisation!I65/(SQRT(Uxy!H$4)-SQRT(G$4))</f>
        <v>0</v>
      </c>
      <c r="I66" s="98">
        <f>Normalisation!J65/(SQRT(Uxy!I$4)-SQRT(H$4))</f>
        <v>0</v>
      </c>
      <c r="J66" s="98">
        <f>Normalisation!K65/(SQRT(Uxy!J$4)-SQRT(I$4))</f>
        <v>0</v>
      </c>
      <c r="K66" s="99">
        <f>Normalisation!L65/(SQRT(Uxy!K$4)-SQRT(J$4))</f>
        <v>0</v>
      </c>
    </row>
    <row r="67" spans="1:11" ht="14.25" x14ac:dyDescent="0.2">
      <c r="A67" s="162">
        <f>'Analytical Data'!A66</f>
        <v>0</v>
      </c>
      <c r="B67" s="166"/>
      <c r="C67" s="167"/>
      <c r="D67" s="156">
        <f>Normalisation!E66/(SQRT(Uxy!D$4)-SQRT(C$4))</f>
        <v>0</v>
      </c>
      <c r="E67" s="98">
        <f>Normalisation!F66/(SQRT(Uxy!E$4)-SQRT(D$4))</f>
        <v>0</v>
      </c>
      <c r="F67" s="98">
        <f>Normalisation!G66/(SQRT(Uxy!F$4)-SQRT(E$4))</f>
        <v>0</v>
      </c>
      <c r="G67" s="98">
        <f>Normalisation!H66/(SQRT(Uxy!G$4)-SQRT(F$4))</f>
        <v>0</v>
      </c>
      <c r="H67" s="98">
        <f>Normalisation!I66/(SQRT(Uxy!H$4)-SQRT(G$4))</f>
        <v>0</v>
      </c>
      <c r="I67" s="98">
        <f>Normalisation!J66/(SQRT(Uxy!I$4)-SQRT(H$4))</f>
        <v>0</v>
      </c>
      <c r="J67" s="98">
        <f>Normalisation!K66/(SQRT(Uxy!J$4)-SQRT(I$4))</f>
        <v>0</v>
      </c>
      <c r="K67" s="99">
        <f>Normalisation!L66/(SQRT(Uxy!K$4)-SQRT(J$4))</f>
        <v>0</v>
      </c>
    </row>
    <row r="68" spans="1:11" ht="14.25" x14ac:dyDescent="0.2">
      <c r="A68" s="162">
        <f>'Analytical Data'!A67</f>
        <v>0</v>
      </c>
      <c r="B68" s="166"/>
      <c r="C68" s="167"/>
      <c r="D68" s="156">
        <f>Normalisation!E67/(SQRT(Uxy!D$4)-SQRT(C$4))</f>
        <v>0</v>
      </c>
      <c r="E68" s="98">
        <f>Normalisation!F67/(SQRT(Uxy!E$4)-SQRT(D$4))</f>
        <v>0</v>
      </c>
      <c r="F68" s="98">
        <f>Normalisation!G67/(SQRT(Uxy!F$4)-SQRT(E$4))</f>
        <v>0</v>
      </c>
      <c r="G68" s="98">
        <f>Normalisation!H67/(SQRT(Uxy!G$4)-SQRT(F$4))</f>
        <v>0</v>
      </c>
      <c r="H68" s="98">
        <f>Normalisation!I67/(SQRT(Uxy!H$4)-SQRT(G$4))</f>
        <v>0</v>
      </c>
      <c r="I68" s="98">
        <f>Normalisation!J67/(SQRT(Uxy!I$4)-SQRT(H$4))</f>
        <v>0</v>
      </c>
      <c r="J68" s="98">
        <f>Normalisation!K67/(SQRT(Uxy!J$4)-SQRT(I$4))</f>
        <v>0</v>
      </c>
      <c r="K68" s="99">
        <f>Normalisation!L67/(SQRT(Uxy!K$4)-SQRT(J$4))</f>
        <v>0</v>
      </c>
    </row>
    <row r="69" spans="1:11" ht="14.25" x14ac:dyDescent="0.2">
      <c r="A69" s="162">
        <f>'Analytical Data'!A68</f>
        <v>0</v>
      </c>
      <c r="B69" s="166"/>
      <c r="C69" s="167"/>
      <c r="D69" s="156">
        <f>Normalisation!E68/(SQRT(Uxy!D$4)-SQRT(C$4))</f>
        <v>0</v>
      </c>
      <c r="E69" s="98">
        <f>Normalisation!F68/(SQRT(Uxy!E$4)-SQRT(D$4))</f>
        <v>0</v>
      </c>
      <c r="F69" s="98">
        <f>Normalisation!G68/(SQRT(Uxy!F$4)-SQRT(E$4))</f>
        <v>0</v>
      </c>
      <c r="G69" s="98">
        <f>Normalisation!H68/(SQRT(Uxy!G$4)-SQRT(F$4))</f>
        <v>0</v>
      </c>
      <c r="H69" s="98">
        <f>Normalisation!I68/(SQRT(Uxy!H$4)-SQRT(G$4))</f>
        <v>0</v>
      </c>
      <c r="I69" s="98">
        <f>Normalisation!J68/(SQRT(Uxy!I$4)-SQRT(H$4))</f>
        <v>0</v>
      </c>
      <c r="J69" s="98">
        <f>Normalisation!K68/(SQRT(Uxy!J$4)-SQRT(I$4))</f>
        <v>0</v>
      </c>
      <c r="K69" s="99">
        <f>Normalisation!L68/(SQRT(Uxy!K$4)-SQRT(J$4))</f>
        <v>0</v>
      </c>
    </row>
    <row r="70" spans="1:11" ht="14.25" x14ac:dyDescent="0.2">
      <c r="A70" s="162">
        <f>'Analytical Data'!A69</f>
        <v>0</v>
      </c>
      <c r="B70" s="166"/>
      <c r="C70" s="167"/>
      <c r="D70" s="156">
        <f>Normalisation!E69/(SQRT(Uxy!D$4)-SQRT(C$4))</f>
        <v>0</v>
      </c>
      <c r="E70" s="98">
        <f>Normalisation!F69/(SQRT(Uxy!E$4)-SQRT(D$4))</f>
        <v>0</v>
      </c>
      <c r="F70" s="98">
        <f>Normalisation!G69/(SQRT(Uxy!F$4)-SQRT(E$4))</f>
        <v>0</v>
      </c>
      <c r="G70" s="98">
        <f>Normalisation!H69/(SQRT(Uxy!G$4)-SQRT(F$4))</f>
        <v>0</v>
      </c>
      <c r="H70" s="98">
        <f>Normalisation!I69/(SQRT(Uxy!H$4)-SQRT(G$4))</f>
        <v>0</v>
      </c>
      <c r="I70" s="98">
        <f>Normalisation!J69/(SQRT(Uxy!I$4)-SQRT(H$4))</f>
        <v>0</v>
      </c>
      <c r="J70" s="98">
        <f>Normalisation!K69/(SQRT(Uxy!J$4)-SQRT(I$4))</f>
        <v>0</v>
      </c>
      <c r="K70" s="99">
        <f>Normalisation!L69/(SQRT(Uxy!K$4)-SQRT(J$4))</f>
        <v>0</v>
      </c>
    </row>
    <row r="71" spans="1:11" ht="14.25" x14ac:dyDescent="0.2">
      <c r="A71" s="162">
        <f>'Analytical Data'!A70</f>
        <v>0</v>
      </c>
      <c r="B71" s="166"/>
      <c r="C71" s="167"/>
      <c r="D71" s="156">
        <f>Normalisation!E70/(SQRT(Uxy!D$4)-SQRT(C$4))</f>
        <v>0</v>
      </c>
      <c r="E71" s="98">
        <f>Normalisation!F70/(SQRT(Uxy!E$4)-SQRT(D$4))</f>
        <v>0</v>
      </c>
      <c r="F71" s="98">
        <f>Normalisation!G70/(SQRT(Uxy!F$4)-SQRT(E$4))</f>
        <v>0</v>
      </c>
      <c r="G71" s="98">
        <f>Normalisation!H70/(SQRT(Uxy!G$4)-SQRT(F$4))</f>
        <v>0</v>
      </c>
      <c r="H71" s="98">
        <f>Normalisation!I70/(SQRT(Uxy!H$4)-SQRT(G$4))</f>
        <v>0</v>
      </c>
      <c r="I71" s="98">
        <f>Normalisation!J70/(SQRT(Uxy!I$4)-SQRT(H$4))</f>
        <v>0</v>
      </c>
      <c r="J71" s="98">
        <f>Normalisation!K70/(SQRT(Uxy!J$4)-SQRT(I$4))</f>
        <v>0</v>
      </c>
      <c r="K71" s="99">
        <f>Normalisation!L70/(SQRT(Uxy!K$4)-SQRT(J$4))</f>
        <v>0</v>
      </c>
    </row>
    <row r="72" spans="1:11" ht="14.25" x14ac:dyDescent="0.2">
      <c r="A72" s="162">
        <f>'Analytical Data'!A71</f>
        <v>0</v>
      </c>
      <c r="B72" s="166"/>
      <c r="C72" s="167"/>
      <c r="D72" s="156">
        <f>Normalisation!E71/(SQRT(Uxy!D$4)-SQRT(C$4))</f>
        <v>0</v>
      </c>
      <c r="E72" s="98">
        <f>Normalisation!F71/(SQRT(Uxy!E$4)-SQRT(D$4))</f>
        <v>0</v>
      </c>
      <c r="F72" s="98">
        <f>Normalisation!G71/(SQRT(Uxy!F$4)-SQRT(E$4))</f>
        <v>0</v>
      </c>
      <c r="G72" s="98">
        <f>Normalisation!H71/(SQRT(Uxy!G$4)-SQRT(F$4))</f>
        <v>0</v>
      </c>
      <c r="H72" s="98">
        <f>Normalisation!I71/(SQRT(Uxy!H$4)-SQRT(G$4))</f>
        <v>0</v>
      </c>
      <c r="I72" s="98">
        <f>Normalisation!J71/(SQRT(Uxy!I$4)-SQRT(H$4))</f>
        <v>0</v>
      </c>
      <c r="J72" s="98">
        <f>Normalisation!K71/(SQRT(Uxy!J$4)-SQRT(I$4))</f>
        <v>0</v>
      </c>
      <c r="K72" s="99">
        <f>Normalisation!L71/(SQRT(Uxy!K$4)-SQRT(J$4))</f>
        <v>0</v>
      </c>
    </row>
    <row r="73" spans="1:11" ht="14.25" x14ac:dyDescent="0.2">
      <c r="A73" s="162">
        <f>'Analytical Data'!A72</f>
        <v>0</v>
      </c>
      <c r="B73" s="166"/>
      <c r="C73" s="167"/>
      <c r="D73" s="156">
        <f>Normalisation!E72/(SQRT(Uxy!D$4)-SQRT(C$4))</f>
        <v>0</v>
      </c>
      <c r="E73" s="98">
        <f>Normalisation!F72/(SQRT(Uxy!E$4)-SQRT(D$4))</f>
        <v>0</v>
      </c>
      <c r="F73" s="98">
        <f>Normalisation!G72/(SQRT(Uxy!F$4)-SQRT(E$4))</f>
        <v>0</v>
      </c>
      <c r="G73" s="98">
        <f>Normalisation!H72/(SQRT(Uxy!G$4)-SQRT(F$4))</f>
        <v>0</v>
      </c>
      <c r="H73" s="98">
        <f>Normalisation!I72/(SQRT(Uxy!H$4)-SQRT(G$4))</f>
        <v>0</v>
      </c>
      <c r="I73" s="98">
        <f>Normalisation!J72/(SQRT(Uxy!I$4)-SQRT(H$4))</f>
        <v>0</v>
      </c>
      <c r="J73" s="98">
        <f>Normalisation!K72/(SQRT(Uxy!J$4)-SQRT(I$4))</f>
        <v>0</v>
      </c>
      <c r="K73" s="99">
        <f>Normalisation!L72/(SQRT(Uxy!K$4)-SQRT(J$4))</f>
        <v>0</v>
      </c>
    </row>
    <row r="74" spans="1:11" ht="14.25" x14ac:dyDescent="0.2">
      <c r="A74" s="162">
        <f>'Analytical Data'!A73</f>
        <v>0</v>
      </c>
      <c r="B74" s="166"/>
      <c r="C74" s="167"/>
      <c r="D74" s="156">
        <f>Normalisation!E73/(SQRT(Uxy!D$4)-SQRT(C$4))</f>
        <v>0</v>
      </c>
      <c r="E74" s="98">
        <f>Normalisation!F73/(SQRT(Uxy!E$4)-SQRT(D$4))</f>
        <v>0</v>
      </c>
      <c r="F74" s="98">
        <f>Normalisation!G73/(SQRT(Uxy!F$4)-SQRT(E$4))</f>
        <v>0</v>
      </c>
      <c r="G74" s="98">
        <f>Normalisation!H73/(SQRT(Uxy!G$4)-SQRT(F$4))</f>
        <v>0</v>
      </c>
      <c r="H74" s="98">
        <f>Normalisation!I73/(SQRT(Uxy!H$4)-SQRT(G$4))</f>
        <v>0</v>
      </c>
      <c r="I74" s="98">
        <f>Normalisation!J73/(SQRT(Uxy!I$4)-SQRT(H$4))</f>
        <v>0</v>
      </c>
      <c r="J74" s="98">
        <f>Normalisation!K73/(SQRT(Uxy!J$4)-SQRT(I$4))</f>
        <v>0</v>
      </c>
      <c r="K74" s="99">
        <f>Normalisation!L73/(SQRT(Uxy!K$4)-SQRT(J$4))</f>
        <v>0</v>
      </c>
    </row>
    <row r="75" spans="1:11" ht="14.25" x14ac:dyDescent="0.2">
      <c r="A75" s="162">
        <f>'Analytical Data'!A74</f>
        <v>0</v>
      </c>
      <c r="B75" s="166"/>
      <c r="C75" s="167"/>
      <c r="D75" s="156">
        <f>Normalisation!E74/(SQRT(Uxy!D$4)-SQRT(C$4))</f>
        <v>0</v>
      </c>
      <c r="E75" s="98">
        <f>Normalisation!F74/(SQRT(Uxy!E$4)-SQRT(D$4))</f>
        <v>0</v>
      </c>
      <c r="F75" s="98">
        <f>Normalisation!G74/(SQRT(Uxy!F$4)-SQRT(E$4))</f>
        <v>0</v>
      </c>
      <c r="G75" s="98">
        <f>Normalisation!H74/(SQRT(Uxy!G$4)-SQRT(F$4))</f>
        <v>0</v>
      </c>
      <c r="H75" s="98">
        <f>Normalisation!I74/(SQRT(Uxy!H$4)-SQRT(G$4))</f>
        <v>0</v>
      </c>
      <c r="I75" s="98">
        <f>Normalisation!J74/(SQRT(Uxy!I$4)-SQRT(H$4))</f>
        <v>0</v>
      </c>
      <c r="J75" s="98">
        <f>Normalisation!K74/(SQRT(Uxy!J$4)-SQRT(I$4))</f>
        <v>0</v>
      </c>
      <c r="K75" s="99">
        <f>Normalisation!L74/(SQRT(Uxy!K$4)-SQRT(J$4))</f>
        <v>0</v>
      </c>
    </row>
    <row r="76" spans="1:11" ht="14.25" x14ac:dyDescent="0.2">
      <c r="A76" s="162">
        <f>'Analytical Data'!A75</f>
        <v>0</v>
      </c>
      <c r="B76" s="166"/>
      <c r="C76" s="167"/>
      <c r="D76" s="156">
        <f>Normalisation!E75/(SQRT(Uxy!D$4)-SQRT(C$4))</f>
        <v>0</v>
      </c>
      <c r="E76" s="98">
        <f>Normalisation!F75/(SQRT(Uxy!E$4)-SQRT(D$4))</f>
        <v>0</v>
      </c>
      <c r="F76" s="98">
        <f>Normalisation!G75/(SQRT(Uxy!F$4)-SQRT(E$4))</f>
        <v>0</v>
      </c>
      <c r="G76" s="98">
        <f>Normalisation!H75/(SQRT(Uxy!G$4)-SQRT(F$4))</f>
        <v>0</v>
      </c>
      <c r="H76" s="98">
        <f>Normalisation!I75/(SQRT(Uxy!H$4)-SQRT(G$4))</f>
        <v>0</v>
      </c>
      <c r="I76" s="98">
        <f>Normalisation!J75/(SQRT(Uxy!I$4)-SQRT(H$4))</f>
        <v>0</v>
      </c>
      <c r="J76" s="98">
        <f>Normalisation!K75/(SQRT(Uxy!J$4)-SQRT(I$4))</f>
        <v>0</v>
      </c>
      <c r="K76" s="99">
        <f>Normalisation!L75/(SQRT(Uxy!K$4)-SQRT(J$4))</f>
        <v>0</v>
      </c>
    </row>
    <row r="77" spans="1:11" ht="14.25" x14ac:dyDescent="0.2">
      <c r="A77" s="162">
        <f>'Analytical Data'!A76</f>
        <v>0</v>
      </c>
      <c r="B77" s="166"/>
      <c r="C77" s="167"/>
      <c r="D77" s="156">
        <f>Normalisation!E76/(SQRT(Uxy!D$4)-SQRT(C$4))</f>
        <v>0</v>
      </c>
      <c r="E77" s="98">
        <f>Normalisation!F76/(SQRT(Uxy!E$4)-SQRT(D$4))</f>
        <v>0</v>
      </c>
      <c r="F77" s="98">
        <f>Normalisation!G76/(SQRT(Uxy!F$4)-SQRT(E$4))</f>
        <v>0</v>
      </c>
      <c r="G77" s="98">
        <f>Normalisation!H76/(SQRT(Uxy!G$4)-SQRT(F$4))</f>
        <v>0</v>
      </c>
      <c r="H77" s="98">
        <f>Normalisation!I76/(SQRT(Uxy!H$4)-SQRT(G$4))</f>
        <v>0</v>
      </c>
      <c r="I77" s="98">
        <f>Normalisation!J76/(SQRT(Uxy!I$4)-SQRT(H$4))</f>
        <v>0</v>
      </c>
      <c r="J77" s="98">
        <f>Normalisation!K76/(SQRT(Uxy!J$4)-SQRT(I$4))</f>
        <v>0</v>
      </c>
      <c r="K77" s="99">
        <f>Normalisation!L76/(SQRT(Uxy!K$4)-SQRT(J$4))</f>
        <v>0</v>
      </c>
    </row>
  </sheetData>
  <phoneticPr fontId="15" type="noConversion"/>
  <conditionalFormatting sqref="F5:K5 D4:E5 F4:I4">
    <cfRule type="cellIs" dxfId="9" priority="1" stopIfTrue="1" operator="equal">
      <formula>"Diffusion"</formula>
    </cfRule>
  </conditionalFormatting>
  <pageMargins left="0.75" right="0.75" top="1" bottom="1" header="0.5" footer="0.5"/>
  <pageSetup scale="5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N75"/>
  <sheetViews>
    <sheetView view="pageBreakPreview" zoomScale="60" zoomScaleNormal="100" workbookViewId="0">
      <selection activeCell="H81" sqref="H81"/>
    </sheetView>
  </sheetViews>
  <sheetFormatPr defaultRowHeight="12.75" x14ac:dyDescent="0.2"/>
  <cols>
    <col min="1" max="1" width="39.85546875" customWidth="1"/>
    <col min="2" max="2" width="19" style="72" customWidth="1"/>
    <col min="3" max="3" width="20.5703125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3.85546875" customWidth="1"/>
    <col min="12" max="12" width="9.85546875" customWidth="1"/>
    <col min="13" max="14" width="9.140625" style="2"/>
  </cols>
  <sheetData>
    <row r="1" spans="1:12" ht="14.25" x14ac:dyDescent="0.2">
      <c r="A1" s="22"/>
      <c r="B1" s="36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15.75" thickBot="1" x14ac:dyDescent="0.3">
      <c r="A2" s="26" t="s">
        <v>103</v>
      </c>
      <c r="B2" s="36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15" x14ac:dyDescent="0.25">
      <c r="A3" s="22"/>
      <c r="B3" s="36"/>
      <c r="C3" s="22"/>
      <c r="D3" s="152" t="s">
        <v>60</v>
      </c>
      <c r="E3" s="153" t="s">
        <v>61</v>
      </c>
      <c r="F3" s="153" t="s">
        <v>53</v>
      </c>
      <c r="G3" s="153" t="s">
        <v>54</v>
      </c>
      <c r="H3" s="153" t="s">
        <v>55</v>
      </c>
      <c r="I3" s="154" t="s">
        <v>62</v>
      </c>
      <c r="J3" s="26"/>
      <c r="K3" s="22"/>
      <c r="L3" s="22"/>
    </row>
    <row r="4" spans="1:12" ht="15.75" hidden="1" thickBot="1" x14ac:dyDescent="0.3">
      <c r="A4" s="41" t="str">
        <f>'rc'!A4</f>
        <v>pH</v>
      </c>
      <c r="B4" s="42"/>
      <c r="C4" s="160" t="s">
        <v>68</v>
      </c>
      <c r="D4" s="62">
        <f ca="1">STDEV('Increment Analysis Derived'!F5:K5)</f>
        <v>0.19558917462531128</v>
      </c>
      <c r="E4" s="62">
        <f ca="1">STDEV('Increment Analysis Derived'!I5:L5)</f>
        <v>7.6530998830338245E-2</v>
      </c>
      <c r="F4" s="62">
        <f ca="1">STDEV('Increment Analysis Derived'!H5:K5)</f>
        <v>0.12468142172160634</v>
      </c>
      <c r="G4" s="62">
        <f ca="1">STDEV('Increment Analysis Derived'!G5:J5)</f>
        <v>0.16400647459109693</v>
      </c>
      <c r="H4" s="62">
        <f ca="1">STDEV('Increment Analysis Derived'!F5:I5)</f>
        <v>0.14641455338679996</v>
      </c>
      <c r="I4" s="63">
        <f ca="1">STDEV('Increment Analysis Derived'!E5:H5)</f>
        <v>0.15288842408078393</v>
      </c>
      <c r="J4" s="64" t="s">
        <v>64</v>
      </c>
      <c r="K4" s="22"/>
      <c r="L4" s="22"/>
    </row>
    <row r="5" spans="1:12" ht="15.75" hidden="1" thickBot="1" x14ac:dyDescent="0.3">
      <c r="A5" s="43" t="str">
        <f>'rc'!A5</f>
        <v>Electrical Conductivity</v>
      </c>
      <c r="B5" s="44"/>
      <c r="C5" s="159" t="s">
        <v>68</v>
      </c>
      <c r="D5" s="65">
        <f ca="1">STDEV('Increment Analysis Derived'!F6:K6)</f>
        <v>0.87894154684628689</v>
      </c>
      <c r="E5" s="65">
        <f ca="1">STDEV('Increment Analysis Derived'!I6:L6)</f>
        <v>0.12936359298416897</v>
      </c>
      <c r="F5" s="65">
        <f ca="1">STDEV('Increment Analysis Derived'!H6:K6)</f>
        <v>0.10661793669115839</v>
      </c>
      <c r="G5" s="65">
        <f ca="1">STDEV('Increment Analysis Derived'!G6:J6)</f>
        <v>0.46933502618534867</v>
      </c>
      <c r="H5" s="65">
        <f ca="1">STDEV('Increment Analysis Derived'!F6:I6)</f>
        <v>0.97686847002121502</v>
      </c>
      <c r="I5" s="66">
        <f ca="1">STDEV('Increment Analysis Derived'!E6:H6)</f>
        <v>1.2132776886908128</v>
      </c>
      <c r="J5" s="417" t="s">
        <v>128</v>
      </c>
      <c r="K5" s="418"/>
      <c r="L5" s="69"/>
    </row>
    <row r="6" spans="1:12" ht="15" hidden="1" x14ac:dyDescent="0.25">
      <c r="A6" s="43" t="str">
        <f>'rc'!A6</f>
        <v>Redox potential</v>
      </c>
      <c r="B6" s="44"/>
      <c r="C6" s="159" t="s">
        <v>68</v>
      </c>
      <c r="D6" s="65" t="e">
        <f ca="1">STDEV('Increment Analysis Derived'!F7:K7)</f>
        <v>#NUM!</v>
      </c>
      <c r="E6" s="65" t="e">
        <f ca="1">STDEV('Increment Analysis Derived'!I7:L7)</f>
        <v>#NUM!</v>
      </c>
      <c r="F6" s="65" t="e">
        <f ca="1">STDEV('Increment Analysis Derived'!H7:K7)</f>
        <v>#NUM!</v>
      </c>
      <c r="G6" s="65" t="e">
        <f ca="1">STDEV('Increment Analysis Derived'!G7:J7)</f>
        <v>#NUM!</v>
      </c>
      <c r="H6" s="65" t="e">
        <f ca="1">STDEV('Increment Analysis Derived'!F7:I7)</f>
        <v>#NUM!</v>
      </c>
      <c r="I6" s="66" t="e">
        <f ca="1">STDEV('Increment Analysis Derived'!E7:H7)</f>
        <v>#NUM!</v>
      </c>
      <c r="J6" s="419"/>
      <c r="K6" s="419"/>
      <c r="L6" s="36"/>
    </row>
    <row r="7" spans="1:12" ht="15" x14ac:dyDescent="0.25">
      <c r="A7" s="43" t="str">
        <f>'rc'!A7</f>
        <v>Chloride</v>
      </c>
      <c r="B7" s="44"/>
      <c r="C7" s="159" t="s">
        <v>68</v>
      </c>
      <c r="D7" s="65">
        <f ca="1">STDEV('Increment Analysis Derived'!F8:K8)</f>
        <v>1.1217747022817179</v>
      </c>
      <c r="E7" s="65">
        <f ca="1">STDEV('Increment Analysis Derived'!I8:L8)</f>
        <v>4.297649907926205E-2</v>
      </c>
      <c r="F7" s="65">
        <f ca="1">STDEV('Increment Analysis Derived'!H8:K8)</f>
        <v>0.17551130547174079</v>
      </c>
      <c r="G7" s="65">
        <f ca="1">STDEV('Increment Analysis Derived'!G8:J8)</f>
        <v>0.72129276587672631</v>
      </c>
      <c r="H7" s="65">
        <f ca="1">STDEV('Increment Analysis Derived'!F8:I8)</f>
        <v>1.2253544302705586</v>
      </c>
      <c r="I7" s="66">
        <f ca="1">STDEV('Increment Analysis Derived'!E8:H8)</f>
        <v>1.3163361795248476</v>
      </c>
      <c r="J7" s="419"/>
      <c r="K7" s="419"/>
      <c r="L7" s="36"/>
    </row>
    <row r="8" spans="1:12" ht="15" x14ac:dyDescent="0.25">
      <c r="A8" s="43" t="str">
        <f>'rc'!A8</f>
        <v>Sodium</v>
      </c>
      <c r="B8" s="44"/>
      <c r="C8" s="159" t="s">
        <v>68</v>
      </c>
      <c r="D8" s="65">
        <f ca="1">STDEV('Increment Analysis Derived'!F9:K9)</f>
        <v>0.5809963164839127</v>
      </c>
      <c r="E8" s="65">
        <f ca="1">STDEV('Increment Analysis Derived'!I9:L9)</f>
        <v>4.8978536092487368E-2</v>
      </c>
      <c r="F8" s="65">
        <f ca="1">STDEV('Increment Analysis Derived'!H9:K9)</f>
        <v>0.15006204306702953</v>
      </c>
      <c r="G8" s="65">
        <f ca="1">STDEV('Increment Analysis Derived'!G9:J9)</f>
        <v>0.52081850164455645</v>
      </c>
      <c r="H8" s="65">
        <f ca="1">STDEV('Increment Analysis Derived'!F9:I9)</f>
        <v>0.61063229125096186</v>
      </c>
      <c r="I8" s="66">
        <f ca="1">STDEV('Increment Analysis Derived'!E9:H9)</f>
        <v>0.63276030988476384</v>
      </c>
      <c r="J8" s="68"/>
      <c r="K8" s="22"/>
      <c r="L8" s="22"/>
    </row>
    <row r="9" spans="1:12" ht="15" x14ac:dyDescent="0.25">
      <c r="A9" s="43">
        <f>'rc'!A9</f>
        <v>0</v>
      </c>
      <c r="B9" s="44"/>
      <c r="C9" s="159" t="s">
        <v>68</v>
      </c>
      <c r="D9" s="65" t="e">
        <f ca="1">STDEV('Increment Analysis Derived'!F10:K10)</f>
        <v>#NUM!</v>
      </c>
      <c r="E9" s="65" t="e">
        <f ca="1">STDEV('Increment Analysis Derived'!I10:L10)</f>
        <v>#NUM!</v>
      </c>
      <c r="F9" s="65" t="e">
        <f ca="1">STDEV('Increment Analysis Derived'!H10:K10)</f>
        <v>#NUM!</v>
      </c>
      <c r="G9" s="65" t="e">
        <f ca="1">STDEV('Increment Analysis Derived'!G10:J10)</f>
        <v>#NUM!</v>
      </c>
      <c r="H9" s="65" t="e">
        <f ca="1">STDEV('Increment Analysis Derived'!F10:I10)</f>
        <v>#NUM!</v>
      </c>
      <c r="I9" s="66" t="e">
        <f ca="1">STDEV('Increment Analysis Derived'!E10:H10)</f>
        <v>#NUM!</v>
      </c>
      <c r="J9" s="68"/>
      <c r="K9" s="22"/>
      <c r="L9" s="22"/>
    </row>
    <row r="10" spans="1:12" ht="15" x14ac:dyDescent="0.25">
      <c r="A10" s="43">
        <f>'rc'!A10</f>
        <v>0</v>
      </c>
      <c r="B10" s="44"/>
      <c r="C10" s="159" t="s">
        <v>68</v>
      </c>
      <c r="D10" s="65" t="e">
        <f ca="1">STDEV('Increment Analysis Derived'!F11:K11)</f>
        <v>#NUM!</v>
      </c>
      <c r="E10" s="65" t="e">
        <f ca="1">STDEV('Increment Analysis Derived'!I11:L11)</f>
        <v>#NUM!</v>
      </c>
      <c r="F10" s="65" t="e">
        <f ca="1">STDEV('Increment Analysis Derived'!H11:K11)</f>
        <v>#NUM!</v>
      </c>
      <c r="G10" s="65" t="e">
        <f ca="1">STDEV('Increment Analysis Derived'!G11:J11)</f>
        <v>#NUM!</v>
      </c>
      <c r="H10" s="65" t="e">
        <f ca="1">STDEV('Increment Analysis Derived'!F11:I11)</f>
        <v>#NUM!</v>
      </c>
      <c r="I10" s="66" t="e">
        <f ca="1">STDEV('Increment Analysis Derived'!E11:H11)</f>
        <v>#NUM!</v>
      </c>
      <c r="J10" s="68"/>
      <c r="K10" s="22"/>
      <c r="L10" s="22"/>
    </row>
    <row r="11" spans="1:12" ht="15" x14ac:dyDescent="0.25">
      <c r="A11" s="43">
        <f>'rc'!A11</f>
        <v>0</v>
      </c>
      <c r="B11" s="44"/>
      <c r="C11" s="159" t="s">
        <v>68</v>
      </c>
      <c r="D11" s="65" t="e">
        <f ca="1">STDEV('Increment Analysis Derived'!F12:K12)</f>
        <v>#NUM!</v>
      </c>
      <c r="E11" s="65" t="e">
        <f ca="1">STDEV('Increment Analysis Derived'!I12:L12)</f>
        <v>#NUM!</v>
      </c>
      <c r="F11" s="65" t="e">
        <f ca="1">STDEV('Increment Analysis Derived'!H12:K12)</f>
        <v>#NUM!</v>
      </c>
      <c r="G11" s="65" t="e">
        <f ca="1">STDEV('Increment Analysis Derived'!G12:J12)</f>
        <v>#NUM!</v>
      </c>
      <c r="H11" s="65" t="e">
        <f ca="1">STDEV('Increment Analysis Derived'!F12:I12)</f>
        <v>#NUM!</v>
      </c>
      <c r="I11" s="66" t="e">
        <f ca="1">STDEV('Increment Analysis Derived'!E12:H12)</f>
        <v>#NUM!</v>
      </c>
      <c r="J11" s="68"/>
      <c r="K11" s="22"/>
      <c r="L11" s="22"/>
    </row>
    <row r="12" spans="1:12" ht="15" x14ac:dyDescent="0.25">
      <c r="A12" s="43">
        <f>'rc'!A12</f>
        <v>0</v>
      </c>
      <c r="B12" s="44"/>
      <c r="C12" s="159" t="s">
        <v>68</v>
      </c>
      <c r="D12" s="65" t="e">
        <f ca="1">STDEV('Increment Analysis Derived'!F13:K13)</f>
        <v>#NUM!</v>
      </c>
      <c r="E12" s="65" t="e">
        <f ca="1">STDEV('Increment Analysis Derived'!I13:L13)</f>
        <v>#NUM!</v>
      </c>
      <c r="F12" s="65" t="e">
        <f ca="1">STDEV('Increment Analysis Derived'!H13:K13)</f>
        <v>#NUM!</v>
      </c>
      <c r="G12" s="65" t="e">
        <f ca="1">STDEV('Increment Analysis Derived'!G13:J13)</f>
        <v>#NUM!</v>
      </c>
      <c r="H12" s="65" t="e">
        <f ca="1">STDEV('Increment Analysis Derived'!F13:I13)</f>
        <v>#NUM!</v>
      </c>
      <c r="I12" s="66" t="e">
        <f ca="1">STDEV('Increment Analysis Derived'!E13:H13)</f>
        <v>#NUM!</v>
      </c>
      <c r="J12" s="68"/>
      <c r="K12" s="22"/>
      <c r="L12" s="22"/>
    </row>
    <row r="13" spans="1:12" ht="15" x14ac:dyDescent="0.25">
      <c r="A13" s="43">
        <f>'rc'!A13</f>
        <v>0</v>
      </c>
      <c r="B13" s="44"/>
      <c r="C13" s="159" t="s">
        <v>68</v>
      </c>
      <c r="D13" s="65" t="e">
        <f ca="1">STDEV('Increment Analysis Derived'!F14:K14)</f>
        <v>#NUM!</v>
      </c>
      <c r="E13" s="65" t="e">
        <f ca="1">STDEV('Increment Analysis Derived'!I14:L14)</f>
        <v>#NUM!</v>
      </c>
      <c r="F13" s="65" t="e">
        <f ca="1">STDEV('Increment Analysis Derived'!H14:K14)</f>
        <v>#NUM!</v>
      </c>
      <c r="G13" s="65" t="e">
        <f ca="1">STDEV('Increment Analysis Derived'!G14:J14)</f>
        <v>#NUM!</v>
      </c>
      <c r="H13" s="65" t="e">
        <f ca="1">STDEV('Increment Analysis Derived'!F14:I14)</f>
        <v>#NUM!</v>
      </c>
      <c r="I13" s="66" t="e">
        <f ca="1">STDEV('Increment Analysis Derived'!E14:H14)</f>
        <v>#NUM!</v>
      </c>
      <c r="J13" s="68"/>
      <c r="K13" s="22"/>
      <c r="L13" s="22"/>
    </row>
    <row r="14" spans="1:12" ht="15" x14ac:dyDescent="0.25">
      <c r="A14" s="43">
        <f>'rc'!A14</f>
        <v>0</v>
      </c>
      <c r="B14" s="44"/>
      <c r="C14" s="159" t="s">
        <v>68</v>
      </c>
      <c r="D14" s="65" t="e">
        <f ca="1">STDEV('Increment Analysis Derived'!F15:K15)</f>
        <v>#NUM!</v>
      </c>
      <c r="E14" s="65" t="e">
        <f ca="1">STDEV('Increment Analysis Derived'!I15:L15)</f>
        <v>#NUM!</v>
      </c>
      <c r="F14" s="65" t="e">
        <f ca="1">STDEV('Increment Analysis Derived'!H15:K15)</f>
        <v>#NUM!</v>
      </c>
      <c r="G14" s="65" t="e">
        <f ca="1">STDEV('Increment Analysis Derived'!G15:J15)</f>
        <v>#NUM!</v>
      </c>
      <c r="H14" s="65" t="e">
        <f ca="1">STDEV('Increment Analysis Derived'!F15:I15)</f>
        <v>#NUM!</v>
      </c>
      <c r="I14" s="66" t="e">
        <f ca="1">STDEV('Increment Analysis Derived'!E15:H15)</f>
        <v>#NUM!</v>
      </c>
      <c r="J14" s="68"/>
      <c r="K14" s="22"/>
      <c r="L14" s="22"/>
    </row>
    <row r="15" spans="1:12" ht="15" x14ac:dyDescent="0.25">
      <c r="A15" s="43">
        <f>'rc'!A15</f>
        <v>0</v>
      </c>
      <c r="B15" s="44"/>
      <c r="C15" s="159" t="s">
        <v>68</v>
      </c>
      <c r="D15" s="65" t="e">
        <f ca="1">STDEV('Increment Analysis Derived'!F16:K16)</f>
        <v>#NUM!</v>
      </c>
      <c r="E15" s="65" t="e">
        <f ca="1">STDEV('Increment Analysis Derived'!I16:L16)</f>
        <v>#NUM!</v>
      </c>
      <c r="F15" s="65" t="e">
        <f ca="1">STDEV('Increment Analysis Derived'!H16:K16)</f>
        <v>#NUM!</v>
      </c>
      <c r="G15" s="65" t="e">
        <f ca="1">STDEV('Increment Analysis Derived'!G16:J16)</f>
        <v>#NUM!</v>
      </c>
      <c r="H15" s="65" t="e">
        <f ca="1">STDEV('Increment Analysis Derived'!F16:I16)</f>
        <v>#NUM!</v>
      </c>
      <c r="I15" s="66" t="e">
        <f ca="1">STDEV('Increment Analysis Derived'!E16:H16)</f>
        <v>#NUM!</v>
      </c>
      <c r="J15" s="68"/>
      <c r="K15" s="22"/>
      <c r="L15" s="22"/>
    </row>
    <row r="16" spans="1:12" ht="15" x14ac:dyDescent="0.25">
      <c r="A16" s="43">
        <f>'rc'!A16</f>
        <v>0</v>
      </c>
      <c r="B16" s="44"/>
      <c r="C16" s="159" t="s">
        <v>68</v>
      </c>
      <c r="D16" s="65" t="e">
        <f ca="1">STDEV('Increment Analysis Derived'!F17:K17)</f>
        <v>#NUM!</v>
      </c>
      <c r="E16" s="65" t="e">
        <f ca="1">STDEV('Increment Analysis Derived'!I17:L17)</f>
        <v>#NUM!</v>
      </c>
      <c r="F16" s="65" t="e">
        <f ca="1">STDEV('Increment Analysis Derived'!H17:K17)</f>
        <v>#NUM!</v>
      </c>
      <c r="G16" s="65" t="e">
        <f ca="1">STDEV('Increment Analysis Derived'!G17:J17)</f>
        <v>#NUM!</v>
      </c>
      <c r="H16" s="65" t="e">
        <f ca="1">STDEV('Increment Analysis Derived'!F17:I17)</f>
        <v>#NUM!</v>
      </c>
      <c r="I16" s="66" t="e">
        <f ca="1">STDEV('Increment Analysis Derived'!E17:H17)</f>
        <v>#NUM!</v>
      </c>
      <c r="J16" s="68"/>
      <c r="K16" s="22"/>
      <c r="L16" s="22"/>
    </row>
    <row r="17" spans="1:12" ht="15" x14ac:dyDescent="0.25">
      <c r="A17" s="43">
        <f>'rc'!A17</f>
        <v>0</v>
      </c>
      <c r="B17" s="44"/>
      <c r="C17" s="159" t="s">
        <v>68</v>
      </c>
      <c r="D17" s="65" t="e">
        <f ca="1">STDEV('Increment Analysis Derived'!F18:K18)</f>
        <v>#NUM!</v>
      </c>
      <c r="E17" s="65" t="e">
        <f ca="1">STDEV('Increment Analysis Derived'!I18:L18)</f>
        <v>#NUM!</v>
      </c>
      <c r="F17" s="65" t="e">
        <f ca="1">STDEV('Increment Analysis Derived'!H18:K18)</f>
        <v>#NUM!</v>
      </c>
      <c r="G17" s="65" t="e">
        <f ca="1">STDEV('Increment Analysis Derived'!G18:J18)</f>
        <v>#NUM!</v>
      </c>
      <c r="H17" s="65" t="e">
        <f ca="1">STDEV('Increment Analysis Derived'!F18:I18)</f>
        <v>#NUM!</v>
      </c>
      <c r="I17" s="66" t="e">
        <f ca="1">STDEV('Increment Analysis Derived'!E18:H18)</f>
        <v>#NUM!</v>
      </c>
      <c r="J17" s="68"/>
      <c r="K17" s="22"/>
      <c r="L17" s="22"/>
    </row>
    <row r="18" spans="1:12" ht="15" x14ac:dyDescent="0.25">
      <c r="A18" s="43">
        <f>'rc'!A18</f>
        <v>0</v>
      </c>
      <c r="B18" s="44"/>
      <c r="C18" s="159" t="s">
        <v>68</v>
      </c>
      <c r="D18" s="65" t="e">
        <f ca="1">STDEV('Increment Analysis Derived'!F19:K19)</f>
        <v>#NUM!</v>
      </c>
      <c r="E18" s="65" t="e">
        <f ca="1">STDEV('Increment Analysis Derived'!I19:L19)</f>
        <v>#NUM!</v>
      </c>
      <c r="F18" s="65" t="e">
        <f ca="1">STDEV('Increment Analysis Derived'!H19:K19)</f>
        <v>#NUM!</v>
      </c>
      <c r="G18" s="65" t="e">
        <f ca="1">STDEV('Increment Analysis Derived'!G19:J19)</f>
        <v>#NUM!</v>
      </c>
      <c r="H18" s="65" t="e">
        <f ca="1">STDEV('Increment Analysis Derived'!F19:I19)</f>
        <v>#NUM!</v>
      </c>
      <c r="I18" s="66" t="e">
        <f ca="1">STDEV('Increment Analysis Derived'!E19:H19)</f>
        <v>#NUM!</v>
      </c>
      <c r="J18" s="68"/>
      <c r="K18" s="22"/>
      <c r="L18" s="22"/>
    </row>
    <row r="19" spans="1:12" ht="15" x14ac:dyDescent="0.25">
      <c r="A19" s="43">
        <f>'rc'!A19</f>
        <v>0</v>
      </c>
      <c r="B19" s="44"/>
      <c r="C19" s="159" t="s">
        <v>68</v>
      </c>
      <c r="D19" s="65" t="e">
        <f ca="1">STDEV('Increment Analysis Derived'!F20:K20)</f>
        <v>#NUM!</v>
      </c>
      <c r="E19" s="65" t="e">
        <f ca="1">STDEV('Increment Analysis Derived'!I20:L20)</f>
        <v>#NUM!</v>
      </c>
      <c r="F19" s="65" t="e">
        <f ca="1">STDEV('Increment Analysis Derived'!H20:K20)</f>
        <v>#NUM!</v>
      </c>
      <c r="G19" s="65" t="e">
        <f ca="1">STDEV('Increment Analysis Derived'!G20:J20)</f>
        <v>#NUM!</v>
      </c>
      <c r="H19" s="65" t="e">
        <f ca="1">STDEV('Increment Analysis Derived'!F20:I20)</f>
        <v>#NUM!</v>
      </c>
      <c r="I19" s="66" t="e">
        <f ca="1">STDEV('Increment Analysis Derived'!E20:H20)</f>
        <v>#NUM!</v>
      </c>
      <c r="J19" s="68"/>
      <c r="K19" s="22"/>
      <c r="L19" s="22"/>
    </row>
    <row r="20" spans="1:12" ht="15" x14ac:dyDescent="0.25">
      <c r="A20" s="43">
        <f>'rc'!A20</f>
        <v>0</v>
      </c>
      <c r="B20" s="44"/>
      <c r="C20" s="159" t="s">
        <v>68</v>
      </c>
      <c r="D20" s="65" t="e">
        <f ca="1">STDEV('Increment Analysis Derived'!F21:K21)</f>
        <v>#NUM!</v>
      </c>
      <c r="E20" s="65" t="e">
        <f ca="1">STDEV('Increment Analysis Derived'!I21:L21)</f>
        <v>#NUM!</v>
      </c>
      <c r="F20" s="65" t="e">
        <f ca="1">STDEV('Increment Analysis Derived'!H21:K21)</f>
        <v>#NUM!</v>
      </c>
      <c r="G20" s="65" t="e">
        <f ca="1">STDEV('Increment Analysis Derived'!G21:J21)</f>
        <v>#NUM!</v>
      </c>
      <c r="H20" s="65" t="e">
        <f ca="1">STDEV('Increment Analysis Derived'!F21:I21)</f>
        <v>#NUM!</v>
      </c>
      <c r="I20" s="66" t="e">
        <f ca="1">STDEV('Increment Analysis Derived'!E21:H21)</f>
        <v>#NUM!</v>
      </c>
      <c r="J20" s="68"/>
      <c r="K20" s="22"/>
      <c r="L20" s="22"/>
    </row>
    <row r="21" spans="1:12" ht="15" x14ac:dyDescent="0.25">
      <c r="A21" s="43">
        <f>'rc'!A21</f>
        <v>0</v>
      </c>
      <c r="B21" s="44"/>
      <c r="C21" s="159" t="s">
        <v>68</v>
      </c>
      <c r="D21" s="65" t="e">
        <f ca="1">STDEV('Increment Analysis Derived'!F22:K22)</f>
        <v>#NUM!</v>
      </c>
      <c r="E21" s="65" t="e">
        <f ca="1">STDEV('Increment Analysis Derived'!I22:L22)</f>
        <v>#NUM!</v>
      </c>
      <c r="F21" s="65" t="e">
        <f ca="1">STDEV('Increment Analysis Derived'!H22:K22)</f>
        <v>#NUM!</v>
      </c>
      <c r="G21" s="65" t="e">
        <f ca="1">STDEV('Increment Analysis Derived'!G22:J22)</f>
        <v>#NUM!</v>
      </c>
      <c r="H21" s="65" t="e">
        <f ca="1">STDEV('Increment Analysis Derived'!F22:I22)</f>
        <v>#NUM!</v>
      </c>
      <c r="I21" s="66" t="e">
        <f ca="1">STDEV('Increment Analysis Derived'!E22:H22)</f>
        <v>#NUM!</v>
      </c>
      <c r="J21" s="68"/>
      <c r="K21" s="22"/>
      <c r="L21" s="22"/>
    </row>
    <row r="22" spans="1:12" ht="15" hidden="1" x14ac:dyDescent="0.25">
      <c r="A22" s="43">
        <f>'rc'!A22</f>
        <v>0</v>
      </c>
      <c r="B22" s="44"/>
      <c r="C22" s="159" t="s">
        <v>68</v>
      </c>
      <c r="D22" s="65" t="e">
        <f ca="1">STDEV('Increment Analysis Derived'!F23:K23)</f>
        <v>#NUM!</v>
      </c>
      <c r="E22" s="65" t="e">
        <f ca="1">STDEV('Increment Analysis Derived'!I23:L23)</f>
        <v>#NUM!</v>
      </c>
      <c r="F22" s="65" t="e">
        <f ca="1">STDEV('Increment Analysis Derived'!H23:K23)</f>
        <v>#NUM!</v>
      </c>
      <c r="G22" s="65" t="e">
        <f ca="1">STDEV('Increment Analysis Derived'!G23:J23)</f>
        <v>#NUM!</v>
      </c>
      <c r="H22" s="65" t="e">
        <f ca="1">STDEV('Increment Analysis Derived'!F23:I23)</f>
        <v>#NUM!</v>
      </c>
      <c r="I22" s="66" t="e">
        <f ca="1">STDEV('Increment Analysis Derived'!E23:H23)</f>
        <v>#NUM!</v>
      </c>
      <c r="J22" s="68"/>
      <c r="K22" s="22"/>
      <c r="L22" s="22"/>
    </row>
    <row r="23" spans="1:12" ht="15" hidden="1" x14ac:dyDescent="0.25">
      <c r="A23" s="43">
        <f>'rc'!A23</f>
        <v>0</v>
      </c>
      <c r="B23" s="44"/>
      <c r="C23" s="159" t="s">
        <v>68</v>
      </c>
      <c r="D23" s="65" t="e">
        <f ca="1">STDEV('Increment Analysis Derived'!F24:K24)</f>
        <v>#NUM!</v>
      </c>
      <c r="E23" s="65" t="e">
        <f ca="1">STDEV('Increment Analysis Derived'!I24:L24)</f>
        <v>#NUM!</v>
      </c>
      <c r="F23" s="65" t="e">
        <f ca="1">STDEV('Increment Analysis Derived'!H24:K24)</f>
        <v>#NUM!</v>
      </c>
      <c r="G23" s="65" t="e">
        <f ca="1">STDEV('Increment Analysis Derived'!G24:J24)</f>
        <v>#NUM!</v>
      </c>
      <c r="H23" s="65" t="e">
        <f ca="1">STDEV('Increment Analysis Derived'!F24:I24)</f>
        <v>#NUM!</v>
      </c>
      <c r="I23" s="66" t="e">
        <f ca="1">STDEV('Increment Analysis Derived'!E24:H24)</f>
        <v>#NUM!</v>
      </c>
      <c r="J23" s="68"/>
      <c r="K23" s="22"/>
      <c r="L23" s="22"/>
    </row>
    <row r="24" spans="1:12" ht="15" x14ac:dyDescent="0.25">
      <c r="A24" s="43">
        <f>'rc'!A24</f>
        <v>0</v>
      </c>
      <c r="B24" s="44"/>
      <c r="C24" s="159" t="s">
        <v>68</v>
      </c>
      <c r="D24" s="65" t="e">
        <f ca="1">STDEV('Increment Analysis Derived'!F25:K25)</f>
        <v>#NUM!</v>
      </c>
      <c r="E24" s="65" t="e">
        <f ca="1">STDEV('Increment Analysis Derived'!I25:L25)</f>
        <v>#NUM!</v>
      </c>
      <c r="F24" s="65" t="e">
        <f ca="1">STDEV('Increment Analysis Derived'!H25:K25)</f>
        <v>#NUM!</v>
      </c>
      <c r="G24" s="65" t="e">
        <f ca="1">STDEV('Increment Analysis Derived'!G25:J25)</f>
        <v>#NUM!</v>
      </c>
      <c r="H24" s="65" t="e">
        <f ca="1">STDEV('Increment Analysis Derived'!F25:I25)</f>
        <v>#NUM!</v>
      </c>
      <c r="I24" s="66" t="e">
        <f ca="1">STDEV('Increment Analysis Derived'!E25:H25)</f>
        <v>#NUM!</v>
      </c>
      <c r="J24" s="68"/>
      <c r="K24" s="22"/>
      <c r="L24" s="22"/>
    </row>
    <row r="25" spans="1:12" ht="15" x14ac:dyDescent="0.25">
      <c r="A25" s="43">
        <f>'rc'!A25</f>
        <v>0</v>
      </c>
      <c r="B25" s="44"/>
      <c r="C25" s="159" t="s">
        <v>68</v>
      </c>
      <c r="D25" s="65" t="e">
        <f ca="1">STDEV('Increment Analysis Derived'!F26:K26)</f>
        <v>#NUM!</v>
      </c>
      <c r="E25" s="65" t="e">
        <f ca="1">STDEV('Increment Analysis Derived'!I26:L26)</f>
        <v>#NUM!</v>
      </c>
      <c r="F25" s="65" t="e">
        <f ca="1">STDEV('Increment Analysis Derived'!H26:K26)</f>
        <v>#NUM!</v>
      </c>
      <c r="G25" s="65" t="e">
        <f ca="1">STDEV('Increment Analysis Derived'!G26:J26)</f>
        <v>#NUM!</v>
      </c>
      <c r="H25" s="65" t="e">
        <f ca="1">STDEV('Increment Analysis Derived'!F26:I26)</f>
        <v>#NUM!</v>
      </c>
      <c r="I25" s="66" t="e">
        <f ca="1">STDEV('Increment Analysis Derived'!E26:H26)</f>
        <v>#NUM!</v>
      </c>
      <c r="J25" s="68"/>
      <c r="K25" s="22"/>
      <c r="L25" s="22"/>
    </row>
    <row r="26" spans="1:12" ht="15" x14ac:dyDescent="0.25">
      <c r="A26" s="43">
        <f>'rc'!A26</f>
        <v>0</v>
      </c>
      <c r="B26" s="44"/>
      <c r="C26" s="159" t="s">
        <v>68</v>
      </c>
      <c r="D26" s="65" t="e">
        <f ca="1">STDEV('Increment Analysis Derived'!F27:K27)</f>
        <v>#NUM!</v>
      </c>
      <c r="E26" s="65" t="e">
        <f ca="1">STDEV('Increment Analysis Derived'!I27:L27)</f>
        <v>#NUM!</v>
      </c>
      <c r="F26" s="65" t="e">
        <f ca="1">STDEV('Increment Analysis Derived'!H27:K27)</f>
        <v>#NUM!</v>
      </c>
      <c r="G26" s="65" t="e">
        <f ca="1">STDEV('Increment Analysis Derived'!G27:J27)</f>
        <v>#NUM!</v>
      </c>
      <c r="H26" s="65" t="e">
        <f ca="1">STDEV('Increment Analysis Derived'!F27:I27)</f>
        <v>#NUM!</v>
      </c>
      <c r="I26" s="66" t="e">
        <f ca="1">STDEV('Increment Analysis Derived'!E27:H27)</f>
        <v>#NUM!</v>
      </c>
      <c r="J26" s="68"/>
      <c r="K26" s="22"/>
      <c r="L26" s="22"/>
    </row>
    <row r="27" spans="1:12" ht="15" x14ac:dyDescent="0.25">
      <c r="A27" s="43">
        <f>'rc'!A27</f>
        <v>0</v>
      </c>
      <c r="B27" s="44"/>
      <c r="C27" s="159" t="s">
        <v>68</v>
      </c>
      <c r="D27" s="65" t="e">
        <f ca="1">STDEV('Increment Analysis Derived'!F28:K28)</f>
        <v>#NUM!</v>
      </c>
      <c r="E27" s="65" t="e">
        <f ca="1">STDEV('Increment Analysis Derived'!I28:L28)</f>
        <v>#NUM!</v>
      </c>
      <c r="F27" s="65" t="e">
        <f ca="1">STDEV('Increment Analysis Derived'!H28:K28)</f>
        <v>#NUM!</v>
      </c>
      <c r="G27" s="65" t="e">
        <f ca="1">STDEV('Increment Analysis Derived'!G28:J28)</f>
        <v>#NUM!</v>
      </c>
      <c r="H27" s="65" t="e">
        <f ca="1">STDEV('Increment Analysis Derived'!F28:I28)</f>
        <v>#NUM!</v>
      </c>
      <c r="I27" s="66" t="e">
        <f ca="1">STDEV('Increment Analysis Derived'!E28:H28)</f>
        <v>#NUM!</v>
      </c>
      <c r="J27" s="68"/>
      <c r="K27" s="22"/>
      <c r="L27" s="22"/>
    </row>
    <row r="28" spans="1:12" ht="15" x14ac:dyDescent="0.25">
      <c r="A28" s="43">
        <f>'rc'!A28</f>
        <v>0</v>
      </c>
      <c r="B28" s="44"/>
      <c r="C28" s="159" t="s">
        <v>68</v>
      </c>
      <c r="D28" s="65" t="e">
        <f ca="1">STDEV('Increment Analysis Derived'!F29:K29)</f>
        <v>#NUM!</v>
      </c>
      <c r="E28" s="65" t="e">
        <f ca="1">STDEV('Increment Analysis Derived'!I29:L29)</f>
        <v>#NUM!</v>
      </c>
      <c r="F28" s="65" t="e">
        <f ca="1">STDEV('Increment Analysis Derived'!H29:K29)</f>
        <v>#NUM!</v>
      </c>
      <c r="G28" s="65" t="e">
        <f ca="1">STDEV('Increment Analysis Derived'!G29:J29)</f>
        <v>#NUM!</v>
      </c>
      <c r="H28" s="65" t="e">
        <f ca="1">STDEV('Increment Analysis Derived'!F29:I29)</f>
        <v>#NUM!</v>
      </c>
      <c r="I28" s="66" t="e">
        <f ca="1">STDEV('Increment Analysis Derived'!E29:H29)</f>
        <v>#NUM!</v>
      </c>
      <c r="J28" s="68"/>
      <c r="K28" s="22"/>
      <c r="L28" s="22"/>
    </row>
    <row r="29" spans="1:12" ht="15" x14ac:dyDescent="0.25">
      <c r="A29" s="43">
        <f>'rc'!A29</f>
        <v>0</v>
      </c>
      <c r="B29" s="44"/>
      <c r="C29" s="159" t="s">
        <v>68</v>
      </c>
      <c r="D29" s="65" t="e">
        <f ca="1">STDEV('Increment Analysis Derived'!F30:K30)</f>
        <v>#NUM!</v>
      </c>
      <c r="E29" s="65" t="e">
        <f ca="1">STDEV('Increment Analysis Derived'!I30:L30)</f>
        <v>#NUM!</v>
      </c>
      <c r="F29" s="65" t="e">
        <f ca="1">STDEV('Increment Analysis Derived'!H30:K30)</f>
        <v>#NUM!</v>
      </c>
      <c r="G29" s="65" t="e">
        <f ca="1">STDEV('Increment Analysis Derived'!G30:J30)</f>
        <v>#NUM!</v>
      </c>
      <c r="H29" s="65" t="e">
        <f ca="1">STDEV('Increment Analysis Derived'!F30:I30)</f>
        <v>#NUM!</v>
      </c>
      <c r="I29" s="66" t="e">
        <f ca="1">STDEV('Increment Analysis Derived'!E30:H30)</f>
        <v>#NUM!</v>
      </c>
      <c r="J29" s="22"/>
      <c r="K29" s="22"/>
      <c r="L29" s="22"/>
    </row>
    <row r="30" spans="1:12" ht="15" x14ac:dyDescent="0.25">
      <c r="A30" s="43">
        <f>'rc'!A30</f>
        <v>0</v>
      </c>
      <c r="B30" s="44"/>
      <c r="C30" s="159" t="s">
        <v>68</v>
      </c>
      <c r="D30" s="65" t="e">
        <f ca="1">STDEV('Increment Analysis Derived'!F31:K31)</f>
        <v>#NUM!</v>
      </c>
      <c r="E30" s="65" t="e">
        <f ca="1">STDEV('Increment Analysis Derived'!I31:L31)</f>
        <v>#NUM!</v>
      </c>
      <c r="F30" s="65" t="e">
        <f ca="1">STDEV('Increment Analysis Derived'!H31:K31)</f>
        <v>#NUM!</v>
      </c>
      <c r="G30" s="65" t="e">
        <f ca="1">STDEV('Increment Analysis Derived'!G31:J31)</f>
        <v>#NUM!</v>
      </c>
      <c r="H30" s="65" t="e">
        <f ca="1">STDEV('Increment Analysis Derived'!F31:I31)</f>
        <v>#NUM!</v>
      </c>
      <c r="I30" s="66" t="e">
        <f ca="1">STDEV('Increment Analysis Derived'!E31:H31)</f>
        <v>#NUM!</v>
      </c>
      <c r="J30" s="2"/>
      <c r="K30" s="2"/>
      <c r="L30" s="2"/>
    </row>
    <row r="31" spans="1:12" ht="15" x14ac:dyDescent="0.25">
      <c r="A31" s="43">
        <f>'rc'!A31</f>
        <v>0</v>
      </c>
      <c r="B31" s="44"/>
      <c r="C31" s="159" t="s">
        <v>68</v>
      </c>
      <c r="D31" s="65" t="e">
        <f ca="1">STDEV('Increment Analysis Derived'!F32:K32)</f>
        <v>#NUM!</v>
      </c>
      <c r="E31" s="65" t="e">
        <f ca="1">STDEV('Increment Analysis Derived'!I32:L32)</f>
        <v>#NUM!</v>
      </c>
      <c r="F31" s="65" t="e">
        <f ca="1">STDEV('Increment Analysis Derived'!H32:K32)</f>
        <v>#NUM!</v>
      </c>
      <c r="G31" s="65" t="e">
        <f ca="1">STDEV('Increment Analysis Derived'!G32:J32)</f>
        <v>#NUM!</v>
      </c>
      <c r="H31" s="65" t="e">
        <f ca="1">STDEV('Increment Analysis Derived'!F32:I32)</f>
        <v>#NUM!</v>
      </c>
      <c r="I31" s="66" t="e">
        <f ca="1">STDEV('Increment Analysis Derived'!E32:H32)</f>
        <v>#NUM!</v>
      </c>
      <c r="J31" s="2"/>
      <c r="K31" s="2"/>
      <c r="L31" s="2"/>
    </row>
    <row r="32" spans="1:12" ht="15" x14ac:dyDescent="0.25">
      <c r="A32" s="43">
        <f>'rc'!A32</f>
        <v>0</v>
      </c>
      <c r="B32" s="44"/>
      <c r="C32" s="159" t="s">
        <v>68</v>
      </c>
      <c r="D32" s="65" t="e">
        <f ca="1">STDEV('Increment Analysis Derived'!F33:K33)</f>
        <v>#NUM!</v>
      </c>
      <c r="E32" s="65" t="e">
        <f ca="1">STDEV('Increment Analysis Derived'!I33:L33)</f>
        <v>#NUM!</v>
      </c>
      <c r="F32" s="65" t="e">
        <f ca="1">STDEV('Increment Analysis Derived'!H33:K33)</f>
        <v>#NUM!</v>
      </c>
      <c r="G32" s="65" t="e">
        <f ca="1">STDEV('Increment Analysis Derived'!G33:J33)</f>
        <v>#NUM!</v>
      </c>
      <c r="H32" s="65" t="e">
        <f ca="1">STDEV('Increment Analysis Derived'!F33:I33)</f>
        <v>#NUM!</v>
      </c>
      <c r="I32" s="66" t="e">
        <f ca="1">STDEV('Increment Analysis Derived'!E33:H33)</f>
        <v>#NUM!</v>
      </c>
      <c r="J32" s="2"/>
      <c r="K32" s="2"/>
      <c r="L32" s="2"/>
    </row>
    <row r="33" spans="1:12" ht="15" x14ac:dyDescent="0.25">
      <c r="A33" s="43">
        <f>'rc'!A33</f>
        <v>0</v>
      </c>
      <c r="B33" s="44"/>
      <c r="C33" s="159" t="s">
        <v>68</v>
      </c>
      <c r="D33" s="65" t="e">
        <f ca="1">STDEV('Increment Analysis Derived'!F34:K34)</f>
        <v>#NUM!</v>
      </c>
      <c r="E33" s="65" t="e">
        <f ca="1">STDEV('Increment Analysis Derived'!I34:L34)</f>
        <v>#NUM!</v>
      </c>
      <c r="F33" s="65" t="e">
        <f ca="1">STDEV('Increment Analysis Derived'!H34:K34)</f>
        <v>#NUM!</v>
      </c>
      <c r="G33" s="65" t="e">
        <f ca="1">STDEV('Increment Analysis Derived'!G34:J34)</f>
        <v>#NUM!</v>
      </c>
      <c r="H33" s="65" t="e">
        <f ca="1">STDEV('Increment Analysis Derived'!F34:I34)</f>
        <v>#NUM!</v>
      </c>
      <c r="I33" s="66" t="e">
        <f ca="1">STDEV('Increment Analysis Derived'!E34:H34)</f>
        <v>#NUM!</v>
      </c>
      <c r="J33" s="2"/>
      <c r="K33" s="2"/>
      <c r="L33" s="2"/>
    </row>
    <row r="34" spans="1:12" ht="15" x14ac:dyDescent="0.25">
      <c r="A34" s="43">
        <f>'rc'!A34</f>
        <v>0</v>
      </c>
      <c r="B34" s="44"/>
      <c r="C34" s="159" t="s">
        <v>68</v>
      </c>
      <c r="D34" s="65" t="e">
        <f ca="1">STDEV('Increment Analysis Derived'!F35:K35)</f>
        <v>#NUM!</v>
      </c>
      <c r="E34" s="65" t="e">
        <f ca="1">STDEV('Increment Analysis Derived'!I35:L35)</f>
        <v>#NUM!</v>
      </c>
      <c r="F34" s="65" t="e">
        <f ca="1">STDEV('Increment Analysis Derived'!H35:K35)</f>
        <v>#NUM!</v>
      </c>
      <c r="G34" s="65" t="e">
        <f ca="1">STDEV('Increment Analysis Derived'!G35:J35)</f>
        <v>#NUM!</v>
      </c>
      <c r="H34" s="65" t="e">
        <f ca="1">STDEV('Increment Analysis Derived'!F35:I35)</f>
        <v>#NUM!</v>
      </c>
      <c r="I34" s="66" t="e">
        <f ca="1">STDEV('Increment Analysis Derived'!E35:H35)</f>
        <v>#NUM!</v>
      </c>
      <c r="J34" s="2"/>
      <c r="K34" s="2"/>
      <c r="L34" s="2"/>
    </row>
    <row r="35" spans="1:12" ht="15" x14ac:dyDescent="0.25">
      <c r="A35" s="43">
        <f>'rc'!A35</f>
        <v>0</v>
      </c>
      <c r="B35" s="44"/>
      <c r="C35" s="159" t="s">
        <v>68</v>
      </c>
      <c r="D35" s="65" t="e">
        <f ca="1">STDEV('Increment Analysis Derived'!F36:K36)</f>
        <v>#NUM!</v>
      </c>
      <c r="E35" s="65" t="e">
        <f ca="1">STDEV('Increment Analysis Derived'!I36:L36)</f>
        <v>#NUM!</v>
      </c>
      <c r="F35" s="65" t="e">
        <f ca="1">STDEV('Increment Analysis Derived'!H36:K36)</f>
        <v>#NUM!</v>
      </c>
      <c r="G35" s="65" t="e">
        <f ca="1">STDEV('Increment Analysis Derived'!G36:J36)</f>
        <v>#NUM!</v>
      </c>
      <c r="H35" s="65" t="e">
        <f ca="1">STDEV('Increment Analysis Derived'!F36:I36)</f>
        <v>#NUM!</v>
      </c>
      <c r="I35" s="66" t="e">
        <f ca="1">STDEV('Increment Analysis Derived'!E36:H36)</f>
        <v>#NUM!</v>
      </c>
      <c r="J35" s="2"/>
      <c r="K35" s="2"/>
      <c r="L35" s="2"/>
    </row>
    <row r="36" spans="1:12" ht="15" x14ac:dyDescent="0.25">
      <c r="A36" s="43">
        <f>'rc'!A36</f>
        <v>0</v>
      </c>
      <c r="B36" s="44"/>
      <c r="C36" s="159" t="s">
        <v>68</v>
      </c>
      <c r="D36" s="65" t="e">
        <f ca="1">STDEV('Increment Analysis Derived'!F37:K37)</f>
        <v>#NUM!</v>
      </c>
      <c r="E36" s="65" t="e">
        <f ca="1">STDEV('Increment Analysis Derived'!I37:L37)</f>
        <v>#NUM!</v>
      </c>
      <c r="F36" s="65" t="e">
        <f ca="1">STDEV('Increment Analysis Derived'!H37:K37)</f>
        <v>#NUM!</v>
      </c>
      <c r="G36" s="65" t="e">
        <f ca="1">STDEV('Increment Analysis Derived'!G37:J37)</f>
        <v>#NUM!</v>
      </c>
      <c r="H36" s="65" t="e">
        <f ca="1">STDEV('Increment Analysis Derived'!F37:I37)</f>
        <v>#NUM!</v>
      </c>
      <c r="I36" s="66" t="e">
        <f ca="1">STDEV('Increment Analysis Derived'!E37:H37)</f>
        <v>#NUM!</v>
      </c>
      <c r="J36" s="2"/>
      <c r="K36" s="2"/>
      <c r="L36" s="2"/>
    </row>
    <row r="37" spans="1:12" ht="15" x14ac:dyDescent="0.25">
      <c r="A37" s="43">
        <f>'rc'!A37</f>
        <v>0</v>
      </c>
      <c r="B37" s="44"/>
      <c r="C37" s="159" t="s">
        <v>68</v>
      </c>
      <c r="D37" s="65" t="e">
        <f ca="1">STDEV('Increment Analysis Derived'!F38:K38)</f>
        <v>#NUM!</v>
      </c>
      <c r="E37" s="65" t="e">
        <f ca="1">STDEV('Increment Analysis Derived'!I38:L38)</f>
        <v>#NUM!</v>
      </c>
      <c r="F37" s="65" t="e">
        <f ca="1">STDEV('Increment Analysis Derived'!H38:K38)</f>
        <v>#NUM!</v>
      </c>
      <c r="G37" s="65" t="e">
        <f ca="1">STDEV('Increment Analysis Derived'!G38:J38)</f>
        <v>#NUM!</v>
      </c>
      <c r="H37" s="65" t="e">
        <f ca="1">STDEV('Increment Analysis Derived'!F38:I38)</f>
        <v>#NUM!</v>
      </c>
      <c r="I37" s="66" t="e">
        <f ca="1">STDEV('Increment Analysis Derived'!E38:H38)</f>
        <v>#NUM!</v>
      </c>
      <c r="J37" s="2"/>
      <c r="K37" s="2"/>
      <c r="L37" s="2"/>
    </row>
    <row r="38" spans="1:12" ht="15" x14ac:dyDescent="0.25">
      <c r="A38" s="43">
        <f>'rc'!A38</f>
        <v>0</v>
      </c>
      <c r="B38" s="44"/>
      <c r="C38" s="159" t="s">
        <v>68</v>
      </c>
      <c r="D38" s="65" t="e">
        <f ca="1">STDEV('Increment Analysis Derived'!F39:K39)</f>
        <v>#NUM!</v>
      </c>
      <c r="E38" s="65" t="e">
        <f ca="1">STDEV('Increment Analysis Derived'!I39:L39)</f>
        <v>#NUM!</v>
      </c>
      <c r="F38" s="65" t="e">
        <f ca="1">STDEV('Increment Analysis Derived'!H39:K39)</f>
        <v>#NUM!</v>
      </c>
      <c r="G38" s="65" t="e">
        <f ca="1">STDEV('Increment Analysis Derived'!G39:J39)</f>
        <v>#NUM!</v>
      </c>
      <c r="H38" s="65" t="e">
        <f ca="1">STDEV('Increment Analysis Derived'!F39:I39)</f>
        <v>#NUM!</v>
      </c>
      <c r="I38" s="66" t="e">
        <f ca="1">STDEV('Increment Analysis Derived'!E39:H39)</f>
        <v>#NUM!</v>
      </c>
      <c r="J38" s="2"/>
      <c r="K38" s="2"/>
      <c r="L38" s="2"/>
    </row>
    <row r="39" spans="1:12" ht="15" x14ac:dyDescent="0.25">
      <c r="A39" s="43">
        <f>'rc'!A39</f>
        <v>0</v>
      </c>
      <c r="B39" s="44"/>
      <c r="C39" s="159" t="s">
        <v>68</v>
      </c>
      <c r="D39" s="65" t="e">
        <f ca="1">STDEV('Increment Analysis Derived'!F40:K40)</f>
        <v>#NUM!</v>
      </c>
      <c r="E39" s="65" t="e">
        <f ca="1">STDEV('Increment Analysis Derived'!I40:L40)</f>
        <v>#NUM!</v>
      </c>
      <c r="F39" s="65" t="e">
        <f ca="1">STDEV('Increment Analysis Derived'!H40:K40)</f>
        <v>#NUM!</v>
      </c>
      <c r="G39" s="65" t="e">
        <f ca="1">STDEV('Increment Analysis Derived'!G40:J40)</f>
        <v>#NUM!</v>
      </c>
      <c r="H39" s="65" t="e">
        <f ca="1">STDEV('Increment Analysis Derived'!F40:I40)</f>
        <v>#NUM!</v>
      </c>
      <c r="I39" s="66" t="e">
        <f ca="1">STDEV('Increment Analysis Derived'!E40:H40)</f>
        <v>#NUM!</v>
      </c>
      <c r="J39" s="2"/>
      <c r="K39" s="2"/>
      <c r="L39" s="2"/>
    </row>
    <row r="40" spans="1:12" ht="15" x14ac:dyDescent="0.25">
      <c r="A40" s="43">
        <f>'rc'!A40</f>
        <v>0</v>
      </c>
      <c r="B40" s="44"/>
      <c r="C40" s="159" t="s">
        <v>68</v>
      </c>
      <c r="D40" s="65" t="e">
        <f ca="1">STDEV('Increment Analysis Derived'!F41:K41)</f>
        <v>#NUM!</v>
      </c>
      <c r="E40" s="65" t="e">
        <f ca="1">STDEV('Increment Analysis Derived'!I41:L41)</f>
        <v>#NUM!</v>
      </c>
      <c r="F40" s="65" t="e">
        <f ca="1">STDEV('Increment Analysis Derived'!H41:K41)</f>
        <v>#NUM!</v>
      </c>
      <c r="G40" s="65" t="e">
        <f ca="1">STDEV('Increment Analysis Derived'!G41:J41)</f>
        <v>#NUM!</v>
      </c>
      <c r="H40" s="65" t="e">
        <f ca="1">STDEV('Increment Analysis Derived'!F41:I41)</f>
        <v>#NUM!</v>
      </c>
      <c r="I40" s="66" t="e">
        <f ca="1">STDEV('Increment Analysis Derived'!E41:H41)</f>
        <v>#NUM!</v>
      </c>
      <c r="J40" s="2"/>
      <c r="K40" s="2"/>
      <c r="L40" s="2"/>
    </row>
    <row r="41" spans="1:12" ht="15" x14ac:dyDescent="0.25">
      <c r="A41" s="43">
        <f>'rc'!A41</f>
        <v>0</v>
      </c>
      <c r="B41" s="44"/>
      <c r="C41" s="159" t="s">
        <v>68</v>
      </c>
      <c r="D41" s="65" t="e">
        <f ca="1">STDEV('Increment Analysis Derived'!F42:K42)</f>
        <v>#NUM!</v>
      </c>
      <c r="E41" s="65" t="e">
        <f ca="1">STDEV('Increment Analysis Derived'!I42:L42)</f>
        <v>#NUM!</v>
      </c>
      <c r="F41" s="65" t="e">
        <f ca="1">STDEV('Increment Analysis Derived'!H42:K42)</f>
        <v>#NUM!</v>
      </c>
      <c r="G41" s="65" t="e">
        <f ca="1">STDEV('Increment Analysis Derived'!G42:J42)</f>
        <v>#NUM!</v>
      </c>
      <c r="H41" s="65" t="e">
        <f ca="1">STDEV('Increment Analysis Derived'!F42:I42)</f>
        <v>#NUM!</v>
      </c>
      <c r="I41" s="66" t="e">
        <f ca="1">STDEV('Increment Analysis Derived'!E42:H42)</f>
        <v>#NUM!</v>
      </c>
      <c r="J41" s="2"/>
      <c r="K41" s="2"/>
      <c r="L41" s="2"/>
    </row>
    <row r="42" spans="1:12" ht="15" x14ac:dyDescent="0.25">
      <c r="A42" s="43">
        <f>'rc'!A42</f>
        <v>0</v>
      </c>
      <c r="B42" s="44"/>
      <c r="C42" s="159" t="s">
        <v>68</v>
      </c>
      <c r="D42" s="65" t="e">
        <f ca="1">STDEV('Increment Analysis Derived'!F43:K43)</f>
        <v>#NUM!</v>
      </c>
      <c r="E42" s="65" t="e">
        <f ca="1">STDEV('Increment Analysis Derived'!I43:L43)</f>
        <v>#NUM!</v>
      </c>
      <c r="F42" s="65" t="e">
        <f ca="1">STDEV('Increment Analysis Derived'!H43:K43)</f>
        <v>#NUM!</v>
      </c>
      <c r="G42" s="65" t="e">
        <f ca="1">STDEV('Increment Analysis Derived'!G43:J43)</f>
        <v>#NUM!</v>
      </c>
      <c r="H42" s="65" t="e">
        <f ca="1">STDEV('Increment Analysis Derived'!F43:I43)</f>
        <v>#NUM!</v>
      </c>
      <c r="I42" s="66" t="e">
        <f ca="1">STDEV('Increment Analysis Derived'!E43:H43)</f>
        <v>#NUM!</v>
      </c>
      <c r="J42" s="2"/>
      <c r="K42" s="2"/>
      <c r="L42" s="2"/>
    </row>
    <row r="43" spans="1:12" ht="15" x14ac:dyDescent="0.25">
      <c r="A43" s="43">
        <f>'rc'!A43</f>
        <v>0</v>
      </c>
      <c r="B43" s="44"/>
      <c r="C43" s="159" t="s">
        <v>68</v>
      </c>
      <c r="D43" s="65" t="e">
        <f ca="1">STDEV('Increment Analysis Derived'!F44:K44)</f>
        <v>#NUM!</v>
      </c>
      <c r="E43" s="65" t="e">
        <f ca="1">STDEV('Increment Analysis Derived'!I44:L44)</f>
        <v>#NUM!</v>
      </c>
      <c r="F43" s="65" t="e">
        <f ca="1">STDEV('Increment Analysis Derived'!H44:K44)</f>
        <v>#NUM!</v>
      </c>
      <c r="G43" s="65" t="e">
        <f ca="1">STDEV('Increment Analysis Derived'!G44:J44)</f>
        <v>#NUM!</v>
      </c>
      <c r="H43" s="65" t="e">
        <f ca="1">STDEV('Increment Analysis Derived'!F44:I44)</f>
        <v>#NUM!</v>
      </c>
      <c r="I43" s="66" t="e">
        <f ca="1">STDEV('Increment Analysis Derived'!E44:H44)</f>
        <v>#NUM!</v>
      </c>
      <c r="J43" s="2"/>
      <c r="K43" s="2"/>
      <c r="L43" s="2"/>
    </row>
    <row r="44" spans="1:12" ht="15" x14ac:dyDescent="0.25">
      <c r="A44" s="43">
        <f>'rc'!A44</f>
        <v>0</v>
      </c>
      <c r="B44" s="44"/>
      <c r="C44" s="159" t="s">
        <v>68</v>
      </c>
      <c r="D44" s="65" t="e">
        <f ca="1">STDEV('Increment Analysis Derived'!F45:K45)</f>
        <v>#NUM!</v>
      </c>
      <c r="E44" s="65" t="e">
        <f ca="1">STDEV('Increment Analysis Derived'!I45:L45)</f>
        <v>#NUM!</v>
      </c>
      <c r="F44" s="65" t="e">
        <f ca="1">STDEV('Increment Analysis Derived'!H45:K45)</f>
        <v>#NUM!</v>
      </c>
      <c r="G44" s="65" t="e">
        <f ca="1">STDEV('Increment Analysis Derived'!G45:J45)</f>
        <v>#NUM!</v>
      </c>
      <c r="H44" s="65" t="e">
        <f ca="1">STDEV('Increment Analysis Derived'!F45:I45)</f>
        <v>#NUM!</v>
      </c>
      <c r="I44" s="66" t="e">
        <f ca="1">STDEV('Increment Analysis Derived'!E45:H45)</f>
        <v>#NUM!</v>
      </c>
      <c r="J44" s="2"/>
      <c r="K44" s="2"/>
      <c r="L44" s="2"/>
    </row>
    <row r="45" spans="1:12" ht="15" x14ac:dyDescent="0.25">
      <c r="A45" s="43">
        <f>'rc'!A45</f>
        <v>0</v>
      </c>
      <c r="B45" s="44"/>
      <c r="C45" s="159" t="s">
        <v>68</v>
      </c>
      <c r="D45" s="65" t="e">
        <f ca="1">STDEV('Increment Analysis Derived'!F46:K46)</f>
        <v>#NUM!</v>
      </c>
      <c r="E45" s="65" t="e">
        <f ca="1">STDEV('Increment Analysis Derived'!I46:L46)</f>
        <v>#NUM!</v>
      </c>
      <c r="F45" s="65" t="e">
        <f ca="1">STDEV('Increment Analysis Derived'!H46:K46)</f>
        <v>#NUM!</v>
      </c>
      <c r="G45" s="65" t="e">
        <f ca="1">STDEV('Increment Analysis Derived'!G46:J46)</f>
        <v>#NUM!</v>
      </c>
      <c r="H45" s="65" t="e">
        <f ca="1">STDEV('Increment Analysis Derived'!F46:I46)</f>
        <v>#NUM!</v>
      </c>
      <c r="I45" s="66" t="e">
        <f ca="1">STDEV('Increment Analysis Derived'!E46:H46)</f>
        <v>#NUM!</v>
      </c>
      <c r="J45" s="2"/>
      <c r="K45" s="2"/>
      <c r="L45" s="2"/>
    </row>
    <row r="46" spans="1:12" ht="15" x14ac:dyDescent="0.25">
      <c r="A46" s="43">
        <f>'rc'!A46</f>
        <v>0</v>
      </c>
      <c r="B46" s="44"/>
      <c r="C46" s="159" t="s">
        <v>68</v>
      </c>
      <c r="D46" s="65" t="e">
        <f ca="1">STDEV('Increment Analysis Derived'!F47:K47)</f>
        <v>#NUM!</v>
      </c>
      <c r="E46" s="65" t="e">
        <f ca="1">STDEV('Increment Analysis Derived'!I47:L47)</f>
        <v>#NUM!</v>
      </c>
      <c r="F46" s="65" t="e">
        <f ca="1">STDEV('Increment Analysis Derived'!H47:K47)</f>
        <v>#NUM!</v>
      </c>
      <c r="G46" s="65" t="e">
        <f ca="1">STDEV('Increment Analysis Derived'!G47:J47)</f>
        <v>#NUM!</v>
      </c>
      <c r="H46" s="65" t="e">
        <f ca="1">STDEV('Increment Analysis Derived'!F47:I47)</f>
        <v>#NUM!</v>
      </c>
      <c r="I46" s="66" t="e">
        <f ca="1">STDEV('Increment Analysis Derived'!E47:H47)</f>
        <v>#NUM!</v>
      </c>
      <c r="J46" s="2"/>
      <c r="K46" s="2"/>
      <c r="L46" s="2"/>
    </row>
    <row r="47" spans="1:12" ht="15" x14ac:dyDescent="0.25">
      <c r="A47" s="43">
        <f>'rc'!A47</f>
        <v>0</v>
      </c>
      <c r="B47" s="44"/>
      <c r="C47" s="159" t="s">
        <v>68</v>
      </c>
      <c r="D47" s="65" t="e">
        <f ca="1">STDEV('Increment Analysis Derived'!F48:K48)</f>
        <v>#NUM!</v>
      </c>
      <c r="E47" s="65" t="e">
        <f ca="1">STDEV('Increment Analysis Derived'!I48:L48)</f>
        <v>#NUM!</v>
      </c>
      <c r="F47" s="65" t="e">
        <f ca="1">STDEV('Increment Analysis Derived'!H48:K48)</f>
        <v>#NUM!</v>
      </c>
      <c r="G47" s="65" t="e">
        <f ca="1">STDEV('Increment Analysis Derived'!G48:J48)</f>
        <v>#NUM!</v>
      </c>
      <c r="H47" s="65" t="e">
        <f ca="1">STDEV('Increment Analysis Derived'!F48:I48)</f>
        <v>#NUM!</v>
      </c>
      <c r="I47" s="66" t="e">
        <f ca="1">STDEV('Increment Analysis Derived'!E48:H48)</f>
        <v>#NUM!</v>
      </c>
      <c r="J47" s="2"/>
      <c r="K47" s="2"/>
      <c r="L47" s="2"/>
    </row>
    <row r="48" spans="1:12" ht="15" x14ac:dyDescent="0.25">
      <c r="A48" s="43">
        <f>'rc'!A48</f>
        <v>0</v>
      </c>
      <c r="B48" s="44"/>
      <c r="C48" s="159" t="s">
        <v>68</v>
      </c>
      <c r="D48" s="65" t="e">
        <f ca="1">STDEV('Increment Analysis Derived'!F49:K49)</f>
        <v>#NUM!</v>
      </c>
      <c r="E48" s="65" t="e">
        <f ca="1">STDEV('Increment Analysis Derived'!I49:L49)</f>
        <v>#NUM!</v>
      </c>
      <c r="F48" s="65" t="e">
        <f ca="1">STDEV('Increment Analysis Derived'!H49:K49)</f>
        <v>#NUM!</v>
      </c>
      <c r="G48" s="65" t="e">
        <f ca="1">STDEV('Increment Analysis Derived'!G49:J49)</f>
        <v>#NUM!</v>
      </c>
      <c r="H48" s="65" t="e">
        <f ca="1">STDEV('Increment Analysis Derived'!F49:I49)</f>
        <v>#NUM!</v>
      </c>
      <c r="I48" s="66" t="e">
        <f ca="1">STDEV('Increment Analysis Derived'!E49:H49)</f>
        <v>#NUM!</v>
      </c>
      <c r="J48" s="2"/>
      <c r="K48" s="2"/>
      <c r="L48" s="2"/>
    </row>
    <row r="49" spans="1:12" ht="15" x14ac:dyDescent="0.25">
      <c r="A49" s="43">
        <f>'rc'!A49</f>
        <v>0</v>
      </c>
      <c r="B49" s="44"/>
      <c r="C49" s="159" t="s">
        <v>68</v>
      </c>
      <c r="D49" s="65" t="e">
        <f ca="1">STDEV('Increment Analysis Derived'!F50:K50)</f>
        <v>#NUM!</v>
      </c>
      <c r="E49" s="65" t="e">
        <f ca="1">STDEV('Increment Analysis Derived'!I50:L50)</f>
        <v>#NUM!</v>
      </c>
      <c r="F49" s="65" t="e">
        <f ca="1">STDEV('Increment Analysis Derived'!H50:K50)</f>
        <v>#NUM!</v>
      </c>
      <c r="G49" s="65" t="e">
        <f ca="1">STDEV('Increment Analysis Derived'!G50:J50)</f>
        <v>#NUM!</v>
      </c>
      <c r="H49" s="65" t="e">
        <f ca="1">STDEV('Increment Analysis Derived'!F50:I50)</f>
        <v>#NUM!</v>
      </c>
      <c r="I49" s="66" t="e">
        <f ca="1">STDEV('Increment Analysis Derived'!E50:H50)</f>
        <v>#NUM!</v>
      </c>
      <c r="J49" s="2"/>
      <c r="K49" s="2"/>
      <c r="L49" s="2"/>
    </row>
    <row r="50" spans="1:12" ht="15" x14ac:dyDescent="0.25">
      <c r="A50" s="43">
        <f>'rc'!A50</f>
        <v>0</v>
      </c>
      <c r="B50" s="44"/>
      <c r="C50" s="159" t="s">
        <v>68</v>
      </c>
      <c r="D50" s="65" t="e">
        <f ca="1">STDEV('Increment Analysis Derived'!F51:K51)</f>
        <v>#NUM!</v>
      </c>
      <c r="E50" s="65" t="e">
        <f ca="1">STDEV('Increment Analysis Derived'!I51:L51)</f>
        <v>#NUM!</v>
      </c>
      <c r="F50" s="65" t="e">
        <f ca="1">STDEV('Increment Analysis Derived'!H51:K51)</f>
        <v>#NUM!</v>
      </c>
      <c r="G50" s="65" t="e">
        <f ca="1">STDEV('Increment Analysis Derived'!G51:J51)</f>
        <v>#NUM!</v>
      </c>
      <c r="H50" s="65" t="e">
        <f ca="1">STDEV('Increment Analysis Derived'!F51:I51)</f>
        <v>#NUM!</v>
      </c>
      <c r="I50" s="66" t="e">
        <f ca="1">STDEV('Increment Analysis Derived'!E51:H51)</f>
        <v>#NUM!</v>
      </c>
      <c r="J50" s="2"/>
      <c r="K50" s="2"/>
      <c r="L50" s="2"/>
    </row>
    <row r="51" spans="1:12" ht="15" x14ac:dyDescent="0.25">
      <c r="A51" s="43">
        <f>'rc'!A51</f>
        <v>0</v>
      </c>
      <c r="B51" s="44"/>
      <c r="C51" s="159" t="s">
        <v>68</v>
      </c>
      <c r="D51" s="65" t="e">
        <f ca="1">STDEV('Increment Analysis Derived'!F52:K52)</f>
        <v>#NUM!</v>
      </c>
      <c r="E51" s="65" t="e">
        <f ca="1">STDEV('Increment Analysis Derived'!I52:L52)</f>
        <v>#NUM!</v>
      </c>
      <c r="F51" s="65" t="e">
        <f ca="1">STDEV('Increment Analysis Derived'!H52:K52)</f>
        <v>#NUM!</v>
      </c>
      <c r="G51" s="65" t="e">
        <f ca="1">STDEV('Increment Analysis Derived'!G52:J52)</f>
        <v>#NUM!</v>
      </c>
      <c r="H51" s="65" t="e">
        <f ca="1">STDEV('Increment Analysis Derived'!F52:I52)</f>
        <v>#NUM!</v>
      </c>
      <c r="I51" s="66" t="e">
        <f ca="1">STDEV('Increment Analysis Derived'!E52:H52)</f>
        <v>#NUM!</v>
      </c>
      <c r="J51" s="2"/>
      <c r="K51" s="2"/>
      <c r="L51" s="2"/>
    </row>
    <row r="52" spans="1:12" ht="15" x14ac:dyDescent="0.25">
      <c r="A52" s="43">
        <f>'rc'!A52</f>
        <v>0</v>
      </c>
      <c r="B52" s="44"/>
      <c r="C52" s="159" t="s">
        <v>68</v>
      </c>
      <c r="D52" s="65" t="e">
        <f ca="1">STDEV('Increment Analysis Derived'!F53:K53)</f>
        <v>#NUM!</v>
      </c>
      <c r="E52" s="65" t="e">
        <f ca="1">STDEV('Increment Analysis Derived'!I53:L53)</f>
        <v>#NUM!</v>
      </c>
      <c r="F52" s="65" t="e">
        <f ca="1">STDEV('Increment Analysis Derived'!H53:K53)</f>
        <v>#NUM!</v>
      </c>
      <c r="G52" s="65" t="e">
        <f ca="1">STDEV('Increment Analysis Derived'!G53:J53)</f>
        <v>#NUM!</v>
      </c>
      <c r="H52" s="65" t="e">
        <f ca="1">STDEV('Increment Analysis Derived'!F53:I53)</f>
        <v>#NUM!</v>
      </c>
      <c r="I52" s="66" t="e">
        <f ca="1">STDEV('Increment Analysis Derived'!E53:H53)</f>
        <v>#NUM!</v>
      </c>
      <c r="J52" s="2"/>
      <c r="K52" s="2"/>
      <c r="L52" s="2"/>
    </row>
    <row r="53" spans="1:12" ht="15" x14ac:dyDescent="0.25">
      <c r="A53" s="43">
        <f>'rc'!A53</f>
        <v>0</v>
      </c>
      <c r="B53" s="44"/>
      <c r="C53" s="159" t="s">
        <v>68</v>
      </c>
      <c r="D53" s="65" t="e">
        <f ca="1">STDEV('Increment Analysis Derived'!F54:K54)</f>
        <v>#NUM!</v>
      </c>
      <c r="E53" s="65" t="e">
        <f ca="1">STDEV('Increment Analysis Derived'!I54:L54)</f>
        <v>#NUM!</v>
      </c>
      <c r="F53" s="65" t="e">
        <f ca="1">STDEV('Increment Analysis Derived'!H54:K54)</f>
        <v>#NUM!</v>
      </c>
      <c r="G53" s="65" t="e">
        <f ca="1">STDEV('Increment Analysis Derived'!G54:J54)</f>
        <v>#NUM!</v>
      </c>
      <c r="H53" s="65" t="e">
        <f ca="1">STDEV('Increment Analysis Derived'!F54:I54)</f>
        <v>#NUM!</v>
      </c>
      <c r="I53" s="66" t="e">
        <f ca="1">STDEV('Increment Analysis Derived'!E54:H54)</f>
        <v>#NUM!</v>
      </c>
      <c r="J53" s="2"/>
      <c r="K53" s="2"/>
      <c r="L53" s="2"/>
    </row>
    <row r="54" spans="1:12" ht="15" x14ac:dyDescent="0.25">
      <c r="A54" s="43">
        <f>'rc'!A54</f>
        <v>0</v>
      </c>
      <c r="B54" s="44"/>
      <c r="C54" s="159" t="s">
        <v>68</v>
      </c>
      <c r="D54" s="65" t="e">
        <f ca="1">STDEV('Increment Analysis Derived'!F55:K55)</f>
        <v>#NUM!</v>
      </c>
      <c r="E54" s="65" t="e">
        <f ca="1">STDEV('Increment Analysis Derived'!I55:L55)</f>
        <v>#NUM!</v>
      </c>
      <c r="F54" s="65" t="e">
        <f ca="1">STDEV('Increment Analysis Derived'!H55:K55)</f>
        <v>#NUM!</v>
      </c>
      <c r="G54" s="65" t="e">
        <f ca="1">STDEV('Increment Analysis Derived'!G55:J55)</f>
        <v>#NUM!</v>
      </c>
      <c r="H54" s="65" t="e">
        <f ca="1">STDEV('Increment Analysis Derived'!F55:I55)</f>
        <v>#NUM!</v>
      </c>
      <c r="I54" s="66" t="e">
        <f ca="1">STDEV('Increment Analysis Derived'!E55:H55)</f>
        <v>#NUM!</v>
      </c>
      <c r="J54" s="2"/>
      <c r="K54" s="2"/>
      <c r="L54" s="2"/>
    </row>
    <row r="55" spans="1:12" ht="15" x14ac:dyDescent="0.25">
      <c r="A55" s="43">
        <f>'rc'!A55</f>
        <v>0</v>
      </c>
      <c r="B55" s="44"/>
      <c r="C55" s="159" t="s">
        <v>68</v>
      </c>
      <c r="D55" s="65" t="e">
        <f ca="1">STDEV('Increment Analysis Derived'!F56:K56)</f>
        <v>#NUM!</v>
      </c>
      <c r="E55" s="65" t="e">
        <f ca="1">STDEV('Increment Analysis Derived'!I56:L56)</f>
        <v>#NUM!</v>
      </c>
      <c r="F55" s="65" t="e">
        <f ca="1">STDEV('Increment Analysis Derived'!H56:K56)</f>
        <v>#NUM!</v>
      </c>
      <c r="G55" s="65" t="e">
        <f ca="1">STDEV('Increment Analysis Derived'!G56:J56)</f>
        <v>#NUM!</v>
      </c>
      <c r="H55" s="65" t="e">
        <f ca="1">STDEV('Increment Analysis Derived'!F56:I56)</f>
        <v>#NUM!</v>
      </c>
      <c r="I55" s="66" t="e">
        <f ca="1">STDEV('Increment Analysis Derived'!E56:H56)</f>
        <v>#NUM!</v>
      </c>
      <c r="J55" s="2"/>
      <c r="K55" s="2"/>
      <c r="L55" s="2"/>
    </row>
    <row r="56" spans="1:12" ht="15" x14ac:dyDescent="0.25">
      <c r="A56" s="43">
        <f>'rc'!A56</f>
        <v>0</v>
      </c>
      <c r="B56" s="44"/>
      <c r="C56" s="159" t="s">
        <v>68</v>
      </c>
      <c r="D56" s="65" t="e">
        <f ca="1">STDEV('Increment Analysis Derived'!F57:K57)</f>
        <v>#NUM!</v>
      </c>
      <c r="E56" s="65" t="e">
        <f ca="1">STDEV('Increment Analysis Derived'!I57:L57)</f>
        <v>#NUM!</v>
      </c>
      <c r="F56" s="65" t="e">
        <f ca="1">STDEV('Increment Analysis Derived'!H57:K57)</f>
        <v>#NUM!</v>
      </c>
      <c r="G56" s="65" t="e">
        <f ca="1">STDEV('Increment Analysis Derived'!G57:J57)</f>
        <v>#NUM!</v>
      </c>
      <c r="H56" s="65" t="e">
        <f ca="1">STDEV('Increment Analysis Derived'!F57:I57)</f>
        <v>#NUM!</v>
      </c>
      <c r="I56" s="66" t="e">
        <f ca="1">STDEV('Increment Analysis Derived'!E57:H57)</f>
        <v>#NUM!</v>
      </c>
      <c r="J56" s="2"/>
      <c r="K56" s="2"/>
      <c r="L56" s="2"/>
    </row>
    <row r="57" spans="1:12" ht="15" x14ac:dyDescent="0.25">
      <c r="A57" s="43">
        <f>'rc'!A57</f>
        <v>0</v>
      </c>
      <c r="B57" s="44"/>
      <c r="C57" s="159" t="s">
        <v>68</v>
      </c>
      <c r="D57" s="65" t="e">
        <f ca="1">STDEV('Increment Analysis Derived'!F58:K58)</f>
        <v>#NUM!</v>
      </c>
      <c r="E57" s="65" t="e">
        <f ca="1">STDEV('Increment Analysis Derived'!I58:L58)</f>
        <v>#NUM!</v>
      </c>
      <c r="F57" s="65" t="e">
        <f ca="1">STDEV('Increment Analysis Derived'!H58:K58)</f>
        <v>#NUM!</v>
      </c>
      <c r="G57" s="65" t="e">
        <f ca="1">STDEV('Increment Analysis Derived'!G58:J58)</f>
        <v>#NUM!</v>
      </c>
      <c r="H57" s="65" t="e">
        <f ca="1">STDEV('Increment Analysis Derived'!F58:I58)</f>
        <v>#NUM!</v>
      </c>
      <c r="I57" s="66" t="e">
        <f ca="1">STDEV('Increment Analysis Derived'!E58:H58)</f>
        <v>#NUM!</v>
      </c>
      <c r="J57" s="2"/>
      <c r="K57" s="2"/>
      <c r="L57" s="2"/>
    </row>
    <row r="58" spans="1:12" ht="15" x14ac:dyDescent="0.25">
      <c r="A58" s="43">
        <f>'rc'!A58</f>
        <v>0</v>
      </c>
      <c r="B58" s="44"/>
      <c r="C58" s="159" t="s">
        <v>68</v>
      </c>
      <c r="D58" s="65" t="e">
        <f ca="1">STDEV('Increment Analysis Derived'!F59:K59)</f>
        <v>#NUM!</v>
      </c>
      <c r="E58" s="65" t="e">
        <f ca="1">STDEV('Increment Analysis Derived'!I59:L59)</f>
        <v>#NUM!</v>
      </c>
      <c r="F58" s="65" t="e">
        <f ca="1">STDEV('Increment Analysis Derived'!H59:K59)</f>
        <v>#NUM!</v>
      </c>
      <c r="G58" s="65" t="e">
        <f ca="1">STDEV('Increment Analysis Derived'!G59:J59)</f>
        <v>#NUM!</v>
      </c>
      <c r="H58" s="65" t="e">
        <f ca="1">STDEV('Increment Analysis Derived'!F59:I59)</f>
        <v>#NUM!</v>
      </c>
      <c r="I58" s="66" t="e">
        <f ca="1">STDEV('Increment Analysis Derived'!E59:H59)</f>
        <v>#NUM!</v>
      </c>
      <c r="J58" s="2"/>
      <c r="K58" s="2"/>
      <c r="L58" s="2"/>
    </row>
    <row r="59" spans="1:12" ht="15" x14ac:dyDescent="0.25">
      <c r="A59" s="43">
        <f>'rc'!A59</f>
        <v>0</v>
      </c>
      <c r="B59" s="44"/>
      <c r="C59" s="159" t="s">
        <v>68</v>
      </c>
      <c r="D59" s="65" t="e">
        <f ca="1">STDEV('Increment Analysis Derived'!F60:K60)</f>
        <v>#NUM!</v>
      </c>
      <c r="E59" s="65" t="e">
        <f ca="1">STDEV('Increment Analysis Derived'!I60:L60)</f>
        <v>#NUM!</v>
      </c>
      <c r="F59" s="65" t="e">
        <f ca="1">STDEV('Increment Analysis Derived'!H60:K60)</f>
        <v>#NUM!</v>
      </c>
      <c r="G59" s="65" t="e">
        <f ca="1">STDEV('Increment Analysis Derived'!G60:J60)</f>
        <v>#NUM!</v>
      </c>
      <c r="H59" s="65" t="e">
        <f ca="1">STDEV('Increment Analysis Derived'!F60:I60)</f>
        <v>#NUM!</v>
      </c>
      <c r="I59" s="66" t="e">
        <f ca="1">STDEV('Increment Analysis Derived'!E60:H60)</f>
        <v>#NUM!</v>
      </c>
      <c r="J59" s="2"/>
      <c r="K59" s="2"/>
      <c r="L59" s="2"/>
    </row>
    <row r="60" spans="1:12" ht="15" x14ac:dyDescent="0.25">
      <c r="A60" s="43">
        <f>'rc'!A60</f>
        <v>0</v>
      </c>
      <c r="B60" s="44"/>
      <c r="C60" s="159" t="s">
        <v>68</v>
      </c>
      <c r="D60" s="65" t="e">
        <f ca="1">STDEV('Increment Analysis Derived'!F61:K61)</f>
        <v>#NUM!</v>
      </c>
      <c r="E60" s="65" t="e">
        <f ca="1">STDEV('Increment Analysis Derived'!I61:L61)</f>
        <v>#NUM!</v>
      </c>
      <c r="F60" s="65" t="e">
        <f ca="1">STDEV('Increment Analysis Derived'!H61:K61)</f>
        <v>#NUM!</v>
      </c>
      <c r="G60" s="65" t="e">
        <f ca="1">STDEV('Increment Analysis Derived'!G61:J61)</f>
        <v>#NUM!</v>
      </c>
      <c r="H60" s="65" t="e">
        <f ca="1">STDEV('Increment Analysis Derived'!F61:I61)</f>
        <v>#NUM!</v>
      </c>
      <c r="I60" s="66" t="e">
        <f ca="1">STDEV('Increment Analysis Derived'!E61:H61)</f>
        <v>#NUM!</v>
      </c>
      <c r="J60" s="2"/>
      <c r="K60" s="2"/>
      <c r="L60" s="2"/>
    </row>
    <row r="61" spans="1:12" ht="15" x14ac:dyDescent="0.25">
      <c r="A61" s="43">
        <f>'rc'!A61</f>
        <v>0</v>
      </c>
      <c r="B61" s="44"/>
      <c r="C61" s="159" t="s">
        <v>68</v>
      </c>
      <c r="D61" s="65" t="e">
        <f ca="1">STDEV('Increment Analysis Derived'!F62:K62)</f>
        <v>#NUM!</v>
      </c>
      <c r="E61" s="65" t="e">
        <f ca="1">STDEV('Increment Analysis Derived'!I62:L62)</f>
        <v>#NUM!</v>
      </c>
      <c r="F61" s="65" t="e">
        <f ca="1">STDEV('Increment Analysis Derived'!H62:K62)</f>
        <v>#NUM!</v>
      </c>
      <c r="G61" s="65" t="e">
        <f ca="1">STDEV('Increment Analysis Derived'!G62:J62)</f>
        <v>#NUM!</v>
      </c>
      <c r="H61" s="65" t="e">
        <f ca="1">STDEV('Increment Analysis Derived'!F62:I62)</f>
        <v>#NUM!</v>
      </c>
      <c r="I61" s="66" t="e">
        <f ca="1">STDEV('Increment Analysis Derived'!E62:H62)</f>
        <v>#NUM!</v>
      </c>
      <c r="J61" s="2"/>
      <c r="K61" s="2"/>
      <c r="L61" s="2"/>
    </row>
    <row r="62" spans="1:12" ht="15" x14ac:dyDescent="0.25">
      <c r="A62" s="43">
        <f>'rc'!A62</f>
        <v>0</v>
      </c>
      <c r="B62" s="44"/>
      <c r="C62" s="159" t="s">
        <v>68</v>
      </c>
      <c r="D62" s="65" t="e">
        <f ca="1">STDEV('Increment Analysis Derived'!F63:K63)</f>
        <v>#NUM!</v>
      </c>
      <c r="E62" s="65" t="e">
        <f ca="1">STDEV('Increment Analysis Derived'!I63:L63)</f>
        <v>#NUM!</v>
      </c>
      <c r="F62" s="65" t="e">
        <f ca="1">STDEV('Increment Analysis Derived'!H63:K63)</f>
        <v>#NUM!</v>
      </c>
      <c r="G62" s="65" t="e">
        <f ca="1">STDEV('Increment Analysis Derived'!G63:J63)</f>
        <v>#NUM!</v>
      </c>
      <c r="H62" s="65" t="e">
        <f ca="1">STDEV('Increment Analysis Derived'!F63:I63)</f>
        <v>#NUM!</v>
      </c>
      <c r="I62" s="66" t="e">
        <f ca="1">STDEV('Increment Analysis Derived'!E63:H63)</f>
        <v>#NUM!</v>
      </c>
      <c r="J62" s="2"/>
      <c r="K62" s="2"/>
      <c r="L62" s="2"/>
    </row>
    <row r="63" spans="1:12" ht="15" x14ac:dyDescent="0.25">
      <c r="A63" s="43">
        <f>'rc'!A63</f>
        <v>0</v>
      </c>
      <c r="B63" s="44"/>
      <c r="C63" s="159" t="s">
        <v>68</v>
      </c>
      <c r="D63" s="65" t="e">
        <f ca="1">STDEV('Increment Analysis Derived'!F64:K64)</f>
        <v>#NUM!</v>
      </c>
      <c r="E63" s="65" t="e">
        <f ca="1">STDEV('Increment Analysis Derived'!I64:L64)</f>
        <v>#NUM!</v>
      </c>
      <c r="F63" s="65" t="e">
        <f ca="1">STDEV('Increment Analysis Derived'!H64:K64)</f>
        <v>#NUM!</v>
      </c>
      <c r="G63" s="65" t="e">
        <f ca="1">STDEV('Increment Analysis Derived'!G64:J64)</f>
        <v>#NUM!</v>
      </c>
      <c r="H63" s="65" t="e">
        <f ca="1">STDEV('Increment Analysis Derived'!F64:I64)</f>
        <v>#NUM!</v>
      </c>
      <c r="I63" s="66" t="e">
        <f ca="1">STDEV('Increment Analysis Derived'!E64:H64)</f>
        <v>#NUM!</v>
      </c>
      <c r="J63" s="2"/>
      <c r="K63" s="2"/>
      <c r="L63" s="2"/>
    </row>
    <row r="64" spans="1:12" ht="15" x14ac:dyDescent="0.25">
      <c r="A64" s="43">
        <f>'rc'!A64</f>
        <v>0</v>
      </c>
      <c r="B64" s="44"/>
      <c r="C64" s="159" t="s">
        <v>68</v>
      </c>
      <c r="D64" s="65" t="e">
        <f ca="1">STDEV('Increment Analysis Derived'!F65:K65)</f>
        <v>#NUM!</v>
      </c>
      <c r="E64" s="65" t="e">
        <f ca="1">STDEV('Increment Analysis Derived'!I65:L65)</f>
        <v>#NUM!</v>
      </c>
      <c r="F64" s="65" t="e">
        <f ca="1">STDEV('Increment Analysis Derived'!H65:K65)</f>
        <v>#NUM!</v>
      </c>
      <c r="G64" s="65" t="e">
        <f ca="1">STDEV('Increment Analysis Derived'!G65:J65)</f>
        <v>#NUM!</v>
      </c>
      <c r="H64" s="65" t="e">
        <f ca="1">STDEV('Increment Analysis Derived'!F65:I65)</f>
        <v>#NUM!</v>
      </c>
      <c r="I64" s="66" t="e">
        <f ca="1">STDEV('Increment Analysis Derived'!E65:H65)</f>
        <v>#NUM!</v>
      </c>
      <c r="J64" s="2"/>
      <c r="K64" s="2"/>
      <c r="L64" s="2"/>
    </row>
    <row r="65" spans="1:12" ht="15" x14ac:dyDescent="0.25">
      <c r="A65" s="43">
        <f>'rc'!A65</f>
        <v>0</v>
      </c>
      <c r="B65" s="44"/>
      <c r="C65" s="159" t="s">
        <v>68</v>
      </c>
      <c r="D65" s="65" t="e">
        <f ca="1">STDEV('Increment Analysis Derived'!F66:K66)</f>
        <v>#NUM!</v>
      </c>
      <c r="E65" s="65" t="e">
        <f ca="1">STDEV('Increment Analysis Derived'!I66:L66)</f>
        <v>#NUM!</v>
      </c>
      <c r="F65" s="65" t="e">
        <f ca="1">STDEV('Increment Analysis Derived'!H66:K66)</f>
        <v>#NUM!</v>
      </c>
      <c r="G65" s="65" t="e">
        <f ca="1">STDEV('Increment Analysis Derived'!G66:J66)</f>
        <v>#NUM!</v>
      </c>
      <c r="H65" s="65" t="e">
        <f ca="1">STDEV('Increment Analysis Derived'!F66:I66)</f>
        <v>#NUM!</v>
      </c>
      <c r="I65" s="66" t="e">
        <f ca="1">STDEV('Increment Analysis Derived'!E66:H66)</f>
        <v>#NUM!</v>
      </c>
      <c r="J65" s="2"/>
      <c r="K65" s="2"/>
      <c r="L65" s="2"/>
    </row>
    <row r="66" spans="1:12" ht="15" x14ac:dyDescent="0.25">
      <c r="A66" s="43">
        <f>'rc'!A66</f>
        <v>0</v>
      </c>
      <c r="B66" s="44"/>
      <c r="C66" s="159" t="s">
        <v>68</v>
      </c>
      <c r="D66" s="65" t="e">
        <f ca="1">STDEV('Increment Analysis Derived'!F67:K67)</f>
        <v>#NUM!</v>
      </c>
      <c r="E66" s="65" t="e">
        <f ca="1">STDEV('Increment Analysis Derived'!I67:L67)</f>
        <v>#NUM!</v>
      </c>
      <c r="F66" s="65" t="e">
        <f ca="1">STDEV('Increment Analysis Derived'!H67:K67)</f>
        <v>#NUM!</v>
      </c>
      <c r="G66" s="65" t="e">
        <f ca="1">STDEV('Increment Analysis Derived'!G67:J67)</f>
        <v>#NUM!</v>
      </c>
      <c r="H66" s="65" t="e">
        <f ca="1">STDEV('Increment Analysis Derived'!F67:I67)</f>
        <v>#NUM!</v>
      </c>
      <c r="I66" s="66" t="e">
        <f ca="1">STDEV('Increment Analysis Derived'!E67:H67)</f>
        <v>#NUM!</v>
      </c>
      <c r="J66" s="2"/>
      <c r="K66" s="2"/>
      <c r="L66" s="2"/>
    </row>
    <row r="67" spans="1:12" ht="15" x14ac:dyDescent="0.25">
      <c r="A67" s="43">
        <f>'rc'!A67</f>
        <v>0</v>
      </c>
      <c r="B67" s="44"/>
      <c r="C67" s="159" t="s">
        <v>68</v>
      </c>
      <c r="D67" s="65" t="e">
        <f ca="1">STDEV('Increment Analysis Derived'!F68:K68)</f>
        <v>#NUM!</v>
      </c>
      <c r="E67" s="65" t="e">
        <f ca="1">STDEV('Increment Analysis Derived'!I68:L68)</f>
        <v>#NUM!</v>
      </c>
      <c r="F67" s="65" t="e">
        <f ca="1">STDEV('Increment Analysis Derived'!H68:K68)</f>
        <v>#NUM!</v>
      </c>
      <c r="G67" s="65" t="e">
        <f ca="1">STDEV('Increment Analysis Derived'!G68:J68)</f>
        <v>#NUM!</v>
      </c>
      <c r="H67" s="65" t="e">
        <f ca="1">STDEV('Increment Analysis Derived'!F68:I68)</f>
        <v>#NUM!</v>
      </c>
      <c r="I67" s="66" t="e">
        <f ca="1">STDEV('Increment Analysis Derived'!E68:H68)</f>
        <v>#NUM!</v>
      </c>
      <c r="J67" s="2"/>
      <c r="K67" s="2"/>
      <c r="L67" s="2"/>
    </row>
    <row r="68" spans="1:12" ht="15" x14ac:dyDescent="0.25">
      <c r="A68" s="43">
        <f>'rc'!A68</f>
        <v>0</v>
      </c>
      <c r="B68" s="44"/>
      <c r="C68" s="159" t="s">
        <v>68</v>
      </c>
      <c r="D68" s="65" t="e">
        <f ca="1">STDEV('Increment Analysis Derived'!F69:K69)</f>
        <v>#NUM!</v>
      </c>
      <c r="E68" s="65" t="e">
        <f ca="1">STDEV('Increment Analysis Derived'!I69:L69)</f>
        <v>#NUM!</v>
      </c>
      <c r="F68" s="65" t="e">
        <f ca="1">STDEV('Increment Analysis Derived'!H69:K69)</f>
        <v>#NUM!</v>
      </c>
      <c r="G68" s="65" t="e">
        <f ca="1">STDEV('Increment Analysis Derived'!G69:J69)</f>
        <v>#NUM!</v>
      </c>
      <c r="H68" s="65" t="e">
        <f ca="1">STDEV('Increment Analysis Derived'!F69:I69)</f>
        <v>#NUM!</v>
      </c>
      <c r="I68" s="66" t="e">
        <f ca="1">STDEV('Increment Analysis Derived'!E69:H69)</f>
        <v>#NUM!</v>
      </c>
      <c r="J68" s="2"/>
      <c r="K68" s="2"/>
      <c r="L68" s="2"/>
    </row>
    <row r="69" spans="1:12" ht="15" x14ac:dyDescent="0.25">
      <c r="A69" s="43">
        <f>'rc'!A69</f>
        <v>0</v>
      </c>
      <c r="B69" s="44"/>
      <c r="C69" s="159" t="s">
        <v>68</v>
      </c>
      <c r="D69" s="65" t="e">
        <f ca="1">STDEV('Increment Analysis Derived'!F70:K70)</f>
        <v>#NUM!</v>
      </c>
      <c r="E69" s="65" t="e">
        <f ca="1">STDEV('Increment Analysis Derived'!I70:L70)</f>
        <v>#NUM!</v>
      </c>
      <c r="F69" s="65" t="e">
        <f ca="1">STDEV('Increment Analysis Derived'!H70:K70)</f>
        <v>#NUM!</v>
      </c>
      <c r="G69" s="65" t="e">
        <f ca="1">STDEV('Increment Analysis Derived'!G70:J70)</f>
        <v>#NUM!</v>
      </c>
      <c r="H69" s="65" t="e">
        <f ca="1">STDEV('Increment Analysis Derived'!F70:I70)</f>
        <v>#NUM!</v>
      </c>
      <c r="I69" s="66" t="e">
        <f ca="1">STDEV('Increment Analysis Derived'!E70:H70)</f>
        <v>#NUM!</v>
      </c>
      <c r="J69" s="2"/>
      <c r="K69" s="2"/>
      <c r="L69" s="2"/>
    </row>
    <row r="70" spans="1:12" ht="15" x14ac:dyDescent="0.25">
      <c r="A70" s="43">
        <f>'rc'!A70</f>
        <v>0</v>
      </c>
      <c r="B70" s="44"/>
      <c r="C70" s="159" t="s">
        <v>68</v>
      </c>
      <c r="D70" s="65" t="e">
        <f ca="1">STDEV('Increment Analysis Derived'!F71:K71)</f>
        <v>#NUM!</v>
      </c>
      <c r="E70" s="65" t="e">
        <f ca="1">STDEV('Increment Analysis Derived'!I71:L71)</f>
        <v>#NUM!</v>
      </c>
      <c r="F70" s="65" t="e">
        <f ca="1">STDEV('Increment Analysis Derived'!H71:K71)</f>
        <v>#NUM!</v>
      </c>
      <c r="G70" s="65" t="e">
        <f ca="1">STDEV('Increment Analysis Derived'!G71:J71)</f>
        <v>#NUM!</v>
      </c>
      <c r="H70" s="65" t="e">
        <f ca="1">STDEV('Increment Analysis Derived'!F71:I71)</f>
        <v>#NUM!</v>
      </c>
      <c r="I70" s="66" t="e">
        <f ca="1">STDEV('Increment Analysis Derived'!E71:H71)</f>
        <v>#NUM!</v>
      </c>
      <c r="J70" s="2"/>
      <c r="K70" s="2"/>
      <c r="L70" s="2"/>
    </row>
    <row r="71" spans="1:12" ht="15" x14ac:dyDescent="0.25">
      <c r="A71" s="43">
        <f>'rc'!A71</f>
        <v>0</v>
      </c>
      <c r="B71" s="44"/>
      <c r="C71" s="159" t="s">
        <v>68</v>
      </c>
      <c r="D71" s="65" t="e">
        <f ca="1">STDEV('Increment Analysis Derived'!F72:K72)</f>
        <v>#NUM!</v>
      </c>
      <c r="E71" s="65" t="e">
        <f ca="1">STDEV('Increment Analysis Derived'!I72:L72)</f>
        <v>#NUM!</v>
      </c>
      <c r="F71" s="65" t="e">
        <f ca="1">STDEV('Increment Analysis Derived'!H72:K72)</f>
        <v>#NUM!</v>
      </c>
      <c r="G71" s="65" t="e">
        <f ca="1">STDEV('Increment Analysis Derived'!G72:J72)</f>
        <v>#NUM!</v>
      </c>
      <c r="H71" s="65" t="e">
        <f ca="1">STDEV('Increment Analysis Derived'!F72:I72)</f>
        <v>#NUM!</v>
      </c>
      <c r="I71" s="66" t="e">
        <f ca="1">STDEV('Increment Analysis Derived'!E72:H72)</f>
        <v>#NUM!</v>
      </c>
      <c r="J71" s="2"/>
      <c r="K71" s="2"/>
      <c r="L71" s="2"/>
    </row>
    <row r="72" spans="1:12" ht="15" x14ac:dyDescent="0.25">
      <c r="A72" s="43">
        <f>'rc'!A72</f>
        <v>0</v>
      </c>
      <c r="B72" s="44"/>
      <c r="C72" s="159" t="s">
        <v>68</v>
      </c>
      <c r="D72" s="65" t="e">
        <f ca="1">STDEV('Increment Analysis Derived'!F73:K73)</f>
        <v>#NUM!</v>
      </c>
      <c r="E72" s="65" t="e">
        <f ca="1">STDEV('Increment Analysis Derived'!I73:L73)</f>
        <v>#NUM!</v>
      </c>
      <c r="F72" s="65" t="e">
        <f ca="1">STDEV('Increment Analysis Derived'!H73:K73)</f>
        <v>#NUM!</v>
      </c>
      <c r="G72" s="65" t="e">
        <f ca="1">STDEV('Increment Analysis Derived'!G73:J73)</f>
        <v>#NUM!</v>
      </c>
      <c r="H72" s="65" t="e">
        <f ca="1">STDEV('Increment Analysis Derived'!F73:I73)</f>
        <v>#NUM!</v>
      </c>
      <c r="I72" s="66" t="e">
        <f ca="1">STDEV('Increment Analysis Derived'!E73:H73)</f>
        <v>#NUM!</v>
      </c>
      <c r="J72" s="2"/>
      <c r="K72" s="2"/>
      <c r="L72" s="2"/>
    </row>
    <row r="73" spans="1:12" ht="15" x14ac:dyDescent="0.25">
      <c r="A73" s="43">
        <f>'rc'!A73</f>
        <v>0</v>
      </c>
      <c r="B73" s="44"/>
      <c r="C73" s="159" t="s">
        <v>68</v>
      </c>
      <c r="D73" s="65" t="e">
        <f ca="1">STDEV('Increment Analysis Derived'!F74:K74)</f>
        <v>#NUM!</v>
      </c>
      <c r="E73" s="65" t="e">
        <f ca="1">STDEV('Increment Analysis Derived'!I74:L74)</f>
        <v>#NUM!</v>
      </c>
      <c r="F73" s="65" t="e">
        <f ca="1">STDEV('Increment Analysis Derived'!H74:K74)</f>
        <v>#NUM!</v>
      </c>
      <c r="G73" s="65" t="e">
        <f ca="1">STDEV('Increment Analysis Derived'!G74:J74)</f>
        <v>#NUM!</v>
      </c>
      <c r="H73" s="65" t="e">
        <f ca="1">STDEV('Increment Analysis Derived'!F74:I74)</f>
        <v>#NUM!</v>
      </c>
      <c r="I73" s="66" t="e">
        <f ca="1">STDEV('Increment Analysis Derived'!E74:H74)</f>
        <v>#NUM!</v>
      </c>
      <c r="J73" s="2"/>
      <c r="K73" s="2"/>
      <c r="L73" s="2"/>
    </row>
    <row r="74" spans="1:12" ht="15" x14ac:dyDescent="0.25">
      <c r="A74" s="43">
        <f>'rc'!A74</f>
        <v>0</v>
      </c>
      <c r="B74" s="44"/>
      <c r="C74" s="159" t="s">
        <v>68</v>
      </c>
      <c r="D74" s="65" t="e">
        <f ca="1">STDEV('Increment Analysis Derived'!F75:K75)</f>
        <v>#NUM!</v>
      </c>
      <c r="E74" s="65" t="e">
        <f ca="1">STDEV('Increment Analysis Derived'!I75:L75)</f>
        <v>#NUM!</v>
      </c>
      <c r="F74" s="65" t="e">
        <f ca="1">STDEV('Increment Analysis Derived'!H75:K75)</f>
        <v>#NUM!</v>
      </c>
      <c r="G74" s="65" t="e">
        <f ca="1">STDEV('Increment Analysis Derived'!G75:J75)</f>
        <v>#NUM!</v>
      </c>
      <c r="H74" s="65" t="e">
        <f ca="1">STDEV('Increment Analysis Derived'!F75:I75)</f>
        <v>#NUM!</v>
      </c>
      <c r="I74" s="66" t="e">
        <f ca="1">STDEV('Increment Analysis Derived'!E75:H75)</f>
        <v>#NUM!</v>
      </c>
    </row>
    <row r="75" spans="1:12" ht="15" x14ac:dyDescent="0.25">
      <c r="A75" s="43">
        <f>'rc'!A75</f>
        <v>0</v>
      </c>
      <c r="B75" s="44"/>
      <c r="C75" s="159" t="s">
        <v>68</v>
      </c>
      <c r="D75" s="65" t="e">
        <f ca="1">STDEV('Increment Analysis Derived'!F76:K76)</f>
        <v>#NUM!</v>
      </c>
      <c r="E75" s="65" t="e">
        <f ca="1">STDEV('Increment Analysis Derived'!I76:L76)</f>
        <v>#NUM!</v>
      </c>
      <c r="F75" s="65" t="e">
        <f ca="1">STDEV('Increment Analysis Derived'!H76:K76)</f>
        <v>#NUM!</v>
      </c>
      <c r="G75" s="65" t="e">
        <f ca="1">STDEV('Increment Analysis Derived'!G76:J76)</f>
        <v>#NUM!</v>
      </c>
      <c r="H75" s="65" t="e">
        <f ca="1">STDEV('Increment Analysis Derived'!F76:I76)</f>
        <v>#NUM!</v>
      </c>
      <c r="I75" s="66" t="e">
        <f ca="1">STDEV('Increment Analysis Derived'!E76:H76)</f>
        <v>#NUM!</v>
      </c>
    </row>
  </sheetData>
  <mergeCells count="3">
    <mergeCell ref="J5:K5"/>
    <mergeCell ref="J6:K6"/>
    <mergeCell ref="J7:K7"/>
  </mergeCells>
  <phoneticPr fontId="15" type="noConversion"/>
  <conditionalFormatting sqref="D4:I75">
    <cfRule type="cellIs" dxfId="8" priority="2" stopIfTrue="1" operator="lessThanOrEqual">
      <formula>0.5</formula>
    </cfRule>
  </conditionalFormatting>
  <conditionalFormatting sqref="I50">
    <cfRule type="cellIs" dxfId="7" priority="1" stopIfTrue="1" operator="greaterThan">
      <formula>0.21</formula>
    </cfRule>
  </conditionalFormatting>
  <pageMargins left="0.75" right="0.75" top="1" bottom="1" header="0.5" footer="0.5"/>
  <pageSetup scale="5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pageSetUpPr fitToPage="1"/>
  </sheetPr>
  <dimension ref="A1:O76"/>
  <sheetViews>
    <sheetView view="pageBreakPreview" zoomScale="60" zoomScaleNormal="100" workbookViewId="0">
      <selection activeCell="O57" sqref="O57"/>
    </sheetView>
  </sheetViews>
  <sheetFormatPr defaultRowHeight="12.75" x14ac:dyDescent="0.2"/>
  <cols>
    <col min="1" max="1" width="39.85546875" customWidth="1"/>
    <col min="2" max="2" width="19" customWidth="1"/>
    <col min="3" max="3" width="20.5703125" style="115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3.85546875" customWidth="1"/>
    <col min="12" max="12" width="9.85546875" customWidth="1"/>
    <col min="13" max="15" width="9.140625" style="2"/>
  </cols>
  <sheetData>
    <row r="1" spans="1:12" ht="14.25" x14ac:dyDescent="0.2">
      <c r="A1" s="22"/>
      <c r="B1" s="22"/>
      <c r="C1" s="46"/>
      <c r="D1" s="22"/>
      <c r="E1" s="22"/>
      <c r="F1" s="22"/>
      <c r="G1" s="22"/>
      <c r="H1" s="22"/>
      <c r="I1" s="22"/>
      <c r="J1" s="22"/>
      <c r="K1" s="22"/>
      <c r="L1" s="22"/>
    </row>
    <row r="2" spans="1:12" ht="15.75" thickBot="1" x14ac:dyDescent="0.3">
      <c r="A2" s="26" t="s">
        <v>59</v>
      </c>
      <c r="B2" s="22"/>
      <c r="C2" s="46"/>
      <c r="D2" s="22"/>
      <c r="E2" s="22"/>
      <c r="F2" s="22"/>
      <c r="G2" s="22"/>
      <c r="H2" s="22"/>
      <c r="I2" s="22"/>
      <c r="J2" s="22"/>
      <c r="K2" s="22"/>
      <c r="L2" s="22"/>
    </row>
    <row r="3" spans="1:12" ht="15.75" thickBot="1" x14ac:dyDescent="0.3">
      <c r="A3" s="22"/>
      <c r="B3" s="22"/>
      <c r="C3" s="46"/>
      <c r="D3" s="152" t="s">
        <v>60</v>
      </c>
      <c r="E3" s="153" t="s">
        <v>61</v>
      </c>
      <c r="F3" s="153" t="s">
        <v>53</v>
      </c>
      <c r="G3" s="153" t="s">
        <v>54</v>
      </c>
      <c r="H3" s="153" t="s">
        <v>55</v>
      </c>
      <c r="I3" s="154" t="s">
        <v>62</v>
      </c>
      <c r="J3" s="26"/>
      <c r="K3" s="22"/>
      <c r="L3" s="22"/>
    </row>
    <row r="4" spans="1:12" ht="15.75" thickBot="1" x14ac:dyDescent="0.3">
      <c r="A4" s="161" t="str">
        <f>'Increment Analysis Derived'!A5</f>
        <v>pH</v>
      </c>
      <c r="B4" s="140"/>
      <c r="C4" s="183" t="s">
        <v>63</v>
      </c>
      <c r="D4" s="185">
        <f ca="1">SLOPE(LOG('Measured Cummulative'!F5:K5),LOG('Measured Cummulative'!F$1:K$1))</f>
        <v>0.32609709561768979</v>
      </c>
      <c r="E4" s="62">
        <f ca="1">SLOPE(LOG('Measured Cummulative'!I5:L5),LOG('Measured Cummulative'!I$1:L$1))</f>
        <v>0.32345431688192816</v>
      </c>
      <c r="F4" s="62">
        <f ca="1">SLOPE(LOG('Measured Cummulative'!H5:K5),LOG('Measured Cummulative'!H$1:K$1))</f>
        <v>0.3787861070773651</v>
      </c>
      <c r="G4" s="62">
        <f ca="1">SLOPE(LOG('Measured Cummulative'!G5:J5),LOG('Measured Cummulative'!G$1:J$1))</f>
        <v>0.35240162941874725</v>
      </c>
      <c r="H4" s="62">
        <f ca="1">SLOPE(LOG('Measured Cummulative'!F5:I5),LOG('Measured Cummulative'!F$1:I$1))</f>
        <v>0.30492226882524059</v>
      </c>
      <c r="I4" s="63">
        <f ca="1">SLOPE(LOG('Measured Cummulative'!E5:H5),LOG('Measured Cummulative'!E$1:H$1))</f>
        <v>0.33361724652733388</v>
      </c>
      <c r="J4" s="64" t="s">
        <v>64</v>
      </c>
      <c r="K4" s="22"/>
      <c r="L4" s="22"/>
    </row>
    <row r="5" spans="1:12" ht="15.75" thickBot="1" x14ac:dyDescent="0.3">
      <c r="A5" s="162" t="str">
        <f>'Increment Analysis Derived'!A6</f>
        <v>Electrical Conductivity</v>
      </c>
      <c r="B5" s="141"/>
      <c r="C5" s="184" t="s">
        <v>63</v>
      </c>
      <c r="D5" s="186">
        <f ca="1">SLOPE(LOG('Measured Cummulative'!F6:K6),LOG('Measured Cummulative'!F$1:K$1))</f>
        <v>1.5019003964336139</v>
      </c>
      <c r="E5" s="65">
        <f ca="1">SLOPE(LOG('Measured Cummulative'!I6:L6),LOG('Measured Cummulative'!I$1:L$1))</f>
        <v>0.51946466745471043</v>
      </c>
      <c r="F5" s="65">
        <f ca="1">SLOPE(LOG('Measured Cummulative'!H6:K6),LOG('Measured Cummulative'!H$1:K$1))</f>
        <v>0.84166018235153395</v>
      </c>
      <c r="G5" s="65">
        <f ca="1">SLOPE(LOG('Measured Cummulative'!G6:J6),LOG('Measured Cummulative'!G$1:J$1))</f>
        <v>1.4089927789149439</v>
      </c>
      <c r="H5" s="65">
        <f ca="1">SLOPE(LOG('Measured Cummulative'!F6:I6),LOG('Measured Cummulative'!F$1:I$1))</f>
        <v>1.7368515862636242</v>
      </c>
      <c r="I5" s="66">
        <f ca="1">SLOPE(LOG('Measured Cummulative'!E6:H6),LOG('Measured Cummulative'!E$1:H$1))</f>
        <v>1.5239284255225511</v>
      </c>
      <c r="J5" s="420" t="s">
        <v>65</v>
      </c>
      <c r="K5" s="421"/>
      <c r="L5" s="70"/>
    </row>
    <row r="6" spans="1:12" ht="15.75" thickBot="1" x14ac:dyDescent="0.3">
      <c r="A6" s="162" t="str">
        <f>'Increment Analysis Derived'!A7</f>
        <v>Redox potential</v>
      </c>
      <c r="B6" s="141"/>
      <c r="C6" s="184" t="s">
        <v>63</v>
      </c>
      <c r="D6" s="186" t="e">
        <f ca="1">SLOPE(LOG('Measured Cummulative'!F7:K7),LOG('Measured Cummulative'!F$1:K$1))</f>
        <v>#NUM!</v>
      </c>
      <c r="E6" s="65" t="e">
        <f ca="1">SLOPE(LOG('Measured Cummulative'!I7:L7),LOG('Measured Cummulative'!I$1:L$1))</f>
        <v>#NUM!</v>
      </c>
      <c r="F6" s="65" t="e">
        <f ca="1">SLOPE(LOG('Measured Cummulative'!H7:K7),LOG('Measured Cummulative'!H$1:K$1))</f>
        <v>#NUM!</v>
      </c>
      <c r="G6" s="65" t="e">
        <f ca="1">SLOPE(LOG('Measured Cummulative'!G7:J7),LOG('Measured Cummulative'!G$1:J$1))</f>
        <v>#NUM!</v>
      </c>
      <c r="H6" s="65" t="e">
        <f ca="1">SLOPE(LOG('Measured Cummulative'!F7:I7),LOG('Measured Cummulative'!F$1:I$1))</f>
        <v>#NUM!</v>
      </c>
      <c r="I6" s="66" t="e">
        <f ca="1">SLOPE(LOG('Measured Cummulative'!E7:H7),LOG('Measured Cummulative'!E$1:H$1))</f>
        <v>#NUM!</v>
      </c>
      <c r="J6" s="417" t="s">
        <v>66</v>
      </c>
      <c r="K6" s="418"/>
      <c r="L6" s="69"/>
    </row>
    <row r="7" spans="1:12" ht="15.75" thickBot="1" x14ac:dyDescent="0.3">
      <c r="A7" s="162" t="str">
        <f>'Increment Analysis Derived'!A8</f>
        <v>Chloride</v>
      </c>
      <c r="B7" s="141"/>
      <c r="C7" s="184" t="s">
        <v>63</v>
      </c>
      <c r="D7" s="186">
        <f ca="1">SLOPE(LOG('Measured Cummulative'!F8:K8),LOG('Measured Cummulative'!F$1:K$1))</f>
        <v>1.8494577808859325</v>
      </c>
      <c r="E7" s="65">
        <f ca="1">SLOPE(LOG('Measured Cummulative'!I8:L8),LOG('Measured Cummulative'!I$1:L$1))</f>
        <v>0.66059843583996503</v>
      </c>
      <c r="F7" s="65">
        <f ca="1">SLOPE(LOG('Measured Cummulative'!H8:K8),LOG('Measured Cummulative'!H$1:K$1))</f>
        <v>1.100766245782774</v>
      </c>
      <c r="G7" s="65">
        <f ca="1">SLOPE(LOG('Measured Cummulative'!G8:J8),LOG('Measured Cummulative'!G$1:J$1))</f>
        <v>2.0032465812204765</v>
      </c>
      <c r="H7" s="65">
        <f ca="1">SLOPE(LOG('Measured Cummulative'!F8:I8),LOG('Measured Cummulative'!F$1:I$1))</f>
        <v>2.0896259529013816</v>
      </c>
      <c r="I7" s="66">
        <f ca="1">SLOPE(LOG('Measured Cummulative'!E8:H8),LOG('Measured Cummulative'!E$1:H$1))</f>
        <v>1.6043346693916292</v>
      </c>
      <c r="J7" s="422" t="s">
        <v>67</v>
      </c>
      <c r="K7" s="423"/>
      <c r="L7" s="67"/>
    </row>
    <row r="8" spans="1:12" ht="15" x14ac:dyDescent="0.25">
      <c r="A8" s="162" t="str">
        <f>'Increment Analysis Derived'!A9</f>
        <v>Sodium</v>
      </c>
      <c r="B8" s="141"/>
      <c r="C8" s="184" t="s">
        <v>63</v>
      </c>
      <c r="D8" s="186">
        <f ca="1">SLOPE(LOG('Measured Cummulative'!F9:K9),LOG('Measured Cummulative'!F$1:K$1))</f>
        <v>0.89189025200002359</v>
      </c>
      <c r="E8" s="65">
        <f ca="1">SLOPE(LOG('Measured Cummulative'!I9:L9),LOG('Measured Cummulative'!I$1:L$1))</f>
        <v>0.57809495543857337</v>
      </c>
      <c r="F8" s="65">
        <f ca="1">SLOPE(LOG('Measured Cummulative'!H9:K9),LOG('Measured Cummulative'!H$1:K$1))</f>
        <v>0.87663147797208663</v>
      </c>
      <c r="G8" s="65">
        <f ca="1">SLOPE(LOG('Measured Cummulative'!G9:J9),LOG('Measured Cummulative'!G$1:J$1))</f>
        <v>1.177783568298423</v>
      </c>
      <c r="H8" s="65">
        <f ca="1">SLOPE(LOG('Measured Cummulative'!F9:I9),LOG('Measured Cummulative'!F$1:I$1))</f>
        <v>0.87748123860498151</v>
      </c>
      <c r="I8" s="66">
        <f ca="1">SLOPE(LOG('Measured Cummulative'!E9:H9),LOG('Measured Cummulative'!E$1:H$1))</f>
        <v>0.73579012956946166</v>
      </c>
      <c r="J8" s="68"/>
      <c r="K8" s="22"/>
      <c r="L8" s="22"/>
    </row>
    <row r="9" spans="1:12" ht="15" x14ac:dyDescent="0.25">
      <c r="A9" s="162">
        <f>'Increment Analysis Derived'!A10</f>
        <v>0</v>
      </c>
      <c r="B9" s="141"/>
      <c r="C9" s="184" t="s">
        <v>63</v>
      </c>
      <c r="D9" s="186" t="e">
        <f ca="1">SLOPE(LOG('Measured Cummulative'!F10:K10),LOG('Measured Cummulative'!F$1:K$1))</f>
        <v>#NUM!</v>
      </c>
      <c r="E9" s="65" t="e">
        <f ca="1">SLOPE(LOG('Measured Cummulative'!I10:L10),LOG('Measured Cummulative'!I$1:L$1))</f>
        <v>#NUM!</v>
      </c>
      <c r="F9" s="65" t="e">
        <f ca="1">SLOPE(LOG('Measured Cummulative'!H10:K10),LOG('Measured Cummulative'!H$1:K$1))</f>
        <v>#NUM!</v>
      </c>
      <c r="G9" s="65" t="e">
        <f ca="1">SLOPE(LOG('Measured Cummulative'!G10:J10),LOG('Measured Cummulative'!G$1:J$1))</f>
        <v>#NUM!</v>
      </c>
      <c r="H9" s="65" t="e">
        <f ca="1">SLOPE(LOG('Measured Cummulative'!F10:I10),LOG('Measured Cummulative'!F$1:I$1))</f>
        <v>#NUM!</v>
      </c>
      <c r="I9" s="66" t="e">
        <f ca="1">SLOPE(LOG('Measured Cummulative'!E10:H10),LOG('Measured Cummulative'!E$1:H$1))</f>
        <v>#NUM!</v>
      </c>
      <c r="J9" s="68"/>
      <c r="K9" s="22"/>
      <c r="L9" s="22"/>
    </row>
    <row r="10" spans="1:12" ht="15" x14ac:dyDescent="0.25">
      <c r="A10" s="162">
        <f>'Increment Analysis Derived'!A11</f>
        <v>0</v>
      </c>
      <c r="B10" s="141"/>
      <c r="C10" s="184" t="s">
        <v>63</v>
      </c>
      <c r="D10" s="186" t="e">
        <f ca="1">SLOPE(LOG('Measured Cummulative'!F11:K11),LOG('Measured Cummulative'!F$1:K$1))</f>
        <v>#NUM!</v>
      </c>
      <c r="E10" s="65" t="e">
        <f ca="1">SLOPE(LOG('Measured Cummulative'!I11:L11),LOG('Measured Cummulative'!I$1:L$1))</f>
        <v>#NUM!</v>
      </c>
      <c r="F10" s="65" t="e">
        <f ca="1">SLOPE(LOG('Measured Cummulative'!H11:K11),LOG('Measured Cummulative'!H$1:K$1))</f>
        <v>#NUM!</v>
      </c>
      <c r="G10" s="65" t="e">
        <f ca="1">SLOPE(LOG('Measured Cummulative'!G11:J11),LOG('Measured Cummulative'!G$1:J$1))</f>
        <v>#NUM!</v>
      </c>
      <c r="H10" s="65" t="e">
        <f ca="1">SLOPE(LOG('Measured Cummulative'!F11:I11),LOG('Measured Cummulative'!F$1:I$1))</f>
        <v>#NUM!</v>
      </c>
      <c r="I10" s="66" t="e">
        <f ca="1">SLOPE(LOG('Measured Cummulative'!E11:H11),LOG('Measured Cummulative'!E$1:H$1))</f>
        <v>#NUM!</v>
      </c>
      <c r="J10" s="68"/>
      <c r="K10" s="22"/>
      <c r="L10" s="22"/>
    </row>
    <row r="11" spans="1:12" ht="15" x14ac:dyDescent="0.25">
      <c r="A11" s="162">
        <f>'Increment Analysis Derived'!A12</f>
        <v>0</v>
      </c>
      <c r="B11" s="141"/>
      <c r="C11" s="184" t="s">
        <v>63</v>
      </c>
      <c r="D11" s="186" t="e">
        <f ca="1">SLOPE(LOG('Measured Cummulative'!F12:K12),LOG('Measured Cummulative'!F$1:K$1))</f>
        <v>#NUM!</v>
      </c>
      <c r="E11" s="65" t="e">
        <f ca="1">SLOPE(LOG('Measured Cummulative'!I12:L12),LOG('Measured Cummulative'!I$1:L$1))</f>
        <v>#NUM!</v>
      </c>
      <c r="F11" s="65" t="e">
        <f ca="1">SLOPE(LOG('Measured Cummulative'!H12:K12),LOG('Measured Cummulative'!H$1:K$1))</f>
        <v>#NUM!</v>
      </c>
      <c r="G11" s="65" t="e">
        <f ca="1">SLOPE(LOG('Measured Cummulative'!G12:J12),LOG('Measured Cummulative'!G$1:J$1))</f>
        <v>#NUM!</v>
      </c>
      <c r="H11" s="65" t="e">
        <f ca="1">SLOPE(LOG('Measured Cummulative'!F12:I12),LOG('Measured Cummulative'!F$1:I$1))</f>
        <v>#NUM!</v>
      </c>
      <c r="I11" s="66" t="e">
        <f ca="1">SLOPE(LOG('Measured Cummulative'!E12:H12),LOG('Measured Cummulative'!E$1:H$1))</f>
        <v>#NUM!</v>
      </c>
      <c r="J11" s="68"/>
      <c r="K11" s="22"/>
      <c r="L11" s="22"/>
    </row>
    <row r="12" spans="1:12" ht="15" x14ac:dyDescent="0.25">
      <c r="A12" s="162">
        <f>'Increment Analysis Derived'!A13</f>
        <v>0</v>
      </c>
      <c r="B12" s="141"/>
      <c r="C12" s="184" t="s">
        <v>63</v>
      </c>
      <c r="D12" s="186" t="e">
        <f ca="1">SLOPE(LOG('Measured Cummulative'!F13:K13),LOG('Measured Cummulative'!F$1:K$1))</f>
        <v>#NUM!</v>
      </c>
      <c r="E12" s="65" t="e">
        <f ca="1">SLOPE(LOG('Measured Cummulative'!I13:L13),LOG('Measured Cummulative'!I$1:L$1))</f>
        <v>#NUM!</v>
      </c>
      <c r="F12" s="65" t="e">
        <f ca="1">SLOPE(LOG('Measured Cummulative'!H13:K13),LOG('Measured Cummulative'!H$1:K$1))</f>
        <v>#NUM!</v>
      </c>
      <c r="G12" s="65" t="e">
        <f ca="1">SLOPE(LOG('Measured Cummulative'!G13:J13),LOG('Measured Cummulative'!G$1:J$1))</f>
        <v>#NUM!</v>
      </c>
      <c r="H12" s="65" t="e">
        <f ca="1">SLOPE(LOG('Measured Cummulative'!F13:I13),LOG('Measured Cummulative'!F$1:I$1))</f>
        <v>#NUM!</v>
      </c>
      <c r="I12" s="66" t="e">
        <f ca="1">SLOPE(LOG('Measured Cummulative'!E13:H13),LOG('Measured Cummulative'!E$1:H$1))</f>
        <v>#NUM!</v>
      </c>
      <c r="J12" s="68"/>
      <c r="K12" s="22"/>
      <c r="L12" s="22"/>
    </row>
    <row r="13" spans="1:12" ht="15" x14ac:dyDescent="0.25">
      <c r="A13" s="162">
        <f>'Increment Analysis Derived'!A14</f>
        <v>0</v>
      </c>
      <c r="B13" s="141"/>
      <c r="C13" s="184" t="s">
        <v>63</v>
      </c>
      <c r="D13" s="186" t="e">
        <f ca="1">SLOPE(LOG('Measured Cummulative'!F14:K14),LOG('Measured Cummulative'!F$1:K$1))</f>
        <v>#NUM!</v>
      </c>
      <c r="E13" s="65" t="e">
        <f ca="1">SLOPE(LOG('Measured Cummulative'!I14:L14),LOG('Measured Cummulative'!I$1:L$1))</f>
        <v>#NUM!</v>
      </c>
      <c r="F13" s="65" t="e">
        <f ca="1">SLOPE(LOG('Measured Cummulative'!H14:K14),LOG('Measured Cummulative'!H$1:K$1))</f>
        <v>#NUM!</v>
      </c>
      <c r="G13" s="65" t="e">
        <f ca="1">SLOPE(LOG('Measured Cummulative'!G14:J14),LOG('Measured Cummulative'!G$1:J$1))</f>
        <v>#NUM!</v>
      </c>
      <c r="H13" s="65" t="e">
        <f ca="1">SLOPE(LOG('Measured Cummulative'!F14:I14),LOG('Measured Cummulative'!F$1:I$1))</f>
        <v>#NUM!</v>
      </c>
      <c r="I13" s="66" t="e">
        <f ca="1">SLOPE(LOG('Measured Cummulative'!E14:H14),LOG('Measured Cummulative'!E$1:H$1))</f>
        <v>#NUM!</v>
      </c>
      <c r="J13" s="68"/>
      <c r="K13" s="22"/>
      <c r="L13" s="22"/>
    </row>
    <row r="14" spans="1:12" ht="15" x14ac:dyDescent="0.25">
      <c r="A14" s="162">
        <f>'Increment Analysis Derived'!A15</f>
        <v>0</v>
      </c>
      <c r="B14" s="141"/>
      <c r="C14" s="184" t="s">
        <v>63</v>
      </c>
      <c r="D14" s="186" t="e">
        <f ca="1">SLOPE(LOG('Measured Cummulative'!F15:K15),LOG('Measured Cummulative'!F$1:K$1))</f>
        <v>#NUM!</v>
      </c>
      <c r="E14" s="65" t="e">
        <f ca="1">SLOPE(LOG('Measured Cummulative'!I15:L15),LOG('Measured Cummulative'!I$1:L$1))</f>
        <v>#NUM!</v>
      </c>
      <c r="F14" s="65" t="e">
        <f ca="1">SLOPE(LOG('Measured Cummulative'!H15:K15),LOG('Measured Cummulative'!H$1:K$1))</f>
        <v>#NUM!</v>
      </c>
      <c r="G14" s="65" t="e">
        <f ca="1">SLOPE(LOG('Measured Cummulative'!G15:J15),LOG('Measured Cummulative'!G$1:J$1))</f>
        <v>#NUM!</v>
      </c>
      <c r="H14" s="65" t="e">
        <f ca="1">SLOPE(LOG('Measured Cummulative'!F15:I15),LOG('Measured Cummulative'!F$1:I$1))</f>
        <v>#NUM!</v>
      </c>
      <c r="I14" s="66" t="e">
        <f ca="1">SLOPE(LOG('Measured Cummulative'!E15:H15),LOG('Measured Cummulative'!E$1:H$1))</f>
        <v>#NUM!</v>
      </c>
      <c r="J14" s="68"/>
      <c r="K14" s="22"/>
      <c r="L14" s="22"/>
    </row>
    <row r="15" spans="1:12" ht="15" x14ac:dyDescent="0.25">
      <c r="A15" s="162">
        <f>'Increment Analysis Derived'!A16</f>
        <v>0</v>
      </c>
      <c r="B15" s="141"/>
      <c r="C15" s="184" t="s">
        <v>63</v>
      </c>
      <c r="D15" s="186" t="e">
        <f ca="1">SLOPE(LOG('Measured Cummulative'!F16:K16),LOG('Measured Cummulative'!F$1:K$1))</f>
        <v>#NUM!</v>
      </c>
      <c r="E15" s="65" t="e">
        <f ca="1">SLOPE(LOG('Measured Cummulative'!I16:L16),LOG('Measured Cummulative'!I$1:L$1))</f>
        <v>#NUM!</v>
      </c>
      <c r="F15" s="65" t="e">
        <f ca="1">SLOPE(LOG('Measured Cummulative'!H16:K16),LOG('Measured Cummulative'!H$1:K$1))</f>
        <v>#NUM!</v>
      </c>
      <c r="G15" s="65" t="e">
        <f ca="1">SLOPE(LOG('Measured Cummulative'!G16:J16),LOG('Measured Cummulative'!G$1:J$1))</f>
        <v>#NUM!</v>
      </c>
      <c r="H15" s="65" t="e">
        <f ca="1">SLOPE(LOG('Measured Cummulative'!F16:I16),LOG('Measured Cummulative'!F$1:I$1))</f>
        <v>#NUM!</v>
      </c>
      <c r="I15" s="66" t="e">
        <f ca="1">SLOPE(LOG('Measured Cummulative'!E16:H16),LOG('Measured Cummulative'!E$1:H$1))</f>
        <v>#NUM!</v>
      </c>
      <c r="J15" s="68"/>
      <c r="K15" s="22"/>
      <c r="L15" s="22"/>
    </row>
    <row r="16" spans="1:12" ht="15" x14ac:dyDescent="0.25">
      <c r="A16" s="162">
        <f>'Increment Analysis Derived'!A17</f>
        <v>0</v>
      </c>
      <c r="B16" s="141"/>
      <c r="C16" s="184" t="s">
        <v>63</v>
      </c>
      <c r="D16" s="186" t="e">
        <f ca="1">SLOPE(LOG('Measured Cummulative'!F17:K17),LOG('Measured Cummulative'!F$1:K$1))</f>
        <v>#NUM!</v>
      </c>
      <c r="E16" s="65" t="e">
        <f ca="1">SLOPE(LOG('Measured Cummulative'!I17:L17),LOG('Measured Cummulative'!I$1:L$1))</f>
        <v>#NUM!</v>
      </c>
      <c r="F16" s="65" t="e">
        <f ca="1">SLOPE(LOG('Measured Cummulative'!H17:K17),LOG('Measured Cummulative'!H$1:K$1))</f>
        <v>#NUM!</v>
      </c>
      <c r="G16" s="65" t="e">
        <f ca="1">SLOPE(LOG('Measured Cummulative'!G17:J17),LOG('Measured Cummulative'!G$1:J$1))</f>
        <v>#NUM!</v>
      </c>
      <c r="H16" s="65" t="e">
        <f ca="1">SLOPE(LOG('Measured Cummulative'!F17:I17),LOG('Measured Cummulative'!F$1:I$1))</f>
        <v>#NUM!</v>
      </c>
      <c r="I16" s="66" t="e">
        <f ca="1">SLOPE(LOG('Measured Cummulative'!E17:H17),LOG('Measured Cummulative'!E$1:H$1))</f>
        <v>#NUM!</v>
      </c>
      <c r="J16" s="68"/>
      <c r="K16" s="22"/>
      <c r="L16" s="22"/>
    </row>
    <row r="17" spans="1:12" ht="15" x14ac:dyDescent="0.25">
      <c r="A17" s="162">
        <f>'Increment Analysis Derived'!A18</f>
        <v>0</v>
      </c>
      <c r="B17" s="141"/>
      <c r="C17" s="184" t="s">
        <v>63</v>
      </c>
      <c r="D17" s="186" t="e">
        <f ca="1">SLOPE(LOG('Measured Cummulative'!F18:K18),LOG('Measured Cummulative'!F$1:K$1))</f>
        <v>#NUM!</v>
      </c>
      <c r="E17" s="65" t="e">
        <f ca="1">SLOPE(LOG('Measured Cummulative'!I18:L18),LOG('Measured Cummulative'!I$1:L$1))</f>
        <v>#NUM!</v>
      </c>
      <c r="F17" s="65" t="e">
        <f ca="1">SLOPE(LOG('Measured Cummulative'!H18:K18),LOG('Measured Cummulative'!H$1:K$1))</f>
        <v>#NUM!</v>
      </c>
      <c r="G17" s="65" t="e">
        <f ca="1">SLOPE(LOG('Measured Cummulative'!G18:J18),LOG('Measured Cummulative'!G$1:J$1))</f>
        <v>#NUM!</v>
      </c>
      <c r="H17" s="65" t="e">
        <f ca="1">SLOPE(LOG('Measured Cummulative'!F18:I18),LOG('Measured Cummulative'!F$1:I$1))</f>
        <v>#NUM!</v>
      </c>
      <c r="I17" s="66" t="e">
        <f ca="1">SLOPE(LOG('Measured Cummulative'!E18:H18),LOG('Measured Cummulative'!E$1:H$1))</f>
        <v>#NUM!</v>
      </c>
      <c r="J17" s="68"/>
      <c r="K17" s="22"/>
      <c r="L17" s="22"/>
    </row>
    <row r="18" spans="1:12" ht="15" x14ac:dyDescent="0.25">
      <c r="A18" s="162">
        <f>'Increment Analysis Derived'!A19</f>
        <v>0</v>
      </c>
      <c r="B18" s="141"/>
      <c r="C18" s="184" t="s">
        <v>63</v>
      </c>
      <c r="D18" s="186" t="e">
        <f ca="1">SLOPE(LOG('Measured Cummulative'!F19:K19),LOG('Measured Cummulative'!F$1:K$1))</f>
        <v>#NUM!</v>
      </c>
      <c r="E18" s="65" t="e">
        <f ca="1">SLOPE(LOG('Measured Cummulative'!I19:L19),LOG('Measured Cummulative'!I$1:L$1))</f>
        <v>#NUM!</v>
      </c>
      <c r="F18" s="65" t="e">
        <f ca="1">SLOPE(LOG('Measured Cummulative'!H19:K19),LOG('Measured Cummulative'!H$1:K$1))</f>
        <v>#NUM!</v>
      </c>
      <c r="G18" s="65" t="e">
        <f ca="1">SLOPE(LOG('Measured Cummulative'!G19:J19),LOG('Measured Cummulative'!G$1:J$1))</f>
        <v>#NUM!</v>
      </c>
      <c r="H18" s="65" t="e">
        <f ca="1">SLOPE(LOG('Measured Cummulative'!F19:I19),LOG('Measured Cummulative'!F$1:I$1))</f>
        <v>#NUM!</v>
      </c>
      <c r="I18" s="66" t="e">
        <f ca="1">SLOPE(LOG('Measured Cummulative'!E19:H19),LOG('Measured Cummulative'!E$1:H$1))</f>
        <v>#NUM!</v>
      </c>
      <c r="J18" s="68"/>
      <c r="K18" s="22"/>
      <c r="L18" s="22"/>
    </row>
    <row r="19" spans="1:12" ht="15" x14ac:dyDescent="0.25">
      <c r="A19" s="162">
        <f>'Increment Analysis Derived'!A20</f>
        <v>0</v>
      </c>
      <c r="B19" s="141"/>
      <c r="C19" s="184" t="s">
        <v>63</v>
      </c>
      <c r="D19" s="186" t="e">
        <f ca="1">SLOPE(LOG('Measured Cummulative'!F20:K20),LOG('Measured Cummulative'!F$1:K$1))</f>
        <v>#NUM!</v>
      </c>
      <c r="E19" s="65" t="e">
        <f ca="1">SLOPE(LOG('Measured Cummulative'!I20:L20),LOG('Measured Cummulative'!I$1:L$1))</f>
        <v>#NUM!</v>
      </c>
      <c r="F19" s="65" t="e">
        <f ca="1">SLOPE(LOG('Measured Cummulative'!H20:K20),LOG('Measured Cummulative'!H$1:K$1))</f>
        <v>#NUM!</v>
      </c>
      <c r="G19" s="65" t="e">
        <f ca="1">SLOPE(LOG('Measured Cummulative'!G20:J20),LOG('Measured Cummulative'!G$1:J$1))</f>
        <v>#NUM!</v>
      </c>
      <c r="H19" s="65" t="e">
        <f ca="1">SLOPE(LOG('Measured Cummulative'!F20:I20),LOG('Measured Cummulative'!F$1:I$1))</f>
        <v>#NUM!</v>
      </c>
      <c r="I19" s="66" t="e">
        <f ca="1">SLOPE(LOG('Measured Cummulative'!E20:H20),LOG('Measured Cummulative'!E$1:H$1))</f>
        <v>#NUM!</v>
      </c>
      <c r="J19" s="68"/>
      <c r="K19" s="22"/>
      <c r="L19" s="22"/>
    </row>
    <row r="20" spans="1:12" ht="15" x14ac:dyDescent="0.25">
      <c r="A20" s="162">
        <f>'Increment Analysis Derived'!A21</f>
        <v>0</v>
      </c>
      <c r="B20" s="141"/>
      <c r="C20" s="184" t="s">
        <v>63</v>
      </c>
      <c r="D20" s="186" t="e">
        <f ca="1">SLOPE(LOG('Measured Cummulative'!F21:K21),LOG('Measured Cummulative'!F$1:K$1))</f>
        <v>#NUM!</v>
      </c>
      <c r="E20" s="65" t="e">
        <f ca="1">SLOPE(LOG('Measured Cummulative'!I21:L21),LOG('Measured Cummulative'!I$1:L$1))</f>
        <v>#NUM!</v>
      </c>
      <c r="F20" s="65" t="e">
        <f ca="1">SLOPE(LOG('Measured Cummulative'!H21:K21),LOG('Measured Cummulative'!H$1:K$1))</f>
        <v>#NUM!</v>
      </c>
      <c r="G20" s="65" t="e">
        <f ca="1">SLOPE(LOG('Measured Cummulative'!G21:J21),LOG('Measured Cummulative'!G$1:J$1))</f>
        <v>#NUM!</v>
      </c>
      <c r="H20" s="65" t="e">
        <f ca="1">SLOPE(LOG('Measured Cummulative'!F21:I21),LOG('Measured Cummulative'!F$1:I$1))</f>
        <v>#NUM!</v>
      </c>
      <c r="I20" s="66" t="e">
        <f ca="1">SLOPE(LOG('Measured Cummulative'!E21:H21),LOG('Measured Cummulative'!E$1:H$1))</f>
        <v>#NUM!</v>
      </c>
      <c r="J20" s="68"/>
      <c r="K20" s="22"/>
      <c r="L20" s="22"/>
    </row>
    <row r="21" spans="1:12" ht="15" x14ac:dyDescent="0.25">
      <c r="A21" s="162">
        <f>'Increment Analysis Derived'!A22</f>
        <v>0</v>
      </c>
      <c r="B21" s="141"/>
      <c r="C21" s="184" t="s">
        <v>63</v>
      </c>
      <c r="D21" s="186" t="e">
        <f ca="1">SLOPE(LOG('Measured Cummulative'!F22:K22),LOG('Measured Cummulative'!F$1:K$1))</f>
        <v>#NUM!</v>
      </c>
      <c r="E21" s="65" t="e">
        <f ca="1">SLOPE(LOG('Measured Cummulative'!I22:L22),LOG('Measured Cummulative'!I$1:L$1))</f>
        <v>#NUM!</v>
      </c>
      <c r="F21" s="65" t="e">
        <f ca="1">SLOPE(LOG('Measured Cummulative'!H22:K22),LOG('Measured Cummulative'!H$1:K$1))</f>
        <v>#NUM!</v>
      </c>
      <c r="G21" s="65" t="e">
        <f ca="1">SLOPE(LOG('Measured Cummulative'!G22:J22),LOG('Measured Cummulative'!G$1:J$1))</f>
        <v>#NUM!</v>
      </c>
      <c r="H21" s="65" t="e">
        <f ca="1">SLOPE(LOG('Measured Cummulative'!F22:I22),LOG('Measured Cummulative'!F$1:I$1))</f>
        <v>#NUM!</v>
      </c>
      <c r="I21" s="66" t="e">
        <f ca="1">SLOPE(LOG('Measured Cummulative'!E22:H22),LOG('Measured Cummulative'!E$1:H$1))</f>
        <v>#NUM!</v>
      </c>
      <c r="J21" s="68"/>
      <c r="K21" s="22"/>
      <c r="L21" s="22"/>
    </row>
    <row r="22" spans="1:12" ht="15" hidden="1" x14ac:dyDescent="0.25">
      <c r="A22" s="162">
        <f>'Increment Analysis Derived'!A23</f>
        <v>0</v>
      </c>
      <c r="B22" s="141"/>
      <c r="C22" s="184" t="s">
        <v>63</v>
      </c>
      <c r="D22" s="186" t="e">
        <f ca="1">SLOPE(LOG('Measured Cummulative'!F23:K23),LOG('Measured Cummulative'!F$1:K$1))</f>
        <v>#NUM!</v>
      </c>
      <c r="E22" s="65" t="e">
        <f ca="1">SLOPE(LOG('Measured Cummulative'!I23:L23),LOG('Measured Cummulative'!I$1:L$1))</f>
        <v>#NUM!</v>
      </c>
      <c r="F22" s="65" t="e">
        <f ca="1">SLOPE(LOG('Measured Cummulative'!H23:K23),LOG('Measured Cummulative'!H$1:K$1))</f>
        <v>#NUM!</v>
      </c>
      <c r="G22" s="65" t="e">
        <f ca="1">SLOPE(LOG('Measured Cummulative'!G23:J23),LOG('Measured Cummulative'!G$1:J$1))</f>
        <v>#NUM!</v>
      </c>
      <c r="H22" s="65" t="e">
        <f ca="1">SLOPE(LOG('Measured Cummulative'!F23:I23),LOG('Measured Cummulative'!F$1:I$1))</f>
        <v>#NUM!</v>
      </c>
      <c r="I22" s="66" t="e">
        <f ca="1">SLOPE(LOG('Measured Cummulative'!E23:H23),LOG('Measured Cummulative'!E$1:H$1))</f>
        <v>#NUM!</v>
      </c>
      <c r="J22" s="68"/>
      <c r="K22" s="22"/>
      <c r="L22" s="22"/>
    </row>
    <row r="23" spans="1:12" ht="15" hidden="1" x14ac:dyDescent="0.25">
      <c r="A23" s="162">
        <f>'Increment Analysis Derived'!A24</f>
        <v>0</v>
      </c>
      <c r="B23" s="141"/>
      <c r="C23" s="184" t="s">
        <v>63</v>
      </c>
      <c r="D23" s="186" t="e">
        <f ca="1">SLOPE(LOG('Measured Cummulative'!F24:K24),LOG('Measured Cummulative'!F$1:K$1))</f>
        <v>#NUM!</v>
      </c>
      <c r="E23" s="65" t="e">
        <f ca="1">SLOPE(LOG('Measured Cummulative'!I24:L24),LOG('Measured Cummulative'!I$1:L$1))</f>
        <v>#NUM!</v>
      </c>
      <c r="F23" s="65" t="e">
        <f ca="1">SLOPE(LOG('Measured Cummulative'!H24:K24),LOG('Measured Cummulative'!H$1:K$1))</f>
        <v>#NUM!</v>
      </c>
      <c r="G23" s="65" t="e">
        <f ca="1">SLOPE(LOG('Measured Cummulative'!G24:J24),LOG('Measured Cummulative'!G$1:J$1))</f>
        <v>#NUM!</v>
      </c>
      <c r="H23" s="65" t="e">
        <f ca="1">SLOPE(LOG('Measured Cummulative'!F24:I24),LOG('Measured Cummulative'!F$1:I$1))</f>
        <v>#NUM!</v>
      </c>
      <c r="I23" s="66" t="e">
        <f ca="1">SLOPE(LOG('Measured Cummulative'!E24:H24),LOG('Measured Cummulative'!E$1:H$1))</f>
        <v>#NUM!</v>
      </c>
      <c r="J23" s="68"/>
      <c r="K23" s="22"/>
      <c r="L23" s="22"/>
    </row>
    <row r="24" spans="1:12" ht="15" x14ac:dyDescent="0.25">
      <c r="A24" s="162">
        <f>'Increment Analysis Derived'!A25</f>
        <v>0</v>
      </c>
      <c r="B24" s="141"/>
      <c r="C24" s="184" t="s">
        <v>63</v>
      </c>
      <c r="D24" s="186" t="e">
        <f ca="1">SLOPE(LOG('Measured Cummulative'!F25:K25),LOG('Measured Cummulative'!F$1:K$1))</f>
        <v>#NUM!</v>
      </c>
      <c r="E24" s="65" t="e">
        <f ca="1">SLOPE(LOG('Measured Cummulative'!I25:L25),LOG('Measured Cummulative'!I$1:L$1))</f>
        <v>#NUM!</v>
      </c>
      <c r="F24" s="65" t="e">
        <f ca="1">SLOPE(LOG('Measured Cummulative'!H25:K25),LOG('Measured Cummulative'!H$1:K$1))</f>
        <v>#NUM!</v>
      </c>
      <c r="G24" s="65" t="e">
        <f ca="1">SLOPE(LOG('Measured Cummulative'!G25:J25),LOG('Measured Cummulative'!G$1:J$1))</f>
        <v>#NUM!</v>
      </c>
      <c r="H24" s="65" t="e">
        <f ca="1">SLOPE(LOG('Measured Cummulative'!F25:I25),LOG('Measured Cummulative'!F$1:I$1))</f>
        <v>#NUM!</v>
      </c>
      <c r="I24" s="66" t="e">
        <f ca="1">SLOPE(LOG('Measured Cummulative'!E25:H25),LOG('Measured Cummulative'!E$1:H$1))</f>
        <v>#NUM!</v>
      </c>
      <c r="J24" s="68"/>
      <c r="K24" s="22"/>
      <c r="L24" s="22"/>
    </row>
    <row r="25" spans="1:12" ht="15" x14ac:dyDescent="0.25">
      <c r="A25" s="162">
        <f>'Increment Analysis Derived'!A26</f>
        <v>0</v>
      </c>
      <c r="B25" s="141"/>
      <c r="C25" s="184" t="s">
        <v>63</v>
      </c>
      <c r="D25" s="186" t="e">
        <f ca="1">SLOPE(LOG('Measured Cummulative'!F26:K26),LOG('Measured Cummulative'!F$1:K$1))</f>
        <v>#NUM!</v>
      </c>
      <c r="E25" s="65" t="e">
        <f ca="1">SLOPE(LOG('Measured Cummulative'!I26:L26),LOG('Measured Cummulative'!I$1:L$1))</f>
        <v>#NUM!</v>
      </c>
      <c r="F25" s="65" t="e">
        <f ca="1">SLOPE(LOG('Measured Cummulative'!H26:K26),LOG('Measured Cummulative'!H$1:K$1))</f>
        <v>#NUM!</v>
      </c>
      <c r="G25" s="65" t="e">
        <f ca="1">SLOPE(LOG('Measured Cummulative'!G26:J26),LOG('Measured Cummulative'!G$1:J$1))</f>
        <v>#NUM!</v>
      </c>
      <c r="H25" s="65" t="e">
        <f ca="1">SLOPE(LOG('Measured Cummulative'!F26:I26),LOG('Measured Cummulative'!F$1:I$1))</f>
        <v>#NUM!</v>
      </c>
      <c r="I25" s="66" t="e">
        <f ca="1">SLOPE(LOG('Measured Cummulative'!E26:H26),LOG('Measured Cummulative'!E$1:H$1))</f>
        <v>#NUM!</v>
      </c>
      <c r="J25" s="68"/>
      <c r="K25" s="22"/>
      <c r="L25" s="22"/>
    </row>
    <row r="26" spans="1:12" ht="15" x14ac:dyDescent="0.25">
      <c r="A26" s="162">
        <f>'Increment Analysis Derived'!A27</f>
        <v>0</v>
      </c>
      <c r="B26" s="141"/>
      <c r="C26" s="184" t="s">
        <v>63</v>
      </c>
      <c r="D26" s="186" t="e">
        <f ca="1">SLOPE(LOG('Measured Cummulative'!F27:K27),LOG('Measured Cummulative'!F$1:K$1))</f>
        <v>#NUM!</v>
      </c>
      <c r="E26" s="65" t="e">
        <f ca="1">SLOPE(LOG('Measured Cummulative'!I27:L27),LOG('Measured Cummulative'!I$1:L$1))</f>
        <v>#NUM!</v>
      </c>
      <c r="F26" s="65" t="e">
        <f ca="1">SLOPE(LOG('Measured Cummulative'!H27:K27),LOG('Measured Cummulative'!H$1:K$1))</f>
        <v>#NUM!</v>
      </c>
      <c r="G26" s="65" t="e">
        <f ca="1">SLOPE(LOG('Measured Cummulative'!G27:J27),LOG('Measured Cummulative'!G$1:J$1))</f>
        <v>#NUM!</v>
      </c>
      <c r="H26" s="65" t="e">
        <f ca="1">SLOPE(LOG('Measured Cummulative'!F27:I27),LOG('Measured Cummulative'!F$1:I$1))</f>
        <v>#NUM!</v>
      </c>
      <c r="I26" s="66" t="e">
        <f ca="1">SLOPE(LOG('Measured Cummulative'!E27:H27),LOG('Measured Cummulative'!E$1:H$1))</f>
        <v>#NUM!</v>
      </c>
      <c r="J26" s="68"/>
      <c r="K26" s="22"/>
      <c r="L26" s="22"/>
    </row>
    <row r="27" spans="1:12" ht="15" x14ac:dyDescent="0.25">
      <c r="A27" s="162">
        <f>'Increment Analysis Derived'!A28</f>
        <v>0</v>
      </c>
      <c r="B27" s="141"/>
      <c r="C27" s="184" t="s">
        <v>63</v>
      </c>
      <c r="D27" s="186" t="e">
        <f ca="1">SLOPE(LOG('Measured Cummulative'!F28:K28),LOG('Measured Cummulative'!F$1:K$1))</f>
        <v>#NUM!</v>
      </c>
      <c r="E27" s="65" t="e">
        <f ca="1">SLOPE(LOG('Measured Cummulative'!I28:L28),LOG('Measured Cummulative'!I$1:L$1))</f>
        <v>#NUM!</v>
      </c>
      <c r="F27" s="65" t="e">
        <f ca="1">SLOPE(LOG('Measured Cummulative'!H28:K28),LOG('Measured Cummulative'!H$1:K$1))</f>
        <v>#NUM!</v>
      </c>
      <c r="G27" s="65" t="e">
        <f ca="1">SLOPE(LOG('Measured Cummulative'!G28:J28),LOG('Measured Cummulative'!G$1:J$1))</f>
        <v>#NUM!</v>
      </c>
      <c r="H27" s="65" t="e">
        <f ca="1">SLOPE(LOG('Measured Cummulative'!F28:I28),LOG('Measured Cummulative'!F$1:I$1))</f>
        <v>#NUM!</v>
      </c>
      <c r="I27" s="66" t="e">
        <f ca="1">SLOPE(LOG('Measured Cummulative'!E28:H28),LOG('Measured Cummulative'!E$1:H$1))</f>
        <v>#NUM!</v>
      </c>
      <c r="J27" s="68"/>
      <c r="K27" s="22"/>
      <c r="L27" s="22"/>
    </row>
    <row r="28" spans="1:12" ht="15" x14ac:dyDescent="0.25">
      <c r="A28" s="162">
        <f>'Increment Analysis Derived'!A29</f>
        <v>0</v>
      </c>
      <c r="B28" s="141"/>
      <c r="C28" s="184" t="s">
        <v>63</v>
      </c>
      <c r="D28" s="186" t="e">
        <f ca="1">SLOPE(LOG('Measured Cummulative'!F29:K29),LOG('Measured Cummulative'!F$1:K$1))</f>
        <v>#NUM!</v>
      </c>
      <c r="E28" s="65" t="e">
        <f ca="1">SLOPE(LOG('Measured Cummulative'!I29:L29),LOG('Measured Cummulative'!I$1:L$1))</f>
        <v>#NUM!</v>
      </c>
      <c r="F28" s="65" t="e">
        <f ca="1">SLOPE(LOG('Measured Cummulative'!H29:K29),LOG('Measured Cummulative'!H$1:K$1))</f>
        <v>#NUM!</v>
      </c>
      <c r="G28" s="65" t="e">
        <f ca="1">SLOPE(LOG('Measured Cummulative'!G29:J29),LOG('Measured Cummulative'!G$1:J$1))</f>
        <v>#NUM!</v>
      </c>
      <c r="H28" s="65" t="e">
        <f ca="1">SLOPE(LOG('Measured Cummulative'!F29:I29),LOG('Measured Cummulative'!F$1:I$1))</f>
        <v>#NUM!</v>
      </c>
      <c r="I28" s="66" t="e">
        <f ca="1">SLOPE(LOG('Measured Cummulative'!E29:H29),LOG('Measured Cummulative'!E$1:H$1))</f>
        <v>#NUM!</v>
      </c>
      <c r="J28" s="68"/>
      <c r="K28" s="22"/>
      <c r="L28" s="22"/>
    </row>
    <row r="29" spans="1:12" ht="15" x14ac:dyDescent="0.25">
      <c r="A29" s="162">
        <f>'Increment Analysis Derived'!A30</f>
        <v>0</v>
      </c>
      <c r="B29" s="141"/>
      <c r="C29" s="184" t="s">
        <v>63</v>
      </c>
      <c r="D29" s="186" t="e">
        <f ca="1">SLOPE(LOG('Measured Cummulative'!F30:K30),LOG('Measured Cummulative'!F$1:K$1))</f>
        <v>#NUM!</v>
      </c>
      <c r="E29" s="65" t="e">
        <f ca="1">SLOPE(LOG('Measured Cummulative'!I30:L30),LOG('Measured Cummulative'!I$1:L$1))</f>
        <v>#NUM!</v>
      </c>
      <c r="F29" s="65" t="e">
        <f ca="1">SLOPE(LOG('Measured Cummulative'!H30:K30),LOG('Measured Cummulative'!H$1:K$1))</f>
        <v>#NUM!</v>
      </c>
      <c r="G29" s="65" t="e">
        <f ca="1">SLOPE(LOG('Measured Cummulative'!G30:J30),LOG('Measured Cummulative'!G$1:J$1))</f>
        <v>#NUM!</v>
      </c>
      <c r="H29" s="65" t="e">
        <f ca="1">SLOPE(LOG('Measured Cummulative'!F30:I30),LOG('Measured Cummulative'!F$1:I$1))</f>
        <v>#NUM!</v>
      </c>
      <c r="I29" s="66" t="e">
        <f ca="1">SLOPE(LOG('Measured Cummulative'!E30:H30),LOG('Measured Cummulative'!E$1:H$1))</f>
        <v>#NUM!</v>
      </c>
      <c r="J29" s="22"/>
      <c r="K29" s="22"/>
      <c r="L29" s="22"/>
    </row>
    <row r="30" spans="1:12" ht="15" x14ac:dyDescent="0.25">
      <c r="A30" s="162">
        <f>'Increment Analysis Derived'!A31</f>
        <v>0</v>
      </c>
      <c r="B30" s="141"/>
      <c r="C30" s="184" t="s">
        <v>63</v>
      </c>
      <c r="D30" s="186" t="e">
        <f ca="1">SLOPE(LOG('Measured Cummulative'!F31:K31),LOG('Measured Cummulative'!F$1:K$1))</f>
        <v>#NUM!</v>
      </c>
      <c r="E30" s="65" t="e">
        <f ca="1">SLOPE(LOG('Measured Cummulative'!I31:L31),LOG('Measured Cummulative'!I$1:L$1))</f>
        <v>#NUM!</v>
      </c>
      <c r="F30" s="65" t="e">
        <f ca="1">SLOPE(LOG('Measured Cummulative'!H31:K31),LOG('Measured Cummulative'!H$1:K$1))</f>
        <v>#NUM!</v>
      </c>
      <c r="G30" s="65" t="e">
        <f ca="1">SLOPE(LOG('Measured Cummulative'!G31:J31),LOG('Measured Cummulative'!G$1:J$1))</f>
        <v>#NUM!</v>
      </c>
      <c r="H30" s="65" t="e">
        <f ca="1">SLOPE(LOG('Measured Cummulative'!F31:I31),LOG('Measured Cummulative'!F$1:I$1))</f>
        <v>#NUM!</v>
      </c>
      <c r="I30" s="66" t="e">
        <f ca="1">SLOPE(LOG('Measured Cummulative'!E31:H31),LOG('Measured Cummulative'!E$1:H$1))</f>
        <v>#NUM!</v>
      </c>
      <c r="J30" s="2"/>
      <c r="K30" s="2"/>
      <c r="L30" s="2"/>
    </row>
    <row r="31" spans="1:12" ht="15" x14ac:dyDescent="0.25">
      <c r="A31" s="162">
        <f>'Increment Analysis Derived'!A32</f>
        <v>0</v>
      </c>
      <c r="B31" s="141"/>
      <c r="C31" s="184" t="s">
        <v>63</v>
      </c>
      <c r="D31" s="186" t="e">
        <f ca="1">SLOPE(LOG('Measured Cummulative'!F32:K32),LOG('Measured Cummulative'!F$1:K$1))</f>
        <v>#NUM!</v>
      </c>
      <c r="E31" s="65" t="e">
        <f ca="1">SLOPE(LOG('Measured Cummulative'!I32:L32),LOG('Measured Cummulative'!I$1:L$1))</f>
        <v>#NUM!</v>
      </c>
      <c r="F31" s="65" t="e">
        <f ca="1">SLOPE(LOG('Measured Cummulative'!H32:K32),LOG('Measured Cummulative'!H$1:K$1))</f>
        <v>#NUM!</v>
      </c>
      <c r="G31" s="65" t="e">
        <f ca="1">SLOPE(LOG('Measured Cummulative'!G32:J32),LOG('Measured Cummulative'!G$1:J$1))</f>
        <v>#NUM!</v>
      </c>
      <c r="H31" s="65" t="e">
        <f ca="1">SLOPE(LOG('Measured Cummulative'!F32:I32),LOG('Measured Cummulative'!F$1:I$1))</f>
        <v>#NUM!</v>
      </c>
      <c r="I31" s="66" t="e">
        <f ca="1">SLOPE(LOG('Measured Cummulative'!E32:H32),LOG('Measured Cummulative'!E$1:H$1))</f>
        <v>#NUM!</v>
      </c>
      <c r="J31" s="2"/>
      <c r="K31" s="2"/>
      <c r="L31" s="2"/>
    </row>
    <row r="32" spans="1:12" ht="15" x14ac:dyDescent="0.25">
      <c r="A32" s="162">
        <f>'Increment Analysis Derived'!A33</f>
        <v>0</v>
      </c>
      <c r="B32" s="141"/>
      <c r="C32" s="184" t="s">
        <v>63</v>
      </c>
      <c r="D32" s="186" t="e">
        <f ca="1">SLOPE(LOG('Measured Cummulative'!F33:K33),LOG('Measured Cummulative'!F$1:K$1))</f>
        <v>#NUM!</v>
      </c>
      <c r="E32" s="65" t="e">
        <f ca="1">SLOPE(LOG('Measured Cummulative'!I33:L33),LOG('Measured Cummulative'!I$1:L$1))</f>
        <v>#NUM!</v>
      </c>
      <c r="F32" s="65" t="e">
        <f ca="1">SLOPE(LOG('Measured Cummulative'!H33:K33),LOG('Measured Cummulative'!H$1:K$1))</f>
        <v>#NUM!</v>
      </c>
      <c r="G32" s="65" t="e">
        <f ca="1">SLOPE(LOG('Measured Cummulative'!G33:J33),LOG('Measured Cummulative'!G$1:J$1))</f>
        <v>#NUM!</v>
      </c>
      <c r="H32" s="65" t="e">
        <f ca="1">SLOPE(LOG('Measured Cummulative'!F33:I33),LOG('Measured Cummulative'!F$1:I$1))</f>
        <v>#NUM!</v>
      </c>
      <c r="I32" s="66" t="e">
        <f ca="1">SLOPE(LOG('Measured Cummulative'!E33:H33),LOG('Measured Cummulative'!E$1:H$1))</f>
        <v>#NUM!</v>
      </c>
      <c r="J32" s="2"/>
      <c r="K32" s="2"/>
      <c r="L32" s="2"/>
    </row>
    <row r="33" spans="1:12" ht="15" x14ac:dyDescent="0.25">
      <c r="A33" s="162">
        <f>'Increment Analysis Derived'!A34</f>
        <v>0</v>
      </c>
      <c r="B33" s="141"/>
      <c r="C33" s="184" t="s">
        <v>63</v>
      </c>
      <c r="D33" s="186" t="e">
        <f ca="1">SLOPE(LOG('Measured Cummulative'!F34:K34),LOG('Measured Cummulative'!F$1:K$1))</f>
        <v>#NUM!</v>
      </c>
      <c r="E33" s="65" t="e">
        <f ca="1">SLOPE(LOG('Measured Cummulative'!I34:L34),LOG('Measured Cummulative'!I$1:L$1))</f>
        <v>#NUM!</v>
      </c>
      <c r="F33" s="65" t="e">
        <f ca="1">SLOPE(LOG('Measured Cummulative'!H34:K34),LOG('Measured Cummulative'!H$1:K$1))</f>
        <v>#NUM!</v>
      </c>
      <c r="G33" s="65" t="e">
        <f ca="1">SLOPE(LOG('Measured Cummulative'!G34:J34),LOG('Measured Cummulative'!G$1:J$1))</f>
        <v>#NUM!</v>
      </c>
      <c r="H33" s="65" t="e">
        <f ca="1">SLOPE(LOG('Measured Cummulative'!F34:I34),LOG('Measured Cummulative'!F$1:I$1))</f>
        <v>#NUM!</v>
      </c>
      <c r="I33" s="66" t="e">
        <f ca="1">SLOPE(LOG('Measured Cummulative'!E34:H34),LOG('Measured Cummulative'!E$1:H$1))</f>
        <v>#NUM!</v>
      </c>
      <c r="J33" s="2"/>
      <c r="K33" s="2"/>
      <c r="L33" s="2"/>
    </row>
    <row r="34" spans="1:12" ht="15" x14ac:dyDescent="0.25">
      <c r="A34" s="162">
        <f>'Increment Analysis Derived'!A35</f>
        <v>0</v>
      </c>
      <c r="B34" s="141"/>
      <c r="C34" s="184" t="s">
        <v>63</v>
      </c>
      <c r="D34" s="186" t="e">
        <f ca="1">SLOPE(LOG('Measured Cummulative'!F35:K35),LOG('Measured Cummulative'!F$1:K$1))</f>
        <v>#NUM!</v>
      </c>
      <c r="E34" s="65" t="e">
        <f ca="1">SLOPE(LOG('Measured Cummulative'!I35:L35),LOG('Measured Cummulative'!I$1:L$1))</f>
        <v>#NUM!</v>
      </c>
      <c r="F34" s="65" t="e">
        <f ca="1">SLOPE(LOG('Measured Cummulative'!H35:K35),LOG('Measured Cummulative'!H$1:K$1))</f>
        <v>#NUM!</v>
      </c>
      <c r="G34" s="65" t="e">
        <f ca="1">SLOPE(LOG('Measured Cummulative'!G35:J35),LOG('Measured Cummulative'!G$1:J$1))</f>
        <v>#NUM!</v>
      </c>
      <c r="H34" s="65" t="e">
        <f ca="1">SLOPE(LOG('Measured Cummulative'!F35:I35),LOG('Measured Cummulative'!F$1:I$1))</f>
        <v>#NUM!</v>
      </c>
      <c r="I34" s="66" t="e">
        <f ca="1">SLOPE(LOG('Measured Cummulative'!E35:H35),LOG('Measured Cummulative'!E$1:H$1))</f>
        <v>#NUM!</v>
      </c>
      <c r="J34" s="2"/>
      <c r="K34" s="2"/>
      <c r="L34" s="2"/>
    </row>
    <row r="35" spans="1:12" ht="15" x14ac:dyDescent="0.25">
      <c r="A35" s="162">
        <f>'Increment Analysis Derived'!A36</f>
        <v>0</v>
      </c>
      <c r="B35" s="141"/>
      <c r="C35" s="184" t="s">
        <v>63</v>
      </c>
      <c r="D35" s="186" t="e">
        <f ca="1">SLOPE(LOG('Measured Cummulative'!F36:K36),LOG('Measured Cummulative'!F$1:K$1))</f>
        <v>#NUM!</v>
      </c>
      <c r="E35" s="65" t="e">
        <f ca="1">SLOPE(LOG('Measured Cummulative'!I36:L36),LOG('Measured Cummulative'!I$1:L$1))</f>
        <v>#NUM!</v>
      </c>
      <c r="F35" s="65" t="e">
        <f ca="1">SLOPE(LOG('Measured Cummulative'!H36:K36),LOG('Measured Cummulative'!H$1:K$1))</f>
        <v>#NUM!</v>
      </c>
      <c r="G35" s="65" t="e">
        <f ca="1">SLOPE(LOG('Measured Cummulative'!G36:J36),LOG('Measured Cummulative'!G$1:J$1))</f>
        <v>#NUM!</v>
      </c>
      <c r="H35" s="65" t="e">
        <f ca="1">SLOPE(LOG('Measured Cummulative'!F36:I36),LOG('Measured Cummulative'!F$1:I$1))</f>
        <v>#NUM!</v>
      </c>
      <c r="I35" s="66" t="e">
        <f ca="1">SLOPE(LOG('Measured Cummulative'!E36:H36),LOG('Measured Cummulative'!E$1:H$1))</f>
        <v>#NUM!</v>
      </c>
      <c r="J35" s="2"/>
      <c r="K35" s="2"/>
      <c r="L35" s="2"/>
    </row>
    <row r="36" spans="1:12" ht="15" x14ac:dyDescent="0.25">
      <c r="A36" s="162">
        <f>'Increment Analysis Derived'!A37</f>
        <v>0</v>
      </c>
      <c r="B36" s="141"/>
      <c r="C36" s="184" t="s">
        <v>63</v>
      </c>
      <c r="D36" s="186" t="e">
        <f ca="1">SLOPE(LOG('Measured Cummulative'!F37:K37),LOG('Measured Cummulative'!F$1:K$1))</f>
        <v>#NUM!</v>
      </c>
      <c r="E36" s="65" t="e">
        <f ca="1">SLOPE(LOG('Measured Cummulative'!I37:L37),LOG('Measured Cummulative'!I$1:L$1))</f>
        <v>#NUM!</v>
      </c>
      <c r="F36" s="65" t="e">
        <f ca="1">SLOPE(LOG('Measured Cummulative'!H37:K37),LOG('Measured Cummulative'!H$1:K$1))</f>
        <v>#NUM!</v>
      </c>
      <c r="G36" s="65" t="e">
        <f ca="1">SLOPE(LOG('Measured Cummulative'!G37:J37),LOG('Measured Cummulative'!G$1:J$1))</f>
        <v>#NUM!</v>
      </c>
      <c r="H36" s="65" t="e">
        <f ca="1">SLOPE(LOG('Measured Cummulative'!F37:I37),LOG('Measured Cummulative'!F$1:I$1))</f>
        <v>#NUM!</v>
      </c>
      <c r="I36" s="66" t="e">
        <f ca="1">SLOPE(LOG('Measured Cummulative'!E37:H37),LOG('Measured Cummulative'!E$1:H$1))</f>
        <v>#NUM!</v>
      </c>
      <c r="J36" s="2"/>
      <c r="K36" s="2"/>
      <c r="L36" s="2"/>
    </row>
    <row r="37" spans="1:12" ht="15" x14ac:dyDescent="0.25">
      <c r="A37" s="162">
        <f>'Increment Analysis Derived'!A38</f>
        <v>0</v>
      </c>
      <c r="B37" s="141"/>
      <c r="C37" s="184" t="s">
        <v>63</v>
      </c>
      <c r="D37" s="186" t="e">
        <f ca="1">SLOPE(LOG('Measured Cummulative'!F38:K38),LOG('Measured Cummulative'!F$1:K$1))</f>
        <v>#NUM!</v>
      </c>
      <c r="E37" s="65" t="e">
        <f ca="1">SLOPE(LOG('Measured Cummulative'!I38:L38),LOG('Measured Cummulative'!I$1:L$1))</f>
        <v>#NUM!</v>
      </c>
      <c r="F37" s="65" t="e">
        <f ca="1">SLOPE(LOG('Measured Cummulative'!H38:K38),LOG('Measured Cummulative'!H$1:K$1))</f>
        <v>#NUM!</v>
      </c>
      <c r="G37" s="65" t="e">
        <f ca="1">SLOPE(LOG('Measured Cummulative'!G38:J38),LOG('Measured Cummulative'!G$1:J$1))</f>
        <v>#NUM!</v>
      </c>
      <c r="H37" s="65" t="e">
        <f ca="1">SLOPE(LOG('Measured Cummulative'!F38:I38),LOG('Measured Cummulative'!F$1:I$1))</f>
        <v>#NUM!</v>
      </c>
      <c r="I37" s="66" t="e">
        <f ca="1">SLOPE(LOG('Measured Cummulative'!E38:H38),LOG('Measured Cummulative'!E$1:H$1))</f>
        <v>#NUM!</v>
      </c>
      <c r="J37" s="2"/>
      <c r="K37" s="2"/>
      <c r="L37" s="2"/>
    </row>
    <row r="38" spans="1:12" ht="15" x14ac:dyDescent="0.25">
      <c r="A38" s="162">
        <f>'Increment Analysis Derived'!A39</f>
        <v>0</v>
      </c>
      <c r="B38" s="141"/>
      <c r="C38" s="184" t="s">
        <v>63</v>
      </c>
      <c r="D38" s="186" t="e">
        <f ca="1">SLOPE(LOG('Measured Cummulative'!F39:K39),LOG('Measured Cummulative'!F$1:K$1))</f>
        <v>#NUM!</v>
      </c>
      <c r="E38" s="65" t="e">
        <f ca="1">SLOPE(LOG('Measured Cummulative'!I39:L39),LOG('Measured Cummulative'!I$1:L$1))</f>
        <v>#NUM!</v>
      </c>
      <c r="F38" s="65" t="e">
        <f ca="1">SLOPE(LOG('Measured Cummulative'!H39:K39),LOG('Measured Cummulative'!H$1:K$1))</f>
        <v>#NUM!</v>
      </c>
      <c r="G38" s="65" t="e">
        <f ca="1">SLOPE(LOG('Measured Cummulative'!G39:J39),LOG('Measured Cummulative'!G$1:J$1))</f>
        <v>#NUM!</v>
      </c>
      <c r="H38" s="65" t="e">
        <f ca="1">SLOPE(LOG('Measured Cummulative'!F39:I39),LOG('Measured Cummulative'!F$1:I$1))</f>
        <v>#NUM!</v>
      </c>
      <c r="I38" s="66" t="e">
        <f ca="1">SLOPE(LOG('Measured Cummulative'!E39:H39),LOG('Measured Cummulative'!E$1:H$1))</f>
        <v>#NUM!</v>
      </c>
      <c r="J38" s="2"/>
      <c r="K38" s="2"/>
      <c r="L38" s="2"/>
    </row>
    <row r="39" spans="1:12" ht="15" x14ac:dyDescent="0.25">
      <c r="A39" s="162">
        <f>'Increment Analysis Derived'!A40</f>
        <v>0</v>
      </c>
      <c r="B39" s="141"/>
      <c r="C39" s="184" t="s">
        <v>63</v>
      </c>
      <c r="D39" s="186" t="e">
        <f ca="1">SLOPE(LOG('Measured Cummulative'!F40:K40),LOG('Measured Cummulative'!F$1:K$1))</f>
        <v>#NUM!</v>
      </c>
      <c r="E39" s="65" t="e">
        <f ca="1">SLOPE(LOG('Measured Cummulative'!I40:L40),LOG('Measured Cummulative'!I$1:L$1))</f>
        <v>#NUM!</v>
      </c>
      <c r="F39" s="65" t="e">
        <f ca="1">SLOPE(LOG('Measured Cummulative'!H40:K40),LOG('Measured Cummulative'!H$1:K$1))</f>
        <v>#NUM!</v>
      </c>
      <c r="G39" s="65" t="e">
        <f ca="1">SLOPE(LOG('Measured Cummulative'!G40:J40),LOG('Measured Cummulative'!G$1:J$1))</f>
        <v>#NUM!</v>
      </c>
      <c r="H39" s="65" t="e">
        <f ca="1">SLOPE(LOG('Measured Cummulative'!F40:I40),LOG('Measured Cummulative'!F$1:I$1))</f>
        <v>#NUM!</v>
      </c>
      <c r="I39" s="66" t="e">
        <f ca="1">SLOPE(LOG('Measured Cummulative'!E40:H40),LOG('Measured Cummulative'!E$1:H$1))</f>
        <v>#NUM!</v>
      </c>
      <c r="J39" s="2"/>
      <c r="K39" s="2"/>
      <c r="L39" s="2"/>
    </row>
    <row r="40" spans="1:12" ht="15" x14ac:dyDescent="0.25">
      <c r="A40" s="162">
        <f>'Increment Analysis Derived'!A41</f>
        <v>0</v>
      </c>
      <c r="B40" s="141"/>
      <c r="C40" s="184" t="s">
        <v>63</v>
      </c>
      <c r="D40" s="186" t="e">
        <f ca="1">SLOPE(LOG('Measured Cummulative'!F41:K41),LOG('Measured Cummulative'!F$1:K$1))</f>
        <v>#NUM!</v>
      </c>
      <c r="E40" s="65" t="e">
        <f ca="1">SLOPE(LOG('Measured Cummulative'!I41:L41),LOG('Measured Cummulative'!I$1:L$1))</f>
        <v>#NUM!</v>
      </c>
      <c r="F40" s="65" t="e">
        <f ca="1">SLOPE(LOG('Measured Cummulative'!H41:K41),LOG('Measured Cummulative'!H$1:K$1))</f>
        <v>#NUM!</v>
      </c>
      <c r="G40" s="65" t="e">
        <f ca="1">SLOPE(LOG('Measured Cummulative'!G41:J41),LOG('Measured Cummulative'!G$1:J$1))</f>
        <v>#NUM!</v>
      </c>
      <c r="H40" s="65" t="e">
        <f ca="1">SLOPE(LOG('Measured Cummulative'!F41:I41),LOG('Measured Cummulative'!F$1:I$1))</f>
        <v>#NUM!</v>
      </c>
      <c r="I40" s="66" t="e">
        <f ca="1">SLOPE(LOG('Measured Cummulative'!E41:H41),LOG('Measured Cummulative'!E$1:H$1))</f>
        <v>#NUM!</v>
      </c>
      <c r="J40" s="2"/>
      <c r="K40" s="2"/>
      <c r="L40" s="2"/>
    </row>
    <row r="41" spans="1:12" ht="15" x14ac:dyDescent="0.25">
      <c r="A41" s="162">
        <f>'Increment Analysis Derived'!A42</f>
        <v>0</v>
      </c>
      <c r="B41" s="141"/>
      <c r="C41" s="184" t="s">
        <v>63</v>
      </c>
      <c r="D41" s="186" t="e">
        <f ca="1">SLOPE(LOG('Measured Cummulative'!F42:K42),LOG('Measured Cummulative'!F$1:K$1))</f>
        <v>#NUM!</v>
      </c>
      <c r="E41" s="65" t="e">
        <f ca="1">SLOPE(LOG('Measured Cummulative'!I42:L42),LOG('Measured Cummulative'!I$1:L$1))</f>
        <v>#NUM!</v>
      </c>
      <c r="F41" s="65" t="e">
        <f ca="1">SLOPE(LOG('Measured Cummulative'!H42:K42),LOG('Measured Cummulative'!H$1:K$1))</f>
        <v>#NUM!</v>
      </c>
      <c r="G41" s="65" t="e">
        <f ca="1">SLOPE(LOG('Measured Cummulative'!G42:J42),LOG('Measured Cummulative'!G$1:J$1))</f>
        <v>#NUM!</v>
      </c>
      <c r="H41" s="65" t="e">
        <f ca="1">SLOPE(LOG('Measured Cummulative'!F42:I42),LOG('Measured Cummulative'!F$1:I$1))</f>
        <v>#NUM!</v>
      </c>
      <c r="I41" s="66" t="e">
        <f ca="1">SLOPE(LOG('Measured Cummulative'!E42:H42),LOG('Measured Cummulative'!E$1:H$1))</f>
        <v>#NUM!</v>
      </c>
      <c r="J41" s="2"/>
      <c r="K41" s="2"/>
      <c r="L41" s="2"/>
    </row>
    <row r="42" spans="1:12" ht="15" x14ac:dyDescent="0.25">
      <c r="A42" s="162">
        <f>'Increment Analysis Derived'!A43</f>
        <v>0</v>
      </c>
      <c r="B42" s="141"/>
      <c r="C42" s="184" t="s">
        <v>63</v>
      </c>
      <c r="D42" s="186" t="e">
        <f ca="1">SLOPE(LOG('Measured Cummulative'!F43:K43),LOG('Measured Cummulative'!F$1:K$1))</f>
        <v>#NUM!</v>
      </c>
      <c r="E42" s="65" t="e">
        <f ca="1">SLOPE(LOG('Measured Cummulative'!I43:L43),LOG('Measured Cummulative'!I$1:L$1))</f>
        <v>#NUM!</v>
      </c>
      <c r="F42" s="65" t="e">
        <f ca="1">SLOPE(LOG('Measured Cummulative'!H43:K43),LOG('Measured Cummulative'!H$1:K$1))</f>
        <v>#NUM!</v>
      </c>
      <c r="G42" s="65" t="e">
        <f ca="1">SLOPE(LOG('Measured Cummulative'!G43:J43),LOG('Measured Cummulative'!G$1:J$1))</f>
        <v>#NUM!</v>
      </c>
      <c r="H42" s="65" t="e">
        <f ca="1">SLOPE(LOG('Measured Cummulative'!F43:I43),LOG('Measured Cummulative'!F$1:I$1))</f>
        <v>#NUM!</v>
      </c>
      <c r="I42" s="66" t="e">
        <f ca="1">SLOPE(LOG('Measured Cummulative'!E43:H43),LOG('Measured Cummulative'!E$1:H$1))</f>
        <v>#NUM!</v>
      </c>
      <c r="J42" s="2"/>
      <c r="K42" s="2"/>
      <c r="L42" s="2"/>
    </row>
    <row r="43" spans="1:12" ht="15" x14ac:dyDescent="0.25">
      <c r="A43" s="162">
        <f>'Increment Analysis Derived'!A44</f>
        <v>0</v>
      </c>
      <c r="B43" s="141"/>
      <c r="C43" s="184" t="s">
        <v>63</v>
      </c>
      <c r="D43" s="186" t="e">
        <f ca="1">SLOPE(LOG('Measured Cummulative'!F44:K44),LOG('Measured Cummulative'!F$1:K$1))</f>
        <v>#NUM!</v>
      </c>
      <c r="E43" s="65" t="e">
        <f ca="1">SLOPE(LOG('Measured Cummulative'!I44:L44),LOG('Measured Cummulative'!I$1:L$1))</f>
        <v>#NUM!</v>
      </c>
      <c r="F43" s="65" t="e">
        <f ca="1">SLOPE(LOG('Measured Cummulative'!H44:K44),LOG('Measured Cummulative'!H$1:K$1))</f>
        <v>#NUM!</v>
      </c>
      <c r="G43" s="65" t="e">
        <f ca="1">SLOPE(LOG('Measured Cummulative'!G44:J44),LOG('Measured Cummulative'!G$1:J$1))</f>
        <v>#NUM!</v>
      </c>
      <c r="H43" s="65" t="e">
        <f ca="1">SLOPE(LOG('Measured Cummulative'!F44:I44),LOG('Measured Cummulative'!F$1:I$1))</f>
        <v>#NUM!</v>
      </c>
      <c r="I43" s="66" t="e">
        <f ca="1">SLOPE(LOG('Measured Cummulative'!E44:H44),LOG('Measured Cummulative'!E$1:H$1))</f>
        <v>#NUM!</v>
      </c>
      <c r="J43" s="2"/>
      <c r="K43" s="2"/>
      <c r="L43" s="2"/>
    </row>
    <row r="44" spans="1:12" ht="15" x14ac:dyDescent="0.25">
      <c r="A44" s="162">
        <f>'Increment Analysis Derived'!A45</f>
        <v>0</v>
      </c>
      <c r="B44" s="141"/>
      <c r="C44" s="184" t="s">
        <v>63</v>
      </c>
      <c r="D44" s="186" t="e">
        <f ca="1">SLOPE(LOG('Measured Cummulative'!F45:K45),LOG('Measured Cummulative'!F$1:K$1))</f>
        <v>#NUM!</v>
      </c>
      <c r="E44" s="65" t="e">
        <f ca="1">SLOPE(LOG('Measured Cummulative'!I45:L45),LOG('Measured Cummulative'!I$1:L$1))</f>
        <v>#NUM!</v>
      </c>
      <c r="F44" s="65" t="e">
        <f ca="1">SLOPE(LOG('Measured Cummulative'!H45:K45),LOG('Measured Cummulative'!H$1:K$1))</f>
        <v>#NUM!</v>
      </c>
      <c r="G44" s="65" t="e">
        <f ca="1">SLOPE(LOG('Measured Cummulative'!G45:J45),LOG('Measured Cummulative'!G$1:J$1))</f>
        <v>#NUM!</v>
      </c>
      <c r="H44" s="65" t="e">
        <f ca="1">SLOPE(LOG('Measured Cummulative'!F45:I45),LOG('Measured Cummulative'!F$1:I$1))</f>
        <v>#NUM!</v>
      </c>
      <c r="I44" s="66" t="e">
        <f ca="1">SLOPE(LOG('Measured Cummulative'!E45:H45),LOG('Measured Cummulative'!E$1:H$1))</f>
        <v>#NUM!</v>
      </c>
      <c r="J44" s="2"/>
      <c r="K44" s="2"/>
      <c r="L44" s="2"/>
    </row>
    <row r="45" spans="1:12" ht="15" x14ac:dyDescent="0.25">
      <c r="A45" s="162">
        <f>'Increment Analysis Derived'!A46</f>
        <v>0</v>
      </c>
      <c r="B45" s="141"/>
      <c r="C45" s="184" t="s">
        <v>63</v>
      </c>
      <c r="D45" s="186" t="e">
        <f ca="1">SLOPE(LOG('Measured Cummulative'!F46:K46),LOG('Measured Cummulative'!F$1:K$1))</f>
        <v>#NUM!</v>
      </c>
      <c r="E45" s="65" t="e">
        <f ca="1">SLOPE(LOG('Measured Cummulative'!I46:L46),LOG('Measured Cummulative'!I$1:L$1))</f>
        <v>#NUM!</v>
      </c>
      <c r="F45" s="65" t="e">
        <f ca="1">SLOPE(LOG('Measured Cummulative'!H46:K46),LOG('Measured Cummulative'!H$1:K$1))</f>
        <v>#NUM!</v>
      </c>
      <c r="G45" s="65" t="e">
        <f ca="1">SLOPE(LOG('Measured Cummulative'!G46:J46),LOG('Measured Cummulative'!G$1:J$1))</f>
        <v>#NUM!</v>
      </c>
      <c r="H45" s="65" t="e">
        <f ca="1">SLOPE(LOG('Measured Cummulative'!F46:I46),LOG('Measured Cummulative'!F$1:I$1))</f>
        <v>#NUM!</v>
      </c>
      <c r="I45" s="66" t="e">
        <f ca="1">SLOPE(LOG('Measured Cummulative'!E46:H46),LOG('Measured Cummulative'!E$1:H$1))</f>
        <v>#NUM!</v>
      </c>
      <c r="J45" s="2"/>
      <c r="K45" s="2"/>
      <c r="L45" s="2"/>
    </row>
    <row r="46" spans="1:12" ht="15" x14ac:dyDescent="0.25">
      <c r="A46" s="162">
        <f>'Increment Analysis Derived'!A47</f>
        <v>0</v>
      </c>
      <c r="B46" s="141"/>
      <c r="C46" s="184" t="s">
        <v>63</v>
      </c>
      <c r="D46" s="186" t="e">
        <f ca="1">SLOPE(LOG('Measured Cummulative'!F47:K47),LOG('Measured Cummulative'!F$1:K$1))</f>
        <v>#NUM!</v>
      </c>
      <c r="E46" s="65" t="e">
        <f ca="1">SLOPE(LOG('Measured Cummulative'!I47:L47),LOG('Measured Cummulative'!I$1:L$1))</f>
        <v>#NUM!</v>
      </c>
      <c r="F46" s="65" t="e">
        <f ca="1">SLOPE(LOG('Measured Cummulative'!H47:K47),LOG('Measured Cummulative'!H$1:K$1))</f>
        <v>#NUM!</v>
      </c>
      <c r="G46" s="65" t="e">
        <f ca="1">SLOPE(LOG('Measured Cummulative'!G47:J47),LOG('Measured Cummulative'!G$1:J$1))</f>
        <v>#NUM!</v>
      </c>
      <c r="H46" s="65" t="e">
        <f ca="1">SLOPE(LOG('Measured Cummulative'!F47:I47),LOG('Measured Cummulative'!F$1:I$1))</f>
        <v>#NUM!</v>
      </c>
      <c r="I46" s="66" t="e">
        <f ca="1">SLOPE(LOG('Measured Cummulative'!E47:H47),LOG('Measured Cummulative'!E$1:H$1))</f>
        <v>#NUM!</v>
      </c>
      <c r="J46" s="2"/>
      <c r="K46" s="2"/>
      <c r="L46" s="2"/>
    </row>
    <row r="47" spans="1:12" ht="15" x14ac:dyDescent="0.25">
      <c r="A47" s="162">
        <f>'Increment Analysis Derived'!A48</f>
        <v>0</v>
      </c>
      <c r="B47" s="141"/>
      <c r="C47" s="184" t="s">
        <v>63</v>
      </c>
      <c r="D47" s="186" t="e">
        <f ca="1">SLOPE(LOG('Measured Cummulative'!F48:K48),LOG('Measured Cummulative'!F$1:K$1))</f>
        <v>#NUM!</v>
      </c>
      <c r="E47" s="65" t="e">
        <f ca="1">SLOPE(LOG('Measured Cummulative'!I48:L48),LOG('Measured Cummulative'!I$1:L$1))</f>
        <v>#NUM!</v>
      </c>
      <c r="F47" s="65" t="e">
        <f ca="1">SLOPE(LOG('Measured Cummulative'!H48:K48),LOG('Measured Cummulative'!H$1:K$1))</f>
        <v>#NUM!</v>
      </c>
      <c r="G47" s="65" t="e">
        <f ca="1">SLOPE(LOG('Measured Cummulative'!G48:J48),LOG('Measured Cummulative'!G$1:J$1))</f>
        <v>#NUM!</v>
      </c>
      <c r="H47" s="65" t="e">
        <f ca="1">SLOPE(LOG('Measured Cummulative'!F48:I48),LOG('Measured Cummulative'!F$1:I$1))</f>
        <v>#NUM!</v>
      </c>
      <c r="I47" s="66" t="e">
        <f ca="1">SLOPE(LOG('Measured Cummulative'!E48:H48),LOG('Measured Cummulative'!E$1:H$1))</f>
        <v>#NUM!</v>
      </c>
      <c r="J47" s="2"/>
      <c r="K47" s="2"/>
      <c r="L47" s="2"/>
    </row>
    <row r="48" spans="1:12" ht="15" x14ac:dyDescent="0.25">
      <c r="A48" s="162">
        <f>'Increment Analysis Derived'!A49</f>
        <v>0</v>
      </c>
      <c r="B48" s="141"/>
      <c r="C48" s="184" t="s">
        <v>63</v>
      </c>
      <c r="D48" s="186" t="e">
        <f ca="1">SLOPE(LOG('Measured Cummulative'!F49:K49),LOG('Measured Cummulative'!F$1:K$1))</f>
        <v>#NUM!</v>
      </c>
      <c r="E48" s="65" t="e">
        <f ca="1">SLOPE(LOG('Measured Cummulative'!I49:L49),LOG('Measured Cummulative'!I$1:L$1))</f>
        <v>#NUM!</v>
      </c>
      <c r="F48" s="65" t="e">
        <f ca="1">SLOPE(LOG('Measured Cummulative'!H49:K49),LOG('Measured Cummulative'!H$1:K$1))</f>
        <v>#NUM!</v>
      </c>
      <c r="G48" s="65" t="e">
        <f ca="1">SLOPE(LOG('Measured Cummulative'!G49:J49),LOG('Measured Cummulative'!G$1:J$1))</f>
        <v>#NUM!</v>
      </c>
      <c r="H48" s="65" t="e">
        <f ca="1">SLOPE(LOG('Measured Cummulative'!F49:I49),LOG('Measured Cummulative'!F$1:I$1))</f>
        <v>#NUM!</v>
      </c>
      <c r="I48" s="66" t="e">
        <f ca="1">SLOPE(LOG('Measured Cummulative'!E49:H49),LOG('Measured Cummulative'!E$1:H$1))</f>
        <v>#NUM!</v>
      </c>
      <c r="J48" s="2"/>
      <c r="K48" s="2"/>
      <c r="L48" s="2"/>
    </row>
    <row r="49" spans="1:12" ht="15" x14ac:dyDescent="0.25">
      <c r="A49" s="162">
        <f>'Increment Analysis Derived'!A50</f>
        <v>0</v>
      </c>
      <c r="B49" s="141"/>
      <c r="C49" s="184" t="s">
        <v>63</v>
      </c>
      <c r="D49" s="186" t="e">
        <f ca="1">SLOPE(LOG('Measured Cummulative'!F50:K50),LOG('Measured Cummulative'!F$1:K$1))</f>
        <v>#NUM!</v>
      </c>
      <c r="E49" s="65" t="e">
        <f ca="1">SLOPE(LOG('Measured Cummulative'!I50:L50),LOG('Measured Cummulative'!I$1:L$1))</f>
        <v>#NUM!</v>
      </c>
      <c r="F49" s="65" t="e">
        <f ca="1">SLOPE(LOG('Measured Cummulative'!H50:K50),LOG('Measured Cummulative'!H$1:K$1))</f>
        <v>#NUM!</v>
      </c>
      <c r="G49" s="65" t="e">
        <f ca="1">SLOPE(LOG('Measured Cummulative'!G50:J50),LOG('Measured Cummulative'!G$1:J$1))</f>
        <v>#NUM!</v>
      </c>
      <c r="H49" s="65" t="e">
        <f ca="1">SLOPE(LOG('Measured Cummulative'!F50:I50),LOG('Measured Cummulative'!F$1:I$1))</f>
        <v>#NUM!</v>
      </c>
      <c r="I49" s="66" t="e">
        <f ca="1">SLOPE(LOG('Measured Cummulative'!E50:H50),LOG('Measured Cummulative'!E$1:H$1))</f>
        <v>#NUM!</v>
      </c>
      <c r="J49" s="2"/>
      <c r="K49" s="2"/>
      <c r="L49" s="2"/>
    </row>
    <row r="50" spans="1:12" ht="15" x14ac:dyDescent="0.25">
      <c r="A50" s="162">
        <f>'Increment Analysis Derived'!A51</f>
        <v>0</v>
      </c>
      <c r="B50" s="141"/>
      <c r="C50" s="184" t="s">
        <v>63</v>
      </c>
      <c r="D50" s="186" t="e">
        <f ca="1">SLOPE(LOG('Measured Cummulative'!F51:K51),LOG('Measured Cummulative'!F$1:K$1))</f>
        <v>#NUM!</v>
      </c>
      <c r="E50" s="65" t="e">
        <f ca="1">SLOPE(LOG('Measured Cummulative'!I51:L51),LOG('Measured Cummulative'!I$1:L$1))</f>
        <v>#NUM!</v>
      </c>
      <c r="F50" s="65" t="e">
        <f ca="1">SLOPE(LOG('Measured Cummulative'!H51:K51),LOG('Measured Cummulative'!H$1:K$1))</f>
        <v>#NUM!</v>
      </c>
      <c r="G50" s="65" t="e">
        <f ca="1">SLOPE(LOG('Measured Cummulative'!G51:J51),LOG('Measured Cummulative'!G$1:J$1))</f>
        <v>#NUM!</v>
      </c>
      <c r="H50" s="65" t="e">
        <f ca="1">SLOPE(LOG('Measured Cummulative'!F51:I51),LOG('Measured Cummulative'!F$1:I$1))</f>
        <v>#NUM!</v>
      </c>
      <c r="I50" s="66" t="e">
        <f ca="1">SLOPE(LOG('Measured Cummulative'!E51:H51),LOG('Measured Cummulative'!E$1:H$1))</f>
        <v>#NUM!</v>
      </c>
      <c r="J50" s="2"/>
      <c r="K50" s="2"/>
      <c r="L50" s="2"/>
    </row>
    <row r="51" spans="1:12" ht="15" x14ac:dyDescent="0.25">
      <c r="A51" s="162">
        <f>'Increment Analysis Derived'!A52</f>
        <v>0</v>
      </c>
      <c r="B51" s="141"/>
      <c r="C51" s="184" t="s">
        <v>63</v>
      </c>
      <c r="D51" s="186" t="e">
        <f ca="1">SLOPE(LOG('Measured Cummulative'!F52:K52),LOG('Measured Cummulative'!F$1:K$1))</f>
        <v>#NUM!</v>
      </c>
      <c r="E51" s="65" t="e">
        <f ca="1">SLOPE(LOG('Measured Cummulative'!I52:L52),LOG('Measured Cummulative'!I$1:L$1))</f>
        <v>#NUM!</v>
      </c>
      <c r="F51" s="65" t="e">
        <f ca="1">SLOPE(LOG('Measured Cummulative'!H52:K52),LOG('Measured Cummulative'!H$1:K$1))</f>
        <v>#NUM!</v>
      </c>
      <c r="G51" s="65" t="e">
        <f ca="1">SLOPE(LOG('Measured Cummulative'!G52:J52),LOG('Measured Cummulative'!G$1:J$1))</f>
        <v>#NUM!</v>
      </c>
      <c r="H51" s="65" t="e">
        <f ca="1">SLOPE(LOG('Measured Cummulative'!F52:I52),LOG('Measured Cummulative'!F$1:I$1))</f>
        <v>#NUM!</v>
      </c>
      <c r="I51" s="66" t="e">
        <f ca="1">SLOPE(LOG('Measured Cummulative'!E52:H52),LOG('Measured Cummulative'!E$1:H$1))</f>
        <v>#NUM!</v>
      </c>
      <c r="J51" s="2"/>
      <c r="K51" s="2"/>
      <c r="L51" s="2"/>
    </row>
    <row r="52" spans="1:12" ht="15" x14ac:dyDescent="0.25">
      <c r="A52" s="162">
        <f>'Increment Analysis Derived'!A53</f>
        <v>0</v>
      </c>
      <c r="B52" s="141"/>
      <c r="C52" s="184" t="s">
        <v>63</v>
      </c>
      <c r="D52" s="186" t="e">
        <f ca="1">SLOPE(LOG('Measured Cummulative'!F53:K53),LOG('Measured Cummulative'!F$1:K$1))</f>
        <v>#NUM!</v>
      </c>
      <c r="E52" s="65" t="e">
        <f ca="1">SLOPE(LOG('Measured Cummulative'!I53:L53),LOG('Measured Cummulative'!I$1:L$1))</f>
        <v>#NUM!</v>
      </c>
      <c r="F52" s="65" t="e">
        <f ca="1">SLOPE(LOG('Measured Cummulative'!H53:K53),LOG('Measured Cummulative'!H$1:K$1))</f>
        <v>#NUM!</v>
      </c>
      <c r="G52" s="65" t="e">
        <f ca="1">SLOPE(LOG('Measured Cummulative'!G53:J53),LOG('Measured Cummulative'!G$1:J$1))</f>
        <v>#NUM!</v>
      </c>
      <c r="H52" s="65" t="e">
        <f ca="1">SLOPE(LOG('Measured Cummulative'!F53:I53),LOG('Measured Cummulative'!F$1:I$1))</f>
        <v>#NUM!</v>
      </c>
      <c r="I52" s="66" t="e">
        <f ca="1">SLOPE(LOG('Measured Cummulative'!E53:H53),LOG('Measured Cummulative'!E$1:H$1))</f>
        <v>#NUM!</v>
      </c>
      <c r="J52" s="2"/>
      <c r="K52" s="2"/>
      <c r="L52" s="2"/>
    </row>
    <row r="53" spans="1:12" ht="15" x14ac:dyDescent="0.25">
      <c r="A53" s="162">
        <f>'Increment Analysis Derived'!A54</f>
        <v>0</v>
      </c>
      <c r="B53" s="141"/>
      <c r="C53" s="184" t="s">
        <v>63</v>
      </c>
      <c r="D53" s="186" t="e">
        <f ca="1">SLOPE(LOG('Measured Cummulative'!F54:K54),LOG('Measured Cummulative'!F$1:K$1))</f>
        <v>#NUM!</v>
      </c>
      <c r="E53" s="65" t="e">
        <f ca="1">SLOPE(LOG('Measured Cummulative'!I54:L54),LOG('Measured Cummulative'!I$1:L$1))</f>
        <v>#NUM!</v>
      </c>
      <c r="F53" s="65" t="e">
        <f ca="1">SLOPE(LOG('Measured Cummulative'!H54:K54),LOG('Measured Cummulative'!H$1:K$1))</f>
        <v>#NUM!</v>
      </c>
      <c r="G53" s="65" t="e">
        <f ca="1">SLOPE(LOG('Measured Cummulative'!G54:J54),LOG('Measured Cummulative'!G$1:J$1))</f>
        <v>#NUM!</v>
      </c>
      <c r="H53" s="65" t="e">
        <f ca="1">SLOPE(LOG('Measured Cummulative'!F54:I54),LOG('Measured Cummulative'!F$1:I$1))</f>
        <v>#NUM!</v>
      </c>
      <c r="I53" s="66" t="e">
        <f ca="1">SLOPE(LOG('Measured Cummulative'!E54:H54),LOG('Measured Cummulative'!E$1:H$1))</f>
        <v>#NUM!</v>
      </c>
      <c r="J53" s="2"/>
      <c r="K53" s="2"/>
      <c r="L53" s="2"/>
    </row>
    <row r="54" spans="1:12" ht="15" x14ac:dyDescent="0.25">
      <c r="A54" s="162">
        <f>'Increment Analysis Derived'!A55</f>
        <v>0</v>
      </c>
      <c r="B54" s="141"/>
      <c r="C54" s="184" t="s">
        <v>63</v>
      </c>
      <c r="D54" s="186" t="e">
        <f ca="1">SLOPE(LOG('Measured Cummulative'!F55:K55),LOG('Measured Cummulative'!F$1:K$1))</f>
        <v>#NUM!</v>
      </c>
      <c r="E54" s="65" t="e">
        <f ca="1">SLOPE(LOG('Measured Cummulative'!I55:L55),LOG('Measured Cummulative'!I$1:L$1))</f>
        <v>#NUM!</v>
      </c>
      <c r="F54" s="65" t="e">
        <f ca="1">SLOPE(LOG('Measured Cummulative'!H55:K55),LOG('Measured Cummulative'!H$1:K$1))</f>
        <v>#NUM!</v>
      </c>
      <c r="G54" s="65" t="e">
        <f ca="1">SLOPE(LOG('Measured Cummulative'!G55:J55),LOG('Measured Cummulative'!G$1:J$1))</f>
        <v>#NUM!</v>
      </c>
      <c r="H54" s="65" t="e">
        <f ca="1">SLOPE(LOG('Measured Cummulative'!F55:I55),LOG('Measured Cummulative'!F$1:I$1))</f>
        <v>#NUM!</v>
      </c>
      <c r="I54" s="66" t="e">
        <f ca="1">SLOPE(LOG('Measured Cummulative'!E55:H55),LOG('Measured Cummulative'!E$1:H$1))</f>
        <v>#NUM!</v>
      </c>
      <c r="J54" s="2"/>
      <c r="K54" s="2"/>
      <c r="L54" s="2"/>
    </row>
    <row r="55" spans="1:12" ht="15" x14ac:dyDescent="0.25">
      <c r="A55" s="162">
        <f>'Increment Analysis Derived'!A56</f>
        <v>0</v>
      </c>
      <c r="B55" s="141"/>
      <c r="C55" s="184" t="s">
        <v>63</v>
      </c>
      <c r="D55" s="186" t="e">
        <f ca="1">SLOPE(LOG('Measured Cummulative'!F56:K56),LOG('Measured Cummulative'!F$1:K$1))</f>
        <v>#NUM!</v>
      </c>
      <c r="E55" s="65" t="e">
        <f ca="1">SLOPE(LOG('Measured Cummulative'!I56:L56),LOG('Measured Cummulative'!I$1:L$1))</f>
        <v>#NUM!</v>
      </c>
      <c r="F55" s="65" t="e">
        <f ca="1">SLOPE(LOG('Measured Cummulative'!H56:K56),LOG('Measured Cummulative'!H$1:K$1))</f>
        <v>#NUM!</v>
      </c>
      <c r="G55" s="65" t="e">
        <f ca="1">SLOPE(LOG('Measured Cummulative'!G56:J56),LOG('Measured Cummulative'!G$1:J$1))</f>
        <v>#NUM!</v>
      </c>
      <c r="H55" s="65" t="e">
        <f ca="1">SLOPE(LOG('Measured Cummulative'!F56:I56),LOG('Measured Cummulative'!F$1:I$1))</f>
        <v>#NUM!</v>
      </c>
      <c r="I55" s="66" t="e">
        <f ca="1">SLOPE(LOG('Measured Cummulative'!E56:H56),LOG('Measured Cummulative'!E$1:H$1))</f>
        <v>#NUM!</v>
      </c>
      <c r="J55" s="2"/>
      <c r="K55" s="2"/>
      <c r="L55" s="2"/>
    </row>
    <row r="56" spans="1:12" ht="15" x14ac:dyDescent="0.25">
      <c r="A56" s="162">
        <f>'Increment Analysis Derived'!A57</f>
        <v>0</v>
      </c>
      <c r="B56" s="141"/>
      <c r="C56" s="184" t="s">
        <v>63</v>
      </c>
      <c r="D56" s="186" t="e">
        <f ca="1">SLOPE(LOG('Measured Cummulative'!F57:K57),LOG('Measured Cummulative'!F$1:K$1))</f>
        <v>#NUM!</v>
      </c>
      <c r="E56" s="65" t="e">
        <f ca="1">SLOPE(LOG('Measured Cummulative'!I57:L57),LOG('Measured Cummulative'!I$1:L$1))</f>
        <v>#NUM!</v>
      </c>
      <c r="F56" s="65" t="e">
        <f ca="1">SLOPE(LOG('Measured Cummulative'!H57:K57),LOG('Measured Cummulative'!H$1:K$1))</f>
        <v>#NUM!</v>
      </c>
      <c r="G56" s="65" t="e">
        <f ca="1">SLOPE(LOG('Measured Cummulative'!G57:J57),LOG('Measured Cummulative'!G$1:J$1))</f>
        <v>#NUM!</v>
      </c>
      <c r="H56" s="65" t="e">
        <f ca="1">SLOPE(LOG('Measured Cummulative'!F57:I57),LOG('Measured Cummulative'!F$1:I$1))</f>
        <v>#NUM!</v>
      </c>
      <c r="I56" s="66" t="e">
        <f ca="1">SLOPE(LOG('Measured Cummulative'!E57:H57),LOG('Measured Cummulative'!E$1:H$1))</f>
        <v>#NUM!</v>
      </c>
      <c r="J56" s="2"/>
      <c r="K56" s="2"/>
      <c r="L56" s="2"/>
    </row>
    <row r="57" spans="1:12" ht="15" x14ac:dyDescent="0.25">
      <c r="A57" s="162">
        <f>'Increment Analysis Derived'!A58</f>
        <v>0</v>
      </c>
      <c r="B57" s="141"/>
      <c r="C57" s="184" t="s">
        <v>63</v>
      </c>
      <c r="D57" s="186" t="e">
        <f ca="1">SLOPE(LOG('Measured Cummulative'!F58:K58),LOG('Measured Cummulative'!F$1:K$1))</f>
        <v>#NUM!</v>
      </c>
      <c r="E57" s="65" t="e">
        <f ca="1">SLOPE(LOG('Measured Cummulative'!I58:L58),LOG('Measured Cummulative'!I$1:L$1))</f>
        <v>#NUM!</v>
      </c>
      <c r="F57" s="65" t="e">
        <f ca="1">SLOPE(LOG('Measured Cummulative'!H58:K58),LOG('Measured Cummulative'!H$1:K$1))</f>
        <v>#NUM!</v>
      </c>
      <c r="G57" s="65" t="e">
        <f ca="1">SLOPE(LOG('Measured Cummulative'!G58:J58),LOG('Measured Cummulative'!G$1:J$1))</f>
        <v>#NUM!</v>
      </c>
      <c r="H57" s="65" t="e">
        <f ca="1">SLOPE(LOG('Measured Cummulative'!F58:I58),LOG('Measured Cummulative'!F$1:I$1))</f>
        <v>#NUM!</v>
      </c>
      <c r="I57" s="66" t="e">
        <f ca="1">SLOPE(LOG('Measured Cummulative'!E58:H58),LOG('Measured Cummulative'!E$1:H$1))</f>
        <v>#NUM!</v>
      </c>
      <c r="J57" s="2"/>
      <c r="K57" s="2"/>
      <c r="L57" s="2"/>
    </row>
    <row r="58" spans="1:12" ht="15" x14ac:dyDescent="0.25">
      <c r="A58" s="162">
        <f>'Increment Analysis Derived'!A59</f>
        <v>0</v>
      </c>
      <c r="B58" s="141"/>
      <c r="C58" s="184" t="s">
        <v>63</v>
      </c>
      <c r="D58" s="186" t="e">
        <f ca="1">SLOPE(LOG('Measured Cummulative'!F59:K59),LOG('Measured Cummulative'!F$1:K$1))</f>
        <v>#NUM!</v>
      </c>
      <c r="E58" s="65" t="e">
        <f ca="1">SLOPE(LOG('Measured Cummulative'!I59:L59),LOG('Measured Cummulative'!I$1:L$1))</f>
        <v>#NUM!</v>
      </c>
      <c r="F58" s="65" t="e">
        <f ca="1">SLOPE(LOG('Measured Cummulative'!H59:K59),LOG('Measured Cummulative'!H$1:K$1))</f>
        <v>#NUM!</v>
      </c>
      <c r="G58" s="65" t="e">
        <f ca="1">SLOPE(LOG('Measured Cummulative'!G59:J59),LOG('Measured Cummulative'!G$1:J$1))</f>
        <v>#NUM!</v>
      </c>
      <c r="H58" s="65" t="e">
        <f ca="1">SLOPE(LOG('Measured Cummulative'!F59:I59),LOG('Measured Cummulative'!F$1:I$1))</f>
        <v>#NUM!</v>
      </c>
      <c r="I58" s="66" t="e">
        <f ca="1">SLOPE(LOG('Measured Cummulative'!E59:H59),LOG('Measured Cummulative'!E$1:H$1))</f>
        <v>#NUM!</v>
      </c>
      <c r="J58" s="2"/>
      <c r="K58" s="2"/>
      <c r="L58" s="2"/>
    </row>
    <row r="59" spans="1:12" ht="15" x14ac:dyDescent="0.25">
      <c r="A59" s="162">
        <f>'Increment Analysis Derived'!A60</f>
        <v>0</v>
      </c>
      <c r="B59" s="141"/>
      <c r="C59" s="184" t="s">
        <v>63</v>
      </c>
      <c r="D59" s="186" t="e">
        <f ca="1">SLOPE(LOG('Measured Cummulative'!F60:K60),LOG('Measured Cummulative'!F$1:K$1))</f>
        <v>#NUM!</v>
      </c>
      <c r="E59" s="65" t="e">
        <f ca="1">SLOPE(LOG('Measured Cummulative'!I60:L60),LOG('Measured Cummulative'!I$1:L$1))</f>
        <v>#NUM!</v>
      </c>
      <c r="F59" s="65" t="e">
        <f ca="1">SLOPE(LOG('Measured Cummulative'!H60:K60),LOG('Measured Cummulative'!H$1:K$1))</f>
        <v>#NUM!</v>
      </c>
      <c r="G59" s="65" t="e">
        <f ca="1">SLOPE(LOG('Measured Cummulative'!G60:J60),LOG('Measured Cummulative'!G$1:J$1))</f>
        <v>#NUM!</v>
      </c>
      <c r="H59" s="65" t="e">
        <f ca="1">SLOPE(LOG('Measured Cummulative'!F60:I60),LOG('Measured Cummulative'!F$1:I$1))</f>
        <v>#NUM!</v>
      </c>
      <c r="I59" s="66" t="e">
        <f ca="1">SLOPE(LOG('Measured Cummulative'!E60:H60),LOG('Measured Cummulative'!E$1:H$1))</f>
        <v>#NUM!</v>
      </c>
      <c r="J59" s="2"/>
      <c r="K59" s="2"/>
      <c r="L59" s="2"/>
    </row>
    <row r="60" spans="1:12" ht="15" x14ac:dyDescent="0.25">
      <c r="A60" s="162">
        <f>'Increment Analysis Derived'!A61</f>
        <v>0</v>
      </c>
      <c r="B60" s="141"/>
      <c r="C60" s="184" t="s">
        <v>63</v>
      </c>
      <c r="D60" s="186" t="e">
        <f ca="1">SLOPE(LOG('Measured Cummulative'!F61:K61),LOG('Measured Cummulative'!F$1:K$1))</f>
        <v>#NUM!</v>
      </c>
      <c r="E60" s="65" t="e">
        <f ca="1">SLOPE(LOG('Measured Cummulative'!I61:L61),LOG('Measured Cummulative'!I$1:L$1))</f>
        <v>#NUM!</v>
      </c>
      <c r="F60" s="65" t="e">
        <f ca="1">SLOPE(LOG('Measured Cummulative'!H61:K61),LOG('Measured Cummulative'!H$1:K$1))</f>
        <v>#NUM!</v>
      </c>
      <c r="G60" s="65" t="e">
        <f ca="1">SLOPE(LOG('Measured Cummulative'!G61:J61),LOG('Measured Cummulative'!G$1:J$1))</f>
        <v>#NUM!</v>
      </c>
      <c r="H60" s="65" t="e">
        <f ca="1">SLOPE(LOG('Measured Cummulative'!F61:I61),LOG('Measured Cummulative'!F$1:I$1))</f>
        <v>#NUM!</v>
      </c>
      <c r="I60" s="66" t="e">
        <f ca="1">SLOPE(LOG('Measured Cummulative'!E61:H61),LOG('Measured Cummulative'!E$1:H$1))</f>
        <v>#NUM!</v>
      </c>
      <c r="J60" s="2"/>
      <c r="K60" s="2"/>
      <c r="L60" s="2"/>
    </row>
    <row r="61" spans="1:12" ht="15" x14ac:dyDescent="0.25">
      <c r="A61" s="162">
        <f>'Increment Analysis Derived'!A62</f>
        <v>0</v>
      </c>
      <c r="B61" s="141"/>
      <c r="C61" s="184" t="s">
        <v>63</v>
      </c>
      <c r="D61" s="186" t="e">
        <f ca="1">SLOPE(LOG('Measured Cummulative'!F62:K62),LOG('Measured Cummulative'!F$1:K$1))</f>
        <v>#NUM!</v>
      </c>
      <c r="E61" s="65" t="e">
        <f ca="1">SLOPE(LOG('Measured Cummulative'!I62:L62),LOG('Measured Cummulative'!I$1:L$1))</f>
        <v>#NUM!</v>
      </c>
      <c r="F61" s="65" t="e">
        <f ca="1">SLOPE(LOG('Measured Cummulative'!H62:K62),LOG('Measured Cummulative'!H$1:K$1))</f>
        <v>#NUM!</v>
      </c>
      <c r="G61" s="65" t="e">
        <f ca="1">SLOPE(LOG('Measured Cummulative'!G62:J62),LOG('Measured Cummulative'!G$1:J$1))</f>
        <v>#NUM!</v>
      </c>
      <c r="H61" s="65" t="e">
        <f ca="1">SLOPE(LOG('Measured Cummulative'!F62:I62),LOG('Measured Cummulative'!F$1:I$1))</f>
        <v>#NUM!</v>
      </c>
      <c r="I61" s="66" t="e">
        <f ca="1">SLOPE(LOG('Measured Cummulative'!E62:H62),LOG('Measured Cummulative'!E$1:H$1))</f>
        <v>#NUM!</v>
      </c>
      <c r="J61" s="2"/>
      <c r="K61" s="2"/>
      <c r="L61" s="2"/>
    </row>
    <row r="62" spans="1:12" ht="15" x14ac:dyDescent="0.25">
      <c r="A62" s="162">
        <f>'Increment Analysis Derived'!A63</f>
        <v>0</v>
      </c>
      <c r="B62" s="141"/>
      <c r="C62" s="184" t="s">
        <v>63</v>
      </c>
      <c r="D62" s="186" t="e">
        <f ca="1">SLOPE(LOG('Measured Cummulative'!F63:K63),LOG('Measured Cummulative'!F$1:K$1))</f>
        <v>#NUM!</v>
      </c>
      <c r="E62" s="65" t="e">
        <f ca="1">SLOPE(LOG('Measured Cummulative'!I63:L63),LOG('Measured Cummulative'!I$1:L$1))</f>
        <v>#NUM!</v>
      </c>
      <c r="F62" s="65" t="e">
        <f ca="1">SLOPE(LOG('Measured Cummulative'!H63:K63),LOG('Measured Cummulative'!H$1:K$1))</f>
        <v>#NUM!</v>
      </c>
      <c r="G62" s="65" t="e">
        <f ca="1">SLOPE(LOG('Measured Cummulative'!G63:J63),LOG('Measured Cummulative'!G$1:J$1))</f>
        <v>#NUM!</v>
      </c>
      <c r="H62" s="65" t="e">
        <f ca="1">SLOPE(LOG('Measured Cummulative'!F63:I63),LOG('Measured Cummulative'!F$1:I$1))</f>
        <v>#NUM!</v>
      </c>
      <c r="I62" s="66" t="e">
        <f ca="1">SLOPE(LOG('Measured Cummulative'!E63:H63),LOG('Measured Cummulative'!E$1:H$1))</f>
        <v>#NUM!</v>
      </c>
      <c r="J62" s="2"/>
      <c r="K62" s="2"/>
      <c r="L62" s="2"/>
    </row>
    <row r="63" spans="1:12" ht="15" x14ac:dyDescent="0.25">
      <c r="A63" s="162">
        <f>'Increment Analysis Derived'!A64</f>
        <v>0</v>
      </c>
      <c r="B63" s="141"/>
      <c r="C63" s="184" t="s">
        <v>63</v>
      </c>
      <c r="D63" s="186" t="e">
        <f ca="1">SLOPE(LOG('Measured Cummulative'!F64:K64),LOG('Measured Cummulative'!F$1:K$1))</f>
        <v>#NUM!</v>
      </c>
      <c r="E63" s="65" t="e">
        <f ca="1">SLOPE(LOG('Measured Cummulative'!I64:L64),LOG('Measured Cummulative'!I$1:L$1))</f>
        <v>#NUM!</v>
      </c>
      <c r="F63" s="65" t="e">
        <f ca="1">SLOPE(LOG('Measured Cummulative'!H64:K64),LOG('Measured Cummulative'!H$1:K$1))</f>
        <v>#NUM!</v>
      </c>
      <c r="G63" s="65" t="e">
        <f ca="1">SLOPE(LOG('Measured Cummulative'!G64:J64),LOG('Measured Cummulative'!G$1:J$1))</f>
        <v>#NUM!</v>
      </c>
      <c r="H63" s="65" t="e">
        <f ca="1">SLOPE(LOG('Measured Cummulative'!F64:I64),LOG('Measured Cummulative'!F$1:I$1))</f>
        <v>#NUM!</v>
      </c>
      <c r="I63" s="66" t="e">
        <f ca="1">SLOPE(LOG('Measured Cummulative'!E64:H64),LOG('Measured Cummulative'!E$1:H$1))</f>
        <v>#NUM!</v>
      </c>
      <c r="J63" s="2"/>
      <c r="K63" s="2"/>
      <c r="L63" s="2"/>
    </row>
    <row r="64" spans="1:12" ht="15" x14ac:dyDescent="0.25">
      <c r="A64" s="162">
        <f>'Increment Analysis Derived'!A65</f>
        <v>0</v>
      </c>
      <c r="B64" s="141"/>
      <c r="C64" s="184" t="s">
        <v>63</v>
      </c>
      <c r="D64" s="186" t="e">
        <f ca="1">SLOPE(LOG('Measured Cummulative'!F65:K65),LOG('Measured Cummulative'!F$1:K$1))</f>
        <v>#NUM!</v>
      </c>
      <c r="E64" s="65" t="e">
        <f ca="1">SLOPE(LOG('Measured Cummulative'!I65:L65),LOG('Measured Cummulative'!I$1:L$1))</f>
        <v>#NUM!</v>
      </c>
      <c r="F64" s="65" t="e">
        <f ca="1">SLOPE(LOG('Measured Cummulative'!H65:K65),LOG('Measured Cummulative'!H$1:K$1))</f>
        <v>#NUM!</v>
      </c>
      <c r="G64" s="65" t="e">
        <f ca="1">SLOPE(LOG('Measured Cummulative'!G65:J65),LOG('Measured Cummulative'!G$1:J$1))</f>
        <v>#NUM!</v>
      </c>
      <c r="H64" s="65" t="e">
        <f ca="1">SLOPE(LOG('Measured Cummulative'!F65:I65),LOG('Measured Cummulative'!F$1:I$1))</f>
        <v>#NUM!</v>
      </c>
      <c r="I64" s="66" t="e">
        <f ca="1">SLOPE(LOG('Measured Cummulative'!E65:H65),LOG('Measured Cummulative'!E$1:H$1))</f>
        <v>#NUM!</v>
      </c>
      <c r="J64" s="2"/>
      <c r="K64" s="2"/>
      <c r="L64" s="2"/>
    </row>
    <row r="65" spans="1:12" ht="15" x14ac:dyDescent="0.25">
      <c r="A65" s="162">
        <f>'Increment Analysis Derived'!A66</f>
        <v>0</v>
      </c>
      <c r="B65" s="141"/>
      <c r="C65" s="184" t="s">
        <v>63</v>
      </c>
      <c r="D65" s="186" t="e">
        <f ca="1">SLOPE(LOG('Measured Cummulative'!F66:K66),LOG('Measured Cummulative'!F$1:K$1))</f>
        <v>#NUM!</v>
      </c>
      <c r="E65" s="65" t="e">
        <f ca="1">SLOPE(LOG('Measured Cummulative'!I66:L66),LOG('Measured Cummulative'!I$1:L$1))</f>
        <v>#NUM!</v>
      </c>
      <c r="F65" s="65" t="e">
        <f ca="1">SLOPE(LOG('Measured Cummulative'!H66:K66),LOG('Measured Cummulative'!H$1:K$1))</f>
        <v>#NUM!</v>
      </c>
      <c r="G65" s="65" t="e">
        <f ca="1">SLOPE(LOG('Measured Cummulative'!G66:J66),LOG('Measured Cummulative'!G$1:J$1))</f>
        <v>#NUM!</v>
      </c>
      <c r="H65" s="65" t="e">
        <f ca="1">SLOPE(LOG('Measured Cummulative'!F66:I66),LOG('Measured Cummulative'!F$1:I$1))</f>
        <v>#NUM!</v>
      </c>
      <c r="I65" s="66" t="e">
        <f ca="1">SLOPE(LOG('Measured Cummulative'!E66:H66),LOG('Measured Cummulative'!E$1:H$1))</f>
        <v>#NUM!</v>
      </c>
      <c r="J65" s="2"/>
      <c r="K65" s="2"/>
      <c r="L65" s="2"/>
    </row>
    <row r="66" spans="1:12" ht="15" x14ac:dyDescent="0.25">
      <c r="A66" s="162">
        <f>'Increment Analysis Derived'!A67</f>
        <v>0</v>
      </c>
      <c r="B66" s="141"/>
      <c r="C66" s="184" t="s">
        <v>63</v>
      </c>
      <c r="D66" s="186" t="e">
        <f ca="1">SLOPE(LOG('Measured Cummulative'!F67:K67),LOG('Measured Cummulative'!F$1:K$1))</f>
        <v>#NUM!</v>
      </c>
      <c r="E66" s="65" t="e">
        <f ca="1">SLOPE(LOG('Measured Cummulative'!I67:L67),LOG('Measured Cummulative'!I$1:L$1))</f>
        <v>#NUM!</v>
      </c>
      <c r="F66" s="65" t="e">
        <f ca="1">SLOPE(LOG('Measured Cummulative'!H67:K67),LOG('Measured Cummulative'!H$1:K$1))</f>
        <v>#NUM!</v>
      </c>
      <c r="G66" s="65" t="e">
        <f ca="1">SLOPE(LOG('Measured Cummulative'!G67:J67),LOG('Measured Cummulative'!G$1:J$1))</f>
        <v>#NUM!</v>
      </c>
      <c r="H66" s="65" t="e">
        <f ca="1">SLOPE(LOG('Measured Cummulative'!F67:I67),LOG('Measured Cummulative'!F$1:I$1))</f>
        <v>#NUM!</v>
      </c>
      <c r="I66" s="66" t="e">
        <f ca="1">SLOPE(LOG('Measured Cummulative'!E67:H67),LOG('Measured Cummulative'!E$1:H$1))</f>
        <v>#NUM!</v>
      </c>
      <c r="J66" s="2"/>
      <c r="K66" s="2"/>
      <c r="L66" s="2"/>
    </row>
    <row r="67" spans="1:12" ht="15" x14ac:dyDescent="0.25">
      <c r="A67" s="162">
        <f>'Increment Analysis Derived'!A68</f>
        <v>0</v>
      </c>
      <c r="B67" s="141"/>
      <c r="C67" s="184" t="s">
        <v>63</v>
      </c>
      <c r="D67" s="186" t="e">
        <f ca="1">SLOPE(LOG('Measured Cummulative'!F68:K68),LOG('Measured Cummulative'!F$1:K$1))</f>
        <v>#NUM!</v>
      </c>
      <c r="E67" s="65" t="e">
        <f ca="1">SLOPE(LOG('Measured Cummulative'!I68:L68),LOG('Measured Cummulative'!I$1:L$1))</f>
        <v>#NUM!</v>
      </c>
      <c r="F67" s="65" t="e">
        <f ca="1">SLOPE(LOG('Measured Cummulative'!H68:K68),LOG('Measured Cummulative'!H$1:K$1))</f>
        <v>#NUM!</v>
      </c>
      <c r="G67" s="65" t="e">
        <f ca="1">SLOPE(LOG('Measured Cummulative'!G68:J68),LOG('Measured Cummulative'!G$1:J$1))</f>
        <v>#NUM!</v>
      </c>
      <c r="H67" s="65" t="e">
        <f ca="1">SLOPE(LOG('Measured Cummulative'!F68:I68),LOG('Measured Cummulative'!F$1:I$1))</f>
        <v>#NUM!</v>
      </c>
      <c r="I67" s="66" t="e">
        <f ca="1">SLOPE(LOG('Measured Cummulative'!E68:H68),LOG('Measured Cummulative'!E$1:H$1))</f>
        <v>#NUM!</v>
      </c>
      <c r="J67" s="2"/>
      <c r="K67" s="2"/>
      <c r="L67" s="2"/>
    </row>
    <row r="68" spans="1:12" ht="15" x14ac:dyDescent="0.25">
      <c r="A68" s="162">
        <f>'Increment Analysis Derived'!A69</f>
        <v>0</v>
      </c>
      <c r="B68" s="141"/>
      <c r="C68" s="184" t="s">
        <v>63</v>
      </c>
      <c r="D68" s="186" t="e">
        <f ca="1">SLOPE(LOG('Measured Cummulative'!F69:K69),LOG('Measured Cummulative'!F$1:K$1))</f>
        <v>#NUM!</v>
      </c>
      <c r="E68" s="65" t="e">
        <f ca="1">SLOPE(LOG('Measured Cummulative'!I69:L69),LOG('Measured Cummulative'!I$1:L$1))</f>
        <v>#NUM!</v>
      </c>
      <c r="F68" s="65" t="e">
        <f ca="1">SLOPE(LOG('Measured Cummulative'!H69:K69),LOG('Measured Cummulative'!H$1:K$1))</f>
        <v>#NUM!</v>
      </c>
      <c r="G68" s="65" t="e">
        <f ca="1">SLOPE(LOG('Measured Cummulative'!G69:J69),LOG('Measured Cummulative'!G$1:J$1))</f>
        <v>#NUM!</v>
      </c>
      <c r="H68" s="65" t="e">
        <f ca="1">SLOPE(LOG('Measured Cummulative'!F69:I69),LOG('Measured Cummulative'!F$1:I$1))</f>
        <v>#NUM!</v>
      </c>
      <c r="I68" s="66" t="e">
        <f ca="1">SLOPE(LOG('Measured Cummulative'!E69:H69),LOG('Measured Cummulative'!E$1:H$1))</f>
        <v>#NUM!</v>
      </c>
      <c r="J68" s="2"/>
      <c r="K68" s="2"/>
      <c r="L68" s="2"/>
    </row>
    <row r="69" spans="1:12" ht="15" x14ac:dyDescent="0.25">
      <c r="A69" s="162">
        <f>'Increment Analysis Derived'!A70</f>
        <v>0</v>
      </c>
      <c r="B69" s="141"/>
      <c r="C69" s="184" t="s">
        <v>63</v>
      </c>
      <c r="D69" s="186" t="e">
        <f ca="1">SLOPE(LOG('Measured Cummulative'!F70:K70),LOG('Measured Cummulative'!F$1:K$1))</f>
        <v>#NUM!</v>
      </c>
      <c r="E69" s="65" t="e">
        <f ca="1">SLOPE(LOG('Measured Cummulative'!I70:L70),LOG('Measured Cummulative'!I$1:L$1))</f>
        <v>#NUM!</v>
      </c>
      <c r="F69" s="65" t="e">
        <f ca="1">SLOPE(LOG('Measured Cummulative'!H70:K70),LOG('Measured Cummulative'!H$1:K$1))</f>
        <v>#NUM!</v>
      </c>
      <c r="G69" s="65" t="e">
        <f ca="1">SLOPE(LOG('Measured Cummulative'!G70:J70),LOG('Measured Cummulative'!G$1:J$1))</f>
        <v>#NUM!</v>
      </c>
      <c r="H69" s="65" t="e">
        <f ca="1">SLOPE(LOG('Measured Cummulative'!F70:I70),LOG('Measured Cummulative'!F$1:I$1))</f>
        <v>#NUM!</v>
      </c>
      <c r="I69" s="66" t="e">
        <f ca="1">SLOPE(LOG('Measured Cummulative'!E70:H70),LOG('Measured Cummulative'!E$1:H$1))</f>
        <v>#NUM!</v>
      </c>
      <c r="J69" s="2"/>
      <c r="K69" s="2"/>
      <c r="L69" s="2"/>
    </row>
    <row r="70" spans="1:12" ht="15" x14ac:dyDescent="0.25">
      <c r="A70" s="162">
        <f>'Increment Analysis Derived'!A71</f>
        <v>0</v>
      </c>
      <c r="B70" s="141"/>
      <c r="C70" s="184" t="s">
        <v>63</v>
      </c>
      <c r="D70" s="186" t="e">
        <f ca="1">SLOPE(LOG('Measured Cummulative'!F71:K71),LOG('Measured Cummulative'!F$1:K$1))</f>
        <v>#NUM!</v>
      </c>
      <c r="E70" s="65" t="e">
        <f ca="1">SLOPE(LOG('Measured Cummulative'!I71:L71),LOG('Measured Cummulative'!I$1:L$1))</f>
        <v>#NUM!</v>
      </c>
      <c r="F70" s="65" t="e">
        <f ca="1">SLOPE(LOG('Measured Cummulative'!H71:K71),LOG('Measured Cummulative'!H$1:K$1))</f>
        <v>#NUM!</v>
      </c>
      <c r="G70" s="65" t="e">
        <f ca="1">SLOPE(LOG('Measured Cummulative'!G71:J71),LOG('Measured Cummulative'!G$1:J$1))</f>
        <v>#NUM!</v>
      </c>
      <c r="H70" s="65" t="e">
        <f ca="1">SLOPE(LOG('Measured Cummulative'!F71:I71),LOG('Measured Cummulative'!F$1:I$1))</f>
        <v>#NUM!</v>
      </c>
      <c r="I70" s="66" t="e">
        <f ca="1">SLOPE(LOG('Measured Cummulative'!E71:H71),LOG('Measured Cummulative'!E$1:H$1))</f>
        <v>#NUM!</v>
      </c>
      <c r="J70" s="2"/>
      <c r="K70" s="2"/>
      <c r="L70" s="2"/>
    </row>
    <row r="71" spans="1:12" ht="15" x14ac:dyDescent="0.25">
      <c r="A71" s="162">
        <f>'Increment Analysis Derived'!A72</f>
        <v>0</v>
      </c>
      <c r="B71" s="141"/>
      <c r="C71" s="184" t="s">
        <v>63</v>
      </c>
      <c r="D71" s="186" t="e">
        <f ca="1">SLOPE(LOG('Measured Cummulative'!F72:K72),LOG('Measured Cummulative'!F$1:K$1))</f>
        <v>#NUM!</v>
      </c>
      <c r="E71" s="65" t="e">
        <f ca="1">SLOPE(LOG('Measured Cummulative'!I72:L72),LOG('Measured Cummulative'!I$1:L$1))</f>
        <v>#NUM!</v>
      </c>
      <c r="F71" s="65" t="e">
        <f ca="1">SLOPE(LOG('Measured Cummulative'!H72:K72),LOG('Measured Cummulative'!H$1:K$1))</f>
        <v>#NUM!</v>
      </c>
      <c r="G71" s="65" t="e">
        <f ca="1">SLOPE(LOG('Measured Cummulative'!G72:J72),LOG('Measured Cummulative'!G$1:J$1))</f>
        <v>#NUM!</v>
      </c>
      <c r="H71" s="65" t="e">
        <f ca="1">SLOPE(LOG('Measured Cummulative'!F72:I72),LOG('Measured Cummulative'!F$1:I$1))</f>
        <v>#NUM!</v>
      </c>
      <c r="I71" s="66" t="e">
        <f ca="1">SLOPE(LOG('Measured Cummulative'!E72:H72),LOG('Measured Cummulative'!E$1:H$1))</f>
        <v>#NUM!</v>
      </c>
      <c r="J71" s="2"/>
      <c r="K71" s="2"/>
      <c r="L71" s="2"/>
    </row>
    <row r="72" spans="1:12" ht="15" x14ac:dyDescent="0.25">
      <c r="A72" s="162">
        <f>'Increment Analysis Derived'!A73</f>
        <v>0</v>
      </c>
      <c r="B72" s="141"/>
      <c r="C72" s="184" t="s">
        <v>63</v>
      </c>
      <c r="D72" s="186" t="e">
        <f ca="1">SLOPE(LOG('Measured Cummulative'!F73:K73),LOG('Measured Cummulative'!F$1:K$1))</f>
        <v>#NUM!</v>
      </c>
      <c r="E72" s="65" t="e">
        <f ca="1">SLOPE(LOG('Measured Cummulative'!I73:L73),LOG('Measured Cummulative'!I$1:L$1))</f>
        <v>#NUM!</v>
      </c>
      <c r="F72" s="65" t="e">
        <f ca="1">SLOPE(LOG('Measured Cummulative'!H73:K73),LOG('Measured Cummulative'!H$1:K$1))</f>
        <v>#NUM!</v>
      </c>
      <c r="G72" s="65" t="e">
        <f ca="1">SLOPE(LOG('Measured Cummulative'!G73:J73),LOG('Measured Cummulative'!G$1:J$1))</f>
        <v>#NUM!</v>
      </c>
      <c r="H72" s="65" t="e">
        <f ca="1">SLOPE(LOG('Measured Cummulative'!F73:I73),LOG('Measured Cummulative'!F$1:I$1))</f>
        <v>#NUM!</v>
      </c>
      <c r="I72" s="66" t="e">
        <f ca="1">SLOPE(LOG('Measured Cummulative'!E73:H73),LOG('Measured Cummulative'!E$1:H$1))</f>
        <v>#NUM!</v>
      </c>
      <c r="J72" s="2"/>
      <c r="K72" s="2"/>
      <c r="L72" s="2"/>
    </row>
    <row r="73" spans="1:12" ht="15" x14ac:dyDescent="0.25">
      <c r="A73" s="231">
        <f>'Increment Analysis Derived'!A74</f>
        <v>0</v>
      </c>
      <c r="B73" s="141"/>
      <c r="C73" s="184" t="s">
        <v>63</v>
      </c>
      <c r="D73" s="186" t="e">
        <f ca="1">SLOPE(LOG('Measured Cummulative'!F74:K74),LOG('Measured Cummulative'!F$1:K$1))</f>
        <v>#NUM!</v>
      </c>
      <c r="E73" s="65" t="e">
        <f ca="1">SLOPE(LOG('Measured Cummulative'!I74:L74),LOG('Measured Cummulative'!I$1:L$1))</f>
        <v>#NUM!</v>
      </c>
      <c r="F73" s="65" t="e">
        <f ca="1">SLOPE(LOG('Measured Cummulative'!H74:K74),LOG('Measured Cummulative'!H$1:K$1))</f>
        <v>#NUM!</v>
      </c>
      <c r="G73" s="65" t="e">
        <f ca="1">SLOPE(LOG('Measured Cummulative'!G74:J74),LOG('Measured Cummulative'!G$1:J$1))</f>
        <v>#NUM!</v>
      </c>
      <c r="H73" s="65" t="e">
        <f ca="1">SLOPE(LOG('Measured Cummulative'!F74:I74),LOG('Measured Cummulative'!F$1:I$1))</f>
        <v>#NUM!</v>
      </c>
      <c r="I73" s="66" t="e">
        <f ca="1">SLOPE(LOG('Measured Cummulative'!E74:H74),LOG('Measured Cummulative'!E$1:H$1))</f>
        <v>#NUM!</v>
      </c>
      <c r="J73" s="2"/>
      <c r="K73" s="2"/>
      <c r="L73" s="2"/>
    </row>
    <row r="74" spans="1:12" ht="15" x14ac:dyDescent="0.25">
      <c r="A74" s="231">
        <f>'Increment Analysis Derived'!A75</f>
        <v>0</v>
      </c>
      <c r="B74" s="141"/>
      <c r="C74" s="184" t="s">
        <v>63</v>
      </c>
      <c r="D74" s="186" t="e">
        <f ca="1">SLOPE(LOG('Measured Cummulative'!F75:K75),LOG('Measured Cummulative'!F$1:K$1))</f>
        <v>#NUM!</v>
      </c>
      <c r="E74" s="65" t="e">
        <f ca="1">SLOPE(LOG('Measured Cummulative'!I75:L75),LOG('Measured Cummulative'!I$1:L$1))</f>
        <v>#NUM!</v>
      </c>
      <c r="F74" s="65" t="e">
        <f ca="1">SLOPE(LOG('Measured Cummulative'!H75:K75),LOG('Measured Cummulative'!H$1:K$1))</f>
        <v>#NUM!</v>
      </c>
      <c r="G74" s="65" t="e">
        <f ca="1">SLOPE(LOG('Measured Cummulative'!G75:J75),LOG('Measured Cummulative'!G$1:J$1))</f>
        <v>#NUM!</v>
      </c>
      <c r="H74" s="65" t="e">
        <f ca="1">SLOPE(LOG('Measured Cummulative'!F75:I75),LOG('Measured Cummulative'!F$1:I$1))</f>
        <v>#NUM!</v>
      </c>
      <c r="I74" s="66" t="e">
        <f ca="1">SLOPE(LOG('Measured Cummulative'!E75:H75),LOG('Measured Cummulative'!E$1:H$1))</f>
        <v>#NUM!</v>
      </c>
      <c r="J74" s="2"/>
      <c r="K74" s="2"/>
      <c r="L74" s="2"/>
    </row>
    <row r="75" spans="1:12" ht="15" x14ac:dyDescent="0.25">
      <c r="A75" s="231">
        <f>'Increment Analysis Derived'!A76</f>
        <v>0</v>
      </c>
      <c r="B75" s="141"/>
      <c r="C75" s="184" t="s">
        <v>63</v>
      </c>
      <c r="D75" s="186" t="e">
        <f ca="1">SLOPE(LOG('Measured Cummulative'!F76:K76),LOG('Measured Cummulative'!F$1:K$1))</f>
        <v>#NUM!</v>
      </c>
      <c r="E75" s="65" t="e">
        <f ca="1">SLOPE(LOG('Measured Cummulative'!I76:L76),LOG('Measured Cummulative'!I$1:L$1))</f>
        <v>#NUM!</v>
      </c>
      <c r="F75" s="65" t="e">
        <f ca="1">SLOPE(LOG('Measured Cummulative'!H76:K76),LOG('Measured Cummulative'!H$1:K$1))</f>
        <v>#NUM!</v>
      </c>
      <c r="G75" s="65" t="e">
        <f ca="1">SLOPE(LOG('Measured Cummulative'!G76:J76),LOG('Measured Cummulative'!G$1:J$1))</f>
        <v>#NUM!</v>
      </c>
      <c r="H75" s="65" t="e">
        <f ca="1">SLOPE(LOG('Measured Cummulative'!F76:I76),LOG('Measured Cummulative'!F$1:I$1))</f>
        <v>#NUM!</v>
      </c>
      <c r="I75" s="66" t="e">
        <f ca="1">SLOPE(LOG('Measured Cummulative'!E76:H76),LOG('Measured Cummulative'!E$1:H$1))</f>
        <v>#NUM!</v>
      </c>
      <c r="J75" s="2"/>
      <c r="K75" s="2"/>
      <c r="L75" s="2"/>
    </row>
    <row r="76" spans="1:12" x14ac:dyDescent="0.2">
      <c r="A76" s="72"/>
      <c r="B76" s="72"/>
    </row>
  </sheetData>
  <mergeCells count="3">
    <mergeCell ref="J5:K5"/>
    <mergeCell ref="J6:K6"/>
    <mergeCell ref="J7:K7"/>
  </mergeCells>
  <phoneticPr fontId="15" type="noConversion"/>
  <conditionalFormatting sqref="D4:I75">
    <cfRule type="cellIs" dxfId="6" priority="1" stopIfTrue="1" operator="lessThanOrEqual">
      <formula>0.35</formula>
    </cfRule>
    <cfRule type="cellIs" dxfId="5" priority="2" stopIfTrue="1" operator="between">
      <formula>0.35</formula>
      <formula>0.65</formula>
    </cfRule>
    <cfRule type="cellIs" dxfId="4" priority="3" stopIfTrue="1" operator="greaterThanOrEqual">
      <formula>0.65</formula>
    </cfRule>
  </conditionalFormatting>
  <pageMargins left="0.75" right="0.75" top="1" bottom="1" header="0.5" footer="0.5"/>
  <pageSetup scale="5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>
    <pageSetUpPr fitToPage="1"/>
  </sheetPr>
  <dimension ref="A1:S76"/>
  <sheetViews>
    <sheetView view="pageBreakPreview" zoomScale="60" zoomScaleNormal="100" workbookViewId="0">
      <selection activeCell="H40" sqref="H40"/>
    </sheetView>
  </sheetViews>
  <sheetFormatPr defaultRowHeight="12.75" x14ac:dyDescent="0.2"/>
  <cols>
    <col min="1" max="1" width="39.85546875" style="158" customWidth="1"/>
    <col min="2" max="2" width="19" customWidth="1"/>
    <col min="3" max="3" width="20.5703125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20.42578125" customWidth="1"/>
    <col min="12" max="12" width="25.7109375" customWidth="1"/>
    <col min="13" max="19" width="9.140625" style="2"/>
  </cols>
  <sheetData>
    <row r="1" spans="1:12" x14ac:dyDescent="0.2">
      <c r="A1" s="157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" x14ac:dyDescent="0.25">
      <c r="A2" s="26" t="s">
        <v>101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15.75" thickBot="1" x14ac:dyDescent="0.3">
      <c r="A3" s="26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15.75" thickBot="1" x14ac:dyDescent="0.3">
      <c r="A4" s="60" t="s">
        <v>58</v>
      </c>
      <c r="B4" s="57"/>
      <c r="C4" s="57"/>
      <c r="D4" s="57"/>
      <c r="E4" s="58">
        <f ca="1">('Increment Analysis Measured'!E4)</f>
        <v>3.7323937598229686</v>
      </c>
      <c r="F4" s="58">
        <f ca="1">('Increment Analysis Measured'!F4)</f>
        <v>4.3344537511509307</v>
      </c>
      <c r="G4" s="58">
        <f ca="1">('Increment Analysis Measured'!G4)</f>
        <v>4.9365137424788932</v>
      </c>
      <c r="H4" s="58">
        <f ca="1">('Increment Analysis Measured'!H4)</f>
        <v>5.2886962605902559</v>
      </c>
      <c r="I4" s="58">
        <f ca="1">('Increment Analysis Measured'!I4)</f>
        <v>5.5385737338068557</v>
      </c>
      <c r="J4" s="58">
        <f ca="1">('Increment Analysis Measured'!J4)</f>
        <v>5.7323937598229682</v>
      </c>
      <c r="K4" s="58">
        <f ca="1">('Increment Analysis Measured'!K4)</f>
        <v>5.8907562519182184</v>
      </c>
      <c r="L4" s="59">
        <f ca="1">('Increment Analysis Measured'!L4)</f>
        <v>6.1406337251348182</v>
      </c>
    </row>
    <row r="5" spans="1:12" ht="14.25" x14ac:dyDescent="0.2">
      <c r="A5" s="52" t="str">
        <f>'Increment Analysis Measured'!A5</f>
        <v>pH</v>
      </c>
      <c r="B5" s="32">
        <f>'Increment Analysis Measured'!B5</f>
        <v>1010</v>
      </c>
      <c r="C5" s="142"/>
      <c r="D5" s="140"/>
      <c r="E5" s="155">
        <f ca="1">LOG('Derived Cummulative'!E4)</f>
        <v>2.796053161209799</v>
      </c>
      <c r="F5" s="96">
        <f ca="1">LOG('Derived Cummulative'!F4)</f>
        <v>2.9912982032219131</v>
      </c>
      <c r="G5" s="96">
        <f ca="1">LOG('Derived Cummulative'!G4)</f>
        <v>3.0074125753555601</v>
      </c>
      <c r="H5" s="96">
        <f ca="1">LOG('Derived Cummulative'!H4)</f>
        <v>3.1694681837605687</v>
      </c>
      <c r="I5" s="96">
        <f ca="1">LOG('Derived Cummulative'!I4)</f>
        <v>3.300707934821657</v>
      </c>
      <c r="J5" s="96">
        <f ca="1">LOG('Derived Cummulative'!J4)</f>
        <v>3.3828776049093157</v>
      </c>
      <c r="K5" s="96">
        <f ca="1">LOG('Derived Cummulative'!K4)</f>
        <v>3.4612250873892227</v>
      </c>
      <c r="L5" s="97">
        <f ca="1">LOG('Derived Cummulative'!L4)</f>
        <v>3.3025620481340647</v>
      </c>
    </row>
    <row r="6" spans="1:12" ht="14.25" x14ac:dyDescent="0.2">
      <c r="A6" s="53" t="str">
        <f>'Increment Analysis Measured'!A6</f>
        <v>Electrical Conductivity</v>
      </c>
      <c r="B6" s="33">
        <f>'Increment Analysis Measured'!B6</f>
        <v>1020</v>
      </c>
      <c r="C6" s="61"/>
      <c r="D6" s="141"/>
      <c r="E6" s="156">
        <f ca="1">LOG('Derived Cummulative'!E5)</f>
        <v>3.0050943804549939</v>
      </c>
      <c r="F6" s="98">
        <f ca="1">LOG('Derived Cummulative'!F5)</f>
        <v>3.7677835085162683</v>
      </c>
      <c r="G6" s="98">
        <f ca="1">LOG('Derived Cummulative'!G5)</f>
        <v>4.9120664401936676</v>
      </c>
      <c r="H6" s="98">
        <f ca="1">LOG('Derived Cummulative'!H5)</f>
        <v>5.7473989839948931</v>
      </c>
      <c r="I6" s="98">
        <f ca="1">LOG('Derived Cummulative'!I5)</f>
        <v>5.8968751865408517</v>
      </c>
      <c r="J6" s="98">
        <f ca="1">LOG('Derived Cummulative'!J5)</f>
        <v>5.8793393005952339</v>
      </c>
      <c r="K6" s="98">
        <f ca="1">LOG('Derived Cummulative'!K5)</f>
        <v>6.0075342435120929</v>
      </c>
      <c r="L6" s="99">
        <f ca="1">LOG('Derived Cummulative'!L5)</f>
        <v>5.6954152756824996</v>
      </c>
    </row>
    <row r="7" spans="1:12" ht="16.5" x14ac:dyDescent="0.2">
      <c r="A7" s="53" t="str">
        <f>'Increment Analysis Measured'!A7</f>
        <v>Redox potential</v>
      </c>
      <c r="B7" s="33">
        <f>'Increment Analysis Measured'!B7</f>
        <v>1170</v>
      </c>
      <c r="C7" s="139" t="s">
        <v>100</v>
      </c>
      <c r="D7" s="141"/>
      <c r="E7" s="156" t="e">
        <f ca="1">LOG('Derived Cummulative'!E6)</f>
        <v>#NUM!</v>
      </c>
      <c r="F7" s="98" t="e">
        <f ca="1">LOG('Derived Cummulative'!F6)</f>
        <v>#NUM!</v>
      </c>
      <c r="G7" s="98" t="e">
        <f ca="1">LOG('Derived Cummulative'!G6)</f>
        <v>#NUM!</v>
      </c>
      <c r="H7" s="98" t="e">
        <f ca="1">LOG('Derived Cummulative'!H6)</f>
        <v>#NUM!</v>
      </c>
      <c r="I7" s="98" t="e">
        <f ca="1">LOG('Derived Cummulative'!I6)</f>
        <v>#NUM!</v>
      </c>
      <c r="J7" s="98" t="e">
        <f ca="1">LOG('Derived Cummulative'!J6)</f>
        <v>#NUM!</v>
      </c>
      <c r="K7" s="98" t="e">
        <f ca="1">LOG('Derived Cummulative'!K6)</f>
        <v>#NUM!</v>
      </c>
      <c r="L7" s="99" t="e">
        <f ca="1">LOG('Derived Cummulative'!L6)</f>
        <v>#NUM!</v>
      </c>
    </row>
    <row r="8" spans="1:12" ht="16.5" x14ac:dyDescent="0.2">
      <c r="A8" s="53" t="str">
        <f>'Increment Analysis Measured'!A8</f>
        <v>Chloride</v>
      </c>
      <c r="B8" s="33" t="str">
        <f>'Increment Analysis Measured'!B8</f>
        <v>U</v>
      </c>
      <c r="C8" s="139" t="s">
        <v>100</v>
      </c>
      <c r="D8" s="141"/>
      <c r="E8" s="156">
        <f ca="1">LOG('Derived Cummulative'!E7)</f>
        <v>1.8528060360719372</v>
      </c>
      <c r="F8" s="98">
        <f ca="1">LOG('Derived Cummulative'!F7)</f>
        <v>2.4760553264698379</v>
      </c>
      <c r="G8" s="98">
        <f ca="1">LOG('Derived Cummulative'!G7)</f>
        <v>3.630957286455581</v>
      </c>
      <c r="H8" s="98">
        <f ca="1">LOG('Derived Cummulative'!H7)</f>
        <v>4.8350772691115056</v>
      </c>
      <c r="I8" s="98">
        <f ca="1">LOG('Derived Cummulative'!I7)</f>
        <v>5.1624362034978359</v>
      </c>
      <c r="J8" s="98">
        <f ca="1">LOG('Derived Cummulative'!J7)</f>
        <v>5.1315596370247665</v>
      </c>
      <c r="K8" s="98">
        <f ca="1">LOG('Derived Cummulative'!K7)</f>
        <v>5.2330172777835431</v>
      </c>
      <c r="L8" s="99">
        <f ca="1">LOG('Derived Cummulative'!L7)</f>
        <v>5.1624362034978359</v>
      </c>
    </row>
    <row r="9" spans="1:12" ht="16.5" x14ac:dyDescent="0.2">
      <c r="A9" s="53" t="str">
        <f>'Increment Analysis Measured'!A9</f>
        <v>Sodium</v>
      </c>
      <c r="B9" s="33" t="str">
        <f>'Increment Analysis Measured'!B9</f>
        <v>U</v>
      </c>
      <c r="C9" s="139" t="s">
        <v>100</v>
      </c>
      <c r="D9" s="141"/>
      <c r="E9" s="156">
        <f ca="1">LOG('Derived Cummulative'!E8)</f>
        <v>3.1538360317359184</v>
      </c>
      <c r="F9" s="98">
        <f ca="1">LOG('Derived Cummulative'!F8)</f>
        <v>3.7558960230638809</v>
      </c>
      <c r="G9" s="98">
        <f ca="1">LOG('Derived Cummulative'!G8)</f>
        <v>3.8528060360719372</v>
      </c>
      <c r="H9" s="98">
        <f ca="1">LOG('Derived Cummulative'!H8)</f>
        <v>4.6916551268091924</v>
      </c>
      <c r="I9" s="98">
        <f ca="1">LOG('Derived Cummulative'!I8)</f>
        <v>4.9863449444421546</v>
      </c>
      <c r="J9" s="98">
        <f ca="1">LOG('Derived Cummulative'!J8)</f>
        <v>4.9135038764255494</v>
      </c>
      <c r="K9" s="98">
        <f ca="1">LOG('Derived Cummulative'!K8)</f>
        <v>5.0288972951276181</v>
      </c>
      <c r="L9" s="99">
        <f ca="1">LOG('Derived Cummulative'!L8)</f>
        <v>4.9989340717501749</v>
      </c>
    </row>
    <row r="10" spans="1:12" ht="16.5" x14ac:dyDescent="0.2">
      <c r="A10" s="53">
        <f>'Increment Analysis Measured'!A10</f>
        <v>0</v>
      </c>
      <c r="B10" s="33">
        <f>'Increment Analysis Measured'!B10</f>
        <v>0</v>
      </c>
      <c r="C10" s="139" t="s">
        <v>100</v>
      </c>
      <c r="D10" s="141"/>
      <c r="E10" s="156" t="e">
        <f ca="1">LOG('Derived Cummulative'!E9)</f>
        <v>#NUM!</v>
      </c>
      <c r="F10" s="98" t="e">
        <f ca="1">LOG('Derived Cummulative'!F9)</f>
        <v>#NUM!</v>
      </c>
      <c r="G10" s="98" t="e">
        <f ca="1">LOG('Derived Cummulative'!G9)</f>
        <v>#NUM!</v>
      </c>
      <c r="H10" s="98" t="e">
        <f ca="1">LOG('Derived Cummulative'!H9)</f>
        <v>#NUM!</v>
      </c>
      <c r="I10" s="98" t="e">
        <f ca="1">LOG('Derived Cummulative'!I9)</f>
        <v>#NUM!</v>
      </c>
      <c r="J10" s="98" t="e">
        <f ca="1">LOG('Derived Cummulative'!J9)</f>
        <v>#NUM!</v>
      </c>
      <c r="K10" s="98" t="e">
        <f ca="1">LOG('Derived Cummulative'!K9)</f>
        <v>#NUM!</v>
      </c>
      <c r="L10" s="99" t="e">
        <f ca="1">LOG('Derived Cummulative'!L9)</f>
        <v>#NUM!</v>
      </c>
    </row>
    <row r="11" spans="1:12" ht="16.5" x14ac:dyDescent="0.2">
      <c r="A11" s="53">
        <f>'Increment Analysis Measured'!A11</f>
        <v>0</v>
      </c>
      <c r="B11" s="33">
        <f>'Increment Analysis Measured'!B11</f>
        <v>0</v>
      </c>
      <c r="C11" s="139" t="s">
        <v>100</v>
      </c>
      <c r="D11" s="141"/>
      <c r="E11" s="156" t="e">
        <f ca="1">LOG('Derived Cummulative'!E10)</f>
        <v>#NUM!</v>
      </c>
      <c r="F11" s="98" t="e">
        <f ca="1">LOG('Derived Cummulative'!F10)</f>
        <v>#NUM!</v>
      </c>
      <c r="G11" s="98" t="e">
        <f ca="1">LOG('Derived Cummulative'!G10)</f>
        <v>#NUM!</v>
      </c>
      <c r="H11" s="98" t="e">
        <f ca="1">LOG('Derived Cummulative'!H10)</f>
        <v>#NUM!</v>
      </c>
      <c r="I11" s="98" t="e">
        <f ca="1">LOG('Derived Cummulative'!I10)</f>
        <v>#NUM!</v>
      </c>
      <c r="J11" s="98" t="e">
        <f ca="1">LOG('Derived Cummulative'!J10)</f>
        <v>#NUM!</v>
      </c>
      <c r="K11" s="98" t="e">
        <f ca="1">LOG('Derived Cummulative'!K10)</f>
        <v>#NUM!</v>
      </c>
      <c r="L11" s="99" t="e">
        <f ca="1">LOG('Derived Cummulative'!L10)</f>
        <v>#NUM!</v>
      </c>
    </row>
    <row r="12" spans="1:12" ht="16.5" x14ac:dyDescent="0.2">
      <c r="A12" s="53">
        <f>'Increment Analysis Measured'!A12</f>
        <v>0</v>
      </c>
      <c r="B12" s="33">
        <f>'Increment Analysis Measured'!B12</f>
        <v>0</v>
      </c>
      <c r="C12" s="139" t="s">
        <v>100</v>
      </c>
      <c r="D12" s="141"/>
      <c r="E12" s="156" t="e">
        <f ca="1">LOG('Derived Cummulative'!E11)</f>
        <v>#NUM!</v>
      </c>
      <c r="F12" s="98" t="e">
        <f ca="1">LOG('Derived Cummulative'!F11)</f>
        <v>#NUM!</v>
      </c>
      <c r="G12" s="98" t="e">
        <f ca="1">LOG('Derived Cummulative'!G11)</f>
        <v>#NUM!</v>
      </c>
      <c r="H12" s="98" t="e">
        <f ca="1">LOG('Derived Cummulative'!H11)</f>
        <v>#NUM!</v>
      </c>
      <c r="I12" s="98" t="e">
        <f ca="1">LOG('Derived Cummulative'!I11)</f>
        <v>#NUM!</v>
      </c>
      <c r="J12" s="98" t="e">
        <f ca="1">LOG('Derived Cummulative'!J11)</f>
        <v>#NUM!</v>
      </c>
      <c r="K12" s="98" t="e">
        <f ca="1">LOG('Derived Cummulative'!K11)</f>
        <v>#NUM!</v>
      </c>
      <c r="L12" s="99" t="e">
        <f ca="1">LOG('Derived Cummulative'!L11)</f>
        <v>#NUM!</v>
      </c>
    </row>
    <row r="13" spans="1:12" ht="16.5" x14ac:dyDescent="0.2">
      <c r="A13" s="53">
        <f>'Increment Analysis Measured'!A13</f>
        <v>0</v>
      </c>
      <c r="B13" s="33">
        <f>'Increment Analysis Measured'!B13</f>
        <v>0</v>
      </c>
      <c r="C13" s="139" t="s">
        <v>100</v>
      </c>
      <c r="D13" s="141"/>
      <c r="E13" s="156" t="e">
        <f ca="1">LOG('Derived Cummulative'!E12)</f>
        <v>#NUM!</v>
      </c>
      <c r="F13" s="98" t="e">
        <f ca="1">LOG('Derived Cummulative'!F12)</f>
        <v>#NUM!</v>
      </c>
      <c r="G13" s="98" t="e">
        <f ca="1">LOG('Derived Cummulative'!G12)</f>
        <v>#NUM!</v>
      </c>
      <c r="H13" s="98" t="e">
        <f ca="1">LOG('Derived Cummulative'!H12)</f>
        <v>#NUM!</v>
      </c>
      <c r="I13" s="98" t="e">
        <f ca="1">LOG('Derived Cummulative'!I12)</f>
        <v>#NUM!</v>
      </c>
      <c r="J13" s="98" t="e">
        <f ca="1">LOG('Derived Cummulative'!J12)</f>
        <v>#NUM!</v>
      </c>
      <c r="K13" s="98" t="e">
        <f ca="1">LOG('Derived Cummulative'!K12)</f>
        <v>#NUM!</v>
      </c>
      <c r="L13" s="99" t="e">
        <f ca="1">LOG('Derived Cummulative'!L12)</f>
        <v>#NUM!</v>
      </c>
    </row>
    <row r="14" spans="1:12" ht="16.5" x14ac:dyDescent="0.2">
      <c r="A14" s="53">
        <f>'Increment Analysis Measured'!A14</f>
        <v>0</v>
      </c>
      <c r="B14" s="33">
        <f>'Increment Analysis Measured'!B14</f>
        <v>0</v>
      </c>
      <c r="C14" s="139" t="s">
        <v>100</v>
      </c>
      <c r="D14" s="141"/>
      <c r="E14" s="156" t="e">
        <f ca="1">LOG('Derived Cummulative'!E13)</f>
        <v>#NUM!</v>
      </c>
      <c r="F14" s="98" t="e">
        <f ca="1">LOG('Derived Cummulative'!F13)</f>
        <v>#NUM!</v>
      </c>
      <c r="G14" s="98" t="e">
        <f ca="1">LOG('Derived Cummulative'!G13)</f>
        <v>#NUM!</v>
      </c>
      <c r="H14" s="98" t="e">
        <f ca="1">LOG('Derived Cummulative'!H13)</f>
        <v>#NUM!</v>
      </c>
      <c r="I14" s="98" t="e">
        <f ca="1">LOG('Derived Cummulative'!I13)</f>
        <v>#NUM!</v>
      </c>
      <c r="J14" s="98" t="e">
        <f ca="1">LOG('Derived Cummulative'!J13)</f>
        <v>#NUM!</v>
      </c>
      <c r="K14" s="98" t="e">
        <f ca="1">LOG('Derived Cummulative'!K13)</f>
        <v>#NUM!</v>
      </c>
      <c r="L14" s="99" t="e">
        <f ca="1">LOG('Derived Cummulative'!L13)</f>
        <v>#NUM!</v>
      </c>
    </row>
    <row r="15" spans="1:12" ht="16.5" x14ac:dyDescent="0.2">
      <c r="A15" s="53">
        <f>'Increment Analysis Measured'!A15</f>
        <v>0</v>
      </c>
      <c r="B15" s="33">
        <f>'Increment Analysis Measured'!B15</f>
        <v>0</v>
      </c>
      <c r="C15" s="139" t="s">
        <v>100</v>
      </c>
      <c r="D15" s="141"/>
      <c r="E15" s="156" t="e">
        <f ca="1">LOG('Derived Cummulative'!E14)</f>
        <v>#NUM!</v>
      </c>
      <c r="F15" s="98" t="e">
        <f ca="1">LOG('Derived Cummulative'!F14)</f>
        <v>#NUM!</v>
      </c>
      <c r="G15" s="98" t="e">
        <f ca="1">LOG('Derived Cummulative'!G14)</f>
        <v>#NUM!</v>
      </c>
      <c r="H15" s="98" t="e">
        <f ca="1">LOG('Derived Cummulative'!H14)</f>
        <v>#NUM!</v>
      </c>
      <c r="I15" s="98" t="e">
        <f ca="1">LOG('Derived Cummulative'!I14)</f>
        <v>#NUM!</v>
      </c>
      <c r="J15" s="98" t="e">
        <f ca="1">LOG('Derived Cummulative'!J14)</f>
        <v>#NUM!</v>
      </c>
      <c r="K15" s="98" t="e">
        <f ca="1">LOG('Derived Cummulative'!K14)</f>
        <v>#NUM!</v>
      </c>
      <c r="L15" s="99" t="e">
        <f ca="1">LOG('Derived Cummulative'!L14)</f>
        <v>#NUM!</v>
      </c>
    </row>
    <row r="16" spans="1:12" ht="16.5" x14ac:dyDescent="0.2">
      <c r="A16" s="53">
        <f>'Increment Analysis Measured'!A16</f>
        <v>0</v>
      </c>
      <c r="B16" s="33">
        <f>'Increment Analysis Measured'!B16</f>
        <v>0</v>
      </c>
      <c r="C16" s="139" t="s">
        <v>100</v>
      </c>
      <c r="D16" s="141"/>
      <c r="E16" s="156" t="e">
        <f ca="1">LOG('Derived Cummulative'!E15)</f>
        <v>#NUM!</v>
      </c>
      <c r="F16" s="98" t="e">
        <f ca="1">LOG('Derived Cummulative'!F15)</f>
        <v>#NUM!</v>
      </c>
      <c r="G16" s="98" t="e">
        <f ca="1">LOG('Derived Cummulative'!G15)</f>
        <v>#NUM!</v>
      </c>
      <c r="H16" s="98" t="e">
        <f ca="1">LOG('Derived Cummulative'!H15)</f>
        <v>#NUM!</v>
      </c>
      <c r="I16" s="98" t="e">
        <f ca="1">LOG('Derived Cummulative'!I15)</f>
        <v>#NUM!</v>
      </c>
      <c r="J16" s="98" t="e">
        <f ca="1">LOG('Derived Cummulative'!J15)</f>
        <v>#NUM!</v>
      </c>
      <c r="K16" s="98" t="e">
        <f ca="1">LOG('Derived Cummulative'!K15)</f>
        <v>#NUM!</v>
      </c>
      <c r="L16" s="99" t="e">
        <f ca="1">LOG('Derived Cummulative'!L15)</f>
        <v>#NUM!</v>
      </c>
    </row>
    <row r="17" spans="1:12" ht="16.5" x14ac:dyDescent="0.2">
      <c r="A17" s="53">
        <f>'Increment Analysis Measured'!A17</f>
        <v>0</v>
      </c>
      <c r="B17" s="33">
        <f>'Increment Analysis Measured'!B17</f>
        <v>0</v>
      </c>
      <c r="C17" s="139" t="s">
        <v>100</v>
      </c>
      <c r="D17" s="141"/>
      <c r="E17" s="156" t="e">
        <f ca="1">LOG('Derived Cummulative'!E16)</f>
        <v>#NUM!</v>
      </c>
      <c r="F17" s="98" t="e">
        <f ca="1">LOG('Derived Cummulative'!F16)</f>
        <v>#NUM!</v>
      </c>
      <c r="G17" s="98" t="e">
        <f ca="1">LOG('Derived Cummulative'!G16)</f>
        <v>#NUM!</v>
      </c>
      <c r="H17" s="98" t="e">
        <f ca="1">LOG('Derived Cummulative'!H16)</f>
        <v>#NUM!</v>
      </c>
      <c r="I17" s="98" t="e">
        <f ca="1">LOG('Derived Cummulative'!I16)</f>
        <v>#NUM!</v>
      </c>
      <c r="J17" s="98" t="e">
        <f ca="1">LOG('Derived Cummulative'!J16)</f>
        <v>#NUM!</v>
      </c>
      <c r="K17" s="98" t="e">
        <f ca="1">LOG('Derived Cummulative'!K16)</f>
        <v>#NUM!</v>
      </c>
      <c r="L17" s="99" t="e">
        <f ca="1">LOG('Derived Cummulative'!L16)</f>
        <v>#NUM!</v>
      </c>
    </row>
    <row r="18" spans="1:12" ht="16.5" x14ac:dyDescent="0.2">
      <c r="A18" s="53">
        <f>'Increment Analysis Measured'!A18</f>
        <v>0</v>
      </c>
      <c r="B18" s="33">
        <f>'Increment Analysis Measured'!B18</f>
        <v>0</v>
      </c>
      <c r="C18" s="139" t="s">
        <v>100</v>
      </c>
      <c r="D18" s="141"/>
      <c r="E18" s="156" t="e">
        <f ca="1">LOG('Derived Cummulative'!E17)</f>
        <v>#NUM!</v>
      </c>
      <c r="F18" s="98" t="e">
        <f ca="1">LOG('Derived Cummulative'!F17)</f>
        <v>#NUM!</v>
      </c>
      <c r="G18" s="98" t="e">
        <f ca="1">LOG('Derived Cummulative'!G17)</f>
        <v>#NUM!</v>
      </c>
      <c r="H18" s="98" t="e">
        <f ca="1">LOG('Derived Cummulative'!H17)</f>
        <v>#NUM!</v>
      </c>
      <c r="I18" s="98" t="e">
        <f ca="1">LOG('Derived Cummulative'!I17)</f>
        <v>#NUM!</v>
      </c>
      <c r="J18" s="98" t="e">
        <f ca="1">LOG('Derived Cummulative'!J17)</f>
        <v>#NUM!</v>
      </c>
      <c r="K18" s="98" t="e">
        <f ca="1">LOG('Derived Cummulative'!K17)</f>
        <v>#NUM!</v>
      </c>
      <c r="L18" s="99" t="e">
        <f ca="1">LOG('Derived Cummulative'!L17)</f>
        <v>#NUM!</v>
      </c>
    </row>
    <row r="19" spans="1:12" ht="16.5" x14ac:dyDescent="0.2">
      <c r="A19" s="53">
        <f>'Increment Analysis Measured'!A19</f>
        <v>0</v>
      </c>
      <c r="B19" s="33">
        <f>'Increment Analysis Measured'!B19</f>
        <v>0</v>
      </c>
      <c r="C19" s="139" t="s">
        <v>100</v>
      </c>
      <c r="D19" s="141"/>
      <c r="E19" s="156" t="e">
        <f ca="1">LOG('Derived Cummulative'!E18)</f>
        <v>#NUM!</v>
      </c>
      <c r="F19" s="98" t="e">
        <f ca="1">LOG('Derived Cummulative'!F18)</f>
        <v>#NUM!</v>
      </c>
      <c r="G19" s="98" t="e">
        <f ca="1">LOG('Derived Cummulative'!G18)</f>
        <v>#NUM!</v>
      </c>
      <c r="H19" s="98" t="e">
        <f ca="1">LOG('Derived Cummulative'!H18)</f>
        <v>#NUM!</v>
      </c>
      <c r="I19" s="98" t="e">
        <f ca="1">LOG('Derived Cummulative'!I18)</f>
        <v>#NUM!</v>
      </c>
      <c r="J19" s="98" t="e">
        <f ca="1">LOG('Derived Cummulative'!J18)</f>
        <v>#NUM!</v>
      </c>
      <c r="K19" s="98" t="e">
        <f ca="1">LOG('Derived Cummulative'!K18)</f>
        <v>#NUM!</v>
      </c>
      <c r="L19" s="99" t="e">
        <f ca="1">LOG('Derived Cummulative'!L18)</f>
        <v>#NUM!</v>
      </c>
    </row>
    <row r="20" spans="1:12" ht="16.5" x14ac:dyDescent="0.2">
      <c r="A20" s="53">
        <f>'Increment Analysis Measured'!A20</f>
        <v>0</v>
      </c>
      <c r="B20" s="33">
        <f>'Increment Analysis Measured'!B20</f>
        <v>0</v>
      </c>
      <c r="C20" s="139" t="s">
        <v>100</v>
      </c>
      <c r="D20" s="141"/>
      <c r="E20" s="156" t="e">
        <f ca="1">LOG('Derived Cummulative'!E19)</f>
        <v>#NUM!</v>
      </c>
      <c r="F20" s="98" t="e">
        <f ca="1">LOG('Derived Cummulative'!F19)</f>
        <v>#NUM!</v>
      </c>
      <c r="G20" s="98" t="e">
        <f ca="1">LOG('Derived Cummulative'!G19)</f>
        <v>#NUM!</v>
      </c>
      <c r="H20" s="98" t="e">
        <f ca="1">LOG('Derived Cummulative'!H19)</f>
        <v>#NUM!</v>
      </c>
      <c r="I20" s="98" t="e">
        <f ca="1">LOG('Derived Cummulative'!I19)</f>
        <v>#NUM!</v>
      </c>
      <c r="J20" s="98" t="e">
        <f ca="1">LOG('Derived Cummulative'!J19)</f>
        <v>#NUM!</v>
      </c>
      <c r="K20" s="98" t="e">
        <f ca="1">LOG('Derived Cummulative'!K19)</f>
        <v>#NUM!</v>
      </c>
      <c r="L20" s="99" t="e">
        <f ca="1">LOG('Derived Cummulative'!L19)</f>
        <v>#NUM!</v>
      </c>
    </row>
    <row r="21" spans="1:12" ht="16.5" x14ac:dyDescent="0.2">
      <c r="A21" s="53">
        <f>'Increment Analysis Measured'!A21</f>
        <v>0</v>
      </c>
      <c r="B21" s="33">
        <f>'Increment Analysis Measured'!B21</f>
        <v>0</v>
      </c>
      <c r="C21" s="139" t="s">
        <v>100</v>
      </c>
      <c r="D21" s="141"/>
      <c r="E21" s="156" t="e">
        <f ca="1">LOG('Derived Cummulative'!E20)</f>
        <v>#NUM!</v>
      </c>
      <c r="F21" s="98" t="e">
        <f ca="1">LOG('Derived Cummulative'!F20)</f>
        <v>#NUM!</v>
      </c>
      <c r="G21" s="98" t="e">
        <f ca="1">LOG('Derived Cummulative'!G20)</f>
        <v>#NUM!</v>
      </c>
      <c r="H21" s="98" t="e">
        <f ca="1">LOG('Derived Cummulative'!H20)</f>
        <v>#NUM!</v>
      </c>
      <c r="I21" s="98" t="e">
        <f ca="1">LOG('Derived Cummulative'!I20)</f>
        <v>#NUM!</v>
      </c>
      <c r="J21" s="98" t="e">
        <f ca="1">LOG('Derived Cummulative'!J20)</f>
        <v>#NUM!</v>
      </c>
      <c r="K21" s="98" t="e">
        <f ca="1">LOG('Derived Cummulative'!K20)</f>
        <v>#NUM!</v>
      </c>
      <c r="L21" s="99" t="e">
        <f ca="1">LOG('Derived Cummulative'!L20)</f>
        <v>#NUM!</v>
      </c>
    </row>
    <row r="22" spans="1:12" ht="16.5" x14ac:dyDescent="0.2">
      <c r="A22" s="53">
        <f>'Increment Analysis Measured'!A22</f>
        <v>0</v>
      </c>
      <c r="B22" s="33">
        <f>'Increment Analysis Measured'!B22</f>
        <v>0</v>
      </c>
      <c r="C22" s="139" t="s">
        <v>100</v>
      </c>
      <c r="D22" s="141"/>
      <c r="E22" s="156" t="e">
        <f ca="1">LOG('Derived Cummulative'!E21)</f>
        <v>#NUM!</v>
      </c>
      <c r="F22" s="98" t="e">
        <f ca="1">LOG('Derived Cummulative'!F21)</f>
        <v>#NUM!</v>
      </c>
      <c r="G22" s="98" t="e">
        <f ca="1">LOG('Derived Cummulative'!G21)</f>
        <v>#NUM!</v>
      </c>
      <c r="H22" s="98" t="e">
        <f ca="1">LOG('Derived Cummulative'!H21)</f>
        <v>#NUM!</v>
      </c>
      <c r="I22" s="98" t="e">
        <f ca="1">LOG('Derived Cummulative'!I21)</f>
        <v>#NUM!</v>
      </c>
      <c r="J22" s="98" t="e">
        <f ca="1">LOG('Derived Cummulative'!J21)</f>
        <v>#NUM!</v>
      </c>
      <c r="K22" s="98" t="e">
        <f ca="1">LOG('Derived Cummulative'!K21)</f>
        <v>#NUM!</v>
      </c>
      <c r="L22" s="99" t="e">
        <f ca="1">LOG('Derived Cummulative'!L21)</f>
        <v>#NUM!</v>
      </c>
    </row>
    <row r="23" spans="1:12" ht="16.5" hidden="1" x14ac:dyDescent="0.2">
      <c r="A23" s="53">
        <f>'Increment Analysis Measured'!A23</f>
        <v>0</v>
      </c>
      <c r="B23" s="33">
        <f>'Increment Analysis Measured'!B23</f>
        <v>0</v>
      </c>
      <c r="C23" s="139" t="s">
        <v>100</v>
      </c>
      <c r="D23" s="141"/>
      <c r="E23" s="156" t="e">
        <f ca="1">LOG('Derived Cummulative'!E22)</f>
        <v>#NUM!</v>
      </c>
      <c r="F23" s="98" t="e">
        <f ca="1">LOG('Derived Cummulative'!F22)</f>
        <v>#NUM!</v>
      </c>
      <c r="G23" s="98" t="e">
        <f ca="1">LOG('Derived Cummulative'!G22)</f>
        <v>#NUM!</v>
      </c>
      <c r="H23" s="98" t="e">
        <f ca="1">LOG('Derived Cummulative'!H22)</f>
        <v>#NUM!</v>
      </c>
      <c r="I23" s="98" t="e">
        <f ca="1">LOG('Derived Cummulative'!I22)</f>
        <v>#NUM!</v>
      </c>
      <c r="J23" s="98" t="e">
        <f ca="1">LOG('Derived Cummulative'!J22)</f>
        <v>#NUM!</v>
      </c>
      <c r="K23" s="98" t="e">
        <f ca="1">LOG('Derived Cummulative'!K22)</f>
        <v>#NUM!</v>
      </c>
      <c r="L23" s="99" t="e">
        <f ca="1">LOG('Derived Cummulative'!L22)</f>
        <v>#NUM!</v>
      </c>
    </row>
    <row r="24" spans="1:12" ht="16.5" hidden="1" x14ac:dyDescent="0.2">
      <c r="A24" s="53">
        <f>'Increment Analysis Measured'!A24</f>
        <v>0</v>
      </c>
      <c r="B24" s="33">
        <f>'Increment Analysis Measured'!B24</f>
        <v>0</v>
      </c>
      <c r="C24" s="139" t="s">
        <v>100</v>
      </c>
      <c r="D24" s="141"/>
      <c r="E24" s="156" t="e">
        <f ca="1">LOG('Derived Cummulative'!E23)</f>
        <v>#NUM!</v>
      </c>
      <c r="F24" s="98" t="e">
        <f ca="1">LOG('Derived Cummulative'!F23)</f>
        <v>#NUM!</v>
      </c>
      <c r="G24" s="98" t="e">
        <f ca="1">LOG('Derived Cummulative'!G23)</f>
        <v>#NUM!</v>
      </c>
      <c r="H24" s="98" t="e">
        <f ca="1">LOG('Derived Cummulative'!H23)</f>
        <v>#NUM!</v>
      </c>
      <c r="I24" s="98" t="e">
        <f ca="1">LOG('Derived Cummulative'!I23)</f>
        <v>#NUM!</v>
      </c>
      <c r="J24" s="98" t="e">
        <f ca="1">LOG('Derived Cummulative'!J23)</f>
        <v>#NUM!</v>
      </c>
      <c r="K24" s="98" t="e">
        <f ca="1">LOG('Derived Cummulative'!K23)</f>
        <v>#NUM!</v>
      </c>
      <c r="L24" s="99" t="e">
        <f ca="1">LOG('Derived Cummulative'!L23)</f>
        <v>#NUM!</v>
      </c>
    </row>
    <row r="25" spans="1:12" ht="16.5" x14ac:dyDescent="0.2">
      <c r="A25" s="53">
        <f>'Increment Analysis Measured'!A25</f>
        <v>0</v>
      </c>
      <c r="B25" s="33">
        <f>'Increment Analysis Measured'!B25</f>
        <v>0</v>
      </c>
      <c r="C25" s="139" t="s">
        <v>100</v>
      </c>
      <c r="D25" s="141"/>
      <c r="E25" s="156" t="e">
        <f ca="1">LOG('Derived Cummulative'!E24)</f>
        <v>#NUM!</v>
      </c>
      <c r="F25" s="98" t="e">
        <f ca="1">LOG('Derived Cummulative'!F24)</f>
        <v>#NUM!</v>
      </c>
      <c r="G25" s="98" t="e">
        <f ca="1">LOG('Derived Cummulative'!G24)</f>
        <v>#NUM!</v>
      </c>
      <c r="H25" s="98" t="e">
        <f ca="1">LOG('Derived Cummulative'!H24)</f>
        <v>#NUM!</v>
      </c>
      <c r="I25" s="98" t="e">
        <f ca="1">LOG('Derived Cummulative'!I24)</f>
        <v>#NUM!</v>
      </c>
      <c r="J25" s="98" t="e">
        <f ca="1">LOG('Derived Cummulative'!J24)</f>
        <v>#NUM!</v>
      </c>
      <c r="K25" s="98" t="e">
        <f ca="1">LOG('Derived Cummulative'!K24)</f>
        <v>#NUM!</v>
      </c>
      <c r="L25" s="99" t="e">
        <f ca="1">LOG('Derived Cummulative'!L24)</f>
        <v>#NUM!</v>
      </c>
    </row>
    <row r="26" spans="1:12" ht="16.5" x14ac:dyDescent="0.2">
      <c r="A26" s="53">
        <f>'Increment Analysis Measured'!A26</f>
        <v>0</v>
      </c>
      <c r="B26" s="33">
        <f>'Increment Analysis Measured'!B26</f>
        <v>0</v>
      </c>
      <c r="C26" s="139" t="s">
        <v>100</v>
      </c>
      <c r="D26" s="141"/>
      <c r="E26" s="156" t="e">
        <f ca="1">LOG('Derived Cummulative'!E25)</f>
        <v>#NUM!</v>
      </c>
      <c r="F26" s="98" t="e">
        <f ca="1">LOG('Derived Cummulative'!F25)</f>
        <v>#NUM!</v>
      </c>
      <c r="G26" s="98" t="e">
        <f ca="1">LOG('Derived Cummulative'!G25)</f>
        <v>#NUM!</v>
      </c>
      <c r="H26" s="98" t="e">
        <f ca="1">LOG('Derived Cummulative'!H25)</f>
        <v>#NUM!</v>
      </c>
      <c r="I26" s="98" t="e">
        <f ca="1">LOG('Derived Cummulative'!I25)</f>
        <v>#NUM!</v>
      </c>
      <c r="J26" s="98" t="e">
        <f ca="1">LOG('Derived Cummulative'!J25)</f>
        <v>#NUM!</v>
      </c>
      <c r="K26" s="98" t="e">
        <f ca="1">LOG('Derived Cummulative'!K25)</f>
        <v>#NUM!</v>
      </c>
      <c r="L26" s="99" t="e">
        <f ca="1">LOG('Derived Cummulative'!L25)</f>
        <v>#NUM!</v>
      </c>
    </row>
    <row r="27" spans="1:12" ht="16.5" x14ac:dyDescent="0.2">
      <c r="A27" s="53">
        <f>'Increment Analysis Measured'!A27</f>
        <v>0</v>
      </c>
      <c r="B27" s="33">
        <f>'Increment Analysis Measured'!B27</f>
        <v>0</v>
      </c>
      <c r="C27" s="139" t="s">
        <v>100</v>
      </c>
      <c r="D27" s="141"/>
      <c r="E27" s="156" t="e">
        <f ca="1">LOG('Derived Cummulative'!E26)</f>
        <v>#NUM!</v>
      </c>
      <c r="F27" s="98" t="e">
        <f ca="1">LOG('Derived Cummulative'!F26)</f>
        <v>#NUM!</v>
      </c>
      <c r="G27" s="98" t="e">
        <f ca="1">LOG('Derived Cummulative'!G26)</f>
        <v>#NUM!</v>
      </c>
      <c r="H27" s="98" t="e">
        <f ca="1">LOG('Derived Cummulative'!H26)</f>
        <v>#NUM!</v>
      </c>
      <c r="I27" s="98" t="e">
        <f ca="1">LOG('Derived Cummulative'!I26)</f>
        <v>#NUM!</v>
      </c>
      <c r="J27" s="98" t="e">
        <f ca="1">LOG('Derived Cummulative'!J26)</f>
        <v>#NUM!</v>
      </c>
      <c r="K27" s="98" t="e">
        <f ca="1">LOG('Derived Cummulative'!K26)</f>
        <v>#NUM!</v>
      </c>
      <c r="L27" s="99" t="e">
        <f ca="1">LOG('Derived Cummulative'!L26)</f>
        <v>#NUM!</v>
      </c>
    </row>
    <row r="28" spans="1:12" ht="16.5" x14ac:dyDescent="0.2">
      <c r="A28" s="53">
        <f>'Increment Analysis Measured'!A28</f>
        <v>0</v>
      </c>
      <c r="B28" s="33">
        <f>'Increment Analysis Measured'!B28</f>
        <v>0</v>
      </c>
      <c r="C28" s="139" t="s">
        <v>100</v>
      </c>
      <c r="D28" s="141"/>
      <c r="E28" s="156" t="e">
        <f ca="1">LOG('Derived Cummulative'!E27)</f>
        <v>#NUM!</v>
      </c>
      <c r="F28" s="98" t="e">
        <f ca="1">LOG('Derived Cummulative'!F27)</f>
        <v>#NUM!</v>
      </c>
      <c r="G28" s="98" t="e">
        <f ca="1">LOG('Derived Cummulative'!G27)</f>
        <v>#NUM!</v>
      </c>
      <c r="H28" s="98" t="e">
        <f ca="1">LOG('Derived Cummulative'!H27)</f>
        <v>#NUM!</v>
      </c>
      <c r="I28" s="98" t="e">
        <f ca="1">LOG('Derived Cummulative'!I27)</f>
        <v>#NUM!</v>
      </c>
      <c r="J28" s="98" t="e">
        <f ca="1">LOG('Derived Cummulative'!J27)</f>
        <v>#NUM!</v>
      </c>
      <c r="K28" s="98" t="e">
        <f ca="1">LOG('Derived Cummulative'!K27)</f>
        <v>#NUM!</v>
      </c>
      <c r="L28" s="99" t="e">
        <f ca="1">LOG('Derived Cummulative'!L27)</f>
        <v>#NUM!</v>
      </c>
    </row>
    <row r="29" spans="1:12" ht="16.5" x14ac:dyDescent="0.2">
      <c r="A29" s="53">
        <f>'Increment Analysis Measured'!A29</f>
        <v>0</v>
      </c>
      <c r="B29" s="33">
        <f>'Increment Analysis Measured'!B29</f>
        <v>0</v>
      </c>
      <c r="C29" s="139" t="s">
        <v>100</v>
      </c>
      <c r="D29" s="141"/>
      <c r="E29" s="156" t="e">
        <f ca="1">LOG('Derived Cummulative'!E28)</f>
        <v>#NUM!</v>
      </c>
      <c r="F29" s="98" t="e">
        <f ca="1">LOG('Derived Cummulative'!F28)</f>
        <v>#NUM!</v>
      </c>
      <c r="G29" s="98" t="e">
        <f ca="1">LOG('Derived Cummulative'!G28)</f>
        <v>#NUM!</v>
      </c>
      <c r="H29" s="98" t="e">
        <f ca="1">LOG('Derived Cummulative'!H28)</f>
        <v>#NUM!</v>
      </c>
      <c r="I29" s="98" t="e">
        <f ca="1">LOG('Derived Cummulative'!I28)</f>
        <v>#NUM!</v>
      </c>
      <c r="J29" s="98" t="e">
        <f ca="1">LOG('Derived Cummulative'!J28)</f>
        <v>#NUM!</v>
      </c>
      <c r="K29" s="98" t="e">
        <f ca="1">LOG('Derived Cummulative'!K28)</f>
        <v>#NUM!</v>
      </c>
      <c r="L29" s="99" t="e">
        <f ca="1">LOG('Derived Cummulative'!L28)</f>
        <v>#NUM!</v>
      </c>
    </row>
    <row r="30" spans="1:12" ht="16.5" x14ac:dyDescent="0.2">
      <c r="A30" s="53">
        <f>'Increment Analysis Measured'!A30</f>
        <v>0</v>
      </c>
      <c r="B30" s="33">
        <f>'Increment Analysis Measured'!B30</f>
        <v>0</v>
      </c>
      <c r="C30" s="139" t="s">
        <v>100</v>
      </c>
      <c r="D30" s="141"/>
      <c r="E30" s="156" t="e">
        <f ca="1">LOG('Derived Cummulative'!E29)</f>
        <v>#NUM!</v>
      </c>
      <c r="F30" s="98" t="e">
        <f ca="1">LOG('Derived Cummulative'!F29)</f>
        <v>#NUM!</v>
      </c>
      <c r="G30" s="98" t="e">
        <f ca="1">LOG('Derived Cummulative'!G29)</f>
        <v>#NUM!</v>
      </c>
      <c r="H30" s="98" t="e">
        <f ca="1">LOG('Derived Cummulative'!H29)</f>
        <v>#NUM!</v>
      </c>
      <c r="I30" s="98" t="e">
        <f ca="1">LOG('Derived Cummulative'!I29)</f>
        <v>#NUM!</v>
      </c>
      <c r="J30" s="98" t="e">
        <f ca="1">LOG('Derived Cummulative'!J29)</f>
        <v>#NUM!</v>
      </c>
      <c r="K30" s="98" t="e">
        <f ca="1">LOG('Derived Cummulative'!K29)</f>
        <v>#NUM!</v>
      </c>
      <c r="L30" s="99" t="e">
        <f ca="1">LOG('Derived Cummulative'!L29)</f>
        <v>#NUM!</v>
      </c>
    </row>
    <row r="31" spans="1:12" ht="16.5" x14ac:dyDescent="0.2">
      <c r="A31" s="53">
        <f>'Increment Analysis Measured'!A31</f>
        <v>0</v>
      </c>
      <c r="B31" s="33">
        <f>'Increment Analysis Measured'!B31</f>
        <v>0</v>
      </c>
      <c r="C31" s="139" t="s">
        <v>100</v>
      </c>
      <c r="D31" s="145"/>
      <c r="E31" s="156" t="e">
        <f ca="1">LOG('Derived Cummulative'!E30)</f>
        <v>#NUM!</v>
      </c>
      <c r="F31" s="98" t="e">
        <f ca="1">LOG('Derived Cummulative'!F30)</f>
        <v>#NUM!</v>
      </c>
      <c r="G31" s="98" t="e">
        <f ca="1">LOG('Derived Cummulative'!G30)</f>
        <v>#NUM!</v>
      </c>
      <c r="H31" s="98" t="e">
        <f ca="1">LOG('Derived Cummulative'!H30)</f>
        <v>#NUM!</v>
      </c>
      <c r="I31" s="98" t="e">
        <f ca="1">LOG('Derived Cummulative'!I30)</f>
        <v>#NUM!</v>
      </c>
      <c r="J31" s="98" t="e">
        <f ca="1">LOG('Derived Cummulative'!J30)</f>
        <v>#NUM!</v>
      </c>
      <c r="K31" s="98" t="e">
        <f ca="1">LOG('Derived Cummulative'!K30)</f>
        <v>#NUM!</v>
      </c>
      <c r="L31" s="99" t="e">
        <f ca="1">LOG('Derived Cummulative'!L30)</f>
        <v>#NUM!</v>
      </c>
    </row>
    <row r="32" spans="1:12" ht="16.5" x14ac:dyDescent="0.2">
      <c r="A32" s="53">
        <f>'Increment Analysis Measured'!A32</f>
        <v>0</v>
      </c>
      <c r="B32" s="33">
        <f>'Increment Analysis Measured'!B32</f>
        <v>0</v>
      </c>
      <c r="C32" s="139" t="s">
        <v>100</v>
      </c>
      <c r="D32" s="145"/>
      <c r="E32" s="156" t="e">
        <f ca="1">LOG('Derived Cummulative'!E31)</f>
        <v>#NUM!</v>
      </c>
      <c r="F32" s="98" t="e">
        <f ca="1">LOG('Derived Cummulative'!F31)</f>
        <v>#NUM!</v>
      </c>
      <c r="G32" s="98" t="e">
        <f ca="1">LOG('Derived Cummulative'!G31)</f>
        <v>#NUM!</v>
      </c>
      <c r="H32" s="98" t="e">
        <f ca="1">LOG('Derived Cummulative'!H31)</f>
        <v>#NUM!</v>
      </c>
      <c r="I32" s="98" t="e">
        <f ca="1">LOG('Derived Cummulative'!I31)</f>
        <v>#NUM!</v>
      </c>
      <c r="J32" s="98" t="e">
        <f ca="1">LOG('Derived Cummulative'!J31)</f>
        <v>#NUM!</v>
      </c>
      <c r="K32" s="98" t="e">
        <f ca="1">LOG('Derived Cummulative'!K31)</f>
        <v>#NUM!</v>
      </c>
      <c r="L32" s="99" t="e">
        <f ca="1">LOG('Derived Cummulative'!L31)</f>
        <v>#NUM!</v>
      </c>
    </row>
    <row r="33" spans="1:12" ht="16.5" x14ac:dyDescent="0.2">
      <c r="A33" s="53">
        <f>'Increment Analysis Measured'!A33</f>
        <v>0</v>
      </c>
      <c r="B33" s="33">
        <f>'Increment Analysis Measured'!B33</f>
        <v>0</v>
      </c>
      <c r="C33" s="139" t="s">
        <v>100</v>
      </c>
      <c r="D33" s="145"/>
      <c r="E33" s="156" t="e">
        <f ca="1">LOG('Derived Cummulative'!E32)</f>
        <v>#NUM!</v>
      </c>
      <c r="F33" s="98" t="e">
        <f ca="1">LOG('Derived Cummulative'!F32)</f>
        <v>#NUM!</v>
      </c>
      <c r="G33" s="98" t="e">
        <f ca="1">LOG('Derived Cummulative'!G32)</f>
        <v>#NUM!</v>
      </c>
      <c r="H33" s="98" t="e">
        <f ca="1">LOG('Derived Cummulative'!H32)</f>
        <v>#NUM!</v>
      </c>
      <c r="I33" s="98" t="e">
        <f ca="1">LOG('Derived Cummulative'!I32)</f>
        <v>#NUM!</v>
      </c>
      <c r="J33" s="98" t="e">
        <f ca="1">LOG('Derived Cummulative'!J32)</f>
        <v>#NUM!</v>
      </c>
      <c r="K33" s="98" t="e">
        <f ca="1">LOG('Derived Cummulative'!K32)</f>
        <v>#NUM!</v>
      </c>
      <c r="L33" s="99" t="e">
        <f ca="1">LOG('Derived Cummulative'!L32)</f>
        <v>#NUM!</v>
      </c>
    </row>
    <row r="34" spans="1:12" ht="16.5" x14ac:dyDescent="0.2">
      <c r="A34" s="53">
        <f>'Increment Analysis Measured'!A34</f>
        <v>0</v>
      </c>
      <c r="B34" s="33">
        <f>'Increment Analysis Measured'!B34</f>
        <v>0</v>
      </c>
      <c r="C34" s="139" t="s">
        <v>100</v>
      </c>
      <c r="D34" s="145"/>
      <c r="E34" s="156" t="e">
        <f ca="1">LOG('Derived Cummulative'!E33)</f>
        <v>#NUM!</v>
      </c>
      <c r="F34" s="98" t="e">
        <f ca="1">LOG('Derived Cummulative'!F33)</f>
        <v>#NUM!</v>
      </c>
      <c r="G34" s="98" t="e">
        <f ca="1">LOG('Derived Cummulative'!G33)</f>
        <v>#NUM!</v>
      </c>
      <c r="H34" s="98" t="e">
        <f ca="1">LOG('Derived Cummulative'!H33)</f>
        <v>#NUM!</v>
      </c>
      <c r="I34" s="98" t="e">
        <f ca="1">LOG('Derived Cummulative'!I33)</f>
        <v>#NUM!</v>
      </c>
      <c r="J34" s="98" t="e">
        <f ca="1">LOG('Derived Cummulative'!J33)</f>
        <v>#NUM!</v>
      </c>
      <c r="K34" s="98" t="e">
        <f ca="1">LOG('Derived Cummulative'!K33)</f>
        <v>#NUM!</v>
      </c>
      <c r="L34" s="99" t="e">
        <f ca="1">LOG('Derived Cummulative'!L33)</f>
        <v>#NUM!</v>
      </c>
    </row>
    <row r="35" spans="1:12" ht="16.5" x14ac:dyDescent="0.2">
      <c r="A35" s="53">
        <f>'Increment Analysis Measured'!A35</f>
        <v>0</v>
      </c>
      <c r="B35" s="33">
        <f>'Increment Analysis Measured'!B35</f>
        <v>0</v>
      </c>
      <c r="C35" s="139" t="s">
        <v>100</v>
      </c>
      <c r="D35" s="145"/>
      <c r="E35" s="156" t="e">
        <f ca="1">LOG('Derived Cummulative'!E34)</f>
        <v>#NUM!</v>
      </c>
      <c r="F35" s="98" t="e">
        <f ca="1">LOG('Derived Cummulative'!F34)</f>
        <v>#NUM!</v>
      </c>
      <c r="G35" s="98" t="e">
        <f ca="1">LOG('Derived Cummulative'!G34)</f>
        <v>#NUM!</v>
      </c>
      <c r="H35" s="98" t="e">
        <f ca="1">LOG('Derived Cummulative'!H34)</f>
        <v>#NUM!</v>
      </c>
      <c r="I35" s="98" t="e">
        <f ca="1">LOG('Derived Cummulative'!I34)</f>
        <v>#NUM!</v>
      </c>
      <c r="J35" s="98" t="e">
        <f ca="1">LOG('Derived Cummulative'!J34)</f>
        <v>#NUM!</v>
      </c>
      <c r="K35" s="98" t="e">
        <f ca="1">LOG('Derived Cummulative'!K34)</f>
        <v>#NUM!</v>
      </c>
      <c r="L35" s="99" t="e">
        <f ca="1">LOG('Derived Cummulative'!L34)</f>
        <v>#NUM!</v>
      </c>
    </row>
    <row r="36" spans="1:12" ht="16.5" x14ac:dyDescent="0.2">
      <c r="A36" s="53">
        <f>'Increment Analysis Measured'!A36</f>
        <v>0</v>
      </c>
      <c r="B36" s="33">
        <f>'Increment Analysis Measured'!B36</f>
        <v>0</v>
      </c>
      <c r="C36" s="139" t="s">
        <v>100</v>
      </c>
      <c r="D36" s="145"/>
      <c r="E36" s="156" t="e">
        <f ca="1">LOG('Derived Cummulative'!E35)</f>
        <v>#NUM!</v>
      </c>
      <c r="F36" s="98" t="e">
        <f ca="1">LOG('Derived Cummulative'!F35)</f>
        <v>#NUM!</v>
      </c>
      <c r="G36" s="98" t="e">
        <f ca="1">LOG('Derived Cummulative'!G35)</f>
        <v>#NUM!</v>
      </c>
      <c r="H36" s="98" t="e">
        <f ca="1">LOG('Derived Cummulative'!H35)</f>
        <v>#NUM!</v>
      </c>
      <c r="I36" s="98" t="e">
        <f ca="1">LOG('Derived Cummulative'!I35)</f>
        <v>#NUM!</v>
      </c>
      <c r="J36" s="98" t="e">
        <f ca="1">LOG('Derived Cummulative'!J35)</f>
        <v>#NUM!</v>
      </c>
      <c r="K36" s="98" t="e">
        <f ca="1">LOG('Derived Cummulative'!K35)</f>
        <v>#NUM!</v>
      </c>
      <c r="L36" s="99" t="e">
        <f ca="1">LOG('Derived Cummulative'!L35)</f>
        <v>#NUM!</v>
      </c>
    </row>
    <row r="37" spans="1:12" ht="16.5" x14ac:dyDescent="0.2">
      <c r="A37" s="53">
        <f>'Increment Analysis Measured'!A37</f>
        <v>0</v>
      </c>
      <c r="B37" s="33">
        <f>'Increment Analysis Measured'!B37</f>
        <v>0</v>
      </c>
      <c r="C37" s="139" t="s">
        <v>100</v>
      </c>
      <c r="D37" s="145"/>
      <c r="E37" s="156" t="e">
        <f ca="1">LOG('Derived Cummulative'!E36)</f>
        <v>#NUM!</v>
      </c>
      <c r="F37" s="98" t="e">
        <f ca="1">LOG('Derived Cummulative'!F36)</f>
        <v>#NUM!</v>
      </c>
      <c r="G37" s="98" t="e">
        <f ca="1">LOG('Derived Cummulative'!G36)</f>
        <v>#NUM!</v>
      </c>
      <c r="H37" s="98" t="e">
        <f ca="1">LOG('Derived Cummulative'!H36)</f>
        <v>#NUM!</v>
      </c>
      <c r="I37" s="98" t="e">
        <f ca="1">LOG('Derived Cummulative'!I36)</f>
        <v>#NUM!</v>
      </c>
      <c r="J37" s="98" t="e">
        <f ca="1">LOG('Derived Cummulative'!J36)</f>
        <v>#NUM!</v>
      </c>
      <c r="K37" s="98" t="e">
        <f ca="1">LOG('Derived Cummulative'!K36)</f>
        <v>#NUM!</v>
      </c>
      <c r="L37" s="99" t="e">
        <f ca="1">LOG('Derived Cummulative'!L36)</f>
        <v>#NUM!</v>
      </c>
    </row>
    <row r="38" spans="1:12" ht="16.5" x14ac:dyDescent="0.2">
      <c r="A38" s="53">
        <f>'Increment Analysis Measured'!A38</f>
        <v>0</v>
      </c>
      <c r="B38" s="33">
        <f>'Increment Analysis Measured'!B38</f>
        <v>0</v>
      </c>
      <c r="C38" s="139" t="s">
        <v>100</v>
      </c>
      <c r="D38" s="145"/>
      <c r="E38" s="156" t="e">
        <f ca="1">LOG('Derived Cummulative'!E37)</f>
        <v>#NUM!</v>
      </c>
      <c r="F38" s="98" t="e">
        <f ca="1">LOG('Derived Cummulative'!F37)</f>
        <v>#NUM!</v>
      </c>
      <c r="G38" s="98" t="e">
        <f ca="1">LOG('Derived Cummulative'!G37)</f>
        <v>#NUM!</v>
      </c>
      <c r="H38" s="98" t="e">
        <f ca="1">LOG('Derived Cummulative'!H37)</f>
        <v>#NUM!</v>
      </c>
      <c r="I38" s="98" t="e">
        <f ca="1">LOG('Derived Cummulative'!I37)</f>
        <v>#NUM!</v>
      </c>
      <c r="J38" s="98" t="e">
        <f ca="1">LOG('Derived Cummulative'!J37)</f>
        <v>#NUM!</v>
      </c>
      <c r="K38" s="98" t="e">
        <f ca="1">LOG('Derived Cummulative'!K37)</f>
        <v>#NUM!</v>
      </c>
      <c r="L38" s="99" t="e">
        <f ca="1">LOG('Derived Cummulative'!L37)</f>
        <v>#NUM!</v>
      </c>
    </row>
    <row r="39" spans="1:12" ht="16.5" x14ac:dyDescent="0.2">
      <c r="A39" s="53">
        <f>'Increment Analysis Measured'!A39</f>
        <v>0</v>
      </c>
      <c r="B39" s="33">
        <f>'Increment Analysis Measured'!B39</f>
        <v>0</v>
      </c>
      <c r="C39" s="139" t="s">
        <v>100</v>
      </c>
      <c r="D39" s="145"/>
      <c r="E39" s="156" t="e">
        <f ca="1">LOG('Derived Cummulative'!E38)</f>
        <v>#NUM!</v>
      </c>
      <c r="F39" s="98" t="e">
        <f ca="1">LOG('Derived Cummulative'!F38)</f>
        <v>#NUM!</v>
      </c>
      <c r="G39" s="98" t="e">
        <f ca="1">LOG('Derived Cummulative'!G38)</f>
        <v>#NUM!</v>
      </c>
      <c r="H39" s="98" t="e">
        <f ca="1">LOG('Derived Cummulative'!H38)</f>
        <v>#NUM!</v>
      </c>
      <c r="I39" s="98" t="e">
        <f ca="1">LOG('Derived Cummulative'!I38)</f>
        <v>#NUM!</v>
      </c>
      <c r="J39" s="98" t="e">
        <f ca="1">LOG('Derived Cummulative'!J38)</f>
        <v>#NUM!</v>
      </c>
      <c r="K39" s="98" t="e">
        <f ca="1">LOG('Derived Cummulative'!K38)</f>
        <v>#NUM!</v>
      </c>
      <c r="L39" s="99" t="e">
        <f ca="1">LOG('Derived Cummulative'!L38)</f>
        <v>#NUM!</v>
      </c>
    </row>
    <row r="40" spans="1:12" ht="16.5" x14ac:dyDescent="0.2">
      <c r="A40" s="53">
        <f>'Increment Analysis Measured'!A40</f>
        <v>0</v>
      </c>
      <c r="B40" s="33">
        <f>'Increment Analysis Measured'!B40</f>
        <v>0</v>
      </c>
      <c r="C40" s="139" t="s">
        <v>100</v>
      </c>
      <c r="D40" s="145"/>
      <c r="E40" s="156" t="e">
        <f ca="1">LOG('Derived Cummulative'!E39)</f>
        <v>#NUM!</v>
      </c>
      <c r="F40" s="98" t="e">
        <f ca="1">LOG('Derived Cummulative'!F39)</f>
        <v>#NUM!</v>
      </c>
      <c r="G40" s="98" t="e">
        <f ca="1">LOG('Derived Cummulative'!G39)</f>
        <v>#NUM!</v>
      </c>
      <c r="H40" s="98" t="e">
        <f ca="1">LOG('Derived Cummulative'!H39)</f>
        <v>#NUM!</v>
      </c>
      <c r="I40" s="98" t="e">
        <f ca="1">LOG('Derived Cummulative'!I39)</f>
        <v>#NUM!</v>
      </c>
      <c r="J40" s="98" t="e">
        <f ca="1">LOG('Derived Cummulative'!J39)</f>
        <v>#NUM!</v>
      </c>
      <c r="K40" s="98" t="e">
        <f ca="1">LOG('Derived Cummulative'!K39)</f>
        <v>#NUM!</v>
      </c>
      <c r="L40" s="99" t="e">
        <f ca="1">LOG('Derived Cummulative'!L39)</f>
        <v>#NUM!</v>
      </c>
    </row>
    <row r="41" spans="1:12" ht="16.5" x14ac:dyDescent="0.2">
      <c r="A41" s="53">
        <f>'Increment Analysis Measured'!A41</f>
        <v>0</v>
      </c>
      <c r="B41" s="33">
        <f>'Increment Analysis Measured'!B41</f>
        <v>0</v>
      </c>
      <c r="C41" s="139" t="s">
        <v>100</v>
      </c>
      <c r="D41" s="145"/>
      <c r="E41" s="156" t="e">
        <f ca="1">LOG('Derived Cummulative'!E40)</f>
        <v>#NUM!</v>
      </c>
      <c r="F41" s="98" t="e">
        <f ca="1">LOG('Derived Cummulative'!F40)</f>
        <v>#NUM!</v>
      </c>
      <c r="G41" s="98" t="e">
        <f ca="1">LOG('Derived Cummulative'!G40)</f>
        <v>#NUM!</v>
      </c>
      <c r="H41" s="98" t="e">
        <f ca="1">LOG('Derived Cummulative'!H40)</f>
        <v>#NUM!</v>
      </c>
      <c r="I41" s="98" t="e">
        <f ca="1">LOG('Derived Cummulative'!I40)</f>
        <v>#NUM!</v>
      </c>
      <c r="J41" s="98" t="e">
        <f ca="1">LOG('Derived Cummulative'!J40)</f>
        <v>#NUM!</v>
      </c>
      <c r="K41" s="98" t="e">
        <f ca="1">LOG('Derived Cummulative'!K40)</f>
        <v>#NUM!</v>
      </c>
      <c r="L41" s="99" t="e">
        <f ca="1">LOG('Derived Cummulative'!L40)</f>
        <v>#NUM!</v>
      </c>
    </row>
    <row r="42" spans="1:12" ht="16.5" x14ac:dyDescent="0.2">
      <c r="A42" s="53">
        <f>'Increment Analysis Measured'!A42</f>
        <v>0</v>
      </c>
      <c r="B42" s="33">
        <f>'Increment Analysis Measured'!B42</f>
        <v>0</v>
      </c>
      <c r="C42" s="139" t="s">
        <v>100</v>
      </c>
      <c r="D42" s="145"/>
      <c r="E42" s="156" t="e">
        <f ca="1">LOG('Derived Cummulative'!E41)</f>
        <v>#NUM!</v>
      </c>
      <c r="F42" s="98" t="e">
        <f ca="1">LOG('Derived Cummulative'!F41)</f>
        <v>#NUM!</v>
      </c>
      <c r="G42" s="98" t="e">
        <f ca="1">LOG('Derived Cummulative'!G41)</f>
        <v>#NUM!</v>
      </c>
      <c r="H42" s="98" t="e">
        <f ca="1">LOG('Derived Cummulative'!H41)</f>
        <v>#NUM!</v>
      </c>
      <c r="I42" s="98" t="e">
        <f ca="1">LOG('Derived Cummulative'!I41)</f>
        <v>#NUM!</v>
      </c>
      <c r="J42" s="98" t="e">
        <f ca="1">LOG('Derived Cummulative'!J41)</f>
        <v>#NUM!</v>
      </c>
      <c r="K42" s="98" t="e">
        <f ca="1">LOG('Derived Cummulative'!K41)</f>
        <v>#NUM!</v>
      </c>
      <c r="L42" s="99" t="e">
        <f ca="1">LOG('Derived Cummulative'!L41)</f>
        <v>#NUM!</v>
      </c>
    </row>
    <row r="43" spans="1:12" ht="16.5" x14ac:dyDescent="0.2">
      <c r="A43" s="53">
        <f>'Increment Analysis Measured'!A43</f>
        <v>0</v>
      </c>
      <c r="B43" s="33">
        <f>'Increment Analysis Measured'!B43</f>
        <v>0</v>
      </c>
      <c r="C43" s="139" t="s">
        <v>100</v>
      </c>
      <c r="D43" s="145"/>
      <c r="E43" s="156" t="e">
        <f ca="1">LOG('Derived Cummulative'!E42)</f>
        <v>#NUM!</v>
      </c>
      <c r="F43" s="98" t="e">
        <f ca="1">LOG('Derived Cummulative'!F42)</f>
        <v>#NUM!</v>
      </c>
      <c r="G43" s="98" t="e">
        <f ca="1">LOG('Derived Cummulative'!G42)</f>
        <v>#NUM!</v>
      </c>
      <c r="H43" s="98" t="e">
        <f ca="1">LOG('Derived Cummulative'!H42)</f>
        <v>#NUM!</v>
      </c>
      <c r="I43" s="98" t="e">
        <f ca="1">LOG('Derived Cummulative'!I42)</f>
        <v>#NUM!</v>
      </c>
      <c r="J43" s="98" t="e">
        <f ca="1">LOG('Derived Cummulative'!J42)</f>
        <v>#NUM!</v>
      </c>
      <c r="K43" s="98" t="e">
        <f ca="1">LOG('Derived Cummulative'!K42)</f>
        <v>#NUM!</v>
      </c>
      <c r="L43" s="99" t="e">
        <f ca="1">LOG('Derived Cummulative'!L42)</f>
        <v>#NUM!</v>
      </c>
    </row>
    <row r="44" spans="1:12" ht="16.5" x14ac:dyDescent="0.2">
      <c r="A44" s="53">
        <f>'Increment Analysis Measured'!A44</f>
        <v>0</v>
      </c>
      <c r="B44" s="33">
        <f>'Increment Analysis Measured'!B44</f>
        <v>0</v>
      </c>
      <c r="C44" s="139" t="s">
        <v>100</v>
      </c>
      <c r="D44" s="145"/>
      <c r="E44" s="156" t="e">
        <f ca="1">LOG('Derived Cummulative'!E43)</f>
        <v>#NUM!</v>
      </c>
      <c r="F44" s="98" t="e">
        <f ca="1">LOG('Derived Cummulative'!F43)</f>
        <v>#NUM!</v>
      </c>
      <c r="G44" s="98" t="e">
        <f ca="1">LOG('Derived Cummulative'!G43)</f>
        <v>#NUM!</v>
      </c>
      <c r="H44" s="98" t="e">
        <f ca="1">LOG('Derived Cummulative'!H43)</f>
        <v>#NUM!</v>
      </c>
      <c r="I44" s="98" t="e">
        <f ca="1">LOG('Derived Cummulative'!I43)</f>
        <v>#NUM!</v>
      </c>
      <c r="J44" s="98" t="e">
        <f ca="1">LOG('Derived Cummulative'!J43)</f>
        <v>#NUM!</v>
      </c>
      <c r="K44" s="98" t="e">
        <f ca="1">LOG('Derived Cummulative'!K43)</f>
        <v>#NUM!</v>
      </c>
      <c r="L44" s="99" t="e">
        <f ca="1">LOG('Derived Cummulative'!L43)</f>
        <v>#NUM!</v>
      </c>
    </row>
    <row r="45" spans="1:12" ht="16.5" x14ac:dyDescent="0.2">
      <c r="A45" s="53">
        <f>'Increment Analysis Measured'!A45</f>
        <v>0</v>
      </c>
      <c r="B45" s="33">
        <f>'Increment Analysis Measured'!B45</f>
        <v>0</v>
      </c>
      <c r="C45" s="139" t="s">
        <v>100</v>
      </c>
      <c r="D45" s="145"/>
      <c r="E45" s="156" t="e">
        <f ca="1">LOG('Derived Cummulative'!E44)</f>
        <v>#NUM!</v>
      </c>
      <c r="F45" s="98" t="e">
        <f ca="1">LOG('Derived Cummulative'!F44)</f>
        <v>#NUM!</v>
      </c>
      <c r="G45" s="98" t="e">
        <f ca="1">LOG('Derived Cummulative'!G44)</f>
        <v>#NUM!</v>
      </c>
      <c r="H45" s="98" t="e">
        <f ca="1">LOG('Derived Cummulative'!H44)</f>
        <v>#NUM!</v>
      </c>
      <c r="I45" s="98" t="e">
        <f ca="1">LOG('Derived Cummulative'!I44)</f>
        <v>#NUM!</v>
      </c>
      <c r="J45" s="98" t="e">
        <f ca="1">LOG('Derived Cummulative'!J44)</f>
        <v>#NUM!</v>
      </c>
      <c r="K45" s="98" t="e">
        <f ca="1">LOG('Derived Cummulative'!K44)</f>
        <v>#NUM!</v>
      </c>
      <c r="L45" s="99" t="e">
        <f ca="1">LOG('Derived Cummulative'!L44)</f>
        <v>#NUM!</v>
      </c>
    </row>
    <row r="46" spans="1:12" ht="16.5" x14ac:dyDescent="0.2">
      <c r="A46" s="53">
        <f>'Increment Analysis Measured'!A46</f>
        <v>0</v>
      </c>
      <c r="B46" s="33">
        <f>'Increment Analysis Measured'!B46</f>
        <v>0</v>
      </c>
      <c r="C46" s="139" t="s">
        <v>100</v>
      </c>
      <c r="D46" s="145"/>
      <c r="E46" s="156" t="e">
        <f ca="1">LOG('Derived Cummulative'!E45)</f>
        <v>#NUM!</v>
      </c>
      <c r="F46" s="98" t="e">
        <f ca="1">LOG('Derived Cummulative'!F45)</f>
        <v>#NUM!</v>
      </c>
      <c r="G46" s="98" t="e">
        <f ca="1">LOG('Derived Cummulative'!G45)</f>
        <v>#NUM!</v>
      </c>
      <c r="H46" s="98" t="e">
        <f ca="1">LOG('Derived Cummulative'!H45)</f>
        <v>#NUM!</v>
      </c>
      <c r="I46" s="98" t="e">
        <f ca="1">LOG('Derived Cummulative'!I45)</f>
        <v>#NUM!</v>
      </c>
      <c r="J46" s="98" t="e">
        <f ca="1">LOG('Derived Cummulative'!J45)</f>
        <v>#NUM!</v>
      </c>
      <c r="K46" s="98" t="e">
        <f ca="1">LOG('Derived Cummulative'!K45)</f>
        <v>#NUM!</v>
      </c>
      <c r="L46" s="99" t="e">
        <f ca="1">LOG('Derived Cummulative'!L45)</f>
        <v>#NUM!</v>
      </c>
    </row>
    <row r="47" spans="1:12" ht="16.5" x14ac:dyDescent="0.2">
      <c r="A47" s="53">
        <f>'Increment Analysis Measured'!A47</f>
        <v>0</v>
      </c>
      <c r="B47" s="33">
        <f>'Increment Analysis Measured'!B47</f>
        <v>0</v>
      </c>
      <c r="C47" s="139" t="s">
        <v>100</v>
      </c>
      <c r="D47" s="145"/>
      <c r="E47" s="156" t="e">
        <f ca="1">LOG('Derived Cummulative'!E46)</f>
        <v>#NUM!</v>
      </c>
      <c r="F47" s="98" t="e">
        <f ca="1">LOG('Derived Cummulative'!F46)</f>
        <v>#NUM!</v>
      </c>
      <c r="G47" s="98" t="e">
        <f ca="1">LOG('Derived Cummulative'!G46)</f>
        <v>#NUM!</v>
      </c>
      <c r="H47" s="98" t="e">
        <f ca="1">LOG('Derived Cummulative'!H46)</f>
        <v>#NUM!</v>
      </c>
      <c r="I47" s="98" t="e">
        <f ca="1">LOG('Derived Cummulative'!I46)</f>
        <v>#NUM!</v>
      </c>
      <c r="J47" s="98" t="e">
        <f ca="1">LOG('Derived Cummulative'!J46)</f>
        <v>#NUM!</v>
      </c>
      <c r="K47" s="98" t="e">
        <f ca="1">LOG('Derived Cummulative'!K46)</f>
        <v>#NUM!</v>
      </c>
      <c r="L47" s="99" t="e">
        <f ca="1">LOG('Derived Cummulative'!L46)</f>
        <v>#NUM!</v>
      </c>
    </row>
    <row r="48" spans="1:12" ht="16.5" x14ac:dyDescent="0.2">
      <c r="A48" s="53">
        <f>'Increment Analysis Measured'!A48</f>
        <v>0</v>
      </c>
      <c r="B48" s="33">
        <f>'Increment Analysis Measured'!B48</f>
        <v>0</v>
      </c>
      <c r="C48" s="139" t="s">
        <v>100</v>
      </c>
      <c r="D48" s="145"/>
      <c r="E48" s="156" t="e">
        <f ca="1">LOG('Derived Cummulative'!E47)</f>
        <v>#NUM!</v>
      </c>
      <c r="F48" s="98" t="e">
        <f ca="1">LOG('Derived Cummulative'!F47)</f>
        <v>#NUM!</v>
      </c>
      <c r="G48" s="98" t="e">
        <f ca="1">LOG('Derived Cummulative'!G47)</f>
        <v>#NUM!</v>
      </c>
      <c r="H48" s="98" t="e">
        <f ca="1">LOG('Derived Cummulative'!H47)</f>
        <v>#NUM!</v>
      </c>
      <c r="I48" s="98" t="e">
        <f ca="1">LOG('Derived Cummulative'!I47)</f>
        <v>#NUM!</v>
      </c>
      <c r="J48" s="98" t="e">
        <f ca="1">LOG('Derived Cummulative'!J47)</f>
        <v>#NUM!</v>
      </c>
      <c r="K48" s="98" t="e">
        <f ca="1">LOG('Derived Cummulative'!K47)</f>
        <v>#NUM!</v>
      </c>
      <c r="L48" s="99" t="e">
        <f ca="1">LOG('Derived Cummulative'!L47)</f>
        <v>#NUM!</v>
      </c>
    </row>
    <row r="49" spans="1:12" ht="16.5" x14ac:dyDescent="0.2">
      <c r="A49" s="53">
        <f>'Increment Analysis Measured'!A49</f>
        <v>0</v>
      </c>
      <c r="B49" s="33">
        <f>'Increment Analysis Measured'!B49</f>
        <v>0</v>
      </c>
      <c r="C49" s="139" t="s">
        <v>100</v>
      </c>
      <c r="D49" s="145"/>
      <c r="E49" s="156" t="e">
        <f ca="1">LOG('Derived Cummulative'!E48)</f>
        <v>#NUM!</v>
      </c>
      <c r="F49" s="98" t="e">
        <f ca="1">LOG('Derived Cummulative'!F48)</f>
        <v>#NUM!</v>
      </c>
      <c r="G49" s="98" t="e">
        <f ca="1">LOG('Derived Cummulative'!G48)</f>
        <v>#NUM!</v>
      </c>
      <c r="H49" s="98" t="e">
        <f ca="1">LOG('Derived Cummulative'!H48)</f>
        <v>#NUM!</v>
      </c>
      <c r="I49" s="98" t="e">
        <f ca="1">LOG('Derived Cummulative'!I48)</f>
        <v>#NUM!</v>
      </c>
      <c r="J49" s="98" t="e">
        <f ca="1">LOG('Derived Cummulative'!J48)</f>
        <v>#NUM!</v>
      </c>
      <c r="K49" s="98" t="e">
        <f ca="1">LOG('Derived Cummulative'!K48)</f>
        <v>#NUM!</v>
      </c>
      <c r="L49" s="99" t="e">
        <f ca="1">LOG('Derived Cummulative'!L48)</f>
        <v>#NUM!</v>
      </c>
    </row>
    <row r="50" spans="1:12" ht="16.5" x14ac:dyDescent="0.2">
      <c r="A50" s="53">
        <f>'Increment Analysis Measured'!A50</f>
        <v>0</v>
      </c>
      <c r="B50" s="33">
        <f>'Increment Analysis Measured'!B50</f>
        <v>0</v>
      </c>
      <c r="C50" s="139" t="s">
        <v>100</v>
      </c>
      <c r="D50" s="145"/>
      <c r="E50" s="156" t="e">
        <f ca="1">LOG('Derived Cummulative'!E49)</f>
        <v>#NUM!</v>
      </c>
      <c r="F50" s="98" t="e">
        <f ca="1">LOG('Derived Cummulative'!F49)</f>
        <v>#NUM!</v>
      </c>
      <c r="G50" s="98" t="e">
        <f ca="1">LOG('Derived Cummulative'!G49)</f>
        <v>#NUM!</v>
      </c>
      <c r="H50" s="98" t="e">
        <f ca="1">LOG('Derived Cummulative'!H49)</f>
        <v>#NUM!</v>
      </c>
      <c r="I50" s="98" t="e">
        <f ca="1">LOG('Derived Cummulative'!I49)</f>
        <v>#NUM!</v>
      </c>
      <c r="J50" s="98" t="e">
        <f ca="1">LOG('Derived Cummulative'!J49)</f>
        <v>#NUM!</v>
      </c>
      <c r="K50" s="98" t="e">
        <f ca="1">LOG('Derived Cummulative'!K49)</f>
        <v>#NUM!</v>
      </c>
      <c r="L50" s="99" t="e">
        <f ca="1">LOG('Derived Cummulative'!L49)</f>
        <v>#NUM!</v>
      </c>
    </row>
    <row r="51" spans="1:12" ht="16.5" x14ac:dyDescent="0.2">
      <c r="A51" s="53">
        <f>'Increment Analysis Measured'!A51</f>
        <v>0</v>
      </c>
      <c r="B51" s="33">
        <f>'Increment Analysis Measured'!B51</f>
        <v>0</v>
      </c>
      <c r="C51" s="139" t="s">
        <v>100</v>
      </c>
      <c r="D51" s="145"/>
      <c r="E51" s="156" t="e">
        <f ca="1">LOG('Derived Cummulative'!E50)</f>
        <v>#NUM!</v>
      </c>
      <c r="F51" s="98" t="e">
        <f ca="1">LOG('Derived Cummulative'!F50)</f>
        <v>#NUM!</v>
      </c>
      <c r="G51" s="98" t="e">
        <f ca="1">LOG('Derived Cummulative'!G50)</f>
        <v>#NUM!</v>
      </c>
      <c r="H51" s="98" t="e">
        <f ca="1">LOG('Derived Cummulative'!H50)</f>
        <v>#NUM!</v>
      </c>
      <c r="I51" s="98" t="e">
        <f ca="1">LOG('Derived Cummulative'!I50)</f>
        <v>#NUM!</v>
      </c>
      <c r="J51" s="98" t="e">
        <f ca="1">LOG('Derived Cummulative'!J50)</f>
        <v>#NUM!</v>
      </c>
      <c r="K51" s="98" t="e">
        <f ca="1">LOG('Derived Cummulative'!K50)</f>
        <v>#NUM!</v>
      </c>
      <c r="L51" s="99" t="e">
        <f ca="1">LOG('Derived Cummulative'!L50)</f>
        <v>#NUM!</v>
      </c>
    </row>
    <row r="52" spans="1:12" ht="16.5" x14ac:dyDescent="0.2">
      <c r="A52" s="53">
        <f>'Increment Analysis Measured'!A52</f>
        <v>0</v>
      </c>
      <c r="B52" s="33">
        <f>'Increment Analysis Measured'!B52</f>
        <v>0</v>
      </c>
      <c r="C52" s="139" t="s">
        <v>100</v>
      </c>
      <c r="D52" s="145"/>
      <c r="E52" s="156" t="e">
        <f ca="1">LOG('Derived Cummulative'!E51)</f>
        <v>#NUM!</v>
      </c>
      <c r="F52" s="98" t="e">
        <f ca="1">LOG('Derived Cummulative'!F51)</f>
        <v>#NUM!</v>
      </c>
      <c r="G52" s="98" t="e">
        <f ca="1">LOG('Derived Cummulative'!G51)</f>
        <v>#NUM!</v>
      </c>
      <c r="H52" s="98" t="e">
        <f ca="1">LOG('Derived Cummulative'!H51)</f>
        <v>#NUM!</v>
      </c>
      <c r="I52" s="98" t="e">
        <f ca="1">LOG('Derived Cummulative'!I51)</f>
        <v>#NUM!</v>
      </c>
      <c r="J52" s="98" t="e">
        <f ca="1">LOG('Derived Cummulative'!J51)</f>
        <v>#NUM!</v>
      </c>
      <c r="K52" s="98" t="e">
        <f ca="1">LOG('Derived Cummulative'!K51)</f>
        <v>#NUM!</v>
      </c>
      <c r="L52" s="99" t="e">
        <f ca="1">LOG('Derived Cummulative'!L51)</f>
        <v>#NUM!</v>
      </c>
    </row>
    <row r="53" spans="1:12" ht="16.5" x14ac:dyDescent="0.2">
      <c r="A53" s="53">
        <f>'Increment Analysis Measured'!A53</f>
        <v>0</v>
      </c>
      <c r="B53" s="33">
        <f>'Increment Analysis Measured'!B53</f>
        <v>0</v>
      </c>
      <c r="C53" s="139" t="s">
        <v>100</v>
      </c>
      <c r="D53" s="145"/>
      <c r="E53" s="156" t="e">
        <f ca="1">LOG('Derived Cummulative'!E52)</f>
        <v>#NUM!</v>
      </c>
      <c r="F53" s="98" t="e">
        <f ca="1">LOG('Derived Cummulative'!F52)</f>
        <v>#NUM!</v>
      </c>
      <c r="G53" s="98" t="e">
        <f ca="1">LOG('Derived Cummulative'!G52)</f>
        <v>#NUM!</v>
      </c>
      <c r="H53" s="98" t="e">
        <f ca="1">LOG('Derived Cummulative'!H52)</f>
        <v>#NUM!</v>
      </c>
      <c r="I53" s="98" t="e">
        <f ca="1">LOG('Derived Cummulative'!I52)</f>
        <v>#NUM!</v>
      </c>
      <c r="J53" s="98" t="e">
        <f ca="1">LOG('Derived Cummulative'!J52)</f>
        <v>#NUM!</v>
      </c>
      <c r="K53" s="98" t="e">
        <f ca="1">LOG('Derived Cummulative'!K52)</f>
        <v>#NUM!</v>
      </c>
      <c r="L53" s="99" t="e">
        <f ca="1">LOG('Derived Cummulative'!L52)</f>
        <v>#NUM!</v>
      </c>
    </row>
    <row r="54" spans="1:12" ht="16.5" x14ac:dyDescent="0.2">
      <c r="A54" s="53">
        <f>'Increment Analysis Measured'!A54</f>
        <v>0</v>
      </c>
      <c r="B54" s="33">
        <f>'Increment Analysis Measured'!B54</f>
        <v>0</v>
      </c>
      <c r="C54" s="139" t="s">
        <v>100</v>
      </c>
      <c r="D54" s="145"/>
      <c r="E54" s="156" t="e">
        <f ca="1">LOG('Derived Cummulative'!E53)</f>
        <v>#NUM!</v>
      </c>
      <c r="F54" s="98" t="e">
        <f ca="1">LOG('Derived Cummulative'!F53)</f>
        <v>#NUM!</v>
      </c>
      <c r="G54" s="98" t="e">
        <f ca="1">LOG('Derived Cummulative'!G53)</f>
        <v>#NUM!</v>
      </c>
      <c r="H54" s="98" t="e">
        <f ca="1">LOG('Derived Cummulative'!H53)</f>
        <v>#NUM!</v>
      </c>
      <c r="I54" s="98" t="e">
        <f ca="1">LOG('Derived Cummulative'!I53)</f>
        <v>#NUM!</v>
      </c>
      <c r="J54" s="98" t="e">
        <f ca="1">LOG('Derived Cummulative'!J53)</f>
        <v>#NUM!</v>
      </c>
      <c r="K54" s="98" t="e">
        <f ca="1">LOG('Derived Cummulative'!K53)</f>
        <v>#NUM!</v>
      </c>
      <c r="L54" s="99" t="e">
        <f ca="1">LOG('Derived Cummulative'!L53)</f>
        <v>#NUM!</v>
      </c>
    </row>
    <row r="55" spans="1:12" ht="16.5" x14ac:dyDescent="0.2">
      <c r="A55" s="53">
        <f>'Increment Analysis Measured'!A55</f>
        <v>0</v>
      </c>
      <c r="B55" s="33">
        <f>'Increment Analysis Measured'!B55</f>
        <v>0</v>
      </c>
      <c r="C55" s="139" t="s">
        <v>100</v>
      </c>
      <c r="D55" s="145"/>
      <c r="E55" s="156" t="e">
        <f ca="1">LOG('Derived Cummulative'!E54)</f>
        <v>#NUM!</v>
      </c>
      <c r="F55" s="98" t="e">
        <f ca="1">LOG('Derived Cummulative'!F54)</f>
        <v>#NUM!</v>
      </c>
      <c r="G55" s="98" t="e">
        <f ca="1">LOG('Derived Cummulative'!G54)</f>
        <v>#NUM!</v>
      </c>
      <c r="H55" s="98" t="e">
        <f ca="1">LOG('Derived Cummulative'!H54)</f>
        <v>#NUM!</v>
      </c>
      <c r="I55" s="98" t="e">
        <f ca="1">LOG('Derived Cummulative'!I54)</f>
        <v>#NUM!</v>
      </c>
      <c r="J55" s="98" t="e">
        <f ca="1">LOG('Derived Cummulative'!J54)</f>
        <v>#NUM!</v>
      </c>
      <c r="K55" s="98" t="e">
        <f ca="1">LOG('Derived Cummulative'!K54)</f>
        <v>#NUM!</v>
      </c>
      <c r="L55" s="99" t="e">
        <f ca="1">LOG('Derived Cummulative'!L54)</f>
        <v>#NUM!</v>
      </c>
    </row>
    <row r="56" spans="1:12" ht="16.5" x14ac:dyDescent="0.2">
      <c r="A56" s="53">
        <f>'Increment Analysis Measured'!A56</f>
        <v>0</v>
      </c>
      <c r="B56" s="33">
        <f>'Increment Analysis Measured'!B56</f>
        <v>0</v>
      </c>
      <c r="C56" s="139" t="s">
        <v>100</v>
      </c>
      <c r="D56" s="145"/>
      <c r="E56" s="156" t="e">
        <f ca="1">LOG('Derived Cummulative'!E55)</f>
        <v>#NUM!</v>
      </c>
      <c r="F56" s="98" t="e">
        <f ca="1">LOG('Derived Cummulative'!F55)</f>
        <v>#NUM!</v>
      </c>
      <c r="G56" s="98" t="e">
        <f ca="1">LOG('Derived Cummulative'!G55)</f>
        <v>#NUM!</v>
      </c>
      <c r="H56" s="98" t="e">
        <f ca="1">LOG('Derived Cummulative'!H55)</f>
        <v>#NUM!</v>
      </c>
      <c r="I56" s="98" t="e">
        <f ca="1">LOG('Derived Cummulative'!I55)</f>
        <v>#NUM!</v>
      </c>
      <c r="J56" s="98" t="e">
        <f ca="1">LOG('Derived Cummulative'!J55)</f>
        <v>#NUM!</v>
      </c>
      <c r="K56" s="98" t="e">
        <f ca="1">LOG('Derived Cummulative'!K55)</f>
        <v>#NUM!</v>
      </c>
      <c r="L56" s="99" t="e">
        <f ca="1">LOG('Derived Cummulative'!L55)</f>
        <v>#NUM!</v>
      </c>
    </row>
    <row r="57" spans="1:12" ht="16.5" x14ac:dyDescent="0.2">
      <c r="A57" s="53">
        <f>'Increment Analysis Measured'!A57</f>
        <v>0</v>
      </c>
      <c r="B57" s="33">
        <f>'Increment Analysis Measured'!B57</f>
        <v>0</v>
      </c>
      <c r="C57" s="139" t="s">
        <v>100</v>
      </c>
      <c r="D57" s="145"/>
      <c r="E57" s="156" t="e">
        <f ca="1">LOG('Derived Cummulative'!E56)</f>
        <v>#NUM!</v>
      </c>
      <c r="F57" s="98" t="e">
        <f ca="1">LOG('Derived Cummulative'!F56)</f>
        <v>#NUM!</v>
      </c>
      <c r="G57" s="98" t="e">
        <f ca="1">LOG('Derived Cummulative'!G56)</f>
        <v>#NUM!</v>
      </c>
      <c r="H57" s="98" t="e">
        <f ca="1">LOG('Derived Cummulative'!H56)</f>
        <v>#NUM!</v>
      </c>
      <c r="I57" s="98" t="e">
        <f ca="1">LOG('Derived Cummulative'!I56)</f>
        <v>#NUM!</v>
      </c>
      <c r="J57" s="98" t="e">
        <f ca="1">LOG('Derived Cummulative'!J56)</f>
        <v>#NUM!</v>
      </c>
      <c r="K57" s="98" t="e">
        <f ca="1">LOG('Derived Cummulative'!K56)</f>
        <v>#NUM!</v>
      </c>
      <c r="L57" s="99" t="e">
        <f ca="1">LOG('Derived Cummulative'!L56)</f>
        <v>#NUM!</v>
      </c>
    </row>
    <row r="58" spans="1:12" ht="16.5" x14ac:dyDescent="0.2">
      <c r="A58" s="53">
        <f>'Increment Analysis Measured'!A58</f>
        <v>0</v>
      </c>
      <c r="B58" s="33">
        <f>'Increment Analysis Measured'!B58</f>
        <v>0</v>
      </c>
      <c r="C58" s="139" t="s">
        <v>100</v>
      </c>
      <c r="D58" s="145"/>
      <c r="E58" s="156" t="e">
        <f ca="1">LOG('Derived Cummulative'!E57)</f>
        <v>#NUM!</v>
      </c>
      <c r="F58" s="98" t="e">
        <f ca="1">LOG('Derived Cummulative'!F57)</f>
        <v>#NUM!</v>
      </c>
      <c r="G58" s="98" t="e">
        <f ca="1">LOG('Derived Cummulative'!G57)</f>
        <v>#NUM!</v>
      </c>
      <c r="H58" s="98" t="e">
        <f ca="1">LOG('Derived Cummulative'!H57)</f>
        <v>#NUM!</v>
      </c>
      <c r="I58" s="98" t="e">
        <f ca="1">LOG('Derived Cummulative'!I57)</f>
        <v>#NUM!</v>
      </c>
      <c r="J58" s="98" t="e">
        <f ca="1">LOG('Derived Cummulative'!J57)</f>
        <v>#NUM!</v>
      </c>
      <c r="K58" s="98" t="e">
        <f ca="1">LOG('Derived Cummulative'!K57)</f>
        <v>#NUM!</v>
      </c>
      <c r="L58" s="99" t="e">
        <f ca="1">LOG('Derived Cummulative'!L57)</f>
        <v>#NUM!</v>
      </c>
    </row>
    <row r="59" spans="1:12" ht="16.5" x14ac:dyDescent="0.2">
      <c r="A59" s="53">
        <f>'Increment Analysis Measured'!A59</f>
        <v>0</v>
      </c>
      <c r="B59" s="33">
        <f>'Increment Analysis Measured'!B59</f>
        <v>0</v>
      </c>
      <c r="C59" s="139" t="s">
        <v>100</v>
      </c>
      <c r="D59" s="145"/>
      <c r="E59" s="156" t="e">
        <f ca="1">LOG('Derived Cummulative'!E58)</f>
        <v>#NUM!</v>
      </c>
      <c r="F59" s="98" t="e">
        <f ca="1">LOG('Derived Cummulative'!F58)</f>
        <v>#NUM!</v>
      </c>
      <c r="G59" s="98" t="e">
        <f ca="1">LOG('Derived Cummulative'!G58)</f>
        <v>#NUM!</v>
      </c>
      <c r="H59" s="98" t="e">
        <f ca="1">LOG('Derived Cummulative'!H58)</f>
        <v>#NUM!</v>
      </c>
      <c r="I59" s="98" t="e">
        <f ca="1">LOG('Derived Cummulative'!I58)</f>
        <v>#NUM!</v>
      </c>
      <c r="J59" s="98" t="e">
        <f ca="1">LOG('Derived Cummulative'!J58)</f>
        <v>#NUM!</v>
      </c>
      <c r="K59" s="98" t="e">
        <f ca="1">LOG('Derived Cummulative'!K58)</f>
        <v>#NUM!</v>
      </c>
      <c r="L59" s="99" t="e">
        <f ca="1">LOG('Derived Cummulative'!L58)</f>
        <v>#NUM!</v>
      </c>
    </row>
    <row r="60" spans="1:12" ht="16.5" x14ac:dyDescent="0.2">
      <c r="A60" s="53">
        <f>'Increment Analysis Measured'!A60</f>
        <v>0</v>
      </c>
      <c r="B60" s="33">
        <f>'Increment Analysis Measured'!B60</f>
        <v>0</v>
      </c>
      <c r="C60" s="139" t="s">
        <v>100</v>
      </c>
      <c r="D60" s="145"/>
      <c r="E60" s="156" t="e">
        <f ca="1">LOG('Derived Cummulative'!E59)</f>
        <v>#NUM!</v>
      </c>
      <c r="F60" s="98" t="e">
        <f ca="1">LOG('Derived Cummulative'!F59)</f>
        <v>#NUM!</v>
      </c>
      <c r="G60" s="98" t="e">
        <f ca="1">LOG('Derived Cummulative'!G59)</f>
        <v>#NUM!</v>
      </c>
      <c r="H60" s="98" t="e">
        <f ca="1">LOG('Derived Cummulative'!H59)</f>
        <v>#NUM!</v>
      </c>
      <c r="I60" s="98" t="e">
        <f ca="1">LOG('Derived Cummulative'!I59)</f>
        <v>#NUM!</v>
      </c>
      <c r="J60" s="98" t="e">
        <f ca="1">LOG('Derived Cummulative'!J59)</f>
        <v>#NUM!</v>
      </c>
      <c r="K60" s="98" t="e">
        <f ca="1">LOG('Derived Cummulative'!K59)</f>
        <v>#NUM!</v>
      </c>
      <c r="L60" s="99" t="e">
        <f ca="1">LOG('Derived Cummulative'!L59)</f>
        <v>#NUM!</v>
      </c>
    </row>
    <row r="61" spans="1:12" ht="16.5" x14ac:dyDescent="0.2">
      <c r="A61" s="53">
        <f>'Increment Analysis Measured'!A61</f>
        <v>0</v>
      </c>
      <c r="B61" s="33">
        <f>'Increment Analysis Measured'!B61</f>
        <v>0</v>
      </c>
      <c r="C61" s="139" t="s">
        <v>100</v>
      </c>
      <c r="D61" s="145"/>
      <c r="E61" s="156" t="e">
        <f ca="1">LOG('Derived Cummulative'!E60)</f>
        <v>#NUM!</v>
      </c>
      <c r="F61" s="98" t="e">
        <f ca="1">LOG('Derived Cummulative'!F60)</f>
        <v>#NUM!</v>
      </c>
      <c r="G61" s="98" t="e">
        <f ca="1">LOG('Derived Cummulative'!G60)</f>
        <v>#NUM!</v>
      </c>
      <c r="H61" s="98" t="e">
        <f ca="1">LOG('Derived Cummulative'!H60)</f>
        <v>#NUM!</v>
      </c>
      <c r="I61" s="98" t="e">
        <f ca="1">LOG('Derived Cummulative'!I60)</f>
        <v>#NUM!</v>
      </c>
      <c r="J61" s="98" t="e">
        <f ca="1">LOG('Derived Cummulative'!J60)</f>
        <v>#NUM!</v>
      </c>
      <c r="K61" s="98" t="e">
        <f ca="1">LOG('Derived Cummulative'!K60)</f>
        <v>#NUM!</v>
      </c>
      <c r="L61" s="99" t="e">
        <f ca="1">LOG('Derived Cummulative'!L60)</f>
        <v>#NUM!</v>
      </c>
    </row>
    <row r="62" spans="1:12" ht="16.5" x14ac:dyDescent="0.2">
      <c r="A62" s="53">
        <f>'Increment Analysis Measured'!A62</f>
        <v>0</v>
      </c>
      <c r="B62" s="33">
        <f>'Increment Analysis Measured'!B62</f>
        <v>0</v>
      </c>
      <c r="C62" s="139" t="s">
        <v>100</v>
      </c>
      <c r="D62" s="145"/>
      <c r="E62" s="156" t="e">
        <f ca="1">LOG('Derived Cummulative'!E61)</f>
        <v>#NUM!</v>
      </c>
      <c r="F62" s="98" t="e">
        <f ca="1">LOG('Derived Cummulative'!F61)</f>
        <v>#NUM!</v>
      </c>
      <c r="G62" s="98" t="e">
        <f ca="1">LOG('Derived Cummulative'!G61)</f>
        <v>#NUM!</v>
      </c>
      <c r="H62" s="98" t="e">
        <f ca="1">LOG('Derived Cummulative'!H61)</f>
        <v>#NUM!</v>
      </c>
      <c r="I62" s="98" t="e">
        <f ca="1">LOG('Derived Cummulative'!I61)</f>
        <v>#NUM!</v>
      </c>
      <c r="J62" s="98" t="e">
        <f ca="1">LOG('Derived Cummulative'!J61)</f>
        <v>#NUM!</v>
      </c>
      <c r="K62" s="98" t="e">
        <f ca="1">LOG('Derived Cummulative'!K61)</f>
        <v>#NUM!</v>
      </c>
      <c r="L62" s="99" t="e">
        <f ca="1">LOG('Derived Cummulative'!L61)</f>
        <v>#NUM!</v>
      </c>
    </row>
    <row r="63" spans="1:12" ht="16.5" x14ac:dyDescent="0.2">
      <c r="A63" s="53">
        <f>'Increment Analysis Measured'!A63</f>
        <v>0</v>
      </c>
      <c r="B63" s="33">
        <f>'Increment Analysis Measured'!B63</f>
        <v>0</v>
      </c>
      <c r="C63" s="139" t="s">
        <v>100</v>
      </c>
      <c r="D63" s="145"/>
      <c r="E63" s="156" t="e">
        <f ca="1">LOG('Derived Cummulative'!E62)</f>
        <v>#NUM!</v>
      </c>
      <c r="F63" s="98" t="e">
        <f ca="1">LOG('Derived Cummulative'!F62)</f>
        <v>#NUM!</v>
      </c>
      <c r="G63" s="98" t="e">
        <f ca="1">LOG('Derived Cummulative'!G62)</f>
        <v>#NUM!</v>
      </c>
      <c r="H63" s="98" t="e">
        <f ca="1">LOG('Derived Cummulative'!H62)</f>
        <v>#NUM!</v>
      </c>
      <c r="I63" s="98" t="e">
        <f ca="1">LOG('Derived Cummulative'!I62)</f>
        <v>#NUM!</v>
      </c>
      <c r="J63" s="98" t="e">
        <f ca="1">LOG('Derived Cummulative'!J62)</f>
        <v>#NUM!</v>
      </c>
      <c r="K63" s="98" t="e">
        <f ca="1">LOG('Derived Cummulative'!K62)</f>
        <v>#NUM!</v>
      </c>
      <c r="L63" s="99" t="e">
        <f ca="1">LOG('Derived Cummulative'!L62)</f>
        <v>#NUM!</v>
      </c>
    </row>
    <row r="64" spans="1:12" ht="16.5" x14ac:dyDescent="0.2">
      <c r="A64" s="53">
        <f>'Increment Analysis Measured'!A64</f>
        <v>0</v>
      </c>
      <c r="B64" s="33">
        <f>'Increment Analysis Measured'!B64</f>
        <v>0</v>
      </c>
      <c r="C64" s="139" t="s">
        <v>100</v>
      </c>
      <c r="D64" s="145"/>
      <c r="E64" s="156" t="e">
        <f ca="1">LOG('Derived Cummulative'!E63)</f>
        <v>#NUM!</v>
      </c>
      <c r="F64" s="98" t="e">
        <f ca="1">LOG('Derived Cummulative'!F63)</f>
        <v>#NUM!</v>
      </c>
      <c r="G64" s="98" t="e">
        <f ca="1">LOG('Derived Cummulative'!G63)</f>
        <v>#NUM!</v>
      </c>
      <c r="H64" s="98" t="e">
        <f ca="1">LOG('Derived Cummulative'!H63)</f>
        <v>#NUM!</v>
      </c>
      <c r="I64" s="98" t="e">
        <f ca="1">LOG('Derived Cummulative'!I63)</f>
        <v>#NUM!</v>
      </c>
      <c r="J64" s="98" t="e">
        <f ca="1">LOG('Derived Cummulative'!J63)</f>
        <v>#NUM!</v>
      </c>
      <c r="K64" s="98" t="e">
        <f ca="1">LOG('Derived Cummulative'!K63)</f>
        <v>#NUM!</v>
      </c>
      <c r="L64" s="99" t="e">
        <f ca="1">LOG('Derived Cummulative'!L63)</f>
        <v>#NUM!</v>
      </c>
    </row>
    <row r="65" spans="1:12" ht="16.5" x14ac:dyDescent="0.2">
      <c r="A65" s="53">
        <f>'Increment Analysis Measured'!A65</f>
        <v>0</v>
      </c>
      <c r="B65" s="33">
        <f>'Increment Analysis Measured'!B65</f>
        <v>0</v>
      </c>
      <c r="C65" s="139" t="s">
        <v>100</v>
      </c>
      <c r="D65" s="145"/>
      <c r="E65" s="156" t="e">
        <f ca="1">LOG('Derived Cummulative'!E64)</f>
        <v>#NUM!</v>
      </c>
      <c r="F65" s="98" t="e">
        <f ca="1">LOG('Derived Cummulative'!F64)</f>
        <v>#NUM!</v>
      </c>
      <c r="G65" s="98" t="e">
        <f ca="1">LOG('Derived Cummulative'!G64)</f>
        <v>#NUM!</v>
      </c>
      <c r="H65" s="98" t="e">
        <f ca="1">LOG('Derived Cummulative'!H64)</f>
        <v>#NUM!</v>
      </c>
      <c r="I65" s="98" t="e">
        <f ca="1">LOG('Derived Cummulative'!I64)</f>
        <v>#NUM!</v>
      </c>
      <c r="J65" s="98" t="e">
        <f ca="1">LOG('Derived Cummulative'!J64)</f>
        <v>#NUM!</v>
      </c>
      <c r="K65" s="98" t="e">
        <f ca="1">LOG('Derived Cummulative'!K64)</f>
        <v>#NUM!</v>
      </c>
      <c r="L65" s="99" t="e">
        <f ca="1">LOG('Derived Cummulative'!L64)</f>
        <v>#NUM!</v>
      </c>
    </row>
    <row r="66" spans="1:12" ht="16.5" x14ac:dyDescent="0.2">
      <c r="A66" s="53">
        <f>'Increment Analysis Measured'!A66</f>
        <v>0</v>
      </c>
      <c r="B66" s="33">
        <f>'Increment Analysis Measured'!B66</f>
        <v>0</v>
      </c>
      <c r="C66" s="139" t="s">
        <v>100</v>
      </c>
      <c r="D66" s="145"/>
      <c r="E66" s="156" t="e">
        <f ca="1">LOG('Derived Cummulative'!E65)</f>
        <v>#NUM!</v>
      </c>
      <c r="F66" s="98" t="e">
        <f ca="1">LOG('Derived Cummulative'!F65)</f>
        <v>#NUM!</v>
      </c>
      <c r="G66" s="98" t="e">
        <f ca="1">LOG('Derived Cummulative'!G65)</f>
        <v>#NUM!</v>
      </c>
      <c r="H66" s="98" t="e">
        <f ca="1">LOG('Derived Cummulative'!H65)</f>
        <v>#NUM!</v>
      </c>
      <c r="I66" s="98" t="e">
        <f ca="1">LOG('Derived Cummulative'!I65)</f>
        <v>#NUM!</v>
      </c>
      <c r="J66" s="98" t="e">
        <f ca="1">LOG('Derived Cummulative'!J65)</f>
        <v>#NUM!</v>
      </c>
      <c r="K66" s="98" t="e">
        <f ca="1">LOG('Derived Cummulative'!K65)</f>
        <v>#NUM!</v>
      </c>
      <c r="L66" s="99" t="e">
        <f ca="1">LOG('Derived Cummulative'!L65)</f>
        <v>#NUM!</v>
      </c>
    </row>
    <row r="67" spans="1:12" ht="16.5" x14ac:dyDescent="0.2">
      <c r="A67" s="53">
        <f>'Increment Analysis Measured'!A67</f>
        <v>0</v>
      </c>
      <c r="B67" s="33">
        <f>'Increment Analysis Measured'!B67</f>
        <v>0</v>
      </c>
      <c r="C67" s="139" t="s">
        <v>100</v>
      </c>
      <c r="D67" s="145"/>
      <c r="E67" s="156" t="e">
        <f ca="1">LOG('Derived Cummulative'!E66)</f>
        <v>#NUM!</v>
      </c>
      <c r="F67" s="98" t="e">
        <f ca="1">LOG('Derived Cummulative'!F66)</f>
        <v>#NUM!</v>
      </c>
      <c r="G67" s="98" t="e">
        <f ca="1">LOG('Derived Cummulative'!G66)</f>
        <v>#NUM!</v>
      </c>
      <c r="H67" s="98" t="e">
        <f ca="1">LOG('Derived Cummulative'!H66)</f>
        <v>#NUM!</v>
      </c>
      <c r="I67" s="98" t="e">
        <f ca="1">LOG('Derived Cummulative'!I66)</f>
        <v>#NUM!</v>
      </c>
      <c r="J67" s="98" t="e">
        <f ca="1">LOG('Derived Cummulative'!J66)</f>
        <v>#NUM!</v>
      </c>
      <c r="K67" s="98" t="e">
        <f ca="1">LOG('Derived Cummulative'!K66)</f>
        <v>#NUM!</v>
      </c>
      <c r="L67" s="99" t="e">
        <f ca="1">LOG('Derived Cummulative'!L66)</f>
        <v>#NUM!</v>
      </c>
    </row>
    <row r="68" spans="1:12" ht="16.5" x14ac:dyDescent="0.2">
      <c r="A68" s="53">
        <f>'Increment Analysis Measured'!A68</f>
        <v>0</v>
      </c>
      <c r="B68" s="33">
        <f>'Increment Analysis Measured'!B68</f>
        <v>0</v>
      </c>
      <c r="C68" s="139" t="s">
        <v>100</v>
      </c>
      <c r="D68" s="145"/>
      <c r="E68" s="156" t="e">
        <f ca="1">LOG('Derived Cummulative'!E67)</f>
        <v>#NUM!</v>
      </c>
      <c r="F68" s="98" t="e">
        <f ca="1">LOG('Derived Cummulative'!F67)</f>
        <v>#NUM!</v>
      </c>
      <c r="G68" s="98" t="e">
        <f ca="1">LOG('Derived Cummulative'!G67)</f>
        <v>#NUM!</v>
      </c>
      <c r="H68" s="98" t="e">
        <f ca="1">LOG('Derived Cummulative'!H67)</f>
        <v>#NUM!</v>
      </c>
      <c r="I68" s="98" t="e">
        <f ca="1">LOG('Derived Cummulative'!I67)</f>
        <v>#NUM!</v>
      </c>
      <c r="J68" s="98" t="e">
        <f ca="1">LOG('Derived Cummulative'!J67)</f>
        <v>#NUM!</v>
      </c>
      <c r="K68" s="98" t="e">
        <f ca="1">LOG('Derived Cummulative'!K67)</f>
        <v>#NUM!</v>
      </c>
      <c r="L68" s="99" t="e">
        <f ca="1">LOG('Derived Cummulative'!L67)</f>
        <v>#NUM!</v>
      </c>
    </row>
    <row r="69" spans="1:12" ht="16.5" x14ac:dyDescent="0.2">
      <c r="A69" s="53">
        <f>'Increment Analysis Measured'!A69</f>
        <v>0</v>
      </c>
      <c r="B69" s="33">
        <f>'Increment Analysis Measured'!B69</f>
        <v>0</v>
      </c>
      <c r="C69" s="139" t="s">
        <v>100</v>
      </c>
      <c r="D69" s="145"/>
      <c r="E69" s="156" t="e">
        <f ca="1">LOG('Derived Cummulative'!E68)</f>
        <v>#NUM!</v>
      </c>
      <c r="F69" s="98" t="e">
        <f ca="1">LOG('Derived Cummulative'!F68)</f>
        <v>#NUM!</v>
      </c>
      <c r="G69" s="98" t="e">
        <f ca="1">LOG('Derived Cummulative'!G68)</f>
        <v>#NUM!</v>
      </c>
      <c r="H69" s="98" t="e">
        <f ca="1">LOG('Derived Cummulative'!H68)</f>
        <v>#NUM!</v>
      </c>
      <c r="I69" s="98" t="e">
        <f ca="1">LOG('Derived Cummulative'!I68)</f>
        <v>#NUM!</v>
      </c>
      <c r="J69" s="98" t="e">
        <f ca="1">LOG('Derived Cummulative'!J68)</f>
        <v>#NUM!</v>
      </c>
      <c r="K69" s="98" t="e">
        <f ca="1">LOG('Derived Cummulative'!K68)</f>
        <v>#NUM!</v>
      </c>
      <c r="L69" s="99" t="e">
        <f ca="1">LOG('Derived Cummulative'!L68)</f>
        <v>#NUM!</v>
      </c>
    </row>
    <row r="70" spans="1:12" ht="16.5" x14ac:dyDescent="0.2">
      <c r="A70" s="53">
        <f>'Increment Analysis Measured'!A70</f>
        <v>0</v>
      </c>
      <c r="B70" s="33">
        <f>'Increment Analysis Measured'!B70</f>
        <v>0</v>
      </c>
      <c r="C70" s="139" t="s">
        <v>100</v>
      </c>
      <c r="D70" s="145"/>
      <c r="E70" s="156" t="e">
        <f ca="1">LOG('Derived Cummulative'!E69)</f>
        <v>#NUM!</v>
      </c>
      <c r="F70" s="98" t="e">
        <f ca="1">LOG('Derived Cummulative'!F69)</f>
        <v>#NUM!</v>
      </c>
      <c r="G70" s="98" t="e">
        <f ca="1">LOG('Derived Cummulative'!G69)</f>
        <v>#NUM!</v>
      </c>
      <c r="H70" s="98" t="e">
        <f ca="1">LOG('Derived Cummulative'!H69)</f>
        <v>#NUM!</v>
      </c>
      <c r="I70" s="98" t="e">
        <f ca="1">LOG('Derived Cummulative'!I69)</f>
        <v>#NUM!</v>
      </c>
      <c r="J70" s="98" t="e">
        <f ca="1">LOG('Derived Cummulative'!J69)</f>
        <v>#NUM!</v>
      </c>
      <c r="K70" s="98" t="e">
        <f ca="1">LOG('Derived Cummulative'!K69)</f>
        <v>#NUM!</v>
      </c>
      <c r="L70" s="99" t="e">
        <f ca="1">LOG('Derived Cummulative'!L69)</f>
        <v>#NUM!</v>
      </c>
    </row>
    <row r="71" spans="1:12" ht="16.5" x14ac:dyDescent="0.2">
      <c r="A71" s="53">
        <f>'Increment Analysis Measured'!A71</f>
        <v>0</v>
      </c>
      <c r="B71" s="33">
        <f>'Increment Analysis Measured'!B71</f>
        <v>0</v>
      </c>
      <c r="C71" s="139" t="s">
        <v>100</v>
      </c>
      <c r="D71" s="145"/>
      <c r="E71" s="156" t="e">
        <f ca="1">LOG('Derived Cummulative'!E70)</f>
        <v>#NUM!</v>
      </c>
      <c r="F71" s="98" t="e">
        <f ca="1">LOG('Derived Cummulative'!F70)</f>
        <v>#NUM!</v>
      </c>
      <c r="G71" s="98" t="e">
        <f ca="1">LOG('Derived Cummulative'!G70)</f>
        <v>#NUM!</v>
      </c>
      <c r="H71" s="98" t="e">
        <f ca="1">LOG('Derived Cummulative'!H70)</f>
        <v>#NUM!</v>
      </c>
      <c r="I71" s="98" t="e">
        <f ca="1">LOG('Derived Cummulative'!I70)</f>
        <v>#NUM!</v>
      </c>
      <c r="J71" s="98" t="e">
        <f ca="1">LOG('Derived Cummulative'!J70)</f>
        <v>#NUM!</v>
      </c>
      <c r="K71" s="98" t="e">
        <f ca="1">LOG('Derived Cummulative'!K70)</f>
        <v>#NUM!</v>
      </c>
      <c r="L71" s="99" t="e">
        <f ca="1">LOG('Derived Cummulative'!L70)</f>
        <v>#NUM!</v>
      </c>
    </row>
    <row r="72" spans="1:12" ht="16.5" x14ac:dyDescent="0.2">
      <c r="A72" s="53">
        <f>'Increment Analysis Measured'!A72</f>
        <v>0</v>
      </c>
      <c r="B72" s="33">
        <f>'Increment Analysis Measured'!B72</f>
        <v>0</v>
      </c>
      <c r="C72" s="139" t="s">
        <v>100</v>
      </c>
      <c r="D72" s="145"/>
      <c r="E72" s="156" t="e">
        <f ca="1">LOG('Derived Cummulative'!E71)</f>
        <v>#NUM!</v>
      </c>
      <c r="F72" s="98" t="e">
        <f ca="1">LOG('Derived Cummulative'!F71)</f>
        <v>#NUM!</v>
      </c>
      <c r="G72" s="98" t="e">
        <f ca="1">LOG('Derived Cummulative'!G71)</f>
        <v>#NUM!</v>
      </c>
      <c r="H72" s="98" t="e">
        <f ca="1">LOG('Derived Cummulative'!H71)</f>
        <v>#NUM!</v>
      </c>
      <c r="I72" s="98" t="e">
        <f ca="1">LOG('Derived Cummulative'!I71)</f>
        <v>#NUM!</v>
      </c>
      <c r="J72" s="98" t="e">
        <f ca="1">LOG('Derived Cummulative'!J71)</f>
        <v>#NUM!</v>
      </c>
      <c r="K72" s="98" t="e">
        <f ca="1">LOG('Derived Cummulative'!K71)</f>
        <v>#NUM!</v>
      </c>
      <c r="L72" s="99" t="e">
        <f ca="1">LOG('Derived Cummulative'!L71)</f>
        <v>#NUM!</v>
      </c>
    </row>
    <row r="73" spans="1:12" ht="16.5" x14ac:dyDescent="0.2">
      <c r="A73" s="290">
        <f>'Increment Analysis Measured'!A73</f>
        <v>0</v>
      </c>
      <c r="B73" s="284">
        <f>'Increment Analysis Measured'!B73</f>
        <v>0</v>
      </c>
      <c r="C73" s="288" t="s">
        <v>100</v>
      </c>
      <c r="D73" s="424"/>
      <c r="E73" s="289" t="e">
        <f ca="1">LOG('Derived Cummulative'!E72)</f>
        <v>#NUM!</v>
      </c>
      <c r="F73" s="285" t="e">
        <f ca="1">LOG('Derived Cummulative'!F72)</f>
        <v>#NUM!</v>
      </c>
      <c r="G73" s="285" t="e">
        <f ca="1">LOG('Derived Cummulative'!G72)</f>
        <v>#NUM!</v>
      </c>
      <c r="H73" s="285" t="e">
        <f ca="1">LOG('Derived Cummulative'!H72)</f>
        <v>#NUM!</v>
      </c>
      <c r="I73" s="285" t="e">
        <f ca="1">LOG('Derived Cummulative'!I72)</f>
        <v>#NUM!</v>
      </c>
      <c r="J73" s="285" t="e">
        <f ca="1">LOG('Derived Cummulative'!J72)</f>
        <v>#NUM!</v>
      </c>
      <c r="K73" s="285" t="e">
        <f ca="1">LOG('Derived Cummulative'!K72)</f>
        <v>#NUM!</v>
      </c>
      <c r="L73" s="286" t="e">
        <f ca="1">LOG('Derived Cummulative'!L72)</f>
        <v>#NUM!</v>
      </c>
    </row>
    <row r="74" spans="1:12" ht="16.5" x14ac:dyDescent="0.2">
      <c r="A74" s="149">
        <f>'Increment Analysis Measured'!A74</f>
        <v>0</v>
      </c>
      <c r="B74" s="33">
        <f>'Increment Analysis Measured'!B74</f>
        <v>0</v>
      </c>
      <c r="C74" s="45" t="s">
        <v>100</v>
      </c>
      <c r="D74" s="424"/>
      <c r="E74" s="98" t="e">
        <f ca="1">LOG('Derived Cummulative'!E73)</f>
        <v>#NUM!</v>
      </c>
      <c r="F74" s="98" t="e">
        <f ca="1">LOG('Derived Cummulative'!F73)</f>
        <v>#NUM!</v>
      </c>
      <c r="G74" s="98" t="e">
        <f ca="1">LOG('Derived Cummulative'!G73)</f>
        <v>#NUM!</v>
      </c>
      <c r="H74" s="98" t="e">
        <f ca="1">LOG('Derived Cummulative'!H73)</f>
        <v>#NUM!</v>
      </c>
      <c r="I74" s="98" t="e">
        <f ca="1">LOG('Derived Cummulative'!I73)</f>
        <v>#NUM!</v>
      </c>
      <c r="J74" s="98" t="e">
        <f ca="1">LOG('Derived Cummulative'!J73)</f>
        <v>#NUM!</v>
      </c>
      <c r="K74" s="98" t="e">
        <f ca="1">LOG('Derived Cummulative'!K73)</f>
        <v>#NUM!</v>
      </c>
      <c r="L74" s="98" t="e">
        <f ca="1">LOG('Derived Cummulative'!L73)</f>
        <v>#NUM!</v>
      </c>
    </row>
    <row r="75" spans="1:12" ht="17.25" x14ac:dyDescent="0.25">
      <c r="A75" s="149">
        <f>'Increment Analysis Measured'!A75</f>
        <v>0</v>
      </c>
      <c r="B75" s="33">
        <f>'Increment Analysis Measured'!B75</f>
        <v>0</v>
      </c>
      <c r="C75" s="45" t="s">
        <v>223</v>
      </c>
      <c r="D75" s="424"/>
      <c r="E75" s="98" t="e">
        <f ca="1">LOG('Derived Cummulative'!E74)</f>
        <v>#NUM!</v>
      </c>
      <c r="F75" s="98" t="e">
        <f ca="1">LOG('Derived Cummulative'!F74)</f>
        <v>#NUM!</v>
      </c>
      <c r="G75" s="98" t="e">
        <f ca="1">LOG('Derived Cummulative'!G74)</f>
        <v>#NUM!</v>
      </c>
      <c r="H75" s="98" t="e">
        <f ca="1">LOG('Derived Cummulative'!H74)</f>
        <v>#NUM!</v>
      </c>
      <c r="I75" s="98" t="e">
        <f ca="1">LOG('Derived Cummulative'!I74)</f>
        <v>#NUM!</v>
      </c>
      <c r="J75" s="98" t="e">
        <f ca="1">LOG('Derived Cummulative'!J74)</f>
        <v>#NUM!</v>
      </c>
      <c r="K75" s="98" t="e">
        <f ca="1">LOG('Derived Cummulative'!K74)</f>
        <v>#NUM!</v>
      </c>
      <c r="L75" s="98" t="e">
        <f ca="1">LOG('Derived Cummulative'!L74)</f>
        <v>#NUM!</v>
      </c>
    </row>
    <row r="76" spans="1:12" ht="17.25" x14ac:dyDescent="0.25">
      <c r="A76" s="149">
        <f>'Increment Analysis Measured'!A76</f>
        <v>0</v>
      </c>
      <c r="B76" s="33">
        <f>'Increment Analysis Measured'!B76</f>
        <v>0</v>
      </c>
      <c r="C76" s="45" t="s">
        <v>224</v>
      </c>
      <c r="D76" s="425"/>
      <c r="E76" s="98" t="e">
        <f ca="1">LOG('Derived Cummulative'!E75)</f>
        <v>#NUM!</v>
      </c>
      <c r="F76" s="98" t="e">
        <f ca="1">LOG('Derived Cummulative'!F75)</f>
        <v>#NUM!</v>
      </c>
      <c r="G76" s="98" t="e">
        <f ca="1">LOG('Derived Cummulative'!G75)</f>
        <v>#NUM!</v>
      </c>
      <c r="H76" s="98" t="e">
        <f ca="1">LOG('Derived Cummulative'!H75)</f>
        <v>#NUM!</v>
      </c>
      <c r="I76" s="98" t="e">
        <f ca="1">LOG('Derived Cummulative'!I75)</f>
        <v>#NUM!</v>
      </c>
      <c r="J76" s="98" t="e">
        <f ca="1">LOG('Derived Cummulative'!J75)</f>
        <v>#NUM!</v>
      </c>
      <c r="K76" s="98" t="e">
        <f ca="1">LOG('Derived Cummulative'!K75)</f>
        <v>#NUM!</v>
      </c>
      <c r="L76" s="98" t="e">
        <f ca="1">LOG('Derived Cummulative'!L75)</f>
        <v>#NUM!</v>
      </c>
    </row>
  </sheetData>
  <mergeCells count="1">
    <mergeCell ref="D73:D76"/>
  </mergeCells>
  <phoneticPr fontId="15" type="noConversion"/>
  <pageMargins left="0.75" right="0.75" top="1" bottom="1" header="0.5" footer="0.5"/>
  <pageSetup scale="4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">
    <pageSetUpPr fitToPage="1"/>
  </sheetPr>
  <dimension ref="A2:P77"/>
  <sheetViews>
    <sheetView view="pageBreakPreview" zoomScale="60" zoomScaleNormal="100" workbookViewId="0">
      <selection activeCell="F54" sqref="F54"/>
    </sheetView>
  </sheetViews>
  <sheetFormatPr defaultRowHeight="12.75" x14ac:dyDescent="0.2"/>
  <cols>
    <col min="1" max="1" width="39.85546875" style="2" customWidth="1"/>
    <col min="2" max="2" width="19" style="148" customWidth="1"/>
    <col min="3" max="3" width="20.5703125" style="2" customWidth="1"/>
    <col min="4" max="4" width="20.42578125" style="2" customWidth="1"/>
    <col min="5" max="5" width="21.140625" style="2" customWidth="1"/>
    <col min="6" max="6" width="25.42578125" style="2" bestFit="1" customWidth="1"/>
    <col min="7" max="9" width="19" style="2" customWidth="1"/>
    <col min="10" max="10" width="20" style="2" customWidth="1"/>
    <col min="11" max="11" width="20.42578125" style="2" customWidth="1"/>
    <col min="12" max="12" width="25.7109375" style="2" customWidth="1"/>
    <col min="13" max="13" width="9.140625" style="2"/>
    <col min="14" max="14" width="9.85546875" style="2" bestFit="1" customWidth="1"/>
    <col min="15" max="16384" width="9.140625" style="2"/>
  </cols>
  <sheetData>
    <row r="2" spans="1:16" ht="15" x14ac:dyDescent="0.25">
      <c r="A2" s="26" t="s">
        <v>102</v>
      </c>
      <c r="B2" s="46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6" ht="15.75" thickBot="1" x14ac:dyDescent="0.3">
      <c r="A3" s="26"/>
      <c r="B3" s="46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6" ht="15.75" thickBot="1" x14ac:dyDescent="0.3">
      <c r="A4" s="55" t="s">
        <v>58</v>
      </c>
      <c r="B4" s="58"/>
      <c r="C4" s="56"/>
      <c r="D4" s="57"/>
      <c r="E4" s="58">
        <f ca="1">LOG(24*60*60*Normalisation!E4)</f>
        <v>3.7323937598229686</v>
      </c>
      <c r="F4" s="58">
        <f ca="1">LOG(24*60*60*Normalisation!F4)</f>
        <v>4.3344537511509307</v>
      </c>
      <c r="G4" s="58">
        <f ca="1">LOG(24*60*60*Normalisation!G4)</f>
        <v>4.9365137424788932</v>
      </c>
      <c r="H4" s="58">
        <f ca="1">LOG(24*60*60*Normalisation!H4)</f>
        <v>5.2886962605902559</v>
      </c>
      <c r="I4" s="58">
        <f ca="1">LOG(24*60*60*Normalisation!I4)</f>
        <v>5.5385737338068557</v>
      </c>
      <c r="J4" s="58">
        <f ca="1">LOG(24*60*60*Normalisation!J4)</f>
        <v>5.7323937598229682</v>
      </c>
      <c r="K4" s="58">
        <f ca="1">LOG(24*60*60*Normalisation!K4)</f>
        <v>5.8907562519182184</v>
      </c>
      <c r="L4" s="58">
        <f ca="1">LOG(24*60*60*Normalisation!L4)</f>
        <v>6.1406337251348182</v>
      </c>
    </row>
    <row r="5" spans="1:16" ht="14.25" x14ac:dyDescent="0.2">
      <c r="A5" s="41" t="str">
        <f>LOD!A4</f>
        <v>pH</v>
      </c>
      <c r="B5" s="32">
        <f>LOD!B4</f>
        <v>1010</v>
      </c>
      <c r="C5" s="142"/>
      <c r="D5" s="140"/>
      <c r="E5" s="155">
        <f>LOG(Normalisation!E5)</f>
        <v>2.796053161209799</v>
      </c>
      <c r="F5" s="96">
        <f>LOG(Normalisation!F5)</f>
        <v>2.6902682075579318</v>
      </c>
      <c r="G5" s="96">
        <f>LOG(Normalisation!G5)</f>
        <v>2.7063825796915788</v>
      </c>
      <c r="H5" s="96">
        <f>LOG(Normalisation!H5)</f>
        <v>2.6923469290409061</v>
      </c>
      <c r="I5" s="96">
        <f>LOG(Normalisation!I5)</f>
        <v>2.6986479434936945</v>
      </c>
      <c r="J5" s="96">
        <f>LOG(Normalisation!J5)</f>
        <v>2.6839076005732965</v>
      </c>
      <c r="K5" s="96">
        <f>LOG(Normalisation!K5)</f>
        <v>2.6830738370055789</v>
      </c>
      <c r="L5" s="97">
        <f>LOG(Normalisation!L5)</f>
        <v>2.7005020568061027</v>
      </c>
    </row>
    <row r="6" spans="1:16" ht="14.25" x14ac:dyDescent="0.2">
      <c r="A6" s="43" t="str">
        <f>LOD!A5</f>
        <v>Electrical Conductivity</v>
      </c>
      <c r="B6" s="33">
        <f>LOD!B5</f>
        <v>1020</v>
      </c>
      <c r="C6" s="61"/>
      <c r="D6" s="141"/>
      <c r="E6" s="156">
        <f>LOG(Normalisation!E6)</f>
        <v>3.0050943804549939</v>
      </c>
      <c r="F6" s="98">
        <f>LOG(Normalisation!F6)</f>
        <v>3.4667535128522871</v>
      </c>
      <c r="G6" s="98">
        <f>LOG(Normalisation!G6)</f>
        <v>4.6110364445296872</v>
      </c>
      <c r="H6" s="98">
        <f>LOG(Normalisation!H6)</f>
        <v>5.2702777292752305</v>
      </c>
      <c r="I6" s="98">
        <f>LOG(Normalisation!I6)</f>
        <v>5.2948151952128892</v>
      </c>
      <c r="J6" s="98">
        <f>LOG(Normalisation!J6)</f>
        <v>5.1803692962592152</v>
      </c>
      <c r="K6" s="98">
        <f>LOG(Normalisation!K6)</f>
        <v>5.229382993128449</v>
      </c>
      <c r="L6" s="99">
        <f>LOG(Normalisation!L6)</f>
        <v>5.0933552843545371</v>
      </c>
    </row>
    <row r="7" spans="1:16" ht="16.5" x14ac:dyDescent="0.2">
      <c r="A7" s="43" t="str">
        <f>LOD!A6</f>
        <v>Redox potential</v>
      </c>
      <c r="B7" s="33">
        <f>LOD!B6</f>
        <v>1170</v>
      </c>
      <c r="C7" s="139" t="s">
        <v>100</v>
      </c>
      <c r="D7" s="141"/>
      <c r="E7" s="156" t="e">
        <f>LOG(Normalisation!E7)</f>
        <v>#NUM!</v>
      </c>
      <c r="F7" s="98" t="e">
        <f>LOG(Normalisation!F7)</f>
        <v>#NUM!</v>
      </c>
      <c r="G7" s="98" t="e">
        <f>LOG(Normalisation!G7)</f>
        <v>#NUM!</v>
      </c>
      <c r="H7" s="98" t="e">
        <f>LOG(Normalisation!H7)</f>
        <v>#NUM!</v>
      </c>
      <c r="I7" s="98" t="e">
        <f>LOG(Normalisation!I7)</f>
        <v>#NUM!</v>
      </c>
      <c r="J7" s="98" t="e">
        <f>LOG(Normalisation!J7)</f>
        <v>#NUM!</v>
      </c>
      <c r="K7" s="98" t="e">
        <f>LOG(Normalisation!K7)</f>
        <v>#NUM!</v>
      </c>
      <c r="L7" s="99" t="e">
        <f>LOG(Normalisation!L7)</f>
        <v>#NUM!</v>
      </c>
    </row>
    <row r="8" spans="1:16" ht="16.5" x14ac:dyDescent="0.2">
      <c r="A8" s="43" t="str">
        <f>LOD!A7</f>
        <v>Chloride</v>
      </c>
      <c r="B8" s="33" t="str">
        <f>LOD!B7</f>
        <v>U</v>
      </c>
      <c r="C8" s="139" t="s">
        <v>100</v>
      </c>
      <c r="D8" s="141"/>
      <c r="E8" s="156">
        <f>LOG(Normalisation!E8)</f>
        <v>1.8528060360719372</v>
      </c>
      <c r="F8" s="98">
        <f>LOG(Normalisation!F8)</f>
        <v>2.1750253308058567</v>
      </c>
      <c r="G8" s="98">
        <f>LOG(Normalisation!G8)</f>
        <v>3.3299272907915998</v>
      </c>
      <c r="H8" s="98">
        <f>LOG(Normalisation!H8)</f>
        <v>4.357956014391843</v>
      </c>
      <c r="I8" s="98">
        <f>LOG(Normalisation!I8)</f>
        <v>4.5603762121698734</v>
      </c>
      <c r="J8" s="98">
        <f>LOG(Normalisation!J8)</f>
        <v>4.4325896326887477</v>
      </c>
      <c r="K8" s="98">
        <f>LOG(Normalisation!K8)</f>
        <v>4.4548660273998992</v>
      </c>
      <c r="L8" s="99">
        <f>LOG(Normalisation!L8)</f>
        <v>4.5603762121698734</v>
      </c>
    </row>
    <row r="9" spans="1:16" ht="16.5" x14ac:dyDescent="0.2">
      <c r="A9" s="43" t="str">
        <f>LOD!A8</f>
        <v>Sodium</v>
      </c>
      <c r="B9" s="33" t="str">
        <f>LOD!B8</f>
        <v>U</v>
      </c>
      <c r="C9" s="139" t="s">
        <v>100</v>
      </c>
      <c r="D9" s="141"/>
      <c r="E9" s="156">
        <f>LOG(Normalisation!E9)</f>
        <v>3.1538360317359184</v>
      </c>
      <c r="F9" s="98">
        <f>LOG(Normalisation!F9)</f>
        <v>3.4548660273998997</v>
      </c>
      <c r="G9" s="98">
        <f>LOG(Normalisation!G9)</f>
        <v>3.5517760404079559</v>
      </c>
      <c r="H9" s="98">
        <f>LOG(Normalisation!H9)</f>
        <v>4.2145338720895298</v>
      </c>
      <c r="I9" s="98">
        <f>LOG(Normalisation!I9)</f>
        <v>4.3842849531141921</v>
      </c>
      <c r="J9" s="98">
        <f>LOG(Normalisation!J9)</f>
        <v>4.2145338720895298</v>
      </c>
      <c r="K9" s="98">
        <f>LOG(Normalisation!K9)</f>
        <v>4.2507460447439751</v>
      </c>
      <c r="L9" s="99">
        <f>LOG(Normalisation!L9)</f>
        <v>4.3968740804222133</v>
      </c>
    </row>
    <row r="10" spans="1:16" ht="16.5" x14ac:dyDescent="0.2">
      <c r="A10" s="43">
        <f>LOD!A9</f>
        <v>0</v>
      </c>
      <c r="B10" s="33">
        <f>LOD!B9</f>
        <v>0</v>
      </c>
      <c r="C10" s="139" t="s">
        <v>100</v>
      </c>
      <c r="D10" s="141"/>
      <c r="E10" s="156" t="e">
        <f>LOG(Normalisation!E10)</f>
        <v>#NUM!</v>
      </c>
      <c r="F10" s="98" t="e">
        <f>LOG(Normalisation!F10)</f>
        <v>#NUM!</v>
      </c>
      <c r="G10" s="98" t="e">
        <f>LOG(Normalisation!G10)</f>
        <v>#NUM!</v>
      </c>
      <c r="H10" s="98" t="e">
        <f>LOG(Normalisation!H10)</f>
        <v>#NUM!</v>
      </c>
      <c r="I10" s="98" t="e">
        <f>LOG(Normalisation!I10)</f>
        <v>#NUM!</v>
      </c>
      <c r="J10" s="98" t="e">
        <f>LOG(Normalisation!J10)</f>
        <v>#NUM!</v>
      </c>
      <c r="K10" s="98" t="e">
        <f>LOG(Normalisation!K10)</f>
        <v>#NUM!</v>
      </c>
      <c r="L10" s="99" t="e">
        <f>LOG(Normalisation!L10)</f>
        <v>#NUM!</v>
      </c>
      <c r="O10" s="71"/>
      <c r="P10" s="71"/>
    </row>
    <row r="11" spans="1:16" ht="16.5" x14ac:dyDescent="0.2">
      <c r="A11" s="43">
        <f>LOD!A10</f>
        <v>0</v>
      </c>
      <c r="B11" s="33">
        <f>LOD!B10</f>
        <v>0</v>
      </c>
      <c r="C11" s="139" t="s">
        <v>100</v>
      </c>
      <c r="D11" s="141"/>
      <c r="E11" s="156" t="e">
        <f>LOG(Normalisation!E11)</f>
        <v>#NUM!</v>
      </c>
      <c r="F11" s="98" t="e">
        <f>LOG(Normalisation!F11)</f>
        <v>#NUM!</v>
      </c>
      <c r="G11" s="98" t="e">
        <f>LOG(Normalisation!G11)</f>
        <v>#NUM!</v>
      </c>
      <c r="H11" s="98" t="e">
        <f>LOG(Normalisation!H11)</f>
        <v>#NUM!</v>
      </c>
      <c r="I11" s="98" t="e">
        <f>LOG(Normalisation!I11)</f>
        <v>#NUM!</v>
      </c>
      <c r="J11" s="98" t="e">
        <f>LOG(Normalisation!J11)</f>
        <v>#NUM!</v>
      </c>
      <c r="K11" s="98" t="e">
        <f>LOG(Normalisation!K11)</f>
        <v>#NUM!</v>
      </c>
      <c r="L11" s="99" t="e">
        <f>LOG(Normalisation!L11)</f>
        <v>#NUM!</v>
      </c>
      <c r="O11" s="71"/>
      <c r="P11" s="71"/>
    </row>
    <row r="12" spans="1:16" ht="16.5" x14ac:dyDescent="0.2">
      <c r="A12" s="43">
        <f>LOD!A11</f>
        <v>0</v>
      </c>
      <c r="B12" s="33">
        <f>LOD!B11</f>
        <v>0</v>
      </c>
      <c r="C12" s="139" t="s">
        <v>100</v>
      </c>
      <c r="D12" s="141"/>
      <c r="E12" s="156" t="e">
        <f>LOG(Normalisation!E12)</f>
        <v>#NUM!</v>
      </c>
      <c r="F12" s="98" t="e">
        <f>LOG(Normalisation!F12)</f>
        <v>#NUM!</v>
      </c>
      <c r="G12" s="98" t="e">
        <f>LOG(Normalisation!G12)</f>
        <v>#NUM!</v>
      </c>
      <c r="H12" s="98" t="e">
        <f>LOG(Normalisation!H12)</f>
        <v>#NUM!</v>
      </c>
      <c r="I12" s="98" t="e">
        <f>LOG(Normalisation!I12)</f>
        <v>#NUM!</v>
      </c>
      <c r="J12" s="98" t="e">
        <f>LOG(Normalisation!J12)</f>
        <v>#NUM!</v>
      </c>
      <c r="K12" s="98" t="e">
        <f>LOG(Normalisation!K12)</f>
        <v>#NUM!</v>
      </c>
      <c r="L12" s="99" t="e">
        <f>LOG(Normalisation!L12)</f>
        <v>#NUM!</v>
      </c>
      <c r="O12" s="71"/>
      <c r="P12" s="71"/>
    </row>
    <row r="13" spans="1:16" ht="16.5" x14ac:dyDescent="0.2">
      <c r="A13" s="43">
        <f>LOD!A12</f>
        <v>0</v>
      </c>
      <c r="B13" s="33">
        <f>LOD!B12</f>
        <v>0</v>
      </c>
      <c r="C13" s="139" t="s">
        <v>100</v>
      </c>
      <c r="D13" s="141"/>
      <c r="E13" s="156" t="e">
        <f>LOG(Normalisation!E13)</f>
        <v>#NUM!</v>
      </c>
      <c r="F13" s="98" t="e">
        <f>LOG(Normalisation!F13)</f>
        <v>#NUM!</v>
      </c>
      <c r="G13" s="98" t="e">
        <f>LOG(Normalisation!G13)</f>
        <v>#NUM!</v>
      </c>
      <c r="H13" s="98" t="e">
        <f>LOG(Normalisation!H13)</f>
        <v>#NUM!</v>
      </c>
      <c r="I13" s="98" t="e">
        <f>LOG(Normalisation!I13)</f>
        <v>#NUM!</v>
      </c>
      <c r="J13" s="98" t="e">
        <f>LOG(Normalisation!J13)</f>
        <v>#NUM!</v>
      </c>
      <c r="K13" s="98" t="e">
        <f>LOG(Normalisation!K13)</f>
        <v>#NUM!</v>
      </c>
      <c r="L13" s="99" t="e">
        <f>LOG(Normalisation!L13)</f>
        <v>#NUM!</v>
      </c>
      <c r="O13" s="71"/>
      <c r="P13" s="71"/>
    </row>
    <row r="14" spans="1:16" ht="16.5" x14ac:dyDescent="0.2">
      <c r="A14" s="43">
        <f>LOD!A13</f>
        <v>0</v>
      </c>
      <c r="B14" s="33">
        <f>LOD!B13</f>
        <v>0</v>
      </c>
      <c r="C14" s="139" t="s">
        <v>100</v>
      </c>
      <c r="D14" s="141"/>
      <c r="E14" s="156" t="e">
        <f>LOG(Normalisation!E14)</f>
        <v>#NUM!</v>
      </c>
      <c r="F14" s="98" t="e">
        <f>LOG(Normalisation!F14)</f>
        <v>#NUM!</v>
      </c>
      <c r="G14" s="98" t="e">
        <f>LOG(Normalisation!G14)</f>
        <v>#NUM!</v>
      </c>
      <c r="H14" s="98" t="e">
        <f>LOG(Normalisation!H14)</f>
        <v>#NUM!</v>
      </c>
      <c r="I14" s="98" t="e">
        <f>LOG(Normalisation!I14)</f>
        <v>#NUM!</v>
      </c>
      <c r="J14" s="98" t="e">
        <f>LOG(Normalisation!J14)</f>
        <v>#NUM!</v>
      </c>
      <c r="K14" s="98" t="e">
        <f>LOG(Normalisation!K14)</f>
        <v>#NUM!</v>
      </c>
      <c r="L14" s="99" t="e">
        <f>LOG(Normalisation!L14)</f>
        <v>#NUM!</v>
      </c>
      <c r="O14" s="71"/>
      <c r="P14" s="71"/>
    </row>
    <row r="15" spans="1:16" ht="16.5" x14ac:dyDescent="0.2">
      <c r="A15" s="43">
        <f>LOD!A14</f>
        <v>0</v>
      </c>
      <c r="B15" s="33">
        <f>LOD!B14</f>
        <v>0</v>
      </c>
      <c r="C15" s="139" t="s">
        <v>100</v>
      </c>
      <c r="D15" s="141"/>
      <c r="E15" s="156" t="e">
        <f>LOG(Normalisation!E15)</f>
        <v>#NUM!</v>
      </c>
      <c r="F15" s="98" t="e">
        <f>LOG(Normalisation!F15)</f>
        <v>#NUM!</v>
      </c>
      <c r="G15" s="98" t="e">
        <f>LOG(Normalisation!G15)</f>
        <v>#NUM!</v>
      </c>
      <c r="H15" s="98" t="e">
        <f>LOG(Normalisation!H15)</f>
        <v>#NUM!</v>
      </c>
      <c r="I15" s="98" t="e">
        <f>LOG(Normalisation!I15)</f>
        <v>#NUM!</v>
      </c>
      <c r="J15" s="98" t="e">
        <f>LOG(Normalisation!J15)</f>
        <v>#NUM!</v>
      </c>
      <c r="K15" s="98" t="e">
        <f>LOG(Normalisation!K15)</f>
        <v>#NUM!</v>
      </c>
      <c r="L15" s="99" t="e">
        <f>LOG(Normalisation!L15)</f>
        <v>#NUM!</v>
      </c>
      <c r="O15" s="71"/>
      <c r="P15" s="71"/>
    </row>
    <row r="16" spans="1:16" ht="16.5" x14ac:dyDescent="0.2">
      <c r="A16" s="43">
        <f>LOD!A15</f>
        <v>0</v>
      </c>
      <c r="B16" s="33">
        <f>LOD!B15</f>
        <v>0</v>
      </c>
      <c r="C16" s="139" t="s">
        <v>100</v>
      </c>
      <c r="D16" s="141"/>
      <c r="E16" s="156" t="e">
        <f>LOG(Normalisation!E16)</f>
        <v>#NUM!</v>
      </c>
      <c r="F16" s="98" t="e">
        <f>LOG(Normalisation!F16)</f>
        <v>#NUM!</v>
      </c>
      <c r="G16" s="98" t="e">
        <f>LOG(Normalisation!G16)</f>
        <v>#NUM!</v>
      </c>
      <c r="H16" s="98" t="e">
        <f>LOG(Normalisation!H16)</f>
        <v>#NUM!</v>
      </c>
      <c r="I16" s="98" t="e">
        <f>LOG(Normalisation!I16)</f>
        <v>#NUM!</v>
      </c>
      <c r="J16" s="98" t="e">
        <f>LOG(Normalisation!J16)</f>
        <v>#NUM!</v>
      </c>
      <c r="K16" s="98" t="e">
        <f>LOG(Normalisation!K16)</f>
        <v>#NUM!</v>
      </c>
      <c r="L16" s="99" t="e">
        <f>LOG(Normalisation!L16)</f>
        <v>#NUM!</v>
      </c>
      <c r="O16" s="71"/>
      <c r="P16" s="71"/>
    </row>
    <row r="17" spans="1:16" ht="16.5" x14ac:dyDescent="0.2">
      <c r="A17" s="43">
        <f>LOD!A16</f>
        <v>0</v>
      </c>
      <c r="B17" s="33">
        <f>LOD!B16</f>
        <v>0</v>
      </c>
      <c r="C17" s="139" t="s">
        <v>100</v>
      </c>
      <c r="D17" s="141"/>
      <c r="E17" s="156" t="e">
        <f>LOG(Normalisation!E17)</f>
        <v>#NUM!</v>
      </c>
      <c r="F17" s="98" t="e">
        <f>LOG(Normalisation!F17)</f>
        <v>#NUM!</v>
      </c>
      <c r="G17" s="98" t="e">
        <f>LOG(Normalisation!G17)</f>
        <v>#NUM!</v>
      </c>
      <c r="H17" s="98" t="e">
        <f>LOG(Normalisation!H17)</f>
        <v>#NUM!</v>
      </c>
      <c r="I17" s="98" t="e">
        <f>LOG(Normalisation!I17)</f>
        <v>#NUM!</v>
      </c>
      <c r="J17" s="98" t="e">
        <f>LOG(Normalisation!J17)</f>
        <v>#NUM!</v>
      </c>
      <c r="K17" s="98" t="e">
        <f>LOG(Normalisation!K17)</f>
        <v>#NUM!</v>
      </c>
      <c r="L17" s="99" t="e">
        <f>LOG(Normalisation!L17)</f>
        <v>#NUM!</v>
      </c>
      <c r="O17" s="147"/>
      <c r="P17" s="147"/>
    </row>
    <row r="18" spans="1:16" ht="16.5" x14ac:dyDescent="0.2">
      <c r="A18" s="43">
        <f>LOD!A17</f>
        <v>0</v>
      </c>
      <c r="B18" s="33">
        <f>LOD!B17</f>
        <v>0</v>
      </c>
      <c r="C18" s="139" t="s">
        <v>100</v>
      </c>
      <c r="D18" s="141"/>
      <c r="E18" s="156" t="e">
        <f>LOG(Normalisation!E18)</f>
        <v>#NUM!</v>
      </c>
      <c r="F18" s="98" t="e">
        <f>LOG(Normalisation!F18)</f>
        <v>#NUM!</v>
      </c>
      <c r="G18" s="98" t="e">
        <f>LOG(Normalisation!G18)</f>
        <v>#NUM!</v>
      </c>
      <c r="H18" s="98" t="e">
        <f>LOG(Normalisation!H18)</f>
        <v>#NUM!</v>
      </c>
      <c r="I18" s="98" t="e">
        <f>LOG(Normalisation!I18)</f>
        <v>#NUM!</v>
      </c>
      <c r="J18" s="98" t="e">
        <f>LOG(Normalisation!J18)</f>
        <v>#NUM!</v>
      </c>
      <c r="K18" s="98" t="e">
        <f>LOG(Normalisation!K18)</f>
        <v>#NUM!</v>
      </c>
      <c r="L18" s="99" t="e">
        <f>LOG(Normalisation!L18)</f>
        <v>#NUM!</v>
      </c>
    </row>
    <row r="19" spans="1:16" ht="16.5" x14ac:dyDescent="0.2">
      <c r="A19" s="43">
        <f>LOD!A18</f>
        <v>0</v>
      </c>
      <c r="B19" s="33">
        <f>LOD!B18</f>
        <v>0</v>
      </c>
      <c r="C19" s="139" t="s">
        <v>100</v>
      </c>
      <c r="D19" s="141"/>
      <c r="E19" s="156" t="e">
        <f>LOG(Normalisation!E19)</f>
        <v>#NUM!</v>
      </c>
      <c r="F19" s="98" t="e">
        <f>LOG(Normalisation!F19)</f>
        <v>#NUM!</v>
      </c>
      <c r="G19" s="98" t="e">
        <f>LOG(Normalisation!G19)</f>
        <v>#NUM!</v>
      </c>
      <c r="H19" s="98" t="e">
        <f>LOG(Normalisation!H19)</f>
        <v>#NUM!</v>
      </c>
      <c r="I19" s="98" t="e">
        <f>LOG(Normalisation!I19)</f>
        <v>#NUM!</v>
      </c>
      <c r="J19" s="98" t="e">
        <f>LOG(Normalisation!J19)</f>
        <v>#NUM!</v>
      </c>
      <c r="K19" s="98" t="e">
        <f>LOG(Normalisation!K19)</f>
        <v>#NUM!</v>
      </c>
      <c r="L19" s="99" t="e">
        <f>LOG(Normalisation!L19)</f>
        <v>#NUM!</v>
      </c>
    </row>
    <row r="20" spans="1:16" ht="16.5" x14ac:dyDescent="0.2">
      <c r="A20" s="43">
        <f>LOD!A19</f>
        <v>0</v>
      </c>
      <c r="B20" s="33">
        <f>LOD!B19</f>
        <v>0</v>
      </c>
      <c r="C20" s="139" t="s">
        <v>100</v>
      </c>
      <c r="D20" s="141"/>
      <c r="E20" s="156" t="e">
        <f>LOG(Normalisation!E20)</f>
        <v>#NUM!</v>
      </c>
      <c r="F20" s="98" t="e">
        <f>LOG(Normalisation!F20)</f>
        <v>#NUM!</v>
      </c>
      <c r="G20" s="98" t="e">
        <f>LOG(Normalisation!G20)</f>
        <v>#NUM!</v>
      </c>
      <c r="H20" s="98" t="e">
        <f>LOG(Normalisation!H20)</f>
        <v>#NUM!</v>
      </c>
      <c r="I20" s="98" t="e">
        <f>LOG(Normalisation!I20)</f>
        <v>#NUM!</v>
      </c>
      <c r="J20" s="98" t="e">
        <f>LOG(Normalisation!J20)</f>
        <v>#NUM!</v>
      </c>
      <c r="K20" s="98" t="e">
        <f>LOG(Normalisation!K20)</f>
        <v>#NUM!</v>
      </c>
      <c r="L20" s="99" t="e">
        <f>LOG(Normalisation!L20)</f>
        <v>#NUM!</v>
      </c>
    </row>
    <row r="21" spans="1:16" ht="16.5" x14ac:dyDescent="0.2">
      <c r="A21" s="43">
        <f>LOD!A20</f>
        <v>0</v>
      </c>
      <c r="B21" s="33">
        <f>LOD!B20</f>
        <v>0</v>
      </c>
      <c r="C21" s="139" t="s">
        <v>100</v>
      </c>
      <c r="D21" s="141"/>
      <c r="E21" s="156" t="e">
        <f>LOG(Normalisation!E21)</f>
        <v>#NUM!</v>
      </c>
      <c r="F21" s="98" t="e">
        <f>LOG(Normalisation!F21)</f>
        <v>#NUM!</v>
      </c>
      <c r="G21" s="98" t="e">
        <f>LOG(Normalisation!G21)</f>
        <v>#NUM!</v>
      </c>
      <c r="H21" s="98" t="e">
        <f>LOG(Normalisation!H21)</f>
        <v>#NUM!</v>
      </c>
      <c r="I21" s="98" t="e">
        <f>LOG(Normalisation!I21)</f>
        <v>#NUM!</v>
      </c>
      <c r="J21" s="98" t="e">
        <f>LOG(Normalisation!J21)</f>
        <v>#NUM!</v>
      </c>
      <c r="K21" s="98" t="e">
        <f>LOG(Normalisation!K21)</f>
        <v>#NUM!</v>
      </c>
      <c r="L21" s="99" t="e">
        <f>LOG(Normalisation!L21)</f>
        <v>#NUM!</v>
      </c>
    </row>
    <row r="22" spans="1:16" ht="16.5" x14ac:dyDescent="0.2">
      <c r="A22" s="43">
        <f>LOD!A21</f>
        <v>0</v>
      </c>
      <c r="B22" s="33">
        <f>LOD!B21</f>
        <v>0</v>
      </c>
      <c r="C22" s="139" t="s">
        <v>100</v>
      </c>
      <c r="D22" s="141"/>
      <c r="E22" s="156" t="e">
        <f>LOG(Normalisation!E22)</f>
        <v>#NUM!</v>
      </c>
      <c r="F22" s="98" t="e">
        <f>LOG(Normalisation!F22)</f>
        <v>#NUM!</v>
      </c>
      <c r="G22" s="98" t="e">
        <f>LOG(Normalisation!G22)</f>
        <v>#NUM!</v>
      </c>
      <c r="H22" s="98" t="e">
        <f>LOG(Normalisation!H22)</f>
        <v>#NUM!</v>
      </c>
      <c r="I22" s="98" t="e">
        <f>LOG(Normalisation!I22)</f>
        <v>#NUM!</v>
      </c>
      <c r="J22" s="98" t="e">
        <f>LOG(Normalisation!J22)</f>
        <v>#NUM!</v>
      </c>
      <c r="K22" s="98" t="e">
        <f>LOG(Normalisation!K22)</f>
        <v>#NUM!</v>
      </c>
      <c r="L22" s="99" t="e">
        <f>LOG(Normalisation!L22)</f>
        <v>#NUM!</v>
      </c>
    </row>
    <row r="23" spans="1:16" ht="16.5" hidden="1" x14ac:dyDescent="0.2">
      <c r="A23" s="43">
        <f>LOD!A22</f>
        <v>0</v>
      </c>
      <c r="B23" s="33">
        <f>LOD!B22</f>
        <v>0</v>
      </c>
      <c r="C23" s="139" t="s">
        <v>100</v>
      </c>
      <c r="D23" s="141"/>
      <c r="E23" s="156" t="e">
        <f>LOG(Normalisation!E23)</f>
        <v>#NUM!</v>
      </c>
      <c r="F23" s="98" t="e">
        <f>LOG(Normalisation!F23)</f>
        <v>#NUM!</v>
      </c>
      <c r="G23" s="98" t="e">
        <f>LOG(Normalisation!G23)</f>
        <v>#NUM!</v>
      </c>
      <c r="H23" s="98" t="e">
        <f>LOG(Normalisation!H23)</f>
        <v>#NUM!</v>
      </c>
      <c r="I23" s="98" t="e">
        <f>LOG(Normalisation!I23)</f>
        <v>#NUM!</v>
      </c>
      <c r="J23" s="98" t="e">
        <f>LOG(Normalisation!J23)</f>
        <v>#NUM!</v>
      </c>
      <c r="K23" s="98" t="e">
        <f>LOG(Normalisation!K23)</f>
        <v>#NUM!</v>
      </c>
      <c r="L23" s="99" t="e">
        <f>LOG(Normalisation!L23)</f>
        <v>#NUM!</v>
      </c>
    </row>
    <row r="24" spans="1:16" ht="16.5" hidden="1" x14ac:dyDescent="0.2">
      <c r="A24" s="43">
        <f>LOD!A23</f>
        <v>0</v>
      </c>
      <c r="B24" s="33">
        <f>LOD!B23</f>
        <v>0</v>
      </c>
      <c r="C24" s="139" t="s">
        <v>100</v>
      </c>
      <c r="D24" s="141"/>
      <c r="E24" s="156" t="e">
        <f>LOG(Normalisation!E24)</f>
        <v>#NUM!</v>
      </c>
      <c r="F24" s="98" t="e">
        <f>LOG(Normalisation!F24)</f>
        <v>#NUM!</v>
      </c>
      <c r="G24" s="98" t="e">
        <f>LOG(Normalisation!G24)</f>
        <v>#NUM!</v>
      </c>
      <c r="H24" s="98" t="e">
        <f>LOG(Normalisation!H24)</f>
        <v>#NUM!</v>
      </c>
      <c r="I24" s="98" t="e">
        <f>LOG(Normalisation!I24)</f>
        <v>#NUM!</v>
      </c>
      <c r="J24" s="98" t="e">
        <f>LOG(Normalisation!J24)</f>
        <v>#NUM!</v>
      </c>
      <c r="K24" s="98" t="e">
        <f>LOG(Normalisation!K24)</f>
        <v>#NUM!</v>
      </c>
      <c r="L24" s="99" t="e">
        <f>LOG(Normalisation!L24)</f>
        <v>#NUM!</v>
      </c>
    </row>
    <row r="25" spans="1:16" ht="16.5" x14ac:dyDescent="0.2">
      <c r="A25" s="43">
        <f>LOD!A24</f>
        <v>0</v>
      </c>
      <c r="B25" s="33">
        <f>LOD!B24</f>
        <v>0</v>
      </c>
      <c r="C25" s="139" t="s">
        <v>100</v>
      </c>
      <c r="D25" s="141"/>
      <c r="E25" s="156" t="e">
        <f>LOG(Normalisation!E25)</f>
        <v>#NUM!</v>
      </c>
      <c r="F25" s="98" t="e">
        <f>LOG(Normalisation!F25)</f>
        <v>#NUM!</v>
      </c>
      <c r="G25" s="98" t="e">
        <f>LOG(Normalisation!G25)</f>
        <v>#NUM!</v>
      </c>
      <c r="H25" s="98" t="e">
        <f>LOG(Normalisation!H25)</f>
        <v>#NUM!</v>
      </c>
      <c r="I25" s="98" t="e">
        <f>LOG(Normalisation!I25)</f>
        <v>#NUM!</v>
      </c>
      <c r="J25" s="98" t="e">
        <f>LOG(Normalisation!J25)</f>
        <v>#NUM!</v>
      </c>
      <c r="K25" s="98" t="e">
        <f>LOG(Normalisation!K25)</f>
        <v>#NUM!</v>
      </c>
      <c r="L25" s="99" t="e">
        <f>LOG(Normalisation!L25)</f>
        <v>#NUM!</v>
      </c>
    </row>
    <row r="26" spans="1:16" ht="16.5" x14ac:dyDescent="0.2">
      <c r="A26" s="43">
        <f>LOD!A25</f>
        <v>0</v>
      </c>
      <c r="B26" s="33">
        <f>LOD!B25</f>
        <v>0</v>
      </c>
      <c r="C26" s="139" t="s">
        <v>100</v>
      </c>
      <c r="D26" s="141"/>
      <c r="E26" s="156" t="e">
        <f>LOG(Normalisation!E26)</f>
        <v>#NUM!</v>
      </c>
      <c r="F26" s="98" t="e">
        <f>LOG(Normalisation!F26)</f>
        <v>#NUM!</v>
      </c>
      <c r="G26" s="98" t="e">
        <f>LOG(Normalisation!G26)</f>
        <v>#NUM!</v>
      </c>
      <c r="H26" s="98" t="e">
        <f>LOG(Normalisation!H26)</f>
        <v>#NUM!</v>
      </c>
      <c r="I26" s="98" t="e">
        <f>LOG(Normalisation!I26)</f>
        <v>#NUM!</v>
      </c>
      <c r="J26" s="98" t="e">
        <f>LOG(Normalisation!J26)</f>
        <v>#NUM!</v>
      </c>
      <c r="K26" s="98" t="e">
        <f>LOG(Normalisation!K26)</f>
        <v>#NUM!</v>
      </c>
      <c r="L26" s="99" t="e">
        <f>LOG(Normalisation!L26)</f>
        <v>#NUM!</v>
      </c>
    </row>
    <row r="27" spans="1:16" ht="16.5" x14ac:dyDescent="0.2">
      <c r="A27" s="43">
        <f>LOD!A26</f>
        <v>0</v>
      </c>
      <c r="B27" s="33">
        <f>LOD!B26</f>
        <v>0</v>
      </c>
      <c r="C27" s="139" t="s">
        <v>100</v>
      </c>
      <c r="D27" s="141"/>
      <c r="E27" s="156" t="e">
        <f>LOG(Normalisation!E27)</f>
        <v>#NUM!</v>
      </c>
      <c r="F27" s="98" t="e">
        <f>LOG(Normalisation!F27)</f>
        <v>#NUM!</v>
      </c>
      <c r="G27" s="98" t="e">
        <f>LOG(Normalisation!G27)</f>
        <v>#NUM!</v>
      </c>
      <c r="H27" s="98" t="e">
        <f>LOG(Normalisation!H27)</f>
        <v>#NUM!</v>
      </c>
      <c r="I27" s="98" t="e">
        <f>LOG(Normalisation!I27)</f>
        <v>#NUM!</v>
      </c>
      <c r="J27" s="98" t="e">
        <f>LOG(Normalisation!J27)</f>
        <v>#NUM!</v>
      </c>
      <c r="K27" s="98" t="e">
        <f>LOG(Normalisation!K27)</f>
        <v>#NUM!</v>
      </c>
      <c r="L27" s="99" t="e">
        <f>LOG(Normalisation!L27)</f>
        <v>#NUM!</v>
      </c>
    </row>
    <row r="28" spans="1:16" ht="16.5" x14ac:dyDescent="0.2">
      <c r="A28" s="43">
        <f>LOD!A27</f>
        <v>0</v>
      </c>
      <c r="B28" s="33">
        <f>LOD!B27</f>
        <v>0</v>
      </c>
      <c r="C28" s="139" t="s">
        <v>100</v>
      </c>
      <c r="D28" s="141"/>
      <c r="E28" s="156" t="e">
        <f>LOG(Normalisation!E28)</f>
        <v>#NUM!</v>
      </c>
      <c r="F28" s="98" t="e">
        <f>LOG(Normalisation!F28)</f>
        <v>#NUM!</v>
      </c>
      <c r="G28" s="98" t="e">
        <f>LOG(Normalisation!G28)</f>
        <v>#NUM!</v>
      </c>
      <c r="H28" s="98" t="e">
        <f>LOG(Normalisation!H28)</f>
        <v>#NUM!</v>
      </c>
      <c r="I28" s="98" t="e">
        <f>LOG(Normalisation!I28)</f>
        <v>#NUM!</v>
      </c>
      <c r="J28" s="98" t="e">
        <f>LOG(Normalisation!J28)</f>
        <v>#NUM!</v>
      </c>
      <c r="K28" s="98" t="e">
        <f>LOG(Normalisation!K28)</f>
        <v>#NUM!</v>
      </c>
      <c r="L28" s="99" t="e">
        <f>LOG(Normalisation!L28)</f>
        <v>#NUM!</v>
      </c>
    </row>
    <row r="29" spans="1:16" ht="16.5" x14ac:dyDescent="0.2">
      <c r="A29" s="43">
        <f>LOD!A28</f>
        <v>0</v>
      </c>
      <c r="B29" s="33">
        <f>LOD!B28</f>
        <v>0</v>
      </c>
      <c r="C29" s="139" t="s">
        <v>100</v>
      </c>
      <c r="D29" s="141"/>
      <c r="E29" s="156" t="e">
        <f>LOG(Normalisation!E29)</f>
        <v>#NUM!</v>
      </c>
      <c r="F29" s="98" t="e">
        <f>LOG(Normalisation!F29)</f>
        <v>#NUM!</v>
      </c>
      <c r="G29" s="98" t="e">
        <f>LOG(Normalisation!G29)</f>
        <v>#NUM!</v>
      </c>
      <c r="H29" s="98" t="e">
        <f>LOG(Normalisation!H29)</f>
        <v>#NUM!</v>
      </c>
      <c r="I29" s="98" t="e">
        <f>LOG(Normalisation!I29)</f>
        <v>#NUM!</v>
      </c>
      <c r="J29" s="98" t="e">
        <f>LOG(Normalisation!J29)</f>
        <v>#NUM!</v>
      </c>
      <c r="K29" s="98" t="e">
        <f>LOG(Normalisation!K29)</f>
        <v>#NUM!</v>
      </c>
      <c r="L29" s="99" t="e">
        <f>LOG(Normalisation!L29)</f>
        <v>#NUM!</v>
      </c>
    </row>
    <row r="30" spans="1:16" ht="16.5" x14ac:dyDescent="0.2">
      <c r="A30" s="43">
        <f>LOD!A29</f>
        <v>0</v>
      </c>
      <c r="B30" s="33">
        <f>LOD!B29</f>
        <v>0</v>
      </c>
      <c r="C30" s="139" t="s">
        <v>100</v>
      </c>
      <c r="D30" s="145"/>
      <c r="E30" s="156" t="e">
        <f>LOG(Normalisation!E30)</f>
        <v>#NUM!</v>
      </c>
      <c r="F30" s="98" t="e">
        <f>LOG(Normalisation!F30)</f>
        <v>#NUM!</v>
      </c>
      <c r="G30" s="98" t="e">
        <f>LOG(Normalisation!G30)</f>
        <v>#NUM!</v>
      </c>
      <c r="H30" s="98" t="e">
        <f>LOG(Normalisation!H30)</f>
        <v>#NUM!</v>
      </c>
      <c r="I30" s="98" t="e">
        <f>LOG(Normalisation!I30)</f>
        <v>#NUM!</v>
      </c>
      <c r="J30" s="98" t="e">
        <f>LOG(Normalisation!J30)</f>
        <v>#NUM!</v>
      </c>
      <c r="K30" s="98" t="e">
        <f>LOG(Normalisation!K30)</f>
        <v>#NUM!</v>
      </c>
      <c r="L30" s="99" t="e">
        <f>LOG(Normalisation!L30)</f>
        <v>#NUM!</v>
      </c>
    </row>
    <row r="31" spans="1:16" ht="16.5" x14ac:dyDescent="0.2">
      <c r="A31" s="43">
        <f>LOD!A30</f>
        <v>0</v>
      </c>
      <c r="B31" s="33">
        <f>LOD!B30</f>
        <v>0</v>
      </c>
      <c r="C31" s="139" t="s">
        <v>100</v>
      </c>
      <c r="D31" s="145"/>
      <c r="E31" s="156" t="e">
        <f>LOG(Normalisation!E31)</f>
        <v>#NUM!</v>
      </c>
      <c r="F31" s="98" t="e">
        <f>LOG(Normalisation!F31)</f>
        <v>#NUM!</v>
      </c>
      <c r="G31" s="98" t="e">
        <f>LOG(Normalisation!G31)</f>
        <v>#NUM!</v>
      </c>
      <c r="H31" s="98" t="e">
        <f>LOG(Normalisation!H31)</f>
        <v>#NUM!</v>
      </c>
      <c r="I31" s="98" t="e">
        <f>LOG(Normalisation!I31)</f>
        <v>#NUM!</v>
      </c>
      <c r="J31" s="98" t="e">
        <f>LOG(Normalisation!J31)</f>
        <v>#NUM!</v>
      </c>
      <c r="K31" s="98" t="e">
        <f>LOG(Normalisation!K31)</f>
        <v>#NUM!</v>
      </c>
      <c r="L31" s="99" t="e">
        <f>LOG(Normalisation!L31)</f>
        <v>#NUM!</v>
      </c>
    </row>
    <row r="32" spans="1:16" ht="16.5" x14ac:dyDescent="0.2">
      <c r="A32" s="43">
        <f>LOD!A31</f>
        <v>0</v>
      </c>
      <c r="B32" s="33">
        <f>LOD!B31</f>
        <v>0</v>
      </c>
      <c r="C32" s="139" t="s">
        <v>100</v>
      </c>
      <c r="D32" s="145"/>
      <c r="E32" s="156" t="e">
        <f>LOG(Normalisation!E32)</f>
        <v>#NUM!</v>
      </c>
      <c r="F32" s="98" t="e">
        <f>LOG(Normalisation!F32)</f>
        <v>#NUM!</v>
      </c>
      <c r="G32" s="98" t="e">
        <f>LOG(Normalisation!G32)</f>
        <v>#NUM!</v>
      </c>
      <c r="H32" s="98" t="e">
        <f>LOG(Normalisation!H32)</f>
        <v>#NUM!</v>
      </c>
      <c r="I32" s="98" t="e">
        <f>LOG(Normalisation!I32)</f>
        <v>#NUM!</v>
      </c>
      <c r="J32" s="98" t="e">
        <f>LOG(Normalisation!J32)</f>
        <v>#NUM!</v>
      </c>
      <c r="K32" s="98" t="e">
        <f>LOG(Normalisation!K32)</f>
        <v>#NUM!</v>
      </c>
      <c r="L32" s="99" t="e">
        <f>LOG(Normalisation!L32)</f>
        <v>#NUM!</v>
      </c>
    </row>
    <row r="33" spans="1:12" ht="16.5" x14ac:dyDescent="0.2">
      <c r="A33" s="43">
        <f>LOD!A32</f>
        <v>0</v>
      </c>
      <c r="B33" s="33">
        <f>LOD!B32</f>
        <v>0</v>
      </c>
      <c r="C33" s="139" t="s">
        <v>100</v>
      </c>
      <c r="D33" s="145"/>
      <c r="E33" s="156" t="e">
        <f>LOG(Normalisation!E33)</f>
        <v>#NUM!</v>
      </c>
      <c r="F33" s="98" t="e">
        <f>LOG(Normalisation!F33)</f>
        <v>#NUM!</v>
      </c>
      <c r="G33" s="98" t="e">
        <f>LOG(Normalisation!G33)</f>
        <v>#NUM!</v>
      </c>
      <c r="H33" s="98" t="e">
        <f>LOG(Normalisation!H33)</f>
        <v>#NUM!</v>
      </c>
      <c r="I33" s="98" t="e">
        <f>LOG(Normalisation!I33)</f>
        <v>#NUM!</v>
      </c>
      <c r="J33" s="98" t="e">
        <f>LOG(Normalisation!J33)</f>
        <v>#NUM!</v>
      </c>
      <c r="K33" s="98" t="e">
        <f>LOG(Normalisation!K33)</f>
        <v>#NUM!</v>
      </c>
      <c r="L33" s="99" t="e">
        <f>LOG(Normalisation!L33)</f>
        <v>#NUM!</v>
      </c>
    </row>
    <row r="34" spans="1:12" ht="16.5" x14ac:dyDescent="0.2">
      <c r="A34" s="43">
        <f>LOD!A33</f>
        <v>0</v>
      </c>
      <c r="B34" s="33">
        <f>LOD!B33</f>
        <v>0</v>
      </c>
      <c r="C34" s="139" t="s">
        <v>100</v>
      </c>
      <c r="D34" s="145"/>
      <c r="E34" s="156" t="e">
        <f>LOG(Normalisation!E34)</f>
        <v>#NUM!</v>
      </c>
      <c r="F34" s="98" t="e">
        <f>LOG(Normalisation!F34)</f>
        <v>#NUM!</v>
      </c>
      <c r="G34" s="98" t="e">
        <f>LOG(Normalisation!G34)</f>
        <v>#NUM!</v>
      </c>
      <c r="H34" s="98" t="e">
        <f>LOG(Normalisation!H34)</f>
        <v>#NUM!</v>
      </c>
      <c r="I34" s="98" t="e">
        <f>LOG(Normalisation!I34)</f>
        <v>#NUM!</v>
      </c>
      <c r="J34" s="98" t="e">
        <f>LOG(Normalisation!J34)</f>
        <v>#NUM!</v>
      </c>
      <c r="K34" s="98" t="e">
        <f>LOG(Normalisation!K34)</f>
        <v>#NUM!</v>
      </c>
      <c r="L34" s="99" t="e">
        <f>LOG(Normalisation!L34)</f>
        <v>#NUM!</v>
      </c>
    </row>
    <row r="35" spans="1:12" ht="16.5" x14ac:dyDescent="0.2">
      <c r="A35" s="43">
        <f>LOD!A34</f>
        <v>0</v>
      </c>
      <c r="B35" s="33">
        <f>LOD!B34</f>
        <v>0</v>
      </c>
      <c r="C35" s="139" t="s">
        <v>100</v>
      </c>
      <c r="D35" s="145"/>
      <c r="E35" s="156" t="e">
        <f>LOG(Normalisation!E35)</f>
        <v>#NUM!</v>
      </c>
      <c r="F35" s="98" t="e">
        <f>LOG(Normalisation!F35)</f>
        <v>#NUM!</v>
      </c>
      <c r="G35" s="98" t="e">
        <f>LOG(Normalisation!G35)</f>
        <v>#NUM!</v>
      </c>
      <c r="H35" s="98" t="e">
        <f>LOG(Normalisation!H35)</f>
        <v>#NUM!</v>
      </c>
      <c r="I35" s="98" t="e">
        <f>LOG(Normalisation!I35)</f>
        <v>#NUM!</v>
      </c>
      <c r="J35" s="98" t="e">
        <f>LOG(Normalisation!J35)</f>
        <v>#NUM!</v>
      </c>
      <c r="K35" s="98" t="e">
        <f>LOG(Normalisation!K35)</f>
        <v>#NUM!</v>
      </c>
      <c r="L35" s="99" t="e">
        <f>LOG(Normalisation!L35)</f>
        <v>#NUM!</v>
      </c>
    </row>
    <row r="36" spans="1:12" ht="16.5" x14ac:dyDescent="0.2">
      <c r="A36" s="43">
        <f>LOD!A35</f>
        <v>0</v>
      </c>
      <c r="B36" s="33">
        <f>LOD!B35</f>
        <v>0</v>
      </c>
      <c r="C36" s="139" t="s">
        <v>100</v>
      </c>
      <c r="D36" s="145"/>
      <c r="E36" s="156" t="e">
        <f>LOG(Normalisation!E36)</f>
        <v>#NUM!</v>
      </c>
      <c r="F36" s="98" t="e">
        <f>LOG(Normalisation!F36)</f>
        <v>#NUM!</v>
      </c>
      <c r="G36" s="98" t="e">
        <f>LOG(Normalisation!G36)</f>
        <v>#NUM!</v>
      </c>
      <c r="H36" s="98" t="e">
        <f>LOG(Normalisation!H36)</f>
        <v>#NUM!</v>
      </c>
      <c r="I36" s="98" t="e">
        <f>LOG(Normalisation!I36)</f>
        <v>#NUM!</v>
      </c>
      <c r="J36" s="98" t="e">
        <f>LOG(Normalisation!J36)</f>
        <v>#NUM!</v>
      </c>
      <c r="K36" s="98" t="e">
        <f>LOG(Normalisation!K36)</f>
        <v>#NUM!</v>
      </c>
      <c r="L36" s="99" t="e">
        <f>LOG(Normalisation!L36)</f>
        <v>#NUM!</v>
      </c>
    </row>
    <row r="37" spans="1:12" ht="16.5" x14ac:dyDescent="0.2">
      <c r="A37" s="43">
        <f>LOD!A36</f>
        <v>0</v>
      </c>
      <c r="B37" s="33">
        <f>LOD!B36</f>
        <v>0</v>
      </c>
      <c r="C37" s="139" t="s">
        <v>100</v>
      </c>
      <c r="D37" s="145"/>
      <c r="E37" s="156" t="e">
        <f>LOG(Normalisation!E37)</f>
        <v>#NUM!</v>
      </c>
      <c r="F37" s="98" t="e">
        <f>LOG(Normalisation!F37)</f>
        <v>#NUM!</v>
      </c>
      <c r="G37" s="98" t="e">
        <f>LOG(Normalisation!G37)</f>
        <v>#NUM!</v>
      </c>
      <c r="H37" s="98" t="e">
        <f>LOG(Normalisation!H37)</f>
        <v>#NUM!</v>
      </c>
      <c r="I37" s="98" t="e">
        <f>LOG(Normalisation!I37)</f>
        <v>#NUM!</v>
      </c>
      <c r="J37" s="98" t="e">
        <f>LOG(Normalisation!J37)</f>
        <v>#NUM!</v>
      </c>
      <c r="K37" s="98" t="e">
        <f>LOG(Normalisation!K37)</f>
        <v>#NUM!</v>
      </c>
      <c r="L37" s="99" t="e">
        <f>LOG(Normalisation!L37)</f>
        <v>#NUM!</v>
      </c>
    </row>
    <row r="38" spans="1:12" ht="16.5" x14ac:dyDescent="0.2">
      <c r="A38" s="43">
        <f>LOD!A37</f>
        <v>0</v>
      </c>
      <c r="B38" s="33">
        <f>LOD!B37</f>
        <v>0</v>
      </c>
      <c r="C38" s="139" t="s">
        <v>100</v>
      </c>
      <c r="D38" s="145"/>
      <c r="E38" s="156" t="e">
        <f>LOG(Normalisation!E38)</f>
        <v>#NUM!</v>
      </c>
      <c r="F38" s="98" t="e">
        <f>LOG(Normalisation!F38)</f>
        <v>#NUM!</v>
      </c>
      <c r="G38" s="98" t="e">
        <f>LOG(Normalisation!G38)</f>
        <v>#NUM!</v>
      </c>
      <c r="H38" s="98" t="e">
        <f>LOG(Normalisation!H38)</f>
        <v>#NUM!</v>
      </c>
      <c r="I38" s="98" t="e">
        <f>LOG(Normalisation!I38)</f>
        <v>#NUM!</v>
      </c>
      <c r="J38" s="98" t="e">
        <f>LOG(Normalisation!J38)</f>
        <v>#NUM!</v>
      </c>
      <c r="K38" s="98" t="e">
        <f>LOG(Normalisation!K38)</f>
        <v>#NUM!</v>
      </c>
      <c r="L38" s="99" t="e">
        <f>LOG(Normalisation!L38)</f>
        <v>#NUM!</v>
      </c>
    </row>
    <row r="39" spans="1:12" ht="16.5" x14ac:dyDescent="0.2">
      <c r="A39" s="43">
        <f>LOD!A38</f>
        <v>0</v>
      </c>
      <c r="B39" s="33">
        <f>LOD!B38</f>
        <v>0</v>
      </c>
      <c r="C39" s="139" t="s">
        <v>100</v>
      </c>
      <c r="D39" s="145"/>
      <c r="E39" s="156" t="e">
        <f>LOG(Normalisation!E39)</f>
        <v>#NUM!</v>
      </c>
      <c r="F39" s="98" t="e">
        <f>LOG(Normalisation!F39)</f>
        <v>#NUM!</v>
      </c>
      <c r="G39" s="98" t="e">
        <f>LOG(Normalisation!G39)</f>
        <v>#NUM!</v>
      </c>
      <c r="H39" s="98" t="e">
        <f>LOG(Normalisation!H39)</f>
        <v>#NUM!</v>
      </c>
      <c r="I39" s="98" t="e">
        <f>LOG(Normalisation!I39)</f>
        <v>#NUM!</v>
      </c>
      <c r="J39" s="98" t="e">
        <f>LOG(Normalisation!J39)</f>
        <v>#NUM!</v>
      </c>
      <c r="K39" s="98" t="e">
        <f>LOG(Normalisation!K39)</f>
        <v>#NUM!</v>
      </c>
      <c r="L39" s="99" t="e">
        <f>LOG(Normalisation!L39)</f>
        <v>#NUM!</v>
      </c>
    </row>
    <row r="40" spans="1:12" ht="16.5" x14ac:dyDescent="0.2">
      <c r="A40" s="43">
        <f>LOD!A39</f>
        <v>0</v>
      </c>
      <c r="B40" s="33">
        <f>LOD!B39</f>
        <v>0</v>
      </c>
      <c r="C40" s="139" t="s">
        <v>100</v>
      </c>
      <c r="D40" s="145"/>
      <c r="E40" s="156" t="e">
        <f>LOG(Normalisation!E40)</f>
        <v>#NUM!</v>
      </c>
      <c r="F40" s="98" t="e">
        <f>LOG(Normalisation!F40)</f>
        <v>#NUM!</v>
      </c>
      <c r="G40" s="98" t="e">
        <f>LOG(Normalisation!G40)</f>
        <v>#NUM!</v>
      </c>
      <c r="H40" s="98" t="e">
        <f>LOG(Normalisation!H40)</f>
        <v>#NUM!</v>
      </c>
      <c r="I40" s="98" t="e">
        <f>LOG(Normalisation!I40)</f>
        <v>#NUM!</v>
      </c>
      <c r="J40" s="98" t="e">
        <f>LOG(Normalisation!J40)</f>
        <v>#NUM!</v>
      </c>
      <c r="K40" s="98" t="e">
        <f>LOG(Normalisation!K40)</f>
        <v>#NUM!</v>
      </c>
      <c r="L40" s="99" t="e">
        <f>LOG(Normalisation!L40)</f>
        <v>#NUM!</v>
      </c>
    </row>
    <row r="41" spans="1:12" ht="16.5" x14ac:dyDescent="0.2">
      <c r="A41" s="43">
        <f>LOD!A40</f>
        <v>0</v>
      </c>
      <c r="B41" s="33">
        <f>LOD!B40</f>
        <v>0</v>
      </c>
      <c r="C41" s="139" t="s">
        <v>100</v>
      </c>
      <c r="D41" s="145"/>
      <c r="E41" s="156" t="e">
        <f>LOG(Normalisation!E41)</f>
        <v>#NUM!</v>
      </c>
      <c r="F41" s="98" t="e">
        <f>LOG(Normalisation!F41)</f>
        <v>#NUM!</v>
      </c>
      <c r="G41" s="98" t="e">
        <f>LOG(Normalisation!G41)</f>
        <v>#NUM!</v>
      </c>
      <c r="H41" s="98" t="e">
        <f>LOG(Normalisation!H41)</f>
        <v>#NUM!</v>
      </c>
      <c r="I41" s="98" t="e">
        <f>LOG(Normalisation!I41)</f>
        <v>#NUM!</v>
      </c>
      <c r="J41" s="98" t="e">
        <f>LOG(Normalisation!J41)</f>
        <v>#NUM!</v>
      </c>
      <c r="K41" s="98" t="e">
        <f>LOG(Normalisation!K41)</f>
        <v>#NUM!</v>
      </c>
      <c r="L41" s="99" t="e">
        <f>LOG(Normalisation!L41)</f>
        <v>#NUM!</v>
      </c>
    </row>
    <row r="42" spans="1:12" ht="16.5" x14ac:dyDescent="0.2">
      <c r="A42" s="43">
        <f>LOD!A41</f>
        <v>0</v>
      </c>
      <c r="B42" s="33">
        <f>LOD!B41</f>
        <v>0</v>
      </c>
      <c r="C42" s="139" t="s">
        <v>100</v>
      </c>
      <c r="D42" s="145"/>
      <c r="E42" s="156" t="e">
        <f>LOG(Normalisation!E42)</f>
        <v>#NUM!</v>
      </c>
      <c r="F42" s="98" t="e">
        <f>LOG(Normalisation!F42)</f>
        <v>#NUM!</v>
      </c>
      <c r="G42" s="98" t="e">
        <f>LOG(Normalisation!G42)</f>
        <v>#NUM!</v>
      </c>
      <c r="H42" s="98" t="e">
        <f>LOG(Normalisation!H42)</f>
        <v>#NUM!</v>
      </c>
      <c r="I42" s="98" t="e">
        <f>LOG(Normalisation!I42)</f>
        <v>#NUM!</v>
      </c>
      <c r="J42" s="98" t="e">
        <f>LOG(Normalisation!J42)</f>
        <v>#NUM!</v>
      </c>
      <c r="K42" s="98" t="e">
        <f>LOG(Normalisation!K42)</f>
        <v>#NUM!</v>
      </c>
      <c r="L42" s="99" t="e">
        <f>LOG(Normalisation!L42)</f>
        <v>#NUM!</v>
      </c>
    </row>
    <row r="43" spans="1:12" ht="16.5" x14ac:dyDescent="0.2">
      <c r="A43" s="43">
        <f>LOD!A42</f>
        <v>0</v>
      </c>
      <c r="B43" s="33">
        <f>LOD!B42</f>
        <v>0</v>
      </c>
      <c r="C43" s="139" t="s">
        <v>100</v>
      </c>
      <c r="D43" s="145"/>
      <c r="E43" s="156" t="e">
        <f>LOG(Normalisation!E43)</f>
        <v>#NUM!</v>
      </c>
      <c r="F43" s="98" t="e">
        <f>LOG(Normalisation!F43)</f>
        <v>#NUM!</v>
      </c>
      <c r="G43" s="98" t="e">
        <f>LOG(Normalisation!G43)</f>
        <v>#NUM!</v>
      </c>
      <c r="H43" s="98" t="e">
        <f>LOG(Normalisation!H43)</f>
        <v>#NUM!</v>
      </c>
      <c r="I43" s="98" t="e">
        <f>LOG(Normalisation!I43)</f>
        <v>#NUM!</v>
      </c>
      <c r="J43" s="98" t="e">
        <f>LOG(Normalisation!J43)</f>
        <v>#NUM!</v>
      </c>
      <c r="K43" s="98" t="e">
        <f>LOG(Normalisation!K43)</f>
        <v>#NUM!</v>
      </c>
      <c r="L43" s="99" t="e">
        <f>LOG(Normalisation!L43)</f>
        <v>#NUM!</v>
      </c>
    </row>
    <row r="44" spans="1:12" ht="16.5" x14ac:dyDescent="0.2">
      <c r="A44" s="43">
        <f>LOD!A43</f>
        <v>0</v>
      </c>
      <c r="B44" s="33">
        <f>LOD!B43</f>
        <v>0</v>
      </c>
      <c r="C44" s="139" t="s">
        <v>100</v>
      </c>
      <c r="D44" s="145"/>
      <c r="E44" s="156" t="e">
        <f>LOG(Normalisation!E44)</f>
        <v>#NUM!</v>
      </c>
      <c r="F44" s="98" t="e">
        <f>LOG(Normalisation!F44)</f>
        <v>#NUM!</v>
      </c>
      <c r="G44" s="98" t="e">
        <f>LOG(Normalisation!G44)</f>
        <v>#NUM!</v>
      </c>
      <c r="H44" s="98" t="e">
        <f>LOG(Normalisation!H44)</f>
        <v>#NUM!</v>
      </c>
      <c r="I44" s="98" t="e">
        <f>LOG(Normalisation!I44)</f>
        <v>#NUM!</v>
      </c>
      <c r="J44" s="98" t="e">
        <f>LOG(Normalisation!J44)</f>
        <v>#NUM!</v>
      </c>
      <c r="K44" s="98" t="e">
        <f>LOG(Normalisation!K44)</f>
        <v>#NUM!</v>
      </c>
      <c r="L44" s="99" t="e">
        <f>LOG(Normalisation!L44)</f>
        <v>#NUM!</v>
      </c>
    </row>
    <row r="45" spans="1:12" ht="16.5" x14ac:dyDescent="0.2">
      <c r="A45" s="43">
        <f>LOD!A44</f>
        <v>0</v>
      </c>
      <c r="B45" s="33">
        <f>LOD!B44</f>
        <v>0</v>
      </c>
      <c r="C45" s="139" t="s">
        <v>100</v>
      </c>
      <c r="D45" s="145"/>
      <c r="E45" s="156" t="e">
        <f>LOG(Normalisation!E45)</f>
        <v>#NUM!</v>
      </c>
      <c r="F45" s="98" t="e">
        <f>LOG(Normalisation!F45)</f>
        <v>#NUM!</v>
      </c>
      <c r="G45" s="98" t="e">
        <f>LOG(Normalisation!G45)</f>
        <v>#NUM!</v>
      </c>
      <c r="H45" s="98" t="e">
        <f>LOG(Normalisation!H45)</f>
        <v>#NUM!</v>
      </c>
      <c r="I45" s="98" t="e">
        <f>LOG(Normalisation!I45)</f>
        <v>#NUM!</v>
      </c>
      <c r="J45" s="98" t="e">
        <f>LOG(Normalisation!J45)</f>
        <v>#NUM!</v>
      </c>
      <c r="K45" s="98" t="e">
        <f>LOG(Normalisation!K45)</f>
        <v>#NUM!</v>
      </c>
      <c r="L45" s="99" t="e">
        <f>LOG(Normalisation!L45)</f>
        <v>#NUM!</v>
      </c>
    </row>
    <row r="46" spans="1:12" ht="16.5" x14ac:dyDescent="0.2">
      <c r="A46" s="43">
        <f>LOD!A45</f>
        <v>0</v>
      </c>
      <c r="B46" s="33">
        <f>LOD!B45</f>
        <v>0</v>
      </c>
      <c r="C46" s="139" t="s">
        <v>100</v>
      </c>
      <c r="D46" s="145"/>
      <c r="E46" s="156" t="e">
        <f>LOG(Normalisation!E46)</f>
        <v>#NUM!</v>
      </c>
      <c r="F46" s="98" t="e">
        <f>LOG(Normalisation!F46)</f>
        <v>#NUM!</v>
      </c>
      <c r="G46" s="98" t="e">
        <f>LOG(Normalisation!G46)</f>
        <v>#NUM!</v>
      </c>
      <c r="H46" s="98" t="e">
        <f>LOG(Normalisation!H46)</f>
        <v>#NUM!</v>
      </c>
      <c r="I46" s="98" t="e">
        <f>LOG(Normalisation!I46)</f>
        <v>#NUM!</v>
      </c>
      <c r="J46" s="98" t="e">
        <f>LOG(Normalisation!J46)</f>
        <v>#NUM!</v>
      </c>
      <c r="K46" s="98" t="e">
        <f>LOG(Normalisation!K46)</f>
        <v>#NUM!</v>
      </c>
      <c r="L46" s="99" t="e">
        <f>LOG(Normalisation!L46)</f>
        <v>#NUM!</v>
      </c>
    </row>
    <row r="47" spans="1:12" ht="16.5" x14ac:dyDescent="0.2">
      <c r="A47" s="43">
        <f>LOD!A46</f>
        <v>0</v>
      </c>
      <c r="B47" s="33">
        <f>LOD!B46</f>
        <v>0</v>
      </c>
      <c r="C47" s="139" t="s">
        <v>100</v>
      </c>
      <c r="D47" s="145"/>
      <c r="E47" s="156" t="e">
        <f>LOG(Normalisation!E47)</f>
        <v>#NUM!</v>
      </c>
      <c r="F47" s="98" t="e">
        <f>LOG(Normalisation!F47)</f>
        <v>#NUM!</v>
      </c>
      <c r="G47" s="98" t="e">
        <f>LOG(Normalisation!G47)</f>
        <v>#NUM!</v>
      </c>
      <c r="H47" s="98" t="e">
        <f>LOG(Normalisation!H47)</f>
        <v>#NUM!</v>
      </c>
      <c r="I47" s="98" t="e">
        <f>LOG(Normalisation!I47)</f>
        <v>#NUM!</v>
      </c>
      <c r="J47" s="98" t="e">
        <f>LOG(Normalisation!J47)</f>
        <v>#NUM!</v>
      </c>
      <c r="K47" s="98" t="e">
        <f>LOG(Normalisation!K47)</f>
        <v>#NUM!</v>
      </c>
      <c r="L47" s="99" t="e">
        <f>LOG(Normalisation!L47)</f>
        <v>#NUM!</v>
      </c>
    </row>
    <row r="48" spans="1:12" ht="16.5" x14ac:dyDescent="0.2">
      <c r="A48" s="43">
        <f>LOD!A47</f>
        <v>0</v>
      </c>
      <c r="B48" s="33">
        <f>LOD!B47</f>
        <v>0</v>
      </c>
      <c r="C48" s="139" t="s">
        <v>100</v>
      </c>
      <c r="D48" s="145"/>
      <c r="E48" s="156" t="e">
        <f>LOG(Normalisation!E48)</f>
        <v>#NUM!</v>
      </c>
      <c r="F48" s="98" t="e">
        <f>LOG(Normalisation!F48)</f>
        <v>#NUM!</v>
      </c>
      <c r="G48" s="98" t="e">
        <f>LOG(Normalisation!G48)</f>
        <v>#NUM!</v>
      </c>
      <c r="H48" s="98" t="e">
        <f>LOG(Normalisation!H48)</f>
        <v>#NUM!</v>
      </c>
      <c r="I48" s="98" t="e">
        <f>LOG(Normalisation!I48)</f>
        <v>#NUM!</v>
      </c>
      <c r="J48" s="98" t="e">
        <f>LOG(Normalisation!J48)</f>
        <v>#NUM!</v>
      </c>
      <c r="K48" s="98" t="e">
        <f>LOG(Normalisation!K48)</f>
        <v>#NUM!</v>
      </c>
      <c r="L48" s="99" t="e">
        <f>LOG(Normalisation!L48)</f>
        <v>#NUM!</v>
      </c>
    </row>
    <row r="49" spans="1:12" ht="16.5" x14ac:dyDescent="0.2">
      <c r="A49" s="43">
        <f>LOD!A48</f>
        <v>0</v>
      </c>
      <c r="B49" s="33">
        <f>LOD!B48</f>
        <v>0</v>
      </c>
      <c r="C49" s="139" t="s">
        <v>100</v>
      </c>
      <c r="D49" s="145"/>
      <c r="E49" s="156" t="e">
        <f>LOG(Normalisation!E49)</f>
        <v>#NUM!</v>
      </c>
      <c r="F49" s="98" t="e">
        <f>LOG(Normalisation!F49)</f>
        <v>#NUM!</v>
      </c>
      <c r="G49" s="98" t="e">
        <f>LOG(Normalisation!G49)</f>
        <v>#NUM!</v>
      </c>
      <c r="H49" s="98" t="e">
        <f>LOG(Normalisation!H49)</f>
        <v>#NUM!</v>
      </c>
      <c r="I49" s="98" t="e">
        <f>LOG(Normalisation!I49)</f>
        <v>#NUM!</v>
      </c>
      <c r="J49" s="98" t="e">
        <f>LOG(Normalisation!J49)</f>
        <v>#NUM!</v>
      </c>
      <c r="K49" s="98" t="e">
        <f>LOG(Normalisation!K49)</f>
        <v>#NUM!</v>
      </c>
      <c r="L49" s="99" t="e">
        <f>LOG(Normalisation!L49)</f>
        <v>#NUM!</v>
      </c>
    </row>
    <row r="50" spans="1:12" ht="16.5" x14ac:dyDescent="0.2">
      <c r="A50" s="43">
        <f>LOD!A49</f>
        <v>0</v>
      </c>
      <c r="B50" s="33">
        <f>LOD!B49</f>
        <v>0</v>
      </c>
      <c r="C50" s="139" t="s">
        <v>100</v>
      </c>
      <c r="D50" s="145"/>
      <c r="E50" s="156" t="e">
        <f>LOG(Normalisation!E50)</f>
        <v>#NUM!</v>
      </c>
      <c r="F50" s="98" t="e">
        <f>LOG(Normalisation!F50)</f>
        <v>#NUM!</v>
      </c>
      <c r="G50" s="98" t="e">
        <f>LOG(Normalisation!G50)</f>
        <v>#NUM!</v>
      </c>
      <c r="H50" s="98" t="e">
        <f>LOG(Normalisation!H50)</f>
        <v>#NUM!</v>
      </c>
      <c r="I50" s="98" t="e">
        <f>LOG(Normalisation!I50)</f>
        <v>#NUM!</v>
      </c>
      <c r="J50" s="98" t="e">
        <f>LOG(Normalisation!J50)</f>
        <v>#NUM!</v>
      </c>
      <c r="K50" s="98" t="e">
        <f>LOG(Normalisation!K50)</f>
        <v>#NUM!</v>
      </c>
      <c r="L50" s="99" t="e">
        <f>LOG(Normalisation!L50)</f>
        <v>#NUM!</v>
      </c>
    </row>
    <row r="51" spans="1:12" ht="16.5" x14ac:dyDescent="0.2">
      <c r="A51" s="43">
        <f>LOD!A50</f>
        <v>0</v>
      </c>
      <c r="B51" s="33">
        <f>LOD!B50</f>
        <v>0</v>
      </c>
      <c r="C51" s="139" t="s">
        <v>100</v>
      </c>
      <c r="D51" s="145"/>
      <c r="E51" s="156" t="e">
        <f>LOG(Normalisation!E51)</f>
        <v>#NUM!</v>
      </c>
      <c r="F51" s="98" t="e">
        <f>LOG(Normalisation!F51)</f>
        <v>#NUM!</v>
      </c>
      <c r="G51" s="98" t="e">
        <f>LOG(Normalisation!G51)</f>
        <v>#NUM!</v>
      </c>
      <c r="H51" s="98" t="e">
        <f>LOG(Normalisation!H51)</f>
        <v>#NUM!</v>
      </c>
      <c r="I51" s="98" t="e">
        <f>LOG(Normalisation!I51)</f>
        <v>#NUM!</v>
      </c>
      <c r="J51" s="98" t="e">
        <f>LOG(Normalisation!J51)</f>
        <v>#NUM!</v>
      </c>
      <c r="K51" s="98" t="e">
        <f>LOG(Normalisation!K51)</f>
        <v>#NUM!</v>
      </c>
      <c r="L51" s="99" t="e">
        <f>LOG(Normalisation!L51)</f>
        <v>#NUM!</v>
      </c>
    </row>
    <row r="52" spans="1:12" ht="16.5" x14ac:dyDescent="0.2">
      <c r="A52" s="43">
        <f>LOD!A51</f>
        <v>0</v>
      </c>
      <c r="B52" s="33">
        <f>LOD!B51</f>
        <v>0</v>
      </c>
      <c r="C52" s="139" t="s">
        <v>100</v>
      </c>
      <c r="D52" s="145"/>
      <c r="E52" s="156" t="e">
        <f>LOG(Normalisation!E52)</f>
        <v>#NUM!</v>
      </c>
      <c r="F52" s="98" t="e">
        <f>LOG(Normalisation!F52)</f>
        <v>#NUM!</v>
      </c>
      <c r="G52" s="98" t="e">
        <f>LOG(Normalisation!G52)</f>
        <v>#NUM!</v>
      </c>
      <c r="H52" s="98" t="e">
        <f>LOG(Normalisation!H52)</f>
        <v>#NUM!</v>
      </c>
      <c r="I52" s="98" t="e">
        <f>LOG(Normalisation!I52)</f>
        <v>#NUM!</v>
      </c>
      <c r="J52" s="98" t="e">
        <f>LOG(Normalisation!J52)</f>
        <v>#NUM!</v>
      </c>
      <c r="K52" s="98" t="e">
        <f>LOG(Normalisation!K52)</f>
        <v>#NUM!</v>
      </c>
      <c r="L52" s="99" t="e">
        <f>LOG(Normalisation!L52)</f>
        <v>#NUM!</v>
      </c>
    </row>
    <row r="53" spans="1:12" ht="16.5" x14ac:dyDescent="0.2">
      <c r="A53" s="43">
        <f>LOD!A52</f>
        <v>0</v>
      </c>
      <c r="B53" s="33">
        <f>LOD!B52</f>
        <v>0</v>
      </c>
      <c r="C53" s="139" t="s">
        <v>100</v>
      </c>
      <c r="D53" s="145"/>
      <c r="E53" s="156" t="e">
        <f>LOG(Normalisation!E53)</f>
        <v>#NUM!</v>
      </c>
      <c r="F53" s="98" t="e">
        <f>LOG(Normalisation!F53)</f>
        <v>#NUM!</v>
      </c>
      <c r="G53" s="98" t="e">
        <f>LOG(Normalisation!G53)</f>
        <v>#NUM!</v>
      </c>
      <c r="H53" s="98" t="e">
        <f>LOG(Normalisation!H53)</f>
        <v>#NUM!</v>
      </c>
      <c r="I53" s="98" t="e">
        <f>LOG(Normalisation!I53)</f>
        <v>#NUM!</v>
      </c>
      <c r="J53" s="98" t="e">
        <f>LOG(Normalisation!J53)</f>
        <v>#NUM!</v>
      </c>
      <c r="K53" s="98" t="e">
        <f>LOG(Normalisation!K53)</f>
        <v>#NUM!</v>
      </c>
      <c r="L53" s="99" t="e">
        <f>LOG(Normalisation!L53)</f>
        <v>#NUM!</v>
      </c>
    </row>
    <row r="54" spans="1:12" ht="16.5" x14ac:dyDescent="0.2">
      <c r="A54" s="43">
        <f>LOD!A53</f>
        <v>0</v>
      </c>
      <c r="B54" s="33">
        <f>LOD!B53</f>
        <v>0</v>
      </c>
      <c r="C54" s="139" t="s">
        <v>100</v>
      </c>
      <c r="D54" s="145"/>
      <c r="E54" s="156" t="e">
        <f>LOG(Normalisation!E54)</f>
        <v>#NUM!</v>
      </c>
      <c r="F54" s="98" t="e">
        <f>LOG(Normalisation!F54)</f>
        <v>#NUM!</v>
      </c>
      <c r="G54" s="98" t="e">
        <f>LOG(Normalisation!G54)</f>
        <v>#NUM!</v>
      </c>
      <c r="H54" s="98" t="e">
        <f>LOG(Normalisation!H54)</f>
        <v>#NUM!</v>
      </c>
      <c r="I54" s="98" t="e">
        <f>LOG(Normalisation!I54)</f>
        <v>#NUM!</v>
      </c>
      <c r="J54" s="98" t="e">
        <f>LOG(Normalisation!J54)</f>
        <v>#NUM!</v>
      </c>
      <c r="K54" s="98" t="e">
        <f>LOG(Normalisation!K54)</f>
        <v>#NUM!</v>
      </c>
      <c r="L54" s="99" t="e">
        <f>LOG(Normalisation!L54)</f>
        <v>#NUM!</v>
      </c>
    </row>
    <row r="55" spans="1:12" ht="16.5" x14ac:dyDescent="0.2">
      <c r="A55" s="43">
        <f>LOD!A54</f>
        <v>0</v>
      </c>
      <c r="B55" s="33">
        <f>LOD!B54</f>
        <v>0</v>
      </c>
      <c r="C55" s="139" t="s">
        <v>100</v>
      </c>
      <c r="D55" s="145"/>
      <c r="E55" s="156" t="e">
        <f>LOG(Normalisation!E55)</f>
        <v>#NUM!</v>
      </c>
      <c r="F55" s="98" t="e">
        <f>LOG(Normalisation!F55)</f>
        <v>#NUM!</v>
      </c>
      <c r="G55" s="98" t="e">
        <f>LOG(Normalisation!G55)</f>
        <v>#NUM!</v>
      </c>
      <c r="H55" s="98" t="e">
        <f>LOG(Normalisation!H55)</f>
        <v>#NUM!</v>
      </c>
      <c r="I55" s="98" t="e">
        <f>LOG(Normalisation!I55)</f>
        <v>#NUM!</v>
      </c>
      <c r="J55" s="98" t="e">
        <f>LOG(Normalisation!J55)</f>
        <v>#NUM!</v>
      </c>
      <c r="K55" s="98" t="e">
        <f>LOG(Normalisation!K55)</f>
        <v>#NUM!</v>
      </c>
      <c r="L55" s="99" t="e">
        <f>LOG(Normalisation!L55)</f>
        <v>#NUM!</v>
      </c>
    </row>
    <row r="56" spans="1:12" ht="16.5" x14ac:dyDescent="0.2">
      <c r="A56" s="43">
        <f>LOD!A55</f>
        <v>0</v>
      </c>
      <c r="B56" s="33">
        <f>LOD!B55</f>
        <v>0</v>
      </c>
      <c r="C56" s="139" t="s">
        <v>100</v>
      </c>
      <c r="D56" s="145"/>
      <c r="E56" s="156" t="e">
        <f>LOG(Normalisation!E56)</f>
        <v>#NUM!</v>
      </c>
      <c r="F56" s="98" t="e">
        <f>LOG(Normalisation!F56)</f>
        <v>#NUM!</v>
      </c>
      <c r="G56" s="98" t="e">
        <f>LOG(Normalisation!G56)</f>
        <v>#NUM!</v>
      </c>
      <c r="H56" s="98" t="e">
        <f>LOG(Normalisation!H56)</f>
        <v>#NUM!</v>
      </c>
      <c r="I56" s="98" t="e">
        <f>LOG(Normalisation!I56)</f>
        <v>#NUM!</v>
      </c>
      <c r="J56" s="98" t="e">
        <f>LOG(Normalisation!J56)</f>
        <v>#NUM!</v>
      </c>
      <c r="K56" s="98" t="e">
        <f>LOG(Normalisation!K56)</f>
        <v>#NUM!</v>
      </c>
      <c r="L56" s="99" t="e">
        <f>LOG(Normalisation!L56)</f>
        <v>#NUM!</v>
      </c>
    </row>
    <row r="57" spans="1:12" ht="16.5" x14ac:dyDescent="0.2">
      <c r="A57" s="43">
        <f>LOD!A56</f>
        <v>0</v>
      </c>
      <c r="B57" s="33">
        <f>LOD!B56</f>
        <v>0</v>
      </c>
      <c r="C57" s="139" t="s">
        <v>100</v>
      </c>
      <c r="D57" s="145"/>
      <c r="E57" s="156" t="e">
        <f>LOG(Normalisation!E57)</f>
        <v>#NUM!</v>
      </c>
      <c r="F57" s="98" t="e">
        <f>LOG(Normalisation!F57)</f>
        <v>#NUM!</v>
      </c>
      <c r="G57" s="98" t="e">
        <f>LOG(Normalisation!G57)</f>
        <v>#NUM!</v>
      </c>
      <c r="H57" s="98" t="e">
        <f>LOG(Normalisation!H57)</f>
        <v>#NUM!</v>
      </c>
      <c r="I57" s="98" t="e">
        <f>LOG(Normalisation!I57)</f>
        <v>#NUM!</v>
      </c>
      <c r="J57" s="98" t="e">
        <f>LOG(Normalisation!J57)</f>
        <v>#NUM!</v>
      </c>
      <c r="K57" s="98" t="e">
        <f>LOG(Normalisation!K57)</f>
        <v>#NUM!</v>
      </c>
      <c r="L57" s="99" t="e">
        <f>LOG(Normalisation!L57)</f>
        <v>#NUM!</v>
      </c>
    </row>
    <row r="58" spans="1:12" ht="16.5" x14ac:dyDescent="0.2">
      <c r="A58" s="43">
        <f>LOD!A57</f>
        <v>0</v>
      </c>
      <c r="B58" s="33">
        <f>LOD!B57</f>
        <v>0</v>
      </c>
      <c r="C58" s="139" t="s">
        <v>100</v>
      </c>
      <c r="D58" s="145"/>
      <c r="E58" s="156" t="e">
        <f>LOG(Normalisation!E58)</f>
        <v>#NUM!</v>
      </c>
      <c r="F58" s="98" t="e">
        <f>LOG(Normalisation!F58)</f>
        <v>#NUM!</v>
      </c>
      <c r="G58" s="98" t="e">
        <f>LOG(Normalisation!G58)</f>
        <v>#NUM!</v>
      </c>
      <c r="H58" s="98" t="e">
        <f>LOG(Normalisation!H58)</f>
        <v>#NUM!</v>
      </c>
      <c r="I58" s="98" t="e">
        <f>LOG(Normalisation!I58)</f>
        <v>#NUM!</v>
      </c>
      <c r="J58" s="98" t="e">
        <f>LOG(Normalisation!J58)</f>
        <v>#NUM!</v>
      </c>
      <c r="K58" s="98" t="e">
        <f>LOG(Normalisation!K58)</f>
        <v>#NUM!</v>
      </c>
      <c r="L58" s="99" t="e">
        <f>LOG(Normalisation!L58)</f>
        <v>#NUM!</v>
      </c>
    </row>
    <row r="59" spans="1:12" ht="16.5" x14ac:dyDescent="0.2">
      <c r="A59" s="43">
        <f>LOD!A58</f>
        <v>0</v>
      </c>
      <c r="B59" s="33">
        <f>LOD!B58</f>
        <v>0</v>
      </c>
      <c r="C59" s="139" t="s">
        <v>100</v>
      </c>
      <c r="D59" s="145"/>
      <c r="E59" s="156" t="e">
        <f>LOG(Normalisation!E59)</f>
        <v>#NUM!</v>
      </c>
      <c r="F59" s="98" t="e">
        <f>LOG(Normalisation!F59)</f>
        <v>#NUM!</v>
      </c>
      <c r="G59" s="98" t="e">
        <f>LOG(Normalisation!G59)</f>
        <v>#NUM!</v>
      </c>
      <c r="H59" s="98" t="e">
        <f>LOG(Normalisation!H59)</f>
        <v>#NUM!</v>
      </c>
      <c r="I59" s="98" t="e">
        <f>LOG(Normalisation!I59)</f>
        <v>#NUM!</v>
      </c>
      <c r="J59" s="98" t="e">
        <f>LOG(Normalisation!J59)</f>
        <v>#NUM!</v>
      </c>
      <c r="K59" s="98" t="e">
        <f>LOG(Normalisation!K59)</f>
        <v>#NUM!</v>
      </c>
      <c r="L59" s="99" t="e">
        <f>LOG(Normalisation!L59)</f>
        <v>#NUM!</v>
      </c>
    </row>
    <row r="60" spans="1:12" ht="16.5" x14ac:dyDescent="0.2">
      <c r="A60" s="43">
        <f>LOD!A59</f>
        <v>0</v>
      </c>
      <c r="B60" s="33">
        <f>LOD!B59</f>
        <v>0</v>
      </c>
      <c r="C60" s="139" t="s">
        <v>100</v>
      </c>
      <c r="D60" s="145"/>
      <c r="E60" s="156" t="e">
        <f>LOG(Normalisation!E60)</f>
        <v>#NUM!</v>
      </c>
      <c r="F60" s="98" t="e">
        <f>LOG(Normalisation!F60)</f>
        <v>#NUM!</v>
      </c>
      <c r="G60" s="98" t="e">
        <f>LOG(Normalisation!G60)</f>
        <v>#NUM!</v>
      </c>
      <c r="H60" s="98" t="e">
        <f>LOG(Normalisation!H60)</f>
        <v>#NUM!</v>
      </c>
      <c r="I60" s="98" t="e">
        <f>LOG(Normalisation!I60)</f>
        <v>#NUM!</v>
      </c>
      <c r="J60" s="98" t="e">
        <f>LOG(Normalisation!J60)</f>
        <v>#NUM!</v>
      </c>
      <c r="K60" s="98" t="e">
        <f>LOG(Normalisation!K60)</f>
        <v>#NUM!</v>
      </c>
      <c r="L60" s="99" t="e">
        <f>LOG(Normalisation!L60)</f>
        <v>#NUM!</v>
      </c>
    </row>
    <row r="61" spans="1:12" ht="16.5" x14ac:dyDescent="0.2">
      <c r="A61" s="43">
        <f>LOD!A60</f>
        <v>0</v>
      </c>
      <c r="B61" s="33">
        <f>LOD!B60</f>
        <v>0</v>
      </c>
      <c r="C61" s="139" t="s">
        <v>100</v>
      </c>
      <c r="D61" s="145"/>
      <c r="E61" s="156" t="e">
        <f>LOG(Normalisation!E61)</f>
        <v>#NUM!</v>
      </c>
      <c r="F61" s="98" t="e">
        <f>LOG(Normalisation!F61)</f>
        <v>#NUM!</v>
      </c>
      <c r="G61" s="98" t="e">
        <f>LOG(Normalisation!G61)</f>
        <v>#NUM!</v>
      </c>
      <c r="H61" s="98" t="e">
        <f>LOG(Normalisation!H61)</f>
        <v>#NUM!</v>
      </c>
      <c r="I61" s="98" t="e">
        <f>LOG(Normalisation!I61)</f>
        <v>#NUM!</v>
      </c>
      <c r="J61" s="98" t="e">
        <f>LOG(Normalisation!J61)</f>
        <v>#NUM!</v>
      </c>
      <c r="K61" s="98" t="e">
        <f>LOG(Normalisation!K61)</f>
        <v>#NUM!</v>
      </c>
      <c r="L61" s="99" t="e">
        <f>LOG(Normalisation!L61)</f>
        <v>#NUM!</v>
      </c>
    </row>
    <row r="62" spans="1:12" ht="16.5" x14ac:dyDescent="0.2">
      <c r="A62" s="43">
        <f>LOD!A61</f>
        <v>0</v>
      </c>
      <c r="B62" s="33">
        <f>LOD!B61</f>
        <v>0</v>
      </c>
      <c r="C62" s="139" t="s">
        <v>100</v>
      </c>
      <c r="D62" s="145"/>
      <c r="E62" s="156" t="e">
        <f>LOG(Normalisation!E62)</f>
        <v>#NUM!</v>
      </c>
      <c r="F62" s="98" t="e">
        <f>LOG(Normalisation!F62)</f>
        <v>#NUM!</v>
      </c>
      <c r="G62" s="98" t="e">
        <f>LOG(Normalisation!G62)</f>
        <v>#NUM!</v>
      </c>
      <c r="H62" s="98" t="e">
        <f>LOG(Normalisation!H62)</f>
        <v>#NUM!</v>
      </c>
      <c r="I62" s="98" t="e">
        <f>LOG(Normalisation!I62)</f>
        <v>#NUM!</v>
      </c>
      <c r="J62" s="98" t="e">
        <f>LOG(Normalisation!J62)</f>
        <v>#NUM!</v>
      </c>
      <c r="K62" s="98" t="e">
        <f>LOG(Normalisation!K62)</f>
        <v>#NUM!</v>
      </c>
      <c r="L62" s="99" t="e">
        <f>LOG(Normalisation!L62)</f>
        <v>#NUM!</v>
      </c>
    </row>
    <row r="63" spans="1:12" ht="16.5" x14ac:dyDescent="0.2">
      <c r="A63" s="43">
        <f>LOD!A62</f>
        <v>0</v>
      </c>
      <c r="B63" s="33">
        <f>LOD!B62</f>
        <v>0</v>
      </c>
      <c r="C63" s="139" t="s">
        <v>100</v>
      </c>
      <c r="D63" s="145"/>
      <c r="E63" s="156" t="e">
        <f>LOG(Normalisation!E63)</f>
        <v>#NUM!</v>
      </c>
      <c r="F63" s="98" t="e">
        <f>LOG(Normalisation!F63)</f>
        <v>#NUM!</v>
      </c>
      <c r="G63" s="98" t="e">
        <f>LOG(Normalisation!G63)</f>
        <v>#NUM!</v>
      </c>
      <c r="H63" s="98" t="e">
        <f>LOG(Normalisation!H63)</f>
        <v>#NUM!</v>
      </c>
      <c r="I63" s="98" t="e">
        <f>LOG(Normalisation!I63)</f>
        <v>#NUM!</v>
      </c>
      <c r="J63" s="98" t="e">
        <f>LOG(Normalisation!J63)</f>
        <v>#NUM!</v>
      </c>
      <c r="K63" s="98" t="e">
        <f>LOG(Normalisation!K63)</f>
        <v>#NUM!</v>
      </c>
      <c r="L63" s="99" t="e">
        <f>LOG(Normalisation!L63)</f>
        <v>#NUM!</v>
      </c>
    </row>
    <row r="64" spans="1:12" ht="16.5" x14ac:dyDescent="0.2">
      <c r="A64" s="43">
        <f>LOD!A63</f>
        <v>0</v>
      </c>
      <c r="B64" s="33">
        <f>LOD!B63</f>
        <v>0</v>
      </c>
      <c r="C64" s="139" t="s">
        <v>100</v>
      </c>
      <c r="D64" s="145"/>
      <c r="E64" s="156" t="e">
        <f>LOG(Normalisation!E64)</f>
        <v>#NUM!</v>
      </c>
      <c r="F64" s="98" t="e">
        <f>LOG(Normalisation!F64)</f>
        <v>#NUM!</v>
      </c>
      <c r="G64" s="98" t="e">
        <f>LOG(Normalisation!G64)</f>
        <v>#NUM!</v>
      </c>
      <c r="H64" s="98" t="e">
        <f>LOG(Normalisation!H64)</f>
        <v>#NUM!</v>
      </c>
      <c r="I64" s="98" t="e">
        <f>LOG(Normalisation!I64)</f>
        <v>#NUM!</v>
      </c>
      <c r="J64" s="98" t="e">
        <f>LOG(Normalisation!J64)</f>
        <v>#NUM!</v>
      </c>
      <c r="K64" s="98" t="e">
        <f>LOG(Normalisation!K64)</f>
        <v>#NUM!</v>
      </c>
      <c r="L64" s="99" t="e">
        <f>LOG(Normalisation!L64)</f>
        <v>#NUM!</v>
      </c>
    </row>
    <row r="65" spans="1:12" ht="16.5" x14ac:dyDescent="0.2">
      <c r="A65" s="43">
        <f>LOD!A64</f>
        <v>0</v>
      </c>
      <c r="B65" s="33">
        <f>LOD!B64</f>
        <v>0</v>
      </c>
      <c r="C65" s="139" t="s">
        <v>100</v>
      </c>
      <c r="D65" s="145"/>
      <c r="E65" s="156" t="e">
        <f>LOG(Normalisation!E65)</f>
        <v>#NUM!</v>
      </c>
      <c r="F65" s="98" t="e">
        <f>LOG(Normalisation!F65)</f>
        <v>#NUM!</v>
      </c>
      <c r="G65" s="98" t="e">
        <f>LOG(Normalisation!G65)</f>
        <v>#NUM!</v>
      </c>
      <c r="H65" s="98" t="e">
        <f>LOG(Normalisation!H65)</f>
        <v>#NUM!</v>
      </c>
      <c r="I65" s="98" t="e">
        <f>LOG(Normalisation!I65)</f>
        <v>#NUM!</v>
      </c>
      <c r="J65" s="98" t="e">
        <f>LOG(Normalisation!J65)</f>
        <v>#NUM!</v>
      </c>
      <c r="K65" s="98" t="e">
        <f>LOG(Normalisation!K65)</f>
        <v>#NUM!</v>
      </c>
      <c r="L65" s="99" t="e">
        <f>LOG(Normalisation!L65)</f>
        <v>#NUM!</v>
      </c>
    </row>
    <row r="66" spans="1:12" ht="16.5" x14ac:dyDescent="0.2">
      <c r="A66" s="43">
        <f>LOD!A65</f>
        <v>0</v>
      </c>
      <c r="B66" s="33">
        <f>LOD!B65</f>
        <v>0</v>
      </c>
      <c r="C66" s="139" t="s">
        <v>100</v>
      </c>
      <c r="D66" s="145"/>
      <c r="E66" s="156" t="e">
        <f>LOG(Normalisation!E66)</f>
        <v>#NUM!</v>
      </c>
      <c r="F66" s="98" t="e">
        <f>LOG(Normalisation!F66)</f>
        <v>#NUM!</v>
      </c>
      <c r="G66" s="98" t="e">
        <f>LOG(Normalisation!G66)</f>
        <v>#NUM!</v>
      </c>
      <c r="H66" s="98" t="e">
        <f>LOG(Normalisation!H66)</f>
        <v>#NUM!</v>
      </c>
      <c r="I66" s="98" t="e">
        <f>LOG(Normalisation!I66)</f>
        <v>#NUM!</v>
      </c>
      <c r="J66" s="98" t="e">
        <f>LOG(Normalisation!J66)</f>
        <v>#NUM!</v>
      </c>
      <c r="K66" s="98" t="e">
        <f>LOG(Normalisation!K66)</f>
        <v>#NUM!</v>
      </c>
      <c r="L66" s="99" t="e">
        <f>LOG(Normalisation!L66)</f>
        <v>#NUM!</v>
      </c>
    </row>
    <row r="67" spans="1:12" ht="16.5" x14ac:dyDescent="0.2">
      <c r="A67" s="43">
        <f>LOD!A66</f>
        <v>0</v>
      </c>
      <c r="B67" s="33">
        <f>LOD!B66</f>
        <v>0</v>
      </c>
      <c r="C67" s="139" t="s">
        <v>100</v>
      </c>
      <c r="D67" s="145"/>
      <c r="E67" s="156" t="e">
        <f>LOG(Normalisation!E67)</f>
        <v>#NUM!</v>
      </c>
      <c r="F67" s="98" t="e">
        <f>LOG(Normalisation!F67)</f>
        <v>#NUM!</v>
      </c>
      <c r="G67" s="98" t="e">
        <f>LOG(Normalisation!G67)</f>
        <v>#NUM!</v>
      </c>
      <c r="H67" s="98" t="e">
        <f>LOG(Normalisation!H67)</f>
        <v>#NUM!</v>
      </c>
      <c r="I67" s="98" t="e">
        <f>LOG(Normalisation!I67)</f>
        <v>#NUM!</v>
      </c>
      <c r="J67" s="98" t="e">
        <f>LOG(Normalisation!J67)</f>
        <v>#NUM!</v>
      </c>
      <c r="K67" s="98" t="e">
        <f>LOG(Normalisation!K67)</f>
        <v>#NUM!</v>
      </c>
      <c r="L67" s="99" t="e">
        <f>LOG(Normalisation!L67)</f>
        <v>#NUM!</v>
      </c>
    </row>
    <row r="68" spans="1:12" ht="16.5" x14ac:dyDescent="0.2">
      <c r="A68" s="43">
        <f>LOD!A67</f>
        <v>0</v>
      </c>
      <c r="B68" s="33">
        <f>LOD!B67</f>
        <v>0</v>
      </c>
      <c r="C68" s="139" t="s">
        <v>100</v>
      </c>
      <c r="D68" s="145"/>
      <c r="E68" s="156" t="e">
        <f>LOG(Normalisation!E68)</f>
        <v>#NUM!</v>
      </c>
      <c r="F68" s="98" t="e">
        <f>LOG(Normalisation!F68)</f>
        <v>#NUM!</v>
      </c>
      <c r="G68" s="98" t="e">
        <f>LOG(Normalisation!G68)</f>
        <v>#NUM!</v>
      </c>
      <c r="H68" s="98" t="e">
        <f>LOG(Normalisation!H68)</f>
        <v>#NUM!</v>
      </c>
      <c r="I68" s="98" t="e">
        <f>LOG(Normalisation!I68)</f>
        <v>#NUM!</v>
      </c>
      <c r="J68" s="98" t="e">
        <f>LOG(Normalisation!J68)</f>
        <v>#NUM!</v>
      </c>
      <c r="K68" s="98" t="e">
        <f>LOG(Normalisation!K68)</f>
        <v>#NUM!</v>
      </c>
      <c r="L68" s="99" t="e">
        <f>LOG(Normalisation!L68)</f>
        <v>#NUM!</v>
      </c>
    </row>
    <row r="69" spans="1:12" ht="16.5" x14ac:dyDescent="0.2">
      <c r="A69" s="43">
        <f>LOD!A68</f>
        <v>0</v>
      </c>
      <c r="B69" s="33">
        <f>LOD!B68</f>
        <v>0</v>
      </c>
      <c r="C69" s="139" t="s">
        <v>100</v>
      </c>
      <c r="D69" s="145"/>
      <c r="E69" s="156" t="e">
        <f>LOG(Normalisation!E69)</f>
        <v>#NUM!</v>
      </c>
      <c r="F69" s="98" t="e">
        <f>LOG(Normalisation!F69)</f>
        <v>#NUM!</v>
      </c>
      <c r="G69" s="98" t="e">
        <f>LOG(Normalisation!G69)</f>
        <v>#NUM!</v>
      </c>
      <c r="H69" s="98" t="e">
        <f>LOG(Normalisation!H69)</f>
        <v>#NUM!</v>
      </c>
      <c r="I69" s="98" t="e">
        <f>LOG(Normalisation!I69)</f>
        <v>#NUM!</v>
      </c>
      <c r="J69" s="98" t="e">
        <f>LOG(Normalisation!J69)</f>
        <v>#NUM!</v>
      </c>
      <c r="K69" s="98" t="e">
        <f>LOG(Normalisation!K69)</f>
        <v>#NUM!</v>
      </c>
      <c r="L69" s="99" t="e">
        <f>LOG(Normalisation!L69)</f>
        <v>#NUM!</v>
      </c>
    </row>
    <row r="70" spans="1:12" ht="16.5" x14ac:dyDescent="0.2">
      <c r="A70" s="43">
        <f>LOD!A69</f>
        <v>0</v>
      </c>
      <c r="B70" s="33">
        <f>LOD!B69</f>
        <v>0</v>
      </c>
      <c r="C70" s="139" t="s">
        <v>100</v>
      </c>
      <c r="D70" s="145"/>
      <c r="E70" s="156" t="e">
        <f>LOG(Normalisation!E70)</f>
        <v>#NUM!</v>
      </c>
      <c r="F70" s="98" t="e">
        <f>LOG(Normalisation!F70)</f>
        <v>#NUM!</v>
      </c>
      <c r="G70" s="98" t="e">
        <f>LOG(Normalisation!G70)</f>
        <v>#NUM!</v>
      </c>
      <c r="H70" s="98" t="e">
        <f>LOG(Normalisation!H70)</f>
        <v>#NUM!</v>
      </c>
      <c r="I70" s="98" t="e">
        <f>LOG(Normalisation!I70)</f>
        <v>#NUM!</v>
      </c>
      <c r="J70" s="98" t="e">
        <f>LOG(Normalisation!J70)</f>
        <v>#NUM!</v>
      </c>
      <c r="K70" s="98" t="e">
        <f>LOG(Normalisation!K70)</f>
        <v>#NUM!</v>
      </c>
      <c r="L70" s="99" t="e">
        <f>LOG(Normalisation!L70)</f>
        <v>#NUM!</v>
      </c>
    </row>
    <row r="71" spans="1:12" ht="16.5" x14ac:dyDescent="0.2">
      <c r="A71" s="43">
        <f>LOD!A70</f>
        <v>0</v>
      </c>
      <c r="B71" s="33">
        <f>LOD!B70</f>
        <v>0</v>
      </c>
      <c r="C71" s="139" t="s">
        <v>100</v>
      </c>
      <c r="D71" s="145"/>
      <c r="E71" s="156" t="e">
        <f>LOG(Normalisation!E71)</f>
        <v>#NUM!</v>
      </c>
      <c r="F71" s="98" t="e">
        <f>LOG(Normalisation!F71)</f>
        <v>#NUM!</v>
      </c>
      <c r="G71" s="98" t="e">
        <f>LOG(Normalisation!G71)</f>
        <v>#NUM!</v>
      </c>
      <c r="H71" s="98" t="e">
        <f>LOG(Normalisation!H71)</f>
        <v>#NUM!</v>
      </c>
      <c r="I71" s="98" t="e">
        <f>LOG(Normalisation!I71)</f>
        <v>#NUM!</v>
      </c>
      <c r="J71" s="98" t="e">
        <f>LOG(Normalisation!J71)</f>
        <v>#NUM!</v>
      </c>
      <c r="K71" s="98" t="e">
        <f>LOG(Normalisation!K71)</f>
        <v>#NUM!</v>
      </c>
      <c r="L71" s="99" t="e">
        <f>LOG(Normalisation!L71)</f>
        <v>#NUM!</v>
      </c>
    </row>
    <row r="72" spans="1:12" ht="16.5" x14ac:dyDescent="0.2">
      <c r="A72" s="43">
        <f>LOD!A71</f>
        <v>0</v>
      </c>
      <c r="B72" s="33">
        <f>LOD!B71</f>
        <v>0</v>
      </c>
      <c r="C72" s="139" t="s">
        <v>100</v>
      </c>
      <c r="D72" s="145"/>
      <c r="E72" s="156" t="e">
        <f>LOG(Normalisation!E72)</f>
        <v>#NUM!</v>
      </c>
      <c r="F72" s="98" t="e">
        <f>LOG(Normalisation!F72)</f>
        <v>#NUM!</v>
      </c>
      <c r="G72" s="98" t="e">
        <f>LOG(Normalisation!G72)</f>
        <v>#NUM!</v>
      </c>
      <c r="H72" s="98" t="e">
        <f>LOG(Normalisation!H72)</f>
        <v>#NUM!</v>
      </c>
      <c r="I72" s="98" t="e">
        <f>LOG(Normalisation!I72)</f>
        <v>#NUM!</v>
      </c>
      <c r="J72" s="98" t="e">
        <f>LOG(Normalisation!J72)</f>
        <v>#NUM!</v>
      </c>
      <c r="K72" s="98" t="e">
        <f>LOG(Normalisation!K72)</f>
        <v>#NUM!</v>
      </c>
      <c r="L72" s="99" t="e">
        <f>LOG(Normalisation!L72)</f>
        <v>#NUM!</v>
      </c>
    </row>
    <row r="73" spans="1:12" ht="16.5" x14ac:dyDescent="0.2">
      <c r="A73" s="283">
        <f>LOD!A72</f>
        <v>0</v>
      </c>
      <c r="B73" s="284">
        <f>LOD!B72</f>
        <v>0</v>
      </c>
      <c r="C73" s="288" t="s">
        <v>100</v>
      </c>
      <c r="D73" s="424"/>
      <c r="E73" s="289" t="e">
        <f>LOG(Normalisation!E73)</f>
        <v>#NUM!</v>
      </c>
      <c r="F73" s="285" t="e">
        <f>LOG(Normalisation!F73)</f>
        <v>#NUM!</v>
      </c>
      <c r="G73" s="285" t="e">
        <f>LOG(Normalisation!G73)</f>
        <v>#NUM!</v>
      </c>
      <c r="H73" s="285" t="e">
        <f>LOG(Normalisation!H73)</f>
        <v>#NUM!</v>
      </c>
      <c r="I73" s="285" t="e">
        <f>LOG(Normalisation!I73)</f>
        <v>#NUM!</v>
      </c>
      <c r="J73" s="285" t="e">
        <f>LOG(Normalisation!J73)</f>
        <v>#NUM!</v>
      </c>
      <c r="K73" s="285" t="e">
        <f>LOG(Normalisation!K73)</f>
        <v>#NUM!</v>
      </c>
      <c r="L73" s="286" t="e">
        <f>LOG(Normalisation!L73)</f>
        <v>#NUM!</v>
      </c>
    </row>
    <row r="74" spans="1:12" ht="16.5" x14ac:dyDescent="0.2">
      <c r="A74" s="44">
        <f>LOD!A73</f>
        <v>0</v>
      </c>
      <c r="B74" s="33">
        <f>LOD!B73</f>
        <v>0</v>
      </c>
      <c r="C74" s="45" t="s">
        <v>100</v>
      </c>
      <c r="D74" s="424"/>
      <c r="E74" s="98" t="e">
        <f>LOG(Normalisation!E74)</f>
        <v>#NUM!</v>
      </c>
      <c r="F74" s="98" t="e">
        <f>LOG(Normalisation!F74)</f>
        <v>#NUM!</v>
      </c>
      <c r="G74" s="98" t="e">
        <f>LOG(Normalisation!G74)</f>
        <v>#NUM!</v>
      </c>
      <c r="H74" s="98" t="e">
        <f>LOG(Normalisation!H74)</f>
        <v>#NUM!</v>
      </c>
      <c r="I74" s="98" t="e">
        <f>LOG(Normalisation!I74)</f>
        <v>#NUM!</v>
      </c>
      <c r="J74" s="98" t="e">
        <f>LOG(Normalisation!J74)</f>
        <v>#NUM!</v>
      </c>
      <c r="K74" s="98" t="e">
        <f>LOG(Normalisation!K74)</f>
        <v>#NUM!</v>
      </c>
      <c r="L74" s="98" t="e">
        <f>LOG(Normalisation!L74)</f>
        <v>#NUM!</v>
      </c>
    </row>
    <row r="75" spans="1:12" ht="17.25" x14ac:dyDescent="0.25">
      <c r="A75" s="44">
        <f>LOD!A74</f>
        <v>0</v>
      </c>
      <c r="B75" s="33">
        <f>LOD!B74</f>
        <v>0</v>
      </c>
      <c r="C75" s="45" t="s">
        <v>223</v>
      </c>
      <c r="D75" s="424"/>
      <c r="E75" s="98" t="e">
        <f>LOG(Normalisation!E75)</f>
        <v>#NUM!</v>
      </c>
      <c r="F75" s="98" t="e">
        <f>LOG(Normalisation!F75)</f>
        <v>#NUM!</v>
      </c>
      <c r="G75" s="98" t="e">
        <f>LOG(Normalisation!G75)</f>
        <v>#NUM!</v>
      </c>
      <c r="H75" s="98" t="e">
        <f>LOG(Normalisation!H75)</f>
        <v>#NUM!</v>
      </c>
      <c r="I75" s="98" t="e">
        <f>LOG(Normalisation!I75)</f>
        <v>#NUM!</v>
      </c>
      <c r="J75" s="98" t="e">
        <f>LOG(Normalisation!J75)</f>
        <v>#NUM!</v>
      </c>
      <c r="K75" s="98" t="e">
        <f>LOG(Normalisation!K75)</f>
        <v>#NUM!</v>
      </c>
      <c r="L75" s="98" t="e">
        <f>LOG(Normalisation!L75)</f>
        <v>#NUM!</v>
      </c>
    </row>
    <row r="76" spans="1:12" ht="17.25" x14ac:dyDescent="0.25">
      <c r="A76" s="44">
        <f>LOD!A75</f>
        <v>0</v>
      </c>
      <c r="B76" s="33">
        <f>LOD!B75</f>
        <v>0</v>
      </c>
      <c r="C76" s="45" t="s">
        <v>224</v>
      </c>
      <c r="D76" s="425"/>
      <c r="E76" s="98" t="e">
        <f>LOG(Normalisation!E76)</f>
        <v>#NUM!</v>
      </c>
      <c r="F76" s="98" t="e">
        <f>LOG(Normalisation!F76)</f>
        <v>#NUM!</v>
      </c>
      <c r="G76" s="98" t="e">
        <f>LOG(Normalisation!G76)</f>
        <v>#NUM!</v>
      </c>
      <c r="H76" s="98" t="e">
        <f>LOG(Normalisation!H76)</f>
        <v>#NUM!</v>
      </c>
      <c r="I76" s="98" t="e">
        <f>LOG(Normalisation!I76)</f>
        <v>#NUM!</v>
      </c>
      <c r="J76" s="98" t="e">
        <f>LOG(Normalisation!J76)</f>
        <v>#NUM!</v>
      </c>
      <c r="K76" s="98" t="e">
        <f>LOG(Normalisation!K76)</f>
        <v>#NUM!</v>
      </c>
      <c r="L76" s="98" t="e">
        <f>LOG(Normalisation!L76)</f>
        <v>#NUM!</v>
      </c>
    </row>
    <row r="77" spans="1:12" x14ac:dyDescent="0.2">
      <c r="A77" s="147"/>
      <c r="B77" s="230"/>
      <c r="C77" s="147"/>
      <c r="D77" s="147"/>
      <c r="E77" s="147"/>
    </row>
  </sheetData>
  <mergeCells count="1">
    <mergeCell ref="D73:D76"/>
  </mergeCells>
  <phoneticPr fontId="15" type="noConversion"/>
  <pageMargins left="0.75" right="0.75" top="1" bottom="1" header="0.5" footer="0.5"/>
  <pageSetup scale="46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6">
    <pageSetUpPr fitToPage="1"/>
  </sheetPr>
  <dimension ref="A1:K77"/>
  <sheetViews>
    <sheetView view="pageBreakPreview" zoomScale="60" zoomScaleNormal="100" workbookViewId="0">
      <selection activeCell="K16" sqref="K16"/>
    </sheetView>
  </sheetViews>
  <sheetFormatPr defaultRowHeight="12.75" x14ac:dyDescent="0.2"/>
  <cols>
    <col min="1" max="1" width="39.85546875" customWidth="1"/>
    <col min="2" max="2" width="19" customWidth="1"/>
    <col min="3" max="3" width="20.5703125" customWidth="1"/>
    <col min="4" max="4" width="21.140625" customWidth="1"/>
    <col min="5" max="5" width="25.42578125" bestFit="1" customWidth="1"/>
    <col min="6" max="8" width="19" customWidth="1"/>
    <col min="9" max="9" width="20" customWidth="1"/>
    <col min="10" max="10" width="20.42578125" customWidth="1"/>
    <col min="11" max="11" width="25.7109375" customWidth="1"/>
  </cols>
  <sheetData>
    <row r="1" spans="1:11" ht="14.25" x14ac:dyDescent="0.2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5.75" thickBot="1" x14ac:dyDescent="0.3">
      <c r="A2" s="26" t="s">
        <v>50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5.75" thickBot="1" x14ac:dyDescent="0.3">
      <c r="A3" s="54"/>
      <c r="B3" s="22"/>
      <c r="C3" s="22"/>
      <c r="D3" s="22"/>
      <c r="E3" s="152" t="s">
        <v>51</v>
      </c>
      <c r="F3" s="153" t="s">
        <v>52</v>
      </c>
      <c r="G3" s="153" t="s">
        <v>53</v>
      </c>
      <c r="H3" s="153" t="s">
        <v>54</v>
      </c>
      <c r="I3" s="153" t="s">
        <v>55</v>
      </c>
      <c r="J3" s="154" t="s">
        <v>56</v>
      </c>
      <c r="K3" s="22"/>
    </row>
    <row r="4" spans="1:11" ht="14.25" x14ac:dyDescent="0.2">
      <c r="A4" s="52" t="str">
        <f>'Derived Cummulative'!A4</f>
        <v>pH</v>
      </c>
      <c r="B4" s="150">
        <f>'Derived Cummulative'!B4</f>
        <v>1010</v>
      </c>
      <c r="C4" s="32"/>
      <c r="D4" s="229" t="s">
        <v>57</v>
      </c>
      <c r="E4" s="62">
        <f>AVERAGE('Analytical Data'!G5:L5)/'Analytical Data'!E5</f>
        <v>69.13666666666667</v>
      </c>
      <c r="F4" s="62">
        <f>AVERAGE('Analytical Data'!J5:M5)/'Analytical Data'!E5</f>
        <v>68.992499999999993</v>
      </c>
      <c r="G4" s="62">
        <f>AVERAGE('Analytical Data'!I5:L5)/'Analytical Data'!E5</f>
        <v>68.664999999999992</v>
      </c>
      <c r="H4" s="62">
        <f>AVERAGE('Analytical Data'!H5:K5)/'Analytical Data'!E5</f>
        <v>69.597499999999997</v>
      </c>
      <c r="I4" s="62">
        <f>AVERAGE('Analytical Data'!G5:J5)/'Analytical Data'!E5</f>
        <v>69.847499999999997</v>
      </c>
      <c r="J4" s="63">
        <f>AVERAGE('Analytical Data'!F5:I5)/'Analytical Data'!E5</f>
        <v>74.254999999999995</v>
      </c>
      <c r="K4" s="22"/>
    </row>
    <row r="5" spans="1:11" ht="14.25" x14ac:dyDescent="0.2">
      <c r="A5" s="53" t="str">
        <f>'Derived Cummulative'!A5</f>
        <v>Electrical Conductivity</v>
      </c>
      <c r="B5" s="149">
        <f>'Derived Cummulative'!B5</f>
        <v>1020</v>
      </c>
      <c r="C5" s="33"/>
      <c r="D5" s="45" t="s">
        <v>57</v>
      </c>
      <c r="E5" s="65">
        <f>AVERAGE('Analytical Data'!G6:L6)/'Analytical Data'!E6</f>
        <v>175.03683333333331</v>
      </c>
      <c r="F5" s="65">
        <f>AVERAGE('Analytical Data'!J6:M6)/'Analytical Data'!E6</f>
        <v>225.32499999999999</v>
      </c>
      <c r="G5" s="65">
        <f>AVERAGE('Analytical Data'!I6:L6)/'Analytical Data'!E6</f>
        <v>247.2</v>
      </c>
      <c r="H5" s="65">
        <f>AVERAGE('Analytical Data'!H6:K6)/'Analytical Data'!E6</f>
        <v>202.0275</v>
      </c>
      <c r="I5" s="65">
        <f>AVERAGE('Analytical Data'!G6:J6)/'Analytical Data'!E6</f>
        <v>149.90525</v>
      </c>
      <c r="J5" s="66">
        <f>AVERAGE('Analytical Data'!F6:I6)/'Analytical Data'!E6</f>
        <v>81.085250000000002</v>
      </c>
      <c r="K5" s="22"/>
    </row>
    <row r="6" spans="1:11" ht="16.5" x14ac:dyDescent="0.2">
      <c r="A6" s="53" t="str">
        <f>'Derived Cummulative'!A6</f>
        <v>Redox potential</v>
      </c>
      <c r="B6" s="149">
        <f>'Derived Cummulative'!B6</f>
        <v>1170</v>
      </c>
      <c r="C6" s="45" t="s">
        <v>100</v>
      </c>
      <c r="D6" s="45" t="s">
        <v>57</v>
      </c>
      <c r="E6" s="65" t="e">
        <f>AVERAGE('Analytical Data'!G7:L7)/'Analytical Data'!E7</f>
        <v>#DIV/0!</v>
      </c>
      <c r="F6" s="65" t="e">
        <f>AVERAGE('Analytical Data'!J7:M7)/'Analytical Data'!E7</f>
        <v>#DIV/0!</v>
      </c>
      <c r="G6" s="65" t="e">
        <f>AVERAGE('Analytical Data'!I7:L7)/'Analytical Data'!E7</f>
        <v>#DIV/0!</v>
      </c>
      <c r="H6" s="65" t="e">
        <f>AVERAGE('Analytical Data'!H7:K7)/'Analytical Data'!E7</f>
        <v>#DIV/0!</v>
      </c>
      <c r="I6" s="65" t="e">
        <f>AVERAGE('Analytical Data'!G7:J7)/'Analytical Data'!E7</f>
        <v>#DIV/0!</v>
      </c>
      <c r="J6" s="66" t="e">
        <f>AVERAGE('Analytical Data'!F7:I7)/'Analytical Data'!E7</f>
        <v>#DIV/0!</v>
      </c>
      <c r="K6" s="22"/>
    </row>
    <row r="7" spans="1:11" ht="16.5" x14ac:dyDescent="0.2">
      <c r="A7" s="53" t="str">
        <f>'Derived Cummulative'!A7</f>
        <v>Chloride</v>
      </c>
      <c r="B7" s="149" t="str">
        <f>'Derived Cummulative'!B7</f>
        <v>U</v>
      </c>
      <c r="C7" s="45" t="s">
        <v>100</v>
      </c>
      <c r="D7" s="45" t="s">
        <v>57</v>
      </c>
      <c r="E7" s="65">
        <f>AVERAGE('Analytical Data'!G8:L8)/'Analytical Data'!E8</f>
        <v>273.68333333333334</v>
      </c>
      <c r="F7" s="65">
        <f>AVERAGE('Analytical Data'!J8:M8)/'Analytical Data'!E8</f>
        <v>450</v>
      </c>
      <c r="G7" s="65">
        <f>AVERAGE('Analytical Data'!I8:L8)/'Analytical Data'!E8</f>
        <v>402.5</v>
      </c>
      <c r="H7" s="65">
        <f>AVERAGE('Analytical Data'!H8:K8)/'Analytical Data'!E8</f>
        <v>310</v>
      </c>
      <c r="I7" s="65">
        <f>AVERAGE('Analytical Data'!G8:J8)/'Analytical Data'!E8</f>
        <v>215.52500000000001</v>
      </c>
      <c r="J7" s="66">
        <f>AVERAGE('Analytical Data'!F8:I8)/'Analytical Data'!E8</f>
        <v>88.275000000000006</v>
      </c>
      <c r="K7" s="22"/>
    </row>
    <row r="8" spans="1:11" ht="16.5" x14ac:dyDescent="0.2">
      <c r="A8" s="53" t="str">
        <f>'Derived Cummulative'!A8</f>
        <v>Sodium</v>
      </c>
      <c r="B8" s="149" t="str">
        <f>'Derived Cummulative'!B8</f>
        <v>U</v>
      </c>
      <c r="C8" s="45" t="s">
        <v>100</v>
      </c>
      <c r="D8" s="45" t="s">
        <v>57</v>
      </c>
      <c r="E8" s="65">
        <f>AVERAGE('Analytical Data'!G9:L9)/'Analytical Data'!E9</f>
        <v>190</v>
      </c>
      <c r="F8" s="65">
        <f>AVERAGE('Analytical Data'!J9:M9)/'Analytical Data'!E9</f>
        <v>292.5</v>
      </c>
      <c r="G8" s="65">
        <f>AVERAGE('Analytical Data'!I9:L9)/'Analytical Data'!E9</f>
        <v>262.5</v>
      </c>
      <c r="H8" s="65">
        <f>AVERAGE('Analytical Data'!H9:K9)/'Analytical Data'!E9</f>
        <v>212.5</v>
      </c>
      <c r="I8" s="65">
        <f>AVERAGE('Analytical Data'!G9:J9)/'Analytical Data'!E9</f>
        <v>165</v>
      </c>
      <c r="J8" s="66">
        <f>AVERAGE('Analytical Data'!F9:I9)/'Analytical Data'!E9</f>
        <v>85</v>
      </c>
      <c r="K8" s="22"/>
    </row>
    <row r="9" spans="1:11" ht="16.5" x14ac:dyDescent="0.2">
      <c r="A9" s="53">
        <f>'Derived Cummulative'!A9</f>
        <v>0</v>
      </c>
      <c r="B9" s="149">
        <f>'Derived Cummulative'!B9</f>
        <v>0</v>
      </c>
      <c r="C9" s="45" t="s">
        <v>100</v>
      </c>
      <c r="D9" s="45" t="s">
        <v>57</v>
      </c>
      <c r="E9" s="65" t="e">
        <f>AVERAGE('Analytical Data'!G10:L10)/'Analytical Data'!E10</f>
        <v>#DIV/0!</v>
      </c>
      <c r="F9" s="65" t="e">
        <f>AVERAGE('Analytical Data'!J10:M10)/'Analytical Data'!E10</f>
        <v>#DIV/0!</v>
      </c>
      <c r="G9" s="65" t="e">
        <f>AVERAGE('Analytical Data'!I10:L10)/'Analytical Data'!E10</f>
        <v>#DIV/0!</v>
      </c>
      <c r="H9" s="65" t="e">
        <f>AVERAGE('Analytical Data'!H10:K10)/'Analytical Data'!E10</f>
        <v>#DIV/0!</v>
      </c>
      <c r="I9" s="65" t="e">
        <f>AVERAGE('Analytical Data'!G10:J10)/'Analytical Data'!E10</f>
        <v>#DIV/0!</v>
      </c>
      <c r="J9" s="66" t="e">
        <f>AVERAGE('Analytical Data'!F10:I10)/'Analytical Data'!E10</f>
        <v>#DIV/0!</v>
      </c>
      <c r="K9" s="22"/>
    </row>
    <row r="10" spans="1:11" ht="16.5" x14ac:dyDescent="0.2">
      <c r="A10" s="53">
        <f>'Derived Cummulative'!A10</f>
        <v>0</v>
      </c>
      <c r="B10" s="149">
        <f>'Derived Cummulative'!B10</f>
        <v>0</v>
      </c>
      <c r="C10" s="45" t="s">
        <v>100</v>
      </c>
      <c r="D10" s="45" t="s">
        <v>57</v>
      </c>
      <c r="E10" s="65" t="e">
        <f>AVERAGE('Analytical Data'!G11:L11)/'Analytical Data'!E11</f>
        <v>#DIV/0!</v>
      </c>
      <c r="F10" s="65" t="e">
        <f>AVERAGE('Analytical Data'!J11:M11)/'Analytical Data'!E11</f>
        <v>#DIV/0!</v>
      </c>
      <c r="G10" s="65" t="e">
        <f>AVERAGE('Analytical Data'!I11:L11)/'Analytical Data'!E11</f>
        <v>#DIV/0!</v>
      </c>
      <c r="H10" s="65" t="e">
        <f>AVERAGE('Analytical Data'!H11:K11)/'Analytical Data'!E11</f>
        <v>#DIV/0!</v>
      </c>
      <c r="I10" s="65" t="e">
        <f>AVERAGE('Analytical Data'!G11:J11)/'Analytical Data'!E11</f>
        <v>#DIV/0!</v>
      </c>
      <c r="J10" s="66" t="e">
        <f>AVERAGE('Analytical Data'!F11:I11)/'Analytical Data'!E11</f>
        <v>#DIV/0!</v>
      </c>
      <c r="K10" s="22"/>
    </row>
    <row r="11" spans="1:11" ht="16.5" x14ac:dyDescent="0.2">
      <c r="A11" s="53">
        <f>'Derived Cummulative'!A11</f>
        <v>0</v>
      </c>
      <c r="B11" s="149">
        <f>'Derived Cummulative'!B11</f>
        <v>0</v>
      </c>
      <c r="C11" s="45" t="s">
        <v>100</v>
      </c>
      <c r="D11" s="45" t="s">
        <v>57</v>
      </c>
      <c r="E11" s="65" t="e">
        <f>AVERAGE('Analytical Data'!G12:L12)/'Analytical Data'!E12</f>
        <v>#DIV/0!</v>
      </c>
      <c r="F11" s="65" t="e">
        <f>AVERAGE('Analytical Data'!J12:M12)/'Analytical Data'!E12</f>
        <v>#DIV/0!</v>
      </c>
      <c r="G11" s="65" t="e">
        <f>AVERAGE('Analytical Data'!I12:L12)/'Analytical Data'!E12</f>
        <v>#DIV/0!</v>
      </c>
      <c r="H11" s="65" t="e">
        <f>AVERAGE('Analytical Data'!H12:K12)/'Analytical Data'!E12</f>
        <v>#DIV/0!</v>
      </c>
      <c r="I11" s="65" t="e">
        <f>AVERAGE('Analytical Data'!G12:J12)/'Analytical Data'!E12</f>
        <v>#DIV/0!</v>
      </c>
      <c r="J11" s="66" t="e">
        <f>AVERAGE('Analytical Data'!F12:I12)/'Analytical Data'!E12</f>
        <v>#DIV/0!</v>
      </c>
      <c r="K11" s="22"/>
    </row>
    <row r="12" spans="1:11" ht="16.5" x14ac:dyDescent="0.2">
      <c r="A12" s="53">
        <f>'Derived Cummulative'!A12</f>
        <v>0</v>
      </c>
      <c r="B12" s="149">
        <f>'Derived Cummulative'!B12</f>
        <v>0</v>
      </c>
      <c r="C12" s="45" t="s">
        <v>100</v>
      </c>
      <c r="D12" s="45" t="s">
        <v>57</v>
      </c>
      <c r="E12" s="65" t="e">
        <f>AVERAGE('Analytical Data'!G13:L13)/'Analytical Data'!E13</f>
        <v>#DIV/0!</v>
      </c>
      <c r="F12" s="65" t="e">
        <f>AVERAGE('Analytical Data'!J13:M13)/'Analytical Data'!E13</f>
        <v>#DIV/0!</v>
      </c>
      <c r="G12" s="65" t="e">
        <f>AVERAGE('Analytical Data'!I13:L13)/'Analytical Data'!E13</f>
        <v>#DIV/0!</v>
      </c>
      <c r="H12" s="65" t="e">
        <f>AVERAGE('Analytical Data'!H13:K13)/'Analytical Data'!E13</f>
        <v>#DIV/0!</v>
      </c>
      <c r="I12" s="65" t="e">
        <f>AVERAGE('Analytical Data'!G13:J13)/'Analytical Data'!E13</f>
        <v>#DIV/0!</v>
      </c>
      <c r="J12" s="66" t="e">
        <f>AVERAGE('Analytical Data'!F13:I13)/'Analytical Data'!E13</f>
        <v>#DIV/0!</v>
      </c>
      <c r="K12" s="22"/>
    </row>
    <row r="13" spans="1:11" ht="16.5" x14ac:dyDescent="0.2">
      <c r="A13" s="53">
        <f>'Derived Cummulative'!A13</f>
        <v>0</v>
      </c>
      <c r="B13" s="149">
        <f>'Derived Cummulative'!B13</f>
        <v>0</v>
      </c>
      <c r="C13" s="45" t="s">
        <v>100</v>
      </c>
      <c r="D13" s="45" t="s">
        <v>57</v>
      </c>
      <c r="E13" s="65" t="e">
        <f>AVERAGE('Analytical Data'!G14:L14)/'Analytical Data'!E14</f>
        <v>#DIV/0!</v>
      </c>
      <c r="F13" s="65" t="e">
        <f>AVERAGE('Analytical Data'!J14:M14)/'Analytical Data'!E14</f>
        <v>#DIV/0!</v>
      </c>
      <c r="G13" s="65" t="e">
        <f>AVERAGE('Analytical Data'!I14:L14)/'Analytical Data'!E14</f>
        <v>#DIV/0!</v>
      </c>
      <c r="H13" s="65" t="e">
        <f>AVERAGE('Analytical Data'!H14:K14)/'Analytical Data'!E14</f>
        <v>#DIV/0!</v>
      </c>
      <c r="I13" s="65" t="e">
        <f>AVERAGE('Analytical Data'!G14:J14)/'Analytical Data'!E14</f>
        <v>#DIV/0!</v>
      </c>
      <c r="J13" s="66" t="e">
        <f>AVERAGE('Analytical Data'!F14:I14)/'Analytical Data'!E14</f>
        <v>#DIV/0!</v>
      </c>
      <c r="K13" s="22"/>
    </row>
    <row r="14" spans="1:11" ht="16.5" x14ac:dyDescent="0.2">
      <c r="A14" s="53">
        <f>'Derived Cummulative'!A14</f>
        <v>0</v>
      </c>
      <c r="B14" s="149">
        <f>'Derived Cummulative'!B14</f>
        <v>0</v>
      </c>
      <c r="C14" s="45" t="s">
        <v>100</v>
      </c>
      <c r="D14" s="45" t="s">
        <v>57</v>
      </c>
      <c r="E14" s="65" t="e">
        <f>AVERAGE('Analytical Data'!G15:L15)/'Analytical Data'!E15</f>
        <v>#DIV/0!</v>
      </c>
      <c r="F14" s="65" t="e">
        <f>AVERAGE('Analytical Data'!J15:M15)/'Analytical Data'!E15</f>
        <v>#DIV/0!</v>
      </c>
      <c r="G14" s="65" t="e">
        <f>AVERAGE('Analytical Data'!I15:L15)/'Analytical Data'!E15</f>
        <v>#DIV/0!</v>
      </c>
      <c r="H14" s="65" t="e">
        <f>AVERAGE('Analytical Data'!H15:K15)/'Analytical Data'!E15</f>
        <v>#DIV/0!</v>
      </c>
      <c r="I14" s="65" t="e">
        <f>AVERAGE('Analytical Data'!G15:J15)/'Analytical Data'!E15</f>
        <v>#DIV/0!</v>
      </c>
      <c r="J14" s="66" t="e">
        <f>AVERAGE('Analytical Data'!F15:I15)/'Analytical Data'!E15</f>
        <v>#DIV/0!</v>
      </c>
      <c r="K14" s="22"/>
    </row>
    <row r="15" spans="1:11" ht="16.5" x14ac:dyDescent="0.2">
      <c r="A15" s="53">
        <f>'Derived Cummulative'!A15</f>
        <v>0</v>
      </c>
      <c r="B15" s="149">
        <f>'Derived Cummulative'!B15</f>
        <v>0</v>
      </c>
      <c r="C15" s="45" t="s">
        <v>100</v>
      </c>
      <c r="D15" s="45" t="s">
        <v>57</v>
      </c>
      <c r="E15" s="65" t="e">
        <f>AVERAGE('Analytical Data'!G16:L16)/'Analytical Data'!E16</f>
        <v>#DIV/0!</v>
      </c>
      <c r="F15" s="65" t="e">
        <f>AVERAGE('Analytical Data'!J16:M16)/'Analytical Data'!E16</f>
        <v>#DIV/0!</v>
      </c>
      <c r="G15" s="65" t="e">
        <f>AVERAGE('Analytical Data'!I16:L16)/'Analytical Data'!E16</f>
        <v>#DIV/0!</v>
      </c>
      <c r="H15" s="65" t="e">
        <f>AVERAGE('Analytical Data'!H16:K16)/'Analytical Data'!E16</f>
        <v>#DIV/0!</v>
      </c>
      <c r="I15" s="65" t="e">
        <f>AVERAGE('Analytical Data'!G16:J16)/'Analytical Data'!E16</f>
        <v>#DIV/0!</v>
      </c>
      <c r="J15" s="66" t="e">
        <f>AVERAGE('Analytical Data'!F16:I16)/'Analytical Data'!E16</f>
        <v>#DIV/0!</v>
      </c>
      <c r="K15" s="22"/>
    </row>
    <row r="16" spans="1:11" ht="16.5" x14ac:dyDescent="0.2">
      <c r="A16" s="53">
        <f>'Derived Cummulative'!A16</f>
        <v>0</v>
      </c>
      <c r="B16" s="149">
        <f>'Derived Cummulative'!B16</f>
        <v>0</v>
      </c>
      <c r="C16" s="45" t="s">
        <v>100</v>
      </c>
      <c r="D16" s="45" t="s">
        <v>57</v>
      </c>
      <c r="E16" s="65" t="e">
        <f>AVERAGE('Analytical Data'!G17:L17)/'Analytical Data'!E17</f>
        <v>#DIV/0!</v>
      </c>
      <c r="F16" s="65" t="e">
        <f>AVERAGE('Analytical Data'!J17:M17)/'Analytical Data'!E17</f>
        <v>#DIV/0!</v>
      </c>
      <c r="G16" s="65" t="e">
        <f>AVERAGE('Analytical Data'!I17:L17)/'Analytical Data'!E17</f>
        <v>#DIV/0!</v>
      </c>
      <c r="H16" s="65" t="e">
        <f>AVERAGE('Analytical Data'!H17:K17)/'Analytical Data'!E17</f>
        <v>#DIV/0!</v>
      </c>
      <c r="I16" s="65" t="e">
        <f>AVERAGE('Analytical Data'!G17:J17)/'Analytical Data'!E17</f>
        <v>#DIV/0!</v>
      </c>
      <c r="J16" s="66" t="e">
        <f>AVERAGE('Analytical Data'!F17:I17)/'Analytical Data'!E17</f>
        <v>#DIV/0!</v>
      </c>
      <c r="K16" s="22"/>
    </row>
    <row r="17" spans="1:11" ht="16.5" x14ac:dyDescent="0.2">
      <c r="A17" s="53">
        <f>'Derived Cummulative'!A17</f>
        <v>0</v>
      </c>
      <c r="B17" s="149">
        <f>'Derived Cummulative'!B17</f>
        <v>0</v>
      </c>
      <c r="C17" s="45" t="s">
        <v>100</v>
      </c>
      <c r="D17" s="45" t="s">
        <v>57</v>
      </c>
      <c r="E17" s="65" t="e">
        <f>AVERAGE('Analytical Data'!G18:L18)/'Analytical Data'!E18</f>
        <v>#DIV/0!</v>
      </c>
      <c r="F17" s="65" t="e">
        <f>AVERAGE('Analytical Data'!J18:M18)/'Analytical Data'!E18</f>
        <v>#DIV/0!</v>
      </c>
      <c r="G17" s="65" t="e">
        <f>AVERAGE('Analytical Data'!I18:L18)/'Analytical Data'!E18</f>
        <v>#DIV/0!</v>
      </c>
      <c r="H17" s="65" t="e">
        <f>AVERAGE('Analytical Data'!H18:K18)/'Analytical Data'!E18</f>
        <v>#DIV/0!</v>
      </c>
      <c r="I17" s="65" t="e">
        <f>AVERAGE('Analytical Data'!G18:J18)/'Analytical Data'!E18</f>
        <v>#DIV/0!</v>
      </c>
      <c r="J17" s="66" t="e">
        <f>AVERAGE('Analytical Data'!F18:I18)/'Analytical Data'!E18</f>
        <v>#DIV/0!</v>
      </c>
      <c r="K17" s="22"/>
    </row>
    <row r="18" spans="1:11" ht="16.5" x14ac:dyDescent="0.2">
      <c r="A18" s="53">
        <f>'Derived Cummulative'!A18</f>
        <v>0</v>
      </c>
      <c r="B18" s="149">
        <f>'Derived Cummulative'!B18</f>
        <v>0</v>
      </c>
      <c r="C18" s="45" t="s">
        <v>100</v>
      </c>
      <c r="D18" s="45" t="s">
        <v>57</v>
      </c>
      <c r="E18" s="65" t="e">
        <f>AVERAGE('Analytical Data'!G19:L19)/'Analytical Data'!E19</f>
        <v>#DIV/0!</v>
      </c>
      <c r="F18" s="65" t="e">
        <f>AVERAGE('Analytical Data'!J19:M19)/'Analytical Data'!E19</f>
        <v>#DIV/0!</v>
      </c>
      <c r="G18" s="65" t="e">
        <f>AVERAGE('Analytical Data'!I19:L19)/'Analytical Data'!E19</f>
        <v>#DIV/0!</v>
      </c>
      <c r="H18" s="65" t="e">
        <f>AVERAGE('Analytical Data'!H19:K19)/'Analytical Data'!E19</f>
        <v>#DIV/0!</v>
      </c>
      <c r="I18" s="65" t="e">
        <f>AVERAGE('Analytical Data'!G19:J19)/'Analytical Data'!E19</f>
        <v>#DIV/0!</v>
      </c>
      <c r="J18" s="66" t="e">
        <f>AVERAGE('Analytical Data'!F19:I19)/'Analytical Data'!E19</f>
        <v>#DIV/0!</v>
      </c>
      <c r="K18" s="22"/>
    </row>
    <row r="19" spans="1:11" ht="16.5" x14ac:dyDescent="0.2">
      <c r="A19" s="53">
        <f>'Derived Cummulative'!A19</f>
        <v>0</v>
      </c>
      <c r="B19" s="149">
        <f>'Derived Cummulative'!B19</f>
        <v>0</v>
      </c>
      <c r="C19" s="45" t="s">
        <v>100</v>
      </c>
      <c r="D19" s="45" t="s">
        <v>57</v>
      </c>
      <c r="E19" s="65" t="e">
        <f>AVERAGE('Analytical Data'!G20:L20)/'Analytical Data'!E20</f>
        <v>#DIV/0!</v>
      </c>
      <c r="F19" s="65" t="e">
        <f>AVERAGE('Analytical Data'!J20:M20)/'Analytical Data'!E20</f>
        <v>#DIV/0!</v>
      </c>
      <c r="G19" s="65" t="e">
        <f>AVERAGE('Analytical Data'!I20:L20)/'Analytical Data'!E20</f>
        <v>#DIV/0!</v>
      </c>
      <c r="H19" s="65" t="e">
        <f>AVERAGE('Analytical Data'!H20:K20)/'Analytical Data'!E20</f>
        <v>#DIV/0!</v>
      </c>
      <c r="I19" s="65" t="e">
        <f>AVERAGE('Analytical Data'!G20:J20)/'Analytical Data'!E20</f>
        <v>#DIV/0!</v>
      </c>
      <c r="J19" s="66" t="e">
        <f>AVERAGE('Analytical Data'!F20:I20)/'Analytical Data'!E20</f>
        <v>#DIV/0!</v>
      </c>
      <c r="K19" s="22"/>
    </row>
    <row r="20" spans="1:11" ht="16.5" x14ac:dyDescent="0.2">
      <c r="A20" s="53">
        <f>'Derived Cummulative'!A20</f>
        <v>0</v>
      </c>
      <c r="B20" s="149">
        <f>'Derived Cummulative'!B20</f>
        <v>0</v>
      </c>
      <c r="C20" s="45" t="s">
        <v>100</v>
      </c>
      <c r="D20" s="45" t="s">
        <v>57</v>
      </c>
      <c r="E20" s="65" t="e">
        <f>AVERAGE('Analytical Data'!G21:L21)/'Analytical Data'!E21</f>
        <v>#DIV/0!</v>
      </c>
      <c r="F20" s="65" t="e">
        <f>AVERAGE('Analytical Data'!J21:M21)/'Analytical Data'!E21</f>
        <v>#DIV/0!</v>
      </c>
      <c r="G20" s="65" t="e">
        <f>AVERAGE('Analytical Data'!I21:L21)/'Analytical Data'!E21</f>
        <v>#DIV/0!</v>
      </c>
      <c r="H20" s="65" t="e">
        <f>AVERAGE('Analytical Data'!H21:K21)/'Analytical Data'!E21</f>
        <v>#DIV/0!</v>
      </c>
      <c r="I20" s="65" t="e">
        <f>AVERAGE('Analytical Data'!G21:J21)/'Analytical Data'!E21</f>
        <v>#DIV/0!</v>
      </c>
      <c r="J20" s="66" t="e">
        <f>AVERAGE('Analytical Data'!F21:I21)/'Analytical Data'!E21</f>
        <v>#DIV/0!</v>
      </c>
      <c r="K20" s="22"/>
    </row>
    <row r="21" spans="1:11" ht="16.5" x14ac:dyDescent="0.2">
      <c r="A21" s="53">
        <f>'Derived Cummulative'!A21</f>
        <v>0</v>
      </c>
      <c r="B21" s="149">
        <f>'Derived Cummulative'!B21</f>
        <v>0</v>
      </c>
      <c r="C21" s="45" t="s">
        <v>100</v>
      </c>
      <c r="D21" s="45" t="s">
        <v>57</v>
      </c>
      <c r="E21" s="65" t="e">
        <f>AVERAGE('Analytical Data'!G22:L22)/'Analytical Data'!E22</f>
        <v>#DIV/0!</v>
      </c>
      <c r="F21" s="65" t="e">
        <f>AVERAGE('Analytical Data'!J22:M22)/'Analytical Data'!E22</f>
        <v>#DIV/0!</v>
      </c>
      <c r="G21" s="65" t="e">
        <f>AVERAGE('Analytical Data'!I22:L22)/'Analytical Data'!E22</f>
        <v>#DIV/0!</v>
      </c>
      <c r="H21" s="65" t="e">
        <f>AVERAGE('Analytical Data'!H22:K22)/'Analytical Data'!E22</f>
        <v>#DIV/0!</v>
      </c>
      <c r="I21" s="65" t="e">
        <f>AVERAGE('Analytical Data'!G22:J22)/'Analytical Data'!E22</f>
        <v>#DIV/0!</v>
      </c>
      <c r="J21" s="66" t="e">
        <f>AVERAGE('Analytical Data'!F22:I22)/'Analytical Data'!E22</f>
        <v>#DIV/0!</v>
      </c>
      <c r="K21" s="22"/>
    </row>
    <row r="22" spans="1:11" ht="16.5" hidden="1" x14ac:dyDescent="0.2">
      <c r="A22" s="53">
        <f>'Derived Cummulative'!A22</f>
        <v>0</v>
      </c>
      <c r="B22" s="149">
        <f>'Derived Cummulative'!B22</f>
        <v>0</v>
      </c>
      <c r="C22" s="45" t="s">
        <v>100</v>
      </c>
      <c r="D22" s="45" t="s">
        <v>57</v>
      </c>
      <c r="E22" s="65" t="e">
        <f>AVERAGE('Analytical Data'!G23:L23)/'Analytical Data'!E23</f>
        <v>#DIV/0!</v>
      </c>
      <c r="F22" s="65" t="e">
        <f>AVERAGE('Analytical Data'!J23:M23)/'Analytical Data'!E23</f>
        <v>#DIV/0!</v>
      </c>
      <c r="G22" s="65" t="e">
        <f>AVERAGE('Analytical Data'!I23:L23)/'Analytical Data'!E23</f>
        <v>#DIV/0!</v>
      </c>
      <c r="H22" s="65" t="e">
        <f>AVERAGE('Analytical Data'!H23:K23)/'Analytical Data'!E23</f>
        <v>#DIV/0!</v>
      </c>
      <c r="I22" s="65" t="e">
        <f>AVERAGE('Analytical Data'!G23:J23)/'Analytical Data'!E23</f>
        <v>#DIV/0!</v>
      </c>
      <c r="J22" s="66" t="e">
        <f>AVERAGE('Analytical Data'!F23:I23)/'Analytical Data'!E23</f>
        <v>#DIV/0!</v>
      </c>
      <c r="K22" s="22"/>
    </row>
    <row r="23" spans="1:11" ht="16.5" hidden="1" x14ac:dyDescent="0.2">
      <c r="A23" s="53">
        <f>'Derived Cummulative'!A23</f>
        <v>0</v>
      </c>
      <c r="B23" s="149">
        <f>'Derived Cummulative'!B23</f>
        <v>0</v>
      </c>
      <c r="C23" s="45" t="s">
        <v>100</v>
      </c>
      <c r="D23" s="45" t="s">
        <v>57</v>
      </c>
      <c r="E23" s="65" t="e">
        <f>AVERAGE('Analytical Data'!G24:L24)/'Analytical Data'!E24</f>
        <v>#DIV/0!</v>
      </c>
      <c r="F23" s="65" t="e">
        <f>AVERAGE('Analytical Data'!J24:M24)/'Analytical Data'!E24</f>
        <v>#DIV/0!</v>
      </c>
      <c r="G23" s="65" t="e">
        <f>AVERAGE('Analytical Data'!I24:L24)/'Analytical Data'!E24</f>
        <v>#DIV/0!</v>
      </c>
      <c r="H23" s="65" t="e">
        <f>AVERAGE('Analytical Data'!H24:K24)/'Analytical Data'!E24</f>
        <v>#DIV/0!</v>
      </c>
      <c r="I23" s="65" t="e">
        <f>AVERAGE('Analytical Data'!G24:J24)/'Analytical Data'!E24</f>
        <v>#DIV/0!</v>
      </c>
      <c r="J23" s="66" t="e">
        <f>AVERAGE('Analytical Data'!F24:I24)/'Analytical Data'!E24</f>
        <v>#DIV/0!</v>
      </c>
      <c r="K23" s="22"/>
    </row>
    <row r="24" spans="1:11" ht="16.5" x14ac:dyDescent="0.2">
      <c r="A24" s="53">
        <f>'Derived Cummulative'!A24</f>
        <v>0</v>
      </c>
      <c r="B24" s="149">
        <f>'Derived Cummulative'!B24</f>
        <v>0</v>
      </c>
      <c r="C24" s="45" t="s">
        <v>100</v>
      </c>
      <c r="D24" s="45" t="s">
        <v>57</v>
      </c>
      <c r="E24" s="65" t="e">
        <f>AVERAGE('Analytical Data'!G25:L25)/'Analytical Data'!E25</f>
        <v>#DIV/0!</v>
      </c>
      <c r="F24" s="65" t="e">
        <f>AVERAGE('Analytical Data'!J25:M25)/'Analytical Data'!E25</f>
        <v>#DIV/0!</v>
      </c>
      <c r="G24" s="65" t="e">
        <f>AVERAGE('Analytical Data'!I25:L25)/'Analytical Data'!E25</f>
        <v>#DIV/0!</v>
      </c>
      <c r="H24" s="65" t="e">
        <f>AVERAGE('Analytical Data'!H25:K25)/'Analytical Data'!E25</f>
        <v>#DIV/0!</v>
      </c>
      <c r="I24" s="65" t="e">
        <f>AVERAGE('Analytical Data'!G25:J25)/'Analytical Data'!E25</f>
        <v>#DIV/0!</v>
      </c>
      <c r="J24" s="66" t="e">
        <f>AVERAGE('Analytical Data'!F25:I25)/'Analytical Data'!E25</f>
        <v>#DIV/0!</v>
      </c>
      <c r="K24" s="22"/>
    </row>
    <row r="25" spans="1:11" ht="16.5" x14ac:dyDescent="0.2">
      <c r="A25" s="53">
        <f>'Derived Cummulative'!A25</f>
        <v>0</v>
      </c>
      <c r="B25" s="149">
        <f>'Derived Cummulative'!B25</f>
        <v>0</v>
      </c>
      <c r="C25" s="45" t="s">
        <v>100</v>
      </c>
      <c r="D25" s="45" t="s">
        <v>57</v>
      </c>
      <c r="E25" s="65" t="e">
        <f>AVERAGE('Analytical Data'!G26:L26)/'Analytical Data'!E26</f>
        <v>#DIV/0!</v>
      </c>
      <c r="F25" s="65" t="e">
        <f>AVERAGE('Analytical Data'!J26:M26)/'Analytical Data'!E26</f>
        <v>#DIV/0!</v>
      </c>
      <c r="G25" s="65" t="e">
        <f>AVERAGE('Analytical Data'!I26:L26)/'Analytical Data'!E26</f>
        <v>#DIV/0!</v>
      </c>
      <c r="H25" s="65" t="e">
        <f>AVERAGE('Analytical Data'!H26:K26)/'Analytical Data'!E26</f>
        <v>#DIV/0!</v>
      </c>
      <c r="I25" s="65" t="e">
        <f>AVERAGE('Analytical Data'!G26:J26)/'Analytical Data'!E26</f>
        <v>#DIV/0!</v>
      </c>
      <c r="J25" s="66" t="e">
        <f>AVERAGE('Analytical Data'!F26:I26)/'Analytical Data'!E26</f>
        <v>#DIV/0!</v>
      </c>
      <c r="K25" s="22"/>
    </row>
    <row r="26" spans="1:11" ht="16.5" x14ac:dyDescent="0.2">
      <c r="A26" s="53">
        <f>'Derived Cummulative'!A26</f>
        <v>0</v>
      </c>
      <c r="B26" s="149">
        <f>'Derived Cummulative'!B26</f>
        <v>0</v>
      </c>
      <c r="C26" s="45" t="s">
        <v>100</v>
      </c>
      <c r="D26" s="45" t="s">
        <v>57</v>
      </c>
      <c r="E26" s="65" t="e">
        <f>AVERAGE('Analytical Data'!G27:L27)/'Analytical Data'!E27</f>
        <v>#DIV/0!</v>
      </c>
      <c r="F26" s="65" t="e">
        <f>AVERAGE('Analytical Data'!J27:M27)/'Analytical Data'!E27</f>
        <v>#DIV/0!</v>
      </c>
      <c r="G26" s="65" t="e">
        <f>AVERAGE('Analytical Data'!I27:L27)/'Analytical Data'!E27</f>
        <v>#DIV/0!</v>
      </c>
      <c r="H26" s="65" t="e">
        <f>AVERAGE('Analytical Data'!H27:K27)/'Analytical Data'!E27</f>
        <v>#DIV/0!</v>
      </c>
      <c r="I26" s="65" t="e">
        <f>AVERAGE('Analytical Data'!G27:J27)/'Analytical Data'!E27</f>
        <v>#DIV/0!</v>
      </c>
      <c r="J26" s="66" t="e">
        <f>AVERAGE('Analytical Data'!F27:I27)/'Analytical Data'!E27</f>
        <v>#DIV/0!</v>
      </c>
      <c r="K26" s="22"/>
    </row>
    <row r="27" spans="1:11" ht="16.5" x14ac:dyDescent="0.2">
      <c r="A27" s="53">
        <f>'Derived Cummulative'!A27</f>
        <v>0</v>
      </c>
      <c r="B27" s="149">
        <f>'Derived Cummulative'!B27</f>
        <v>0</v>
      </c>
      <c r="C27" s="45" t="s">
        <v>100</v>
      </c>
      <c r="D27" s="45" t="s">
        <v>57</v>
      </c>
      <c r="E27" s="65" t="e">
        <f>AVERAGE('Analytical Data'!G28:L28)/'Analytical Data'!E28</f>
        <v>#DIV/0!</v>
      </c>
      <c r="F27" s="65" t="e">
        <f>AVERAGE('Analytical Data'!J28:M28)/'Analytical Data'!E28</f>
        <v>#DIV/0!</v>
      </c>
      <c r="G27" s="65" t="e">
        <f>AVERAGE('Analytical Data'!I28:L28)/'Analytical Data'!E28</f>
        <v>#DIV/0!</v>
      </c>
      <c r="H27" s="65" t="e">
        <f>AVERAGE('Analytical Data'!H28:K28)/'Analytical Data'!E28</f>
        <v>#DIV/0!</v>
      </c>
      <c r="I27" s="65" t="e">
        <f>AVERAGE('Analytical Data'!G28:J28)/'Analytical Data'!E28</f>
        <v>#DIV/0!</v>
      </c>
      <c r="J27" s="66" t="e">
        <f>AVERAGE('Analytical Data'!F28:I28)/'Analytical Data'!E28</f>
        <v>#DIV/0!</v>
      </c>
      <c r="K27" s="22"/>
    </row>
    <row r="28" spans="1:11" ht="16.5" x14ac:dyDescent="0.2">
      <c r="A28" s="53">
        <f>'Derived Cummulative'!A28</f>
        <v>0</v>
      </c>
      <c r="B28" s="149">
        <f>'Derived Cummulative'!B28</f>
        <v>0</v>
      </c>
      <c r="C28" s="45" t="s">
        <v>100</v>
      </c>
      <c r="D28" s="45" t="s">
        <v>57</v>
      </c>
      <c r="E28" s="65" t="e">
        <f>AVERAGE('Analytical Data'!G29:L29)/'Analytical Data'!E29</f>
        <v>#DIV/0!</v>
      </c>
      <c r="F28" s="65" t="e">
        <f>AVERAGE('Analytical Data'!J29:M29)/'Analytical Data'!E29</f>
        <v>#DIV/0!</v>
      </c>
      <c r="G28" s="65" t="e">
        <f>AVERAGE('Analytical Data'!I29:L29)/'Analytical Data'!E29</f>
        <v>#DIV/0!</v>
      </c>
      <c r="H28" s="65" t="e">
        <f>AVERAGE('Analytical Data'!H29:K29)/'Analytical Data'!E29</f>
        <v>#DIV/0!</v>
      </c>
      <c r="I28" s="65" t="e">
        <f>AVERAGE('Analytical Data'!G29:J29)/'Analytical Data'!E29</f>
        <v>#DIV/0!</v>
      </c>
      <c r="J28" s="66" t="e">
        <f>AVERAGE('Analytical Data'!F29:I29)/'Analytical Data'!E29</f>
        <v>#DIV/0!</v>
      </c>
      <c r="K28" s="22"/>
    </row>
    <row r="29" spans="1:11" ht="16.5" x14ac:dyDescent="0.2">
      <c r="A29" s="53">
        <f>'Derived Cummulative'!A29</f>
        <v>0</v>
      </c>
      <c r="B29" s="149">
        <f>'Derived Cummulative'!B29</f>
        <v>0</v>
      </c>
      <c r="C29" s="45" t="s">
        <v>100</v>
      </c>
      <c r="D29" s="45" t="s">
        <v>57</v>
      </c>
      <c r="E29" s="65" t="e">
        <f>AVERAGE('Analytical Data'!G30:L30)/'Analytical Data'!E30</f>
        <v>#DIV/0!</v>
      </c>
      <c r="F29" s="65" t="e">
        <f>AVERAGE('Analytical Data'!J30:M30)/'Analytical Data'!E30</f>
        <v>#DIV/0!</v>
      </c>
      <c r="G29" s="65" t="e">
        <f>AVERAGE('Analytical Data'!I30:L30)/'Analytical Data'!E30</f>
        <v>#DIV/0!</v>
      </c>
      <c r="H29" s="65" t="e">
        <f>AVERAGE('Analytical Data'!H30:K30)/'Analytical Data'!E30</f>
        <v>#DIV/0!</v>
      </c>
      <c r="I29" s="65" t="e">
        <f>AVERAGE('Analytical Data'!G30:J30)/'Analytical Data'!E30</f>
        <v>#DIV/0!</v>
      </c>
      <c r="J29" s="66" t="e">
        <f>AVERAGE('Analytical Data'!F30:I30)/'Analytical Data'!E30</f>
        <v>#DIV/0!</v>
      </c>
      <c r="K29" s="22"/>
    </row>
    <row r="30" spans="1:11" ht="16.5" x14ac:dyDescent="0.2">
      <c r="A30" s="53">
        <f>'Derived Cummulative'!A30</f>
        <v>0</v>
      </c>
      <c r="B30" s="149">
        <f>'Derived Cummulative'!B30</f>
        <v>0</v>
      </c>
      <c r="C30" s="45" t="s">
        <v>100</v>
      </c>
      <c r="D30" s="45" t="s">
        <v>57</v>
      </c>
      <c r="E30" s="65" t="e">
        <f>AVERAGE('Analytical Data'!G31:L31)/'Analytical Data'!E31</f>
        <v>#DIV/0!</v>
      </c>
      <c r="F30" s="65" t="e">
        <f>AVERAGE('Analytical Data'!J31:M31)/'Analytical Data'!E31</f>
        <v>#DIV/0!</v>
      </c>
      <c r="G30" s="65" t="e">
        <f>AVERAGE('Analytical Data'!I31:L31)/'Analytical Data'!E31</f>
        <v>#DIV/0!</v>
      </c>
      <c r="H30" s="65" t="e">
        <f>AVERAGE('Analytical Data'!H31:K31)/'Analytical Data'!E31</f>
        <v>#DIV/0!</v>
      </c>
      <c r="I30" s="65" t="e">
        <f>AVERAGE('Analytical Data'!G31:J31)/'Analytical Data'!E31</f>
        <v>#DIV/0!</v>
      </c>
      <c r="J30" s="66" t="e">
        <f>AVERAGE('Analytical Data'!F31:I31)/'Analytical Data'!E31</f>
        <v>#DIV/0!</v>
      </c>
      <c r="K30" s="22"/>
    </row>
    <row r="31" spans="1:11" ht="16.5" x14ac:dyDescent="0.2">
      <c r="A31" s="53">
        <f>'Derived Cummulative'!A31</f>
        <v>0</v>
      </c>
      <c r="B31" s="149">
        <f>'Derived Cummulative'!B31</f>
        <v>0</v>
      </c>
      <c r="C31" s="45" t="s">
        <v>100</v>
      </c>
      <c r="D31" s="45" t="s">
        <v>57</v>
      </c>
      <c r="E31" s="65" t="e">
        <f>AVERAGE('Analytical Data'!G32:L32)/'Analytical Data'!E32</f>
        <v>#DIV/0!</v>
      </c>
      <c r="F31" s="65" t="e">
        <f>AVERAGE('Analytical Data'!J32:M32)/'Analytical Data'!E32</f>
        <v>#DIV/0!</v>
      </c>
      <c r="G31" s="65" t="e">
        <f>AVERAGE('Analytical Data'!I32:L32)/'Analytical Data'!E32</f>
        <v>#DIV/0!</v>
      </c>
      <c r="H31" s="65" t="e">
        <f>AVERAGE('Analytical Data'!H32:K32)/'Analytical Data'!E32</f>
        <v>#DIV/0!</v>
      </c>
      <c r="I31" s="65" t="e">
        <f>AVERAGE('Analytical Data'!G32:J32)/'Analytical Data'!E32</f>
        <v>#DIV/0!</v>
      </c>
      <c r="J31" s="66" t="e">
        <f>AVERAGE('Analytical Data'!F32:I32)/'Analytical Data'!E32</f>
        <v>#DIV/0!</v>
      </c>
    </row>
    <row r="32" spans="1:11" ht="16.5" x14ac:dyDescent="0.2">
      <c r="A32" s="53">
        <f>'Derived Cummulative'!A32</f>
        <v>0</v>
      </c>
      <c r="B32" s="149">
        <f>'Derived Cummulative'!B32</f>
        <v>0</v>
      </c>
      <c r="C32" s="45" t="s">
        <v>100</v>
      </c>
      <c r="D32" s="45" t="s">
        <v>57</v>
      </c>
      <c r="E32" s="65" t="e">
        <f>AVERAGE('Analytical Data'!G33:L33)/'Analytical Data'!E33</f>
        <v>#DIV/0!</v>
      </c>
      <c r="F32" s="65" t="e">
        <f>AVERAGE('Analytical Data'!J33:M33)/'Analytical Data'!E33</f>
        <v>#DIV/0!</v>
      </c>
      <c r="G32" s="65" t="e">
        <f>AVERAGE('Analytical Data'!I33:L33)/'Analytical Data'!E33</f>
        <v>#DIV/0!</v>
      </c>
      <c r="H32" s="65" t="e">
        <f>AVERAGE('Analytical Data'!H33:K33)/'Analytical Data'!E33</f>
        <v>#DIV/0!</v>
      </c>
      <c r="I32" s="65" t="e">
        <f>AVERAGE('Analytical Data'!G33:J33)/'Analytical Data'!E33</f>
        <v>#DIV/0!</v>
      </c>
      <c r="J32" s="66" t="e">
        <f>AVERAGE('Analytical Data'!F33:I33)/'Analytical Data'!E33</f>
        <v>#DIV/0!</v>
      </c>
    </row>
    <row r="33" spans="1:10" ht="16.5" x14ac:dyDescent="0.2">
      <c r="A33" s="53">
        <f>'Derived Cummulative'!A33</f>
        <v>0</v>
      </c>
      <c r="B33" s="149">
        <f>'Derived Cummulative'!B33</f>
        <v>0</v>
      </c>
      <c r="C33" s="45" t="s">
        <v>100</v>
      </c>
      <c r="D33" s="45" t="s">
        <v>57</v>
      </c>
      <c r="E33" s="65" t="e">
        <f>AVERAGE('Analytical Data'!G34:L34)/'Analytical Data'!E34</f>
        <v>#DIV/0!</v>
      </c>
      <c r="F33" s="65" t="e">
        <f>AVERAGE('Analytical Data'!J34:M34)/'Analytical Data'!E34</f>
        <v>#DIV/0!</v>
      </c>
      <c r="G33" s="65" t="e">
        <f>AVERAGE('Analytical Data'!I34:L34)/'Analytical Data'!E34</f>
        <v>#DIV/0!</v>
      </c>
      <c r="H33" s="65" t="e">
        <f>AVERAGE('Analytical Data'!H34:K34)/'Analytical Data'!E34</f>
        <v>#DIV/0!</v>
      </c>
      <c r="I33" s="65" t="e">
        <f>AVERAGE('Analytical Data'!G34:J34)/'Analytical Data'!E34</f>
        <v>#DIV/0!</v>
      </c>
      <c r="J33" s="66" t="e">
        <f>AVERAGE('Analytical Data'!F34:I34)/'Analytical Data'!E34</f>
        <v>#DIV/0!</v>
      </c>
    </row>
    <row r="34" spans="1:10" ht="16.5" x14ac:dyDescent="0.2">
      <c r="A34" s="53">
        <f>'Derived Cummulative'!A34</f>
        <v>0</v>
      </c>
      <c r="B34" s="149">
        <f>'Derived Cummulative'!B34</f>
        <v>0</v>
      </c>
      <c r="C34" s="45" t="s">
        <v>100</v>
      </c>
      <c r="D34" s="45" t="s">
        <v>57</v>
      </c>
      <c r="E34" s="65" t="e">
        <f>AVERAGE('Analytical Data'!G35:L35)/'Analytical Data'!E35</f>
        <v>#DIV/0!</v>
      </c>
      <c r="F34" s="65" t="e">
        <f>AVERAGE('Analytical Data'!J35:M35)/'Analytical Data'!E35</f>
        <v>#DIV/0!</v>
      </c>
      <c r="G34" s="65" t="e">
        <f>AVERAGE('Analytical Data'!I35:L35)/'Analytical Data'!E35</f>
        <v>#DIV/0!</v>
      </c>
      <c r="H34" s="65" t="e">
        <f>AVERAGE('Analytical Data'!H35:K35)/'Analytical Data'!E35</f>
        <v>#DIV/0!</v>
      </c>
      <c r="I34" s="65" t="e">
        <f>AVERAGE('Analytical Data'!G35:J35)/'Analytical Data'!E35</f>
        <v>#DIV/0!</v>
      </c>
      <c r="J34" s="66" t="e">
        <f>AVERAGE('Analytical Data'!F35:I35)/'Analytical Data'!E35</f>
        <v>#DIV/0!</v>
      </c>
    </row>
    <row r="35" spans="1:10" ht="16.5" x14ac:dyDescent="0.2">
      <c r="A35" s="53">
        <f>'Derived Cummulative'!A35</f>
        <v>0</v>
      </c>
      <c r="B35" s="149">
        <f>'Derived Cummulative'!B35</f>
        <v>0</v>
      </c>
      <c r="C35" s="45" t="s">
        <v>100</v>
      </c>
      <c r="D35" s="45" t="s">
        <v>57</v>
      </c>
      <c r="E35" s="65" t="e">
        <f>AVERAGE('Analytical Data'!G36:L36)/'Analytical Data'!E36</f>
        <v>#DIV/0!</v>
      </c>
      <c r="F35" s="65" t="e">
        <f>AVERAGE('Analytical Data'!J36:M36)/'Analytical Data'!E36</f>
        <v>#DIV/0!</v>
      </c>
      <c r="G35" s="65" t="e">
        <f>AVERAGE('Analytical Data'!I36:L36)/'Analytical Data'!E36</f>
        <v>#DIV/0!</v>
      </c>
      <c r="H35" s="65" t="e">
        <f>AVERAGE('Analytical Data'!H36:K36)/'Analytical Data'!E36</f>
        <v>#DIV/0!</v>
      </c>
      <c r="I35" s="65" t="e">
        <f>AVERAGE('Analytical Data'!G36:J36)/'Analytical Data'!E36</f>
        <v>#DIV/0!</v>
      </c>
      <c r="J35" s="66" t="e">
        <f>AVERAGE('Analytical Data'!F36:I36)/'Analytical Data'!E36</f>
        <v>#DIV/0!</v>
      </c>
    </row>
    <row r="36" spans="1:10" ht="16.5" x14ac:dyDescent="0.2">
      <c r="A36" s="53">
        <f>'Derived Cummulative'!A36</f>
        <v>0</v>
      </c>
      <c r="B36" s="149">
        <f>'Derived Cummulative'!B36</f>
        <v>0</v>
      </c>
      <c r="C36" s="45" t="s">
        <v>100</v>
      </c>
      <c r="D36" s="45" t="s">
        <v>57</v>
      </c>
      <c r="E36" s="65" t="e">
        <f>AVERAGE('Analytical Data'!G37:L37)/'Analytical Data'!E37</f>
        <v>#DIV/0!</v>
      </c>
      <c r="F36" s="65" t="e">
        <f>AVERAGE('Analytical Data'!J37:M37)/'Analytical Data'!E37</f>
        <v>#DIV/0!</v>
      </c>
      <c r="G36" s="65" t="e">
        <f>AVERAGE('Analytical Data'!I37:L37)/'Analytical Data'!E37</f>
        <v>#DIV/0!</v>
      </c>
      <c r="H36" s="65" t="e">
        <f>AVERAGE('Analytical Data'!H37:K37)/'Analytical Data'!E37</f>
        <v>#DIV/0!</v>
      </c>
      <c r="I36" s="65" t="e">
        <f>AVERAGE('Analytical Data'!G37:J37)/'Analytical Data'!E37</f>
        <v>#DIV/0!</v>
      </c>
      <c r="J36" s="66" t="e">
        <f>AVERAGE('Analytical Data'!F37:I37)/'Analytical Data'!E37</f>
        <v>#DIV/0!</v>
      </c>
    </row>
    <row r="37" spans="1:10" ht="16.5" x14ac:dyDescent="0.2">
      <c r="A37" s="53">
        <f>'Derived Cummulative'!A37</f>
        <v>0</v>
      </c>
      <c r="B37" s="149">
        <f>'Derived Cummulative'!B37</f>
        <v>0</v>
      </c>
      <c r="C37" s="45" t="s">
        <v>100</v>
      </c>
      <c r="D37" s="45" t="s">
        <v>57</v>
      </c>
      <c r="E37" s="65" t="e">
        <f>AVERAGE('Analytical Data'!G38:L38)/'Analytical Data'!E38</f>
        <v>#DIV/0!</v>
      </c>
      <c r="F37" s="65" t="e">
        <f>AVERAGE('Analytical Data'!J38:M38)/'Analytical Data'!E38</f>
        <v>#DIV/0!</v>
      </c>
      <c r="G37" s="65" t="e">
        <f>AVERAGE('Analytical Data'!I38:L38)/'Analytical Data'!E38</f>
        <v>#DIV/0!</v>
      </c>
      <c r="H37" s="65" t="e">
        <f>AVERAGE('Analytical Data'!H38:K38)/'Analytical Data'!E38</f>
        <v>#DIV/0!</v>
      </c>
      <c r="I37" s="65" t="e">
        <f>AVERAGE('Analytical Data'!G38:J38)/'Analytical Data'!E38</f>
        <v>#DIV/0!</v>
      </c>
      <c r="J37" s="66" t="e">
        <f>AVERAGE('Analytical Data'!F38:I38)/'Analytical Data'!E38</f>
        <v>#DIV/0!</v>
      </c>
    </row>
    <row r="38" spans="1:10" ht="16.5" x14ac:dyDescent="0.2">
      <c r="A38" s="53">
        <f>'Derived Cummulative'!A38</f>
        <v>0</v>
      </c>
      <c r="B38" s="149">
        <f>'Derived Cummulative'!B38</f>
        <v>0</v>
      </c>
      <c r="C38" s="45" t="s">
        <v>100</v>
      </c>
      <c r="D38" s="45" t="s">
        <v>57</v>
      </c>
      <c r="E38" s="65" t="e">
        <f>AVERAGE('Analytical Data'!G39:L39)/'Analytical Data'!E39</f>
        <v>#DIV/0!</v>
      </c>
      <c r="F38" s="65" t="e">
        <f>AVERAGE('Analytical Data'!J39:M39)/'Analytical Data'!E39</f>
        <v>#DIV/0!</v>
      </c>
      <c r="G38" s="65" t="e">
        <f>AVERAGE('Analytical Data'!I39:L39)/'Analytical Data'!E39</f>
        <v>#DIV/0!</v>
      </c>
      <c r="H38" s="65" t="e">
        <f>AVERAGE('Analytical Data'!H39:K39)/'Analytical Data'!E39</f>
        <v>#DIV/0!</v>
      </c>
      <c r="I38" s="65" t="e">
        <f>AVERAGE('Analytical Data'!G39:J39)/'Analytical Data'!E39</f>
        <v>#DIV/0!</v>
      </c>
      <c r="J38" s="66" t="e">
        <f>AVERAGE('Analytical Data'!F39:I39)/'Analytical Data'!E39</f>
        <v>#DIV/0!</v>
      </c>
    </row>
    <row r="39" spans="1:10" ht="16.5" x14ac:dyDescent="0.2">
      <c r="A39" s="53">
        <f>'Derived Cummulative'!A39</f>
        <v>0</v>
      </c>
      <c r="B39" s="149">
        <f>'Derived Cummulative'!B39</f>
        <v>0</v>
      </c>
      <c r="C39" s="45" t="s">
        <v>100</v>
      </c>
      <c r="D39" s="45" t="s">
        <v>57</v>
      </c>
      <c r="E39" s="65" t="e">
        <f>AVERAGE('Analytical Data'!G40:L40)/'Analytical Data'!E40</f>
        <v>#DIV/0!</v>
      </c>
      <c r="F39" s="65" t="e">
        <f>AVERAGE('Analytical Data'!J40:M40)/'Analytical Data'!E40</f>
        <v>#DIV/0!</v>
      </c>
      <c r="G39" s="65" t="e">
        <f>AVERAGE('Analytical Data'!I40:L40)/'Analytical Data'!E40</f>
        <v>#DIV/0!</v>
      </c>
      <c r="H39" s="65" t="e">
        <f>AVERAGE('Analytical Data'!H40:K40)/'Analytical Data'!E40</f>
        <v>#DIV/0!</v>
      </c>
      <c r="I39" s="65" t="e">
        <f>AVERAGE('Analytical Data'!G40:J40)/'Analytical Data'!E40</f>
        <v>#DIV/0!</v>
      </c>
      <c r="J39" s="66" t="e">
        <f>AVERAGE('Analytical Data'!F40:I40)/'Analytical Data'!E40</f>
        <v>#DIV/0!</v>
      </c>
    </row>
    <row r="40" spans="1:10" ht="16.5" x14ac:dyDescent="0.2">
      <c r="A40" s="53">
        <f>'Derived Cummulative'!A40</f>
        <v>0</v>
      </c>
      <c r="B40" s="149">
        <f>'Derived Cummulative'!B40</f>
        <v>0</v>
      </c>
      <c r="C40" s="45" t="s">
        <v>100</v>
      </c>
      <c r="D40" s="45" t="s">
        <v>57</v>
      </c>
      <c r="E40" s="65" t="e">
        <f>AVERAGE('Analytical Data'!G41:L41)/'Analytical Data'!E41</f>
        <v>#DIV/0!</v>
      </c>
      <c r="F40" s="65" t="e">
        <f>AVERAGE('Analytical Data'!J41:M41)/'Analytical Data'!E41</f>
        <v>#DIV/0!</v>
      </c>
      <c r="G40" s="65" t="e">
        <f>AVERAGE('Analytical Data'!I41:L41)/'Analytical Data'!E41</f>
        <v>#DIV/0!</v>
      </c>
      <c r="H40" s="65" t="e">
        <f>AVERAGE('Analytical Data'!H41:K41)/'Analytical Data'!E41</f>
        <v>#DIV/0!</v>
      </c>
      <c r="I40" s="65" t="e">
        <f>AVERAGE('Analytical Data'!G41:J41)/'Analytical Data'!E41</f>
        <v>#DIV/0!</v>
      </c>
      <c r="J40" s="66" t="e">
        <f>AVERAGE('Analytical Data'!F41:I41)/'Analytical Data'!E41</f>
        <v>#DIV/0!</v>
      </c>
    </row>
    <row r="41" spans="1:10" ht="16.5" x14ac:dyDescent="0.2">
      <c r="A41" s="53">
        <f>'Derived Cummulative'!A41</f>
        <v>0</v>
      </c>
      <c r="B41" s="149">
        <f>'Derived Cummulative'!B41</f>
        <v>0</v>
      </c>
      <c r="C41" s="45" t="s">
        <v>100</v>
      </c>
      <c r="D41" s="45" t="s">
        <v>57</v>
      </c>
      <c r="E41" s="65" t="e">
        <f>AVERAGE('Analytical Data'!G42:L42)/'Analytical Data'!E42</f>
        <v>#DIV/0!</v>
      </c>
      <c r="F41" s="65" t="e">
        <f>AVERAGE('Analytical Data'!J42:M42)/'Analytical Data'!E42</f>
        <v>#DIV/0!</v>
      </c>
      <c r="G41" s="65" t="e">
        <f>AVERAGE('Analytical Data'!I42:L42)/'Analytical Data'!E42</f>
        <v>#DIV/0!</v>
      </c>
      <c r="H41" s="65" t="e">
        <f>AVERAGE('Analytical Data'!H42:K42)/'Analytical Data'!E42</f>
        <v>#DIV/0!</v>
      </c>
      <c r="I41" s="65" t="e">
        <f>AVERAGE('Analytical Data'!G42:J42)/'Analytical Data'!E42</f>
        <v>#DIV/0!</v>
      </c>
      <c r="J41" s="66" t="e">
        <f>AVERAGE('Analytical Data'!F42:I42)/'Analytical Data'!E42</f>
        <v>#DIV/0!</v>
      </c>
    </row>
    <row r="42" spans="1:10" ht="16.5" x14ac:dyDescent="0.2">
      <c r="A42" s="53">
        <f>'Derived Cummulative'!A42</f>
        <v>0</v>
      </c>
      <c r="B42" s="149">
        <f>'Derived Cummulative'!B42</f>
        <v>0</v>
      </c>
      <c r="C42" s="45" t="s">
        <v>100</v>
      </c>
      <c r="D42" s="45" t="s">
        <v>57</v>
      </c>
      <c r="E42" s="65" t="e">
        <f>AVERAGE('Analytical Data'!G43:L43)/'Analytical Data'!E43</f>
        <v>#DIV/0!</v>
      </c>
      <c r="F42" s="65" t="e">
        <f>AVERAGE('Analytical Data'!J43:M43)/'Analytical Data'!E43</f>
        <v>#DIV/0!</v>
      </c>
      <c r="G42" s="65" t="e">
        <f>AVERAGE('Analytical Data'!I43:L43)/'Analytical Data'!E43</f>
        <v>#DIV/0!</v>
      </c>
      <c r="H42" s="65" t="e">
        <f>AVERAGE('Analytical Data'!H43:K43)/'Analytical Data'!E43</f>
        <v>#DIV/0!</v>
      </c>
      <c r="I42" s="65" t="e">
        <f>AVERAGE('Analytical Data'!G43:J43)/'Analytical Data'!E43</f>
        <v>#DIV/0!</v>
      </c>
      <c r="J42" s="66" t="e">
        <f>AVERAGE('Analytical Data'!F43:I43)/'Analytical Data'!E43</f>
        <v>#DIV/0!</v>
      </c>
    </row>
    <row r="43" spans="1:10" ht="16.5" x14ac:dyDescent="0.2">
      <c r="A43" s="53">
        <f>'Derived Cummulative'!A43</f>
        <v>0</v>
      </c>
      <c r="B43" s="149">
        <f>'Derived Cummulative'!B43</f>
        <v>0</v>
      </c>
      <c r="C43" s="45" t="s">
        <v>100</v>
      </c>
      <c r="D43" s="45" t="s">
        <v>57</v>
      </c>
      <c r="E43" s="65" t="e">
        <f>AVERAGE('Analytical Data'!G44:L44)/'Analytical Data'!E44</f>
        <v>#DIV/0!</v>
      </c>
      <c r="F43" s="65" t="e">
        <f>AVERAGE('Analytical Data'!J44:M44)/'Analytical Data'!E44</f>
        <v>#DIV/0!</v>
      </c>
      <c r="G43" s="65" t="e">
        <f>AVERAGE('Analytical Data'!I44:L44)/'Analytical Data'!E44</f>
        <v>#DIV/0!</v>
      </c>
      <c r="H43" s="65" t="e">
        <f>AVERAGE('Analytical Data'!H44:K44)/'Analytical Data'!E44</f>
        <v>#DIV/0!</v>
      </c>
      <c r="I43" s="65" t="e">
        <f>AVERAGE('Analytical Data'!G44:J44)/'Analytical Data'!E44</f>
        <v>#DIV/0!</v>
      </c>
      <c r="J43" s="66" t="e">
        <f>AVERAGE('Analytical Data'!F44:I44)/'Analytical Data'!E44</f>
        <v>#DIV/0!</v>
      </c>
    </row>
    <row r="44" spans="1:10" ht="16.5" x14ac:dyDescent="0.2">
      <c r="A44" s="53">
        <f>'Derived Cummulative'!A44</f>
        <v>0</v>
      </c>
      <c r="B44" s="149">
        <f>'Derived Cummulative'!B44</f>
        <v>0</v>
      </c>
      <c r="C44" s="45" t="s">
        <v>100</v>
      </c>
      <c r="D44" s="45" t="s">
        <v>57</v>
      </c>
      <c r="E44" s="65" t="e">
        <f>AVERAGE('Analytical Data'!G45:L45)/'Analytical Data'!E45</f>
        <v>#DIV/0!</v>
      </c>
      <c r="F44" s="65" t="e">
        <f>AVERAGE('Analytical Data'!J45:M45)/'Analytical Data'!E45</f>
        <v>#DIV/0!</v>
      </c>
      <c r="G44" s="65" t="e">
        <f>AVERAGE('Analytical Data'!I45:L45)/'Analytical Data'!E45</f>
        <v>#DIV/0!</v>
      </c>
      <c r="H44" s="65" t="e">
        <f>AVERAGE('Analytical Data'!H45:K45)/'Analytical Data'!E45</f>
        <v>#DIV/0!</v>
      </c>
      <c r="I44" s="65" t="e">
        <f>AVERAGE('Analytical Data'!G45:J45)/'Analytical Data'!E45</f>
        <v>#DIV/0!</v>
      </c>
      <c r="J44" s="66" t="e">
        <f>AVERAGE('Analytical Data'!F45:I45)/'Analytical Data'!E45</f>
        <v>#DIV/0!</v>
      </c>
    </row>
    <row r="45" spans="1:10" ht="16.5" x14ac:dyDescent="0.2">
      <c r="A45" s="53">
        <f>'Derived Cummulative'!A45</f>
        <v>0</v>
      </c>
      <c r="B45" s="149">
        <f>'Derived Cummulative'!B45</f>
        <v>0</v>
      </c>
      <c r="C45" s="45" t="s">
        <v>100</v>
      </c>
      <c r="D45" s="45" t="s">
        <v>57</v>
      </c>
      <c r="E45" s="65" t="e">
        <f>AVERAGE('Analytical Data'!G46:L46)/'Analytical Data'!E46</f>
        <v>#DIV/0!</v>
      </c>
      <c r="F45" s="65" t="e">
        <f>AVERAGE('Analytical Data'!J46:M46)/'Analytical Data'!E46</f>
        <v>#DIV/0!</v>
      </c>
      <c r="G45" s="65" t="e">
        <f>AVERAGE('Analytical Data'!I46:L46)/'Analytical Data'!E46</f>
        <v>#DIV/0!</v>
      </c>
      <c r="H45" s="65" t="e">
        <f>AVERAGE('Analytical Data'!H46:K46)/'Analytical Data'!E46</f>
        <v>#DIV/0!</v>
      </c>
      <c r="I45" s="65" t="e">
        <f>AVERAGE('Analytical Data'!G46:J46)/'Analytical Data'!E46</f>
        <v>#DIV/0!</v>
      </c>
      <c r="J45" s="66" t="e">
        <f>AVERAGE('Analytical Data'!F46:I46)/'Analytical Data'!E46</f>
        <v>#DIV/0!</v>
      </c>
    </row>
    <row r="46" spans="1:10" ht="16.5" x14ac:dyDescent="0.2">
      <c r="A46" s="53">
        <f>'Derived Cummulative'!A46</f>
        <v>0</v>
      </c>
      <c r="B46" s="149">
        <f>'Derived Cummulative'!B46</f>
        <v>0</v>
      </c>
      <c r="C46" s="45" t="s">
        <v>100</v>
      </c>
      <c r="D46" s="45" t="s">
        <v>57</v>
      </c>
      <c r="E46" s="65" t="e">
        <f>AVERAGE('Analytical Data'!G47:L47)/'Analytical Data'!E47</f>
        <v>#DIV/0!</v>
      </c>
      <c r="F46" s="65" t="e">
        <f>AVERAGE('Analytical Data'!J47:M47)/'Analytical Data'!E47</f>
        <v>#DIV/0!</v>
      </c>
      <c r="G46" s="65" t="e">
        <f>AVERAGE('Analytical Data'!I47:L47)/'Analytical Data'!E47</f>
        <v>#DIV/0!</v>
      </c>
      <c r="H46" s="65" t="e">
        <f>AVERAGE('Analytical Data'!H47:K47)/'Analytical Data'!E47</f>
        <v>#DIV/0!</v>
      </c>
      <c r="I46" s="65" t="e">
        <f>AVERAGE('Analytical Data'!G47:J47)/'Analytical Data'!E47</f>
        <v>#DIV/0!</v>
      </c>
      <c r="J46" s="66" t="e">
        <f>AVERAGE('Analytical Data'!F47:I47)/'Analytical Data'!E47</f>
        <v>#DIV/0!</v>
      </c>
    </row>
    <row r="47" spans="1:10" ht="16.5" x14ac:dyDescent="0.2">
      <c r="A47" s="53">
        <f>'Derived Cummulative'!A47</f>
        <v>0</v>
      </c>
      <c r="B47" s="149">
        <f>'Derived Cummulative'!B47</f>
        <v>0</v>
      </c>
      <c r="C47" s="45" t="s">
        <v>100</v>
      </c>
      <c r="D47" s="45" t="s">
        <v>57</v>
      </c>
      <c r="E47" s="65" t="e">
        <f>AVERAGE('Analytical Data'!G48:L48)/'Analytical Data'!E48</f>
        <v>#DIV/0!</v>
      </c>
      <c r="F47" s="65" t="e">
        <f>AVERAGE('Analytical Data'!J48:M48)/'Analytical Data'!E48</f>
        <v>#DIV/0!</v>
      </c>
      <c r="G47" s="65" t="e">
        <f>AVERAGE('Analytical Data'!I48:L48)/'Analytical Data'!E48</f>
        <v>#DIV/0!</v>
      </c>
      <c r="H47" s="65" t="e">
        <f>AVERAGE('Analytical Data'!H48:K48)/'Analytical Data'!E48</f>
        <v>#DIV/0!</v>
      </c>
      <c r="I47" s="65" t="e">
        <f>AVERAGE('Analytical Data'!G48:J48)/'Analytical Data'!E48</f>
        <v>#DIV/0!</v>
      </c>
      <c r="J47" s="66" t="e">
        <f>AVERAGE('Analytical Data'!F48:I48)/'Analytical Data'!E48</f>
        <v>#DIV/0!</v>
      </c>
    </row>
    <row r="48" spans="1:10" ht="16.5" x14ac:dyDescent="0.2">
      <c r="A48" s="53">
        <f>'Derived Cummulative'!A48</f>
        <v>0</v>
      </c>
      <c r="B48" s="149">
        <f>'Derived Cummulative'!B48</f>
        <v>0</v>
      </c>
      <c r="C48" s="45" t="s">
        <v>100</v>
      </c>
      <c r="D48" s="45" t="s">
        <v>57</v>
      </c>
      <c r="E48" s="65" t="e">
        <f>AVERAGE('Analytical Data'!G49:L49)/'Analytical Data'!E49</f>
        <v>#DIV/0!</v>
      </c>
      <c r="F48" s="65" t="e">
        <f>AVERAGE('Analytical Data'!J49:M49)/'Analytical Data'!E49</f>
        <v>#DIV/0!</v>
      </c>
      <c r="G48" s="65" t="e">
        <f>AVERAGE('Analytical Data'!I49:L49)/'Analytical Data'!E49</f>
        <v>#DIV/0!</v>
      </c>
      <c r="H48" s="65" t="e">
        <f>AVERAGE('Analytical Data'!H49:K49)/'Analytical Data'!E49</f>
        <v>#DIV/0!</v>
      </c>
      <c r="I48" s="65" t="e">
        <f>AVERAGE('Analytical Data'!G49:J49)/'Analytical Data'!E49</f>
        <v>#DIV/0!</v>
      </c>
      <c r="J48" s="66" t="e">
        <f>AVERAGE('Analytical Data'!F49:I49)/'Analytical Data'!E49</f>
        <v>#DIV/0!</v>
      </c>
    </row>
    <row r="49" spans="1:10" ht="16.5" x14ac:dyDescent="0.2">
      <c r="A49" s="53">
        <f>'Derived Cummulative'!A49</f>
        <v>0</v>
      </c>
      <c r="B49" s="149">
        <f>'Derived Cummulative'!B49</f>
        <v>0</v>
      </c>
      <c r="C49" s="45" t="s">
        <v>100</v>
      </c>
      <c r="D49" s="45" t="s">
        <v>57</v>
      </c>
      <c r="E49" s="65" t="e">
        <f>AVERAGE('Analytical Data'!G50:L50)/'Analytical Data'!E50</f>
        <v>#DIV/0!</v>
      </c>
      <c r="F49" s="65" t="e">
        <f>AVERAGE('Analytical Data'!J50:M50)/'Analytical Data'!E50</f>
        <v>#DIV/0!</v>
      </c>
      <c r="G49" s="65" t="e">
        <f>AVERAGE('Analytical Data'!I50:L50)/'Analytical Data'!E50</f>
        <v>#DIV/0!</v>
      </c>
      <c r="H49" s="65" t="e">
        <f>AVERAGE('Analytical Data'!H50:K50)/'Analytical Data'!E50</f>
        <v>#DIV/0!</v>
      </c>
      <c r="I49" s="65" t="e">
        <f>AVERAGE('Analytical Data'!G50:J50)/'Analytical Data'!E50</f>
        <v>#DIV/0!</v>
      </c>
      <c r="J49" s="66" t="e">
        <f>AVERAGE('Analytical Data'!F50:I50)/'Analytical Data'!E50</f>
        <v>#DIV/0!</v>
      </c>
    </row>
    <row r="50" spans="1:10" ht="16.5" x14ac:dyDescent="0.2">
      <c r="A50" s="53">
        <f>'Derived Cummulative'!A50</f>
        <v>0</v>
      </c>
      <c r="B50" s="149">
        <f>'Derived Cummulative'!B50</f>
        <v>0</v>
      </c>
      <c r="C50" s="45" t="s">
        <v>100</v>
      </c>
      <c r="D50" s="45" t="s">
        <v>57</v>
      </c>
      <c r="E50" s="65" t="e">
        <f>AVERAGE('Analytical Data'!G51:L51)/'Analytical Data'!E51</f>
        <v>#DIV/0!</v>
      </c>
      <c r="F50" s="65" t="e">
        <f>AVERAGE('Analytical Data'!J51:M51)/'Analytical Data'!E51</f>
        <v>#DIV/0!</v>
      </c>
      <c r="G50" s="65" t="e">
        <f>AVERAGE('Analytical Data'!I51:L51)/'Analytical Data'!E51</f>
        <v>#DIV/0!</v>
      </c>
      <c r="H50" s="65" t="e">
        <f>AVERAGE('Analytical Data'!H51:K51)/'Analytical Data'!E51</f>
        <v>#DIV/0!</v>
      </c>
      <c r="I50" s="65" t="e">
        <f>AVERAGE('Analytical Data'!G51:J51)/'Analytical Data'!E51</f>
        <v>#DIV/0!</v>
      </c>
      <c r="J50" s="66" t="e">
        <f>AVERAGE('Analytical Data'!F51:I51)/'Analytical Data'!E51</f>
        <v>#DIV/0!</v>
      </c>
    </row>
    <row r="51" spans="1:10" ht="16.5" x14ac:dyDescent="0.2">
      <c r="A51" s="53">
        <f>'Derived Cummulative'!A51</f>
        <v>0</v>
      </c>
      <c r="B51" s="149">
        <f>'Derived Cummulative'!B51</f>
        <v>0</v>
      </c>
      <c r="C51" s="45" t="s">
        <v>100</v>
      </c>
      <c r="D51" s="45" t="s">
        <v>57</v>
      </c>
      <c r="E51" s="65" t="e">
        <f>AVERAGE('Analytical Data'!G52:L52)/'Analytical Data'!E52</f>
        <v>#DIV/0!</v>
      </c>
      <c r="F51" s="65" t="e">
        <f>AVERAGE('Analytical Data'!J52:M52)/'Analytical Data'!E52</f>
        <v>#DIV/0!</v>
      </c>
      <c r="G51" s="65" t="e">
        <f>AVERAGE('Analytical Data'!I52:L52)/'Analytical Data'!E52</f>
        <v>#DIV/0!</v>
      </c>
      <c r="H51" s="65" t="e">
        <f>AVERAGE('Analytical Data'!H52:K52)/'Analytical Data'!E52</f>
        <v>#DIV/0!</v>
      </c>
      <c r="I51" s="65" t="e">
        <f>AVERAGE('Analytical Data'!G52:J52)/'Analytical Data'!E52</f>
        <v>#DIV/0!</v>
      </c>
      <c r="J51" s="66" t="e">
        <f>AVERAGE('Analytical Data'!F52:I52)/'Analytical Data'!E52</f>
        <v>#DIV/0!</v>
      </c>
    </row>
    <row r="52" spans="1:10" ht="16.5" x14ac:dyDescent="0.2">
      <c r="A52" s="53">
        <f>'Derived Cummulative'!A52</f>
        <v>0</v>
      </c>
      <c r="B52" s="149">
        <f>'Derived Cummulative'!B52</f>
        <v>0</v>
      </c>
      <c r="C52" s="45" t="s">
        <v>100</v>
      </c>
      <c r="D52" s="45" t="s">
        <v>57</v>
      </c>
      <c r="E52" s="65" t="e">
        <f>AVERAGE('Analytical Data'!G53:L53)/'Analytical Data'!E53</f>
        <v>#DIV/0!</v>
      </c>
      <c r="F52" s="65" t="e">
        <f>AVERAGE('Analytical Data'!J53:M53)/'Analytical Data'!E53</f>
        <v>#DIV/0!</v>
      </c>
      <c r="G52" s="65" t="e">
        <f>AVERAGE('Analytical Data'!I53:L53)/'Analytical Data'!E53</f>
        <v>#DIV/0!</v>
      </c>
      <c r="H52" s="65" t="e">
        <f>AVERAGE('Analytical Data'!H53:K53)/'Analytical Data'!E53</f>
        <v>#DIV/0!</v>
      </c>
      <c r="I52" s="65" t="e">
        <f>AVERAGE('Analytical Data'!G53:J53)/'Analytical Data'!E53</f>
        <v>#DIV/0!</v>
      </c>
      <c r="J52" s="66" t="e">
        <f>AVERAGE('Analytical Data'!F53:I53)/'Analytical Data'!E53</f>
        <v>#DIV/0!</v>
      </c>
    </row>
    <row r="53" spans="1:10" ht="16.5" x14ac:dyDescent="0.2">
      <c r="A53" s="53">
        <f>'Derived Cummulative'!A53</f>
        <v>0</v>
      </c>
      <c r="B53" s="149">
        <f>'Derived Cummulative'!B53</f>
        <v>0</v>
      </c>
      <c r="C53" s="45" t="s">
        <v>100</v>
      </c>
      <c r="D53" s="45" t="s">
        <v>57</v>
      </c>
      <c r="E53" s="65" t="e">
        <f>AVERAGE('Analytical Data'!G54:L54)/'Analytical Data'!E54</f>
        <v>#DIV/0!</v>
      </c>
      <c r="F53" s="65" t="e">
        <f>AVERAGE('Analytical Data'!J54:M54)/'Analytical Data'!E54</f>
        <v>#DIV/0!</v>
      </c>
      <c r="G53" s="65" t="e">
        <f>AVERAGE('Analytical Data'!I54:L54)/'Analytical Data'!E54</f>
        <v>#DIV/0!</v>
      </c>
      <c r="H53" s="65" t="e">
        <f>AVERAGE('Analytical Data'!H54:K54)/'Analytical Data'!E54</f>
        <v>#DIV/0!</v>
      </c>
      <c r="I53" s="65" t="e">
        <f>AVERAGE('Analytical Data'!G54:J54)/'Analytical Data'!E54</f>
        <v>#DIV/0!</v>
      </c>
      <c r="J53" s="66" t="e">
        <f>AVERAGE('Analytical Data'!F54:I54)/'Analytical Data'!E54</f>
        <v>#DIV/0!</v>
      </c>
    </row>
    <row r="54" spans="1:10" ht="16.5" x14ac:dyDescent="0.2">
      <c r="A54" s="53">
        <f>'Derived Cummulative'!A54</f>
        <v>0</v>
      </c>
      <c r="B54" s="149">
        <f>'Derived Cummulative'!B54</f>
        <v>0</v>
      </c>
      <c r="C54" s="45" t="s">
        <v>100</v>
      </c>
      <c r="D54" s="45" t="s">
        <v>57</v>
      </c>
      <c r="E54" s="65" t="e">
        <f>AVERAGE('Analytical Data'!G55:L55)/'Analytical Data'!E55</f>
        <v>#DIV/0!</v>
      </c>
      <c r="F54" s="65" t="e">
        <f>AVERAGE('Analytical Data'!J55:M55)/'Analytical Data'!E55</f>
        <v>#DIV/0!</v>
      </c>
      <c r="G54" s="65" t="e">
        <f>AVERAGE('Analytical Data'!I55:L55)/'Analytical Data'!E55</f>
        <v>#DIV/0!</v>
      </c>
      <c r="H54" s="65" t="e">
        <f>AVERAGE('Analytical Data'!H55:K55)/'Analytical Data'!E55</f>
        <v>#DIV/0!</v>
      </c>
      <c r="I54" s="65" t="e">
        <f>AVERAGE('Analytical Data'!G55:J55)/'Analytical Data'!E55</f>
        <v>#DIV/0!</v>
      </c>
      <c r="J54" s="66" t="e">
        <f>AVERAGE('Analytical Data'!F55:I55)/'Analytical Data'!E55</f>
        <v>#DIV/0!</v>
      </c>
    </row>
    <row r="55" spans="1:10" ht="16.5" x14ac:dyDescent="0.2">
      <c r="A55" s="53">
        <f>'Derived Cummulative'!A55</f>
        <v>0</v>
      </c>
      <c r="B55" s="149">
        <f>'Derived Cummulative'!B55</f>
        <v>0</v>
      </c>
      <c r="C55" s="45" t="s">
        <v>100</v>
      </c>
      <c r="D55" s="45" t="s">
        <v>57</v>
      </c>
      <c r="E55" s="65" t="e">
        <f>AVERAGE('Analytical Data'!G56:L56)/'Analytical Data'!E56</f>
        <v>#DIV/0!</v>
      </c>
      <c r="F55" s="65" t="e">
        <f>AVERAGE('Analytical Data'!J56:M56)/'Analytical Data'!E56</f>
        <v>#DIV/0!</v>
      </c>
      <c r="G55" s="65" t="e">
        <f>AVERAGE('Analytical Data'!I56:L56)/'Analytical Data'!E56</f>
        <v>#DIV/0!</v>
      </c>
      <c r="H55" s="65" t="e">
        <f>AVERAGE('Analytical Data'!H56:K56)/'Analytical Data'!E56</f>
        <v>#DIV/0!</v>
      </c>
      <c r="I55" s="65" t="e">
        <f>AVERAGE('Analytical Data'!G56:J56)/'Analytical Data'!E56</f>
        <v>#DIV/0!</v>
      </c>
      <c r="J55" s="66" t="e">
        <f>AVERAGE('Analytical Data'!F56:I56)/'Analytical Data'!E56</f>
        <v>#DIV/0!</v>
      </c>
    </row>
    <row r="56" spans="1:10" ht="16.5" x14ac:dyDescent="0.2">
      <c r="A56" s="53">
        <f>'Derived Cummulative'!A56</f>
        <v>0</v>
      </c>
      <c r="B56" s="149">
        <f>'Derived Cummulative'!B56</f>
        <v>0</v>
      </c>
      <c r="C56" s="45" t="s">
        <v>100</v>
      </c>
      <c r="D56" s="45" t="s">
        <v>57</v>
      </c>
      <c r="E56" s="65" t="e">
        <f>AVERAGE('Analytical Data'!G57:L57)/'Analytical Data'!E57</f>
        <v>#DIV/0!</v>
      </c>
      <c r="F56" s="65" t="e">
        <f>AVERAGE('Analytical Data'!J57:M57)/'Analytical Data'!E57</f>
        <v>#DIV/0!</v>
      </c>
      <c r="G56" s="65" t="e">
        <f>AVERAGE('Analytical Data'!I57:L57)/'Analytical Data'!E57</f>
        <v>#DIV/0!</v>
      </c>
      <c r="H56" s="65" t="e">
        <f>AVERAGE('Analytical Data'!H57:K57)/'Analytical Data'!E57</f>
        <v>#DIV/0!</v>
      </c>
      <c r="I56" s="65" t="e">
        <f>AVERAGE('Analytical Data'!G57:J57)/'Analytical Data'!E57</f>
        <v>#DIV/0!</v>
      </c>
      <c r="J56" s="66" t="e">
        <f>AVERAGE('Analytical Data'!F57:I57)/'Analytical Data'!E57</f>
        <v>#DIV/0!</v>
      </c>
    </row>
    <row r="57" spans="1:10" ht="16.5" x14ac:dyDescent="0.2">
      <c r="A57" s="53">
        <f>'Derived Cummulative'!A57</f>
        <v>0</v>
      </c>
      <c r="B57" s="149">
        <f>'Derived Cummulative'!B57</f>
        <v>0</v>
      </c>
      <c r="C57" s="45" t="s">
        <v>100</v>
      </c>
      <c r="D57" s="45" t="s">
        <v>57</v>
      </c>
      <c r="E57" s="65" t="e">
        <f>AVERAGE('Analytical Data'!G58:L58)/'Analytical Data'!E58</f>
        <v>#DIV/0!</v>
      </c>
      <c r="F57" s="65" t="e">
        <f>AVERAGE('Analytical Data'!J58:M58)/'Analytical Data'!E58</f>
        <v>#DIV/0!</v>
      </c>
      <c r="G57" s="65" t="e">
        <f>AVERAGE('Analytical Data'!I58:L58)/'Analytical Data'!E58</f>
        <v>#DIV/0!</v>
      </c>
      <c r="H57" s="65" t="e">
        <f>AVERAGE('Analytical Data'!H58:K58)/'Analytical Data'!E58</f>
        <v>#DIV/0!</v>
      </c>
      <c r="I57" s="65" t="e">
        <f>AVERAGE('Analytical Data'!G58:J58)/'Analytical Data'!E58</f>
        <v>#DIV/0!</v>
      </c>
      <c r="J57" s="66" t="e">
        <f>AVERAGE('Analytical Data'!F58:I58)/'Analytical Data'!E58</f>
        <v>#DIV/0!</v>
      </c>
    </row>
    <row r="58" spans="1:10" ht="16.5" x14ac:dyDescent="0.2">
      <c r="A58" s="53">
        <f>'Derived Cummulative'!A58</f>
        <v>0</v>
      </c>
      <c r="B58" s="149">
        <f>'Derived Cummulative'!B58</f>
        <v>0</v>
      </c>
      <c r="C58" s="45" t="s">
        <v>100</v>
      </c>
      <c r="D58" s="45" t="s">
        <v>57</v>
      </c>
      <c r="E58" s="65" t="e">
        <f>AVERAGE('Analytical Data'!G59:L59)/'Analytical Data'!E59</f>
        <v>#DIV/0!</v>
      </c>
      <c r="F58" s="65" t="e">
        <f>AVERAGE('Analytical Data'!J59:M59)/'Analytical Data'!E59</f>
        <v>#DIV/0!</v>
      </c>
      <c r="G58" s="65" t="e">
        <f>AVERAGE('Analytical Data'!I59:L59)/'Analytical Data'!E59</f>
        <v>#DIV/0!</v>
      </c>
      <c r="H58" s="65" t="e">
        <f>AVERAGE('Analytical Data'!H59:K59)/'Analytical Data'!E59</f>
        <v>#DIV/0!</v>
      </c>
      <c r="I58" s="65" t="e">
        <f>AVERAGE('Analytical Data'!G59:J59)/'Analytical Data'!E59</f>
        <v>#DIV/0!</v>
      </c>
      <c r="J58" s="66" t="e">
        <f>AVERAGE('Analytical Data'!F59:I59)/'Analytical Data'!E59</f>
        <v>#DIV/0!</v>
      </c>
    </row>
    <row r="59" spans="1:10" ht="16.5" x14ac:dyDescent="0.2">
      <c r="A59" s="53">
        <f>'Derived Cummulative'!A59</f>
        <v>0</v>
      </c>
      <c r="B59" s="149">
        <f>'Derived Cummulative'!B59</f>
        <v>0</v>
      </c>
      <c r="C59" s="45" t="s">
        <v>100</v>
      </c>
      <c r="D59" s="45" t="s">
        <v>57</v>
      </c>
      <c r="E59" s="65" t="e">
        <f>AVERAGE('Analytical Data'!G60:L60)/'Analytical Data'!E60</f>
        <v>#DIV/0!</v>
      </c>
      <c r="F59" s="65" t="e">
        <f>AVERAGE('Analytical Data'!J60:M60)/'Analytical Data'!E60</f>
        <v>#DIV/0!</v>
      </c>
      <c r="G59" s="65" t="e">
        <f>AVERAGE('Analytical Data'!I60:L60)/'Analytical Data'!E60</f>
        <v>#DIV/0!</v>
      </c>
      <c r="H59" s="65" t="e">
        <f>AVERAGE('Analytical Data'!H60:K60)/'Analytical Data'!E60</f>
        <v>#DIV/0!</v>
      </c>
      <c r="I59" s="65" t="e">
        <f>AVERAGE('Analytical Data'!G60:J60)/'Analytical Data'!E60</f>
        <v>#DIV/0!</v>
      </c>
      <c r="J59" s="66" t="e">
        <f>AVERAGE('Analytical Data'!F60:I60)/'Analytical Data'!E60</f>
        <v>#DIV/0!</v>
      </c>
    </row>
    <row r="60" spans="1:10" ht="16.5" x14ac:dyDescent="0.2">
      <c r="A60" s="53">
        <f>'Derived Cummulative'!A60</f>
        <v>0</v>
      </c>
      <c r="B60" s="149">
        <f>'Derived Cummulative'!B60</f>
        <v>0</v>
      </c>
      <c r="C60" s="45" t="s">
        <v>100</v>
      </c>
      <c r="D60" s="45" t="s">
        <v>57</v>
      </c>
      <c r="E60" s="65" t="e">
        <f>AVERAGE('Analytical Data'!G61:L61)/'Analytical Data'!E61</f>
        <v>#DIV/0!</v>
      </c>
      <c r="F60" s="65" t="e">
        <f>AVERAGE('Analytical Data'!J61:M61)/'Analytical Data'!E61</f>
        <v>#DIV/0!</v>
      </c>
      <c r="G60" s="65" t="e">
        <f>AVERAGE('Analytical Data'!I61:L61)/'Analytical Data'!E61</f>
        <v>#DIV/0!</v>
      </c>
      <c r="H60" s="65" t="e">
        <f>AVERAGE('Analytical Data'!H61:K61)/'Analytical Data'!E61</f>
        <v>#DIV/0!</v>
      </c>
      <c r="I60" s="65" t="e">
        <f>AVERAGE('Analytical Data'!G61:J61)/'Analytical Data'!E61</f>
        <v>#DIV/0!</v>
      </c>
      <c r="J60" s="66" t="e">
        <f>AVERAGE('Analytical Data'!F61:I61)/'Analytical Data'!E61</f>
        <v>#DIV/0!</v>
      </c>
    </row>
    <row r="61" spans="1:10" ht="16.5" x14ac:dyDescent="0.2">
      <c r="A61" s="53">
        <f>'Derived Cummulative'!A61</f>
        <v>0</v>
      </c>
      <c r="B61" s="149">
        <f>'Derived Cummulative'!B61</f>
        <v>0</v>
      </c>
      <c r="C61" s="45" t="s">
        <v>100</v>
      </c>
      <c r="D61" s="45" t="s">
        <v>57</v>
      </c>
      <c r="E61" s="65" t="e">
        <f>AVERAGE('Analytical Data'!G62:L62)/'Analytical Data'!E62</f>
        <v>#DIV/0!</v>
      </c>
      <c r="F61" s="65" t="e">
        <f>AVERAGE('Analytical Data'!J62:M62)/'Analytical Data'!E62</f>
        <v>#DIV/0!</v>
      </c>
      <c r="G61" s="65" t="e">
        <f>AVERAGE('Analytical Data'!I62:L62)/'Analytical Data'!E62</f>
        <v>#DIV/0!</v>
      </c>
      <c r="H61" s="65" t="e">
        <f>AVERAGE('Analytical Data'!H62:K62)/'Analytical Data'!E62</f>
        <v>#DIV/0!</v>
      </c>
      <c r="I61" s="65" t="e">
        <f>AVERAGE('Analytical Data'!G62:J62)/'Analytical Data'!E62</f>
        <v>#DIV/0!</v>
      </c>
      <c r="J61" s="66" t="e">
        <f>AVERAGE('Analytical Data'!F62:I62)/'Analytical Data'!E62</f>
        <v>#DIV/0!</v>
      </c>
    </row>
    <row r="62" spans="1:10" ht="16.5" x14ac:dyDescent="0.2">
      <c r="A62" s="53">
        <f>'Derived Cummulative'!A62</f>
        <v>0</v>
      </c>
      <c r="B62" s="149">
        <f>'Derived Cummulative'!B62</f>
        <v>0</v>
      </c>
      <c r="C62" s="45" t="s">
        <v>100</v>
      </c>
      <c r="D62" s="45" t="s">
        <v>57</v>
      </c>
      <c r="E62" s="65" t="e">
        <f>AVERAGE('Analytical Data'!G63:L63)/'Analytical Data'!E63</f>
        <v>#DIV/0!</v>
      </c>
      <c r="F62" s="65" t="e">
        <f>AVERAGE('Analytical Data'!J63:M63)/'Analytical Data'!E63</f>
        <v>#DIV/0!</v>
      </c>
      <c r="G62" s="65" t="e">
        <f>AVERAGE('Analytical Data'!I63:L63)/'Analytical Data'!E63</f>
        <v>#DIV/0!</v>
      </c>
      <c r="H62" s="65" t="e">
        <f>AVERAGE('Analytical Data'!H63:K63)/'Analytical Data'!E63</f>
        <v>#DIV/0!</v>
      </c>
      <c r="I62" s="65" t="e">
        <f>AVERAGE('Analytical Data'!G63:J63)/'Analytical Data'!E63</f>
        <v>#DIV/0!</v>
      </c>
      <c r="J62" s="66" t="e">
        <f>AVERAGE('Analytical Data'!F63:I63)/'Analytical Data'!E63</f>
        <v>#DIV/0!</v>
      </c>
    </row>
    <row r="63" spans="1:10" ht="16.5" x14ac:dyDescent="0.2">
      <c r="A63" s="53">
        <f>'Derived Cummulative'!A63</f>
        <v>0</v>
      </c>
      <c r="B63" s="149">
        <f>'Derived Cummulative'!B63</f>
        <v>0</v>
      </c>
      <c r="C63" s="45" t="s">
        <v>100</v>
      </c>
      <c r="D63" s="45" t="s">
        <v>57</v>
      </c>
      <c r="E63" s="65" t="e">
        <f>AVERAGE('Analytical Data'!G64:L64)/'Analytical Data'!E64</f>
        <v>#DIV/0!</v>
      </c>
      <c r="F63" s="65" t="e">
        <f>AVERAGE('Analytical Data'!J64:M64)/'Analytical Data'!E64</f>
        <v>#DIV/0!</v>
      </c>
      <c r="G63" s="65" t="e">
        <f>AVERAGE('Analytical Data'!I64:L64)/'Analytical Data'!E64</f>
        <v>#DIV/0!</v>
      </c>
      <c r="H63" s="65" t="e">
        <f>AVERAGE('Analytical Data'!H64:K64)/'Analytical Data'!E64</f>
        <v>#DIV/0!</v>
      </c>
      <c r="I63" s="65" t="e">
        <f>AVERAGE('Analytical Data'!G64:J64)/'Analytical Data'!E64</f>
        <v>#DIV/0!</v>
      </c>
      <c r="J63" s="66" t="e">
        <f>AVERAGE('Analytical Data'!F64:I64)/'Analytical Data'!E64</f>
        <v>#DIV/0!</v>
      </c>
    </row>
    <row r="64" spans="1:10" ht="16.5" x14ac:dyDescent="0.2">
      <c r="A64" s="53">
        <f>'Derived Cummulative'!A64</f>
        <v>0</v>
      </c>
      <c r="B64" s="149">
        <f>'Derived Cummulative'!B64</f>
        <v>0</v>
      </c>
      <c r="C64" s="45" t="s">
        <v>100</v>
      </c>
      <c r="D64" s="45" t="s">
        <v>57</v>
      </c>
      <c r="E64" s="65" t="e">
        <f>AVERAGE('Analytical Data'!G65:L65)/'Analytical Data'!E65</f>
        <v>#DIV/0!</v>
      </c>
      <c r="F64" s="65" t="e">
        <f>AVERAGE('Analytical Data'!J65:M65)/'Analytical Data'!E65</f>
        <v>#DIV/0!</v>
      </c>
      <c r="G64" s="65" t="e">
        <f>AVERAGE('Analytical Data'!I65:L65)/'Analytical Data'!E65</f>
        <v>#DIV/0!</v>
      </c>
      <c r="H64" s="65" t="e">
        <f>AVERAGE('Analytical Data'!H65:K65)/'Analytical Data'!E65</f>
        <v>#DIV/0!</v>
      </c>
      <c r="I64" s="65" t="e">
        <f>AVERAGE('Analytical Data'!G65:J65)/'Analytical Data'!E65</f>
        <v>#DIV/0!</v>
      </c>
      <c r="J64" s="66" t="e">
        <f>AVERAGE('Analytical Data'!F65:I65)/'Analytical Data'!E65</f>
        <v>#DIV/0!</v>
      </c>
    </row>
    <row r="65" spans="1:10" ht="16.5" x14ac:dyDescent="0.2">
      <c r="A65" s="53">
        <f>'Derived Cummulative'!A65</f>
        <v>0</v>
      </c>
      <c r="B65" s="149">
        <f>'Derived Cummulative'!B65</f>
        <v>0</v>
      </c>
      <c r="C65" s="45" t="s">
        <v>100</v>
      </c>
      <c r="D65" s="45" t="s">
        <v>57</v>
      </c>
      <c r="E65" s="65" t="e">
        <f>AVERAGE('Analytical Data'!G66:L66)/'Analytical Data'!E66</f>
        <v>#DIV/0!</v>
      </c>
      <c r="F65" s="65" t="e">
        <f>AVERAGE('Analytical Data'!J66:M66)/'Analytical Data'!E66</f>
        <v>#DIV/0!</v>
      </c>
      <c r="G65" s="65" t="e">
        <f>AVERAGE('Analytical Data'!I66:L66)/'Analytical Data'!E66</f>
        <v>#DIV/0!</v>
      </c>
      <c r="H65" s="65" t="e">
        <f>AVERAGE('Analytical Data'!H66:K66)/'Analytical Data'!E66</f>
        <v>#DIV/0!</v>
      </c>
      <c r="I65" s="65" t="e">
        <f>AVERAGE('Analytical Data'!G66:J66)/'Analytical Data'!E66</f>
        <v>#DIV/0!</v>
      </c>
      <c r="J65" s="66" t="e">
        <f>AVERAGE('Analytical Data'!F66:I66)/'Analytical Data'!E66</f>
        <v>#DIV/0!</v>
      </c>
    </row>
    <row r="66" spans="1:10" ht="16.5" x14ac:dyDescent="0.2">
      <c r="A66" s="53">
        <f>'Derived Cummulative'!A66</f>
        <v>0</v>
      </c>
      <c r="B66" s="149">
        <f>'Derived Cummulative'!B66</f>
        <v>0</v>
      </c>
      <c r="C66" s="45" t="s">
        <v>100</v>
      </c>
      <c r="D66" s="45" t="s">
        <v>57</v>
      </c>
      <c r="E66" s="65" t="e">
        <f>AVERAGE('Analytical Data'!G67:L67)/'Analytical Data'!E67</f>
        <v>#DIV/0!</v>
      </c>
      <c r="F66" s="65" t="e">
        <f>AVERAGE('Analytical Data'!J67:M67)/'Analytical Data'!E67</f>
        <v>#DIV/0!</v>
      </c>
      <c r="G66" s="65" t="e">
        <f>AVERAGE('Analytical Data'!I67:L67)/'Analytical Data'!E67</f>
        <v>#DIV/0!</v>
      </c>
      <c r="H66" s="65" t="e">
        <f>AVERAGE('Analytical Data'!H67:K67)/'Analytical Data'!E67</f>
        <v>#DIV/0!</v>
      </c>
      <c r="I66" s="65" t="e">
        <f>AVERAGE('Analytical Data'!G67:J67)/'Analytical Data'!E67</f>
        <v>#DIV/0!</v>
      </c>
      <c r="J66" s="66" t="e">
        <f>AVERAGE('Analytical Data'!F67:I67)/'Analytical Data'!E67</f>
        <v>#DIV/0!</v>
      </c>
    </row>
    <row r="67" spans="1:10" ht="16.5" x14ac:dyDescent="0.2">
      <c r="A67" s="53">
        <f>'Derived Cummulative'!A67</f>
        <v>0</v>
      </c>
      <c r="B67" s="149">
        <f>'Derived Cummulative'!B67</f>
        <v>0</v>
      </c>
      <c r="C67" s="45" t="s">
        <v>100</v>
      </c>
      <c r="D67" s="45" t="s">
        <v>57</v>
      </c>
      <c r="E67" s="65" t="e">
        <f>AVERAGE('Analytical Data'!G68:L68)/'Analytical Data'!E68</f>
        <v>#DIV/0!</v>
      </c>
      <c r="F67" s="65" t="e">
        <f>AVERAGE('Analytical Data'!J68:M68)/'Analytical Data'!E68</f>
        <v>#DIV/0!</v>
      </c>
      <c r="G67" s="65" t="e">
        <f>AVERAGE('Analytical Data'!I68:L68)/'Analytical Data'!E68</f>
        <v>#DIV/0!</v>
      </c>
      <c r="H67" s="65" t="e">
        <f>AVERAGE('Analytical Data'!H68:K68)/'Analytical Data'!E68</f>
        <v>#DIV/0!</v>
      </c>
      <c r="I67" s="65" t="e">
        <f>AVERAGE('Analytical Data'!G68:J68)/'Analytical Data'!E68</f>
        <v>#DIV/0!</v>
      </c>
      <c r="J67" s="66" t="e">
        <f>AVERAGE('Analytical Data'!F68:I68)/'Analytical Data'!E68</f>
        <v>#DIV/0!</v>
      </c>
    </row>
    <row r="68" spans="1:10" ht="16.5" x14ac:dyDescent="0.2">
      <c r="A68" s="53">
        <f>'Derived Cummulative'!A68</f>
        <v>0</v>
      </c>
      <c r="B68" s="149">
        <f>'Derived Cummulative'!B68</f>
        <v>0</v>
      </c>
      <c r="C68" s="45" t="s">
        <v>100</v>
      </c>
      <c r="D68" s="45" t="s">
        <v>57</v>
      </c>
      <c r="E68" s="65" t="e">
        <f>AVERAGE('Analytical Data'!G69:L69)/'Analytical Data'!E69</f>
        <v>#DIV/0!</v>
      </c>
      <c r="F68" s="65" t="e">
        <f>AVERAGE('Analytical Data'!J69:M69)/'Analytical Data'!E69</f>
        <v>#DIV/0!</v>
      </c>
      <c r="G68" s="65" t="e">
        <f>AVERAGE('Analytical Data'!I69:L69)/'Analytical Data'!E69</f>
        <v>#DIV/0!</v>
      </c>
      <c r="H68" s="65" t="e">
        <f>AVERAGE('Analytical Data'!H69:K69)/'Analytical Data'!E69</f>
        <v>#DIV/0!</v>
      </c>
      <c r="I68" s="65" t="e">
        <f>AVERAGE('Analytical Data'!G69:J69)/'Analytical Data'!E69</f>
        <v>#DIV/0!</v>
      </c>
      <c r="J68" s="66" t="e">
        <f>AVERAGE('Analytical Data'!F69:I69)/'Analytical Data'!E69</f>
        <v>#DIV/0!</v>
      </c>
    </row>
    <row r="69" spans="1:10" ht="16.5" x14ac:dyDescent="0.2">
      <c r="A69" s="53">
        <f>'Derived Cummulative'!A69</f>
        <v>0</v>
      </c>
      <c r="B69" s="149">
        <f>'Derived Cummulative'!B69</f>
        <v>0</v>
      </c>
      <c r="C69" s="45" t="s">
        <v>100</v>
      </c>
      <c r="D69" s="45" t="s">
        <v>57</v>
      </c>
      <c r="E69" s="65" t="e">
        <f>AVERAGE('Analytical Data'!G70:L70)/'Analytical Data'!E70</f>
        <v>#DIV/0!</v>
      </c>
      <c r="F69" s="65" t="e">
        <f>AVERAGE('Analytical Data'!J70:M70)/'Analytical Data'!E70</f>
        <v>#DIV/0!</v>
      </c>
      <c r="G69" s="65" t="e">
        <f>AVERAGE('Analytical Data'!I70:L70)/'Analytical Data'!E70</f>
        <v>#DIV/0!</v>
      </c>
      <c r="H69" s="65" t="e">
        <f>AVERAGE('Analytical Data'!H70:K70)/'Analytical Data'!E70</f>
        <v>#DIV/0!</v>
      </c>
      <c r="I69" s="65" t="e">
        <f>AVERAGE('Analytical Data'!G70:J70)/'Analytical Data'!E70</f>
        <v>#DIV/0!</v>
      </c>
      <c r="J69" s="66" t="e">
        <f>AVERAGE('Analytical Data'!F70:I70)/'Analytical Data'!E70</f>
        <v>#DIV/0!</v>
      </c>
    </row>
    <row r="70" spans="1:10" ht="16.5" x14ac:dyDescent="0.2">
      <c r="A70" s="53">
        <f>'Derived Cummulative'!A70</f>
        <v>0</v>
      </c>
      <c r="B70" s="149">
        <f>'Derived Cummulative'!B70</f>
        <v>0</v>
      </c>
      <c r="C70" s="45" t="s">
        <v>100</v>
      </c>
      <c r="D70" s="45" t="s">
        <v>57</v>
      </c>
      <c r="E70" s="65" t="e">
        <f>AVERAGE('Analytical Data'!G71:L71)/'Analytical Data'!E71</f>
        <v>#DIV/0!</v>
      </c>
      <c r="F70" s="65" t="e">
        <f>AVERAGE('Analytical Data'!J71:M71)/'Analytical Data'!E71</f>
        <v>#DIV/0!</v>
      </c>
      <c r="G70" s="65" t="e">
        <f>AVERAGE('Analytical Data'!I71:L71)/'Analytical Data'!E71</f>
        <v>#DIV/0!</v>
      </c>
      <c r="H70" s="65" t="e">
        <f>AVERAGE('Analytical Data'!H71:K71)/'Analytical Data'!E71</f>
        <v>#DIV/0!</v>
      </c>
      <c r="I70" s="65" t="e">
        <f>AVERAGE('Analytical Data'!G71:J71)/'Analytical Data'!E71</f>
        <v>#DIV/0!</v>
      </c>
      <c r="J70" s="66" t="e">
        <f>AVERAGE('Analytical Data'!F71:I71)/'Analytical Data'!E71</f>
        <v>#DIV/0!</v>
      </c>
    </row>
    <row r="71" spans="1:10" ht="16.5" x14ac:dyDescent="0.2">
      <c r="A71" s="53">
        <f>'Derived Cummulative'!A71</f>
        <v>0</v>
      </c>
      <c r="B71" s="149">
        <f>'Derived Cummulative'!B71</f>
        <v>0</v>
      </c>
      <c r="C71" s="45" t="s">
        <v>100</v>
      </c>
      <c r="D71" s="45" t="s">
        <v>57</v>
      </c>
      <c r="E71" s="65" t="e">
        <f>AVERAGE('Analytical Data'!G72:L72)/'Analytical Data'!E72</f>
        <v>#DIV/0!</v>
      </c>
      <c r="F71" s="65" t="e">
        <f>AVERAGE('Analytical Data'!J72:M72)/'Analytical Data'!E72</f>
        <v>#DIV/0!</v>
      </c>
      <c r="G71" s="65" t="e">
        <f>AVERAGE('Analytical Data'!I72:L72)/'Analytical Data'!E72</f>
        <v>#DIV/0!</v>
      </c>
      <c r="H71" s="65" t="e">
        <f>AVERAGE('Analytical Data'!H72:K72)/'Analytical Data'!E72</f>
        <v>#DIV/0!</v>
      </c>
      <c r="I71" s="65" t="e">
        <f>AVERAGE('Analytical Data'!G72:J72)/'Analytical Data'!E72</f>
        <v>#DIV/0!</v>
      </c>
      <c r="J71" s="66" t="e">
        <f>AVERAGE('Analytical Data'!F72:I72)/'Analytical Data'!E72</f>
        <v>#DIV/0!</v>
      </c>
    </row>
    <row r="72" spans="1:10" ht="16.5" x14ac:dyDescent="0.2">
      <c r="A72" s="53">
        <f>'Derived Cummulative'!A72</f>
        <v>0</v>
      </c>
      <c r="B72" s="149">
        <f>'Derived Cummulative'!B72</f>
        <v>0</v>
      </c>
      <c r="C72" s="45" t="s">
        <v>100</v>
      </c>
      <c r="D72" s="45" t="s">
        <v>57</v>
      </c>
      <c r="E72" s="65" t="e">
        <f>AVERAGE('Analytical Data'!G73:L73)/'Analytical Data'!E73</f>
        <v>#DIV/0!</v>
      </c>
      <c r="F72" s="65" t="e">
        <f>AVERAGE('Analytical Data'!J73:M73)/'Analytical Data'!E73</f>
        <v>#DIV/0!</v>
      </c>
      <c r="G72" s="65" t="e">
        <f>AVERAGE('Analytical Data'!I73:L73)/'Analytical Data'!E73</f>
        <v>#DIV/0!</v>
      </c>
      <c r="H72" s="65" t="e">
        <f>AVERAGE('Analytical Data'!H73:K73)/'Analytical Data'!E73</f>
        <v>#DIV/0!</v>
      </c>
      <c r="I72" s="65" t="e">
        <f>AVERAGE('Analytical Data'!G73:J73)/'Analytical Data'!E73</f>
        <v>#DIV/0!</v>
      </c>
      <c r="J72" s="66" t="e">
        <f>AVERAGE('Analytical Data'!F73:I73)/'Analytical Data'!E73</f>
        <v>#DIV/0!</v>
      </c>
    </row>
    <row r="73" spans="1:10" ht="16.5" x14ac:dyDescent="0.2">
      <c r="A73" s="149">
        <f>'Derived Cummulative'!A73</f>
        <v>0</v>
      </c>
      <c r="B73" s="149">
        <f>'Derived Cummulative'!B73</f>
        <v>0</v>
      </c>
      <c r="C73" s="45" t="s">
        <v>100</v>
      </c>
      <c r="D73" s="45" t="s">
        <v>57</v>
      </c>
      <c r="E73" s="65" t="e">
        <f>AVERAGE('Analytical Data'!G74:L74)/'Analytical Data'!E74</f>
        <v>#DIV/0!</v>
      </c>
      <c r="F73" s="65" t="e">
        <f>AVERAGE('Analytical Data'!J74:M74)/'Analytical Data'!E74</f>
        <v>#DIV/0!</v>
      </c>
      <c r="G73" s="65" t="e">
        <f>AVERAGE('Analytical Data'!I74:L74)/'Analytical Data'!E74</f>
        <v>#DIV/0!</v>
      </c>
      <c r="H73" s="65" t="e">
        <f>AVERAGE('Analytical Data'!H74:K74)/'Analytical Data'!E74</f>
        <v>#DIV/0!</v>
      </c>
      <c r="I73" s="65" t="e">
        <f>AVERAGE('Analytical Data'!G74:J74)/'Analytical Data'!E74</f>
        <v>#DIV/0!</v>
      </c>
      <c r="J73" s="65" t="e">
        <f>AVERAGE('Analytical Data'!F74:I74)/'Analytical Data'!E74</f>
        <v>#DIV/0!</v>
      </c>
    </row>
    <row r="74" spans="1:10" ht="17.25" x14ac:dyDescent="0.25">
      <c r="A74" s="149">
        <f>'Derived Cummulative'!A74</f>
        <v>0</v>
      </c>
      <c r="B74" s="149">
        <f>'Derived Cummulative'!B74</f>
        <v>0</v>
      </c>
      <c r="C74" s="45" t="s">
        <v>223</v>
      </c>
      <c r="D74" s="45" t="s">
        <v>57</v>
      </c>
      <c r="E74" s="65" t="e">
        <f>AVERAGE('Analytical Data'!G75:L75)/'Analytical Data'!E75</f>
        <v>#DIV/0!</v>
      </c>
      <c r="F74" s="65" t="e">
        <f>AVERAGE('Analytical Data'!J75:M75)/'Analytical Data'!E75</f>
        <v>#DIV/0!</v>
      </c>
      <c r="G74" s="65" t="e">
        <f>AVERAGE('Analytical Data'!I75:L75)/'Analytical Data'!E75</f>
        <v>#DIV/0!</v>
      </c>
      <c r="H74" s="65" t="e">
        <f>AVERAGE('Analytical Data'!H75:K75)/'Analytical Data'!E75</f>
        <v>#DIV/0!</v>
      </c>
      <c r="I74" s="65" t="e">
        <f>AVERAGE('Analytical Data'!G75:J75)/'Analytical Data'!E75</f>
        <v>#DIV/0!</v>
      </c>
      <c r="J74" s="65" t="e">
        <f>AVERAGE('Analytical Data'!F75:I75)/'Analytical Data'!E75</f>
        <v>#DIV/0!</v>
      </c>
    </row>
    <row r="75" spans="1:10" ht="17.25" x14ac:dyDescent="0.25">
      <c r="A75" s="149">
        <f>'Derived Cummulative'!A75</f>
        <v>0</v>
      </c>
      <c r="B75" s="149">
        <f>'Derived Cummulative'!B75</f>
        <v>0</v>
      </c>
      <c r="C75" s="45" t="s">
        <v>224</v>
      </c>
      <c r="D75" s="45" t="s">
        <v>57</v>
      </c>
      <c r="E75" s="65" t="e">
        <f>AVERAGE('Analytical Data'!G76:L76)/'Analytical Data'!E76</f>
        <v>#DIV/0!</v>
      </c>
      <c r="F75" s="65" t="e">
        <f>AVERAGE('Analytical Data'!J76:M76)/'Analytical Data'!E76</f>
        <v>#DIV/0!</v>
      </c>
      <c r="G75" s="65" t="e">
        <f>AVERAGE('Analytical Data'!I76:L76)/'Analytical Data'!E76</f>
        <v>#DIV/0!</v>
      </c>
      <c r="H75" s="65" t="e">
        <f>AVERAGE('Analytical Data'!H76:K76)/'Analytical Data'!E76</f>
        <v>#DIV/0!</v>
      </c>
      <c r="I75" s="65" t="e">
        <f>AVERAGE('Analytical Data'!G76:J76)/'Analytical Data'!E76</f>
        <v>#DIV/0!</v>
      </c>
      <c r="J75" s="65" t="e">
        <f>AVERAGE('Analytical Data'!F76:I76)/'Analytical Data'!E76</f>
        <v>#DIV/0!</v>
      </c>
    </row>
    <row r="76" spans="1:10" x14ac:dyDescent="0.2">
      <c r="E76" s="72"/>
      <c r="F76" s="72"/>
      <c r="G76" s="72"/>
      <c r="H76" s="72"/>
      <c r="I76" s="72"/>
      <c r="J76" s="72"/>
    </row>
    <row r="77" spans="1:10" x14ac:dyDescent="0.2">
      <c r="E77" s="72"/>
      <c r="F77" s="72"/>
      <c r="G77" s="72"/>
      <c r="H77" s="72"/>
      <c r="I77" s="72"/>
      <c r="J77" s="72"/>
    </row>
  </sheetData>
  <phoneticPr fontId="15" type="noConversion"/>
  <conditionalFormatting sqref="E4:J75">
    <cfRule type="cellIs" dxfId="3" priority="1" stopIfTrue="1" operator="lessThanOrEqual">
      <formula>1.5</formula>
    </cfRule>
  </conditionalFormatting>
  <pageMargins left="0.74803149606299213" right="0.74803149606299213" top="0.98425196850393704" bottom="0.98425196850393704" header="0.51181102362204722" footer="0.51181102362204722"/>
  <pageSetup paperSize="9" scale="59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8">
    <pageSetUpPr fitToPage="1"/>
  </sheetPr>
  <dimension ref="A1:BR81"/>
  <sheetViews>
    <sheetView topLeftCell="AF4" workbookViewId="0">
      <selection activeCell="BA16" sqref="BA16"/>
    </sheetView>
  </sheetViews>
  <sheetFormatPr defaultRowHeight="12.75" x14ac:dyDescent="0.2"/>
  <cols>
    <col min="1" max="1" width="39.85546875" style="2" hidden="1" customWidth="1"/>
    <col min="2" max="2" width="19" style="2" hidden="1" customWidth="1"/>
    <col min="3" max="3" width="20.5703125" style="2" hidden="1" customWidth="1"/>
    <col min="4" max="4" width="20.42578125" style="2" hidden="1" customWidth="1"/>
    <col min="5" max="12" width="9.140625" style="225" hidden="1" customWidth="1"/>
    <col min="13" max="20" width="9.140625" style="226" hidden="1" customWidth="1"/>
    <col min="21" max="21" width="9.140625" hidden="1" customWidth="1"/>
    <col min="22" max="22" width="30" hidden="1" customWidth="1"/>
    <col min="23" max="30" width="9.140625" hidden="1" customWidth="1"/>
    <col min="31" max="70" width="9.140625" style="2"/>
  </cols>
  <sheetData>
    <row r="1" spans="1:48" ht="15" thickBot="1" x14ac:dyDescent="0.25">
      <c r="A1" s="22"/>
      <c r="B1" s="46"/>
      <c r="C1" s="22"/>
      <c r="D1" s="22"/>
      <c r="E1" s="426" t="s">
        <v>133</v>
      </c>
      <c r="F1" s="426"/>
      <c r="G1" s="426"/>
      <c r="H1" s="426"/>
      <c r="I1" s="426"/>
      <c r="J1" s="426"/>
      <c r="K1" s="426"/>
      <c r="L1" s="426"/>
      <c r="M1" s="427" t="s">
        <v>134</v>
      </c>
      <c r="N1" s="427"/>
      <c r="O1" s="427"/>
      <c r="P1" s="427"/>
      <c r="Q1" s="427"/>
      <c r="R1" s="427"/>
      <c r="S1" s="427"/>
      <c r="T1" s="427"/>
      <c r="U1" s="115"/>
    </row>
    <row r="2" spans="1:48" ht="15" x14ac:dyDescent="0.25">
      <c r="A2" s="25" t="s">
        <v>49</v>
      </c>
      <c r="B2" s="46"/>
      <c r="C2" s="22"/>
      <c r="D2" s="30" t="s">
        <v>46</v>
      </c>
      <c r="E2" s="225" t="str">
        <f ca="1">'Derived Cummulative'!E2</f>
        <v>t=0.0625days</v>
      </c>
      <c r="F2" s="225" t="str">
        <f ca="1">'Derived Cummulative'!F2</f>
        <v>t=0.25days</v>
      </c>
      <c r="G2" s="225" t="str">
        <f ca="1">'Derived Cummulative'!G2</f>
        <v>t=1days</v>
      </c>
      <c r="H2" s="225" t="str">
        <f ca="1">'Derived Cummulative'!H2</f>
        <v>t=2.25days</v>
      </c>
      <c r="I2" s="225" t="str">
        <f ca="1">'Derived Cummulative'!I2</f>
        <v>t=4days</v>
      </c>
      <c r="J2" s="225" t="str">
        <f ca="1">'Derived Cummulative'!J2</f>
        <v>t=6.25days</v>
      </c>
      <c r="K2" s="225" t="str">
        <f ca="1">'Derived Cummulative'!K2</f>
        <v>t=9days</v>
      </c>
      <c r="L2" s="225" t="str">
        <f ca="1">'Derived Cummulative'!L2</f>
        <v>t=16days</v>
      </c>
      <c r="M2" s="226" t="str">
        <f ca="1">'Measured Cummulative'!E3</f>
        <v>t=0.0625days</v>
      </c>
      <c r="N2" s="226" t="str">
        <f ca="1">'Measured Cummulative'!F3</f>
        <v>t=0.25days</v>
      </c>
      <c r="O2" s="226" t="str">
        <f ca="1">'Measured Cummulative'!G3</f>
        <v>t=1days</v>
      </c>
      <c r="P2" s="226" t="str">
        <f ca="1">'Measured Cummulative'!H3</f>
        <v>t=2.25days</v>
      </c>
      <c r="Q2" s="226" t="str">
        <f ca="1">'Measured Cummulative'!I3</f>
        <v>t=4days</v>
      </c>
      <c r="R2" s="226" t="str">
        <f ca="1">'Measured Cummulative'!J3</f>
        <v>t=6.25days</v>
      </c>
      <c r="S2" s="226" t="str">
        <f ca="1">'Measured Cummulative'!K3</f>
        <v>t=9days</v>
      </c>
      <c r="T2" s="226" t="str">
        <f ca="1">'Measured Cummulative'!L3</f>
        <v>t=16days</v>
      </c>
      <c r="W2" s="206">
        <v>2</v>
      </c>
    </row>
    <row r="3" spans="1:48" ht="15" customHeight="1" thickBot="1" x14ac:dyDescent="0.25">
      <c r="A3" s="22"/>
      <c r="B3" s="46"/>
      <c r="C3" s="22"/>
      <c r="D3" s="39" t="s">
        <v>47</v>
      </c>
      <c r="E3" s="225">
        <f ca="1">'Derived Cummulative'!E3</f>
        <v>6.25E-2</v>
      </c>
      <c r="F3" s="225">
        <f ca="1">'Derived Cummulative'!F3</f>
        <v>0.25</v>
      </c>
      <c r="G3" s="225">
        <f ca="1">'Derived Cummulative'!G3</f>
        <v>1</v>
      </c>
      <c r="H3" s="225">
        <f ca="1">'Derived Cummulative'!H3</f>
        <v>2.25</v>
      </c>
      <c r="I3" s="225">
        <f ca="1">'Derived Cummulative'!I3</f>
        <v>4</v>
      </c>
      <c r="J3" s="225">
        <f ca="1">'Derived Cummulative'!J3</f>
        <v>6.25</v>
      </c>
      <c r="K3" s="225">
        <f ca="1">'Derived Cummulative'!K3</f>
        <v>9</v>
      </c>
      <c r="L3" s="225">
        <f ca="1">'Derived Cummulative'!L3</f>
        <v>16</v>
      </c>
      <c r="M3" s="226">
        <f ca="1">'Measured Cummulative'!E4</f>
        <v>6.25E-2</v>
      </c>
      <c r="N3" s="226">
        <f ca="1">'Measured Cummulative'!F4</f>
        <v>0.25</v>
      </c>
      <c r="O3" s="226">
        <f ca="1">'Measured Cummulative'!G4</f>
        <v>1</v>
      </c>
      <c r="P3" s="226">
        <f ca="1">'Measured Cummulative'!H4</f>
        <v>2.25</v>
      </c>
      <c r="Q3" s="226">
        <f ca="1">'Measured Cummulative'!I4</f>
        <v>4</v>
      </c>
      <c r="R3" s="226">
        <f ca="1">'Measured Cummulative'!J4</f>
        <v>6.25</v>
      </c>
      <c r="S3" s="226">
        <f ca="1">'Measured Cummulative'!K4</f>
        <v>9</v>
      </c>
      <c r="T3" s="226">
        <f ca="1">'Measured Cummulative'!L4</f>
        <v>16</v>
      </c>
      <c r="W3">
        <v>0.08</v>
      </c>
      <c r="X3">
        <v>1</v>
      </c>
      <c r="Y3">
        <v>2.25</v>
      </c>
      <c r="Z3">
        <v>8</v>
      </c>
      <c r="AA3">
        <v>14</v>
      </c>
      <c r="AB3">
        <v>15</v>
      </c>
      <c r="AC3">
        <v>28</v>
      </c>
      <c r="AD3">
        <v>36</v>
      </c>
    </row>
    <row r="4" spans="1:48" ht="21" customHeight="1" thickBot="1" x14ac:dyDescent="0.25">
      <c r="A4" s="52" t="str">
        <f>'Measured Cummulative'!A5</f>
        <v>pH</v>
      </c>
      <c r="B4" s="150">
        <f>'Measured Cummulative'!B5</f>
        <v>1010</v>
      </c>
      <c r="C4" s="142"/>
      <c r="D4" s="143"/>
      <c r="E4" s="225">
        <f ca="1">'Derived Cummulative'!E4</f>
        <v>625.2492237293676</v>
      </c>
      <c r="F4" s="225">
        <f ca="1">'Derived Cummulative'!F4</f>
        <v>980.1627716947213</v>
      </c>
      <c r="G4" s="225">
        <f ca="1">'Derived Cummulative'!G4</f>
        <v>1017.2145775453505</v>
      </c>
      <c r="H4" s="225">
        <f ca="1">'Derived Cummulative'!H4</f>
        <v>1477.2982513482598</v>
      </c>
      <c r="I4" s="225">
        <f ca="1">'Derived Cummulative'!I4</f>
        <v>1998.5174048047058</v>
      </c>
      <c r="J4" s="225">
        <f ca="1">'Derived Cummulative'!J4</f>
        <v>2414.780192841969</v>
      </c>
      <c r="K4" s="225">
        <f ca="1">'Derived Cummulative'!K4</f>
        <v>2892.1784605327662</v>
      </c>
      <c r="L4" s="225">
        <f ca="1">'Derived Cummulative'!L4</f>
        <v>2007.0678215394664</v>
      </c>
      <c r="M4" s="226">
        <f>'Measured Cummulative'!E5</f>
        <v>625.2492237293676</v>
      </c>
      <c r="N4" s="226">
        <f>'Measured Cummulative'!F5</f>
        <v>1115.3306095767282</v>
      </c>
      <c r="O4" s="226">
        <f>'Measured Cummulative'!G5</f>
        <v>1623.9378983494034</v>
      </c>
      <c r="P4" s="226">
        <f>'Measured Cummulative'!H5</f>
        <v>2116.3706487988234</v>
      </c>
      <c r="Q4" s="226">
        <f>'Measured Cummulative'!I5</f>
        <v>2616</v>
      </c>
      <c r="R4" s="226">
        <f>'Measured Cummulative'!J5</f>
        <v>3098.9560385683935</v>
      </c>
      <c r="S4" s="226">
        <f>'Measured Cummulative'!K5</f>
        <v>3580.9857819905214</v>
      </c>
      <c r="T4" s="226">
        <f>'Measured Cummulative'!L5</f>
        <v>4082.7527373753883</v>
      </c>
      <c r="V4" t="s">
        <v>14</v>
      </c>
      <c r="W4">
        <f>60*60*24*W3</f>
        <v>6912</v>
      </c>
      <c r="X4">
        <f t="shared" ref="X4:AD4" si="0">60*60*24*X3</f>
        <v>86400</v>
      </c>
      <c r="Y4">
        <f t="shared" si="0"/>
        <v>194400</v>
      </c>
      <c r="Z4">
        <f t="shared" si="0"/>
        <v>691200</v>
      </c>
      <c r="AA4">
        <f t="shared" si="0"/>
        <v>1209600</v>
      </c>
      <c r="AB4">
        <f t="shared" si="0"/>
        <v>1296000</v>
      </c>
      <c r="AC4">
        <f t="shared" si="0"/>
        <v>2419200</v>
      </c>
      <c r="AD4">
        <f t="shared" si="0"/>
        <v>3110400</v>
      </c>
      <c r="AI4" s="430" t="s">
        <v>217</v>
      </c>
      <c r="AJ4" s="429"/>
      <c r="AK4" s="429"/>
      <c r="AL4" s="429"/>
      <c r="AM4" s="429"/>
      <c r="AN4" s="429"/>
      <c r="AO4" s="429"/>
      <c r="AP4" s="429"/>
      <c r="AQ4" s="429"/>
      <c r="AR4" s="429"/>
      <c r="AS4" s="429"/>
      <c r="AT4" s="429"/>
    </row>
    <row r="5" spans="1:48" ht="15" customHeight="1" thickBot="1" x14ac:dyDescent="0.25">
      <c r="A5" s="52" t="str">
        <f>'Measured Cummulative'!A6</f>
        <v>Electrical Conductivity</v>
      </c>
      <c r="B5" s="149">
        <f>'Measured Cummulative'!B6</f>
        <v>1020</v>
      </c>
      <c r="C5" s="61"/>
      <c r="D5" s="144"/>
      <c r="E5" s="225">
        <f ca="1">'Derived Cummulative'!E5</f>
        <v>1011.7993136133355</v>
      </c>
      <c r="F5" s="225">
        <f ca="1">'Derived Cummulative'!F5</f>
        <v>5858.4605327667923</v>
      </c>
      <c r="G5" s="225">
        <f ca="1">'Derived Cummulative'!G5</f>
        <v>81670.730511521484</v>
      </c>
      <c r="H5" s="225">
        <f ca="1">'Derived Cummulative'!H5</f>
        <v>558983.49403497321</v>
      </c>
      <c r="I5" s="225">
        <f ca="1">'Derived Cummulative'!I5</f>
        <v>788633.436836084</v>
      </c>
      <c r="J5" s="225">
        <f ca="1">'Derived Cummulative'!J5</f>
        <v>757424.41575420857</v>
      </c>
      <c r="K5" s="225">
        <f ca="1">'Derived Cummulative'!K5</f>
        <v>1017499.591436509</v>
      </c>
      <c r="L5" s="225">
        <f ca="1">'Derived Cummulative'!L5</f>
        <v>495924.17061611352</v>
      </c>
      <c r="M5" s="226">
        <f>'Measured Cummulative'!E6</f>
        <v>1011.7993136133354</v>
      </c>
      <c r="N5" s="226">
        <f>'Measured Cummulative'!F6</f>
        <v>3941.0295799967316</v>
      </c>
      <c r="O5" s="226">
        <f>'Measured Cummulative'!G6</f>
        <v>44776.39483575747</v>
      </c>
      <c r="P5" s="226">
        <f>'Measured Cummulative'!H6</f>
        <v>231104.22618074849</v>
      </c>
      <c r="Q5" s="226">
        <f>'Measured Cummulative'!I6</f>
        <v>428262.58538976958</v>
      </c>
      <c r="R5" s="226">
        <f>'Measured Cummulative'!J6</f>
        <v>579747.46854061121</v>
      </c>
      <c r="S5" s="226">
        <f>'Measured Cummulative'!K6</f>
        <v>749330.73378002946</v>
      </c>
      <c r="T5" s="226">
        <f>'Measured Cummulative'!L6</f>
        <v>873311.77643405786</v>
      </c>
      <c r="V5" t="s">
        <v>137</v>
      </c>
      <c r="W5">
        <f>LOG(W4)</f>
        <v>3.8396037294708369</v>
      </c>
      <c r="X5">
        <f t="shared" ref="X5:AD5" si="1">LOG(X4)</f>
        <v>4.9365137424788932</v>
      </c>
      <c r="Y5">
        <f t="shared" si="1"/>
        <v>5.2886962605902559</v>
      </c>
      <c r="Z5">
        <f t="shared" si="1"/>
        <v>5.8396037294708369</v>
      </c>
      <c r="AA5">
        <f t="shared" si="1"/>
        <v>6.0826417781571314</v>
      </c>
      <c r="AB5">
        <f t="shared" si="1"/>
        <v>6.1126050015345745</v>
      </c>
      <c r="AC5">
        <f t="shared" si="1"/>
        <v>6.3836717738211126</v>
      </c>
      <c r="AD5">
        <f t="shared" si="1"/>
        <v>6.4928162432461809</v>
      </c>
      <c r="AI5" s="429"/>
      <c r="AJ5" s="429"/>
      <c r="AK5" s="429"/>
      <c r="AL5" s="429"/>
      <c r="AM5" s="429"/>
      <c r="AN5" s="429"/>
      <c r="AO5" s="429"/>
      <c r="AP5" s="429"/>
      <c r="AQ5" s="429"/>
      <c r="AR5" s="429"/>
      <c r="AS5" s="429"/>
      <c r="AT5" s="429"/>
    </row>
    <row r="6" spans="1:48" ht="15" thickBot="1" x14ac:dyDescent="0.25">
      <c r="A6" s="52" t="str">
        <f>'Measured Cummulative'!A7</f>
        <v>Redox potential</v>
      </c>
      <c r="B6" s="150">
        <f>'Measured Cummulative'!B7</f>
        <v>1170</v>
      </c>
      <c r="C6" s="142"/>
      <c r="D6" s="144"/>
      <c r="E6" s="225">
        <f ca="1">'Derived Cummulative'!E6</f>
        <v>0</v>
      </c>
      <c r="F6" s="225">
        <f ca="1">'Derived Cummulative'!F6</f>
        <v>0</v>
      </c>
      <c r="G6" s="225">
        <f ca="1">'Derived Cummulative'!G6</f>
        <v>0</v>
      </c>
      <c r="H6" s="225">
        <f ca="1">'Derived Cummulative'!H6</f>
        <v>0</v>
      </c>
      <c r="I6" s="225">
        <f ca="1">'Derived Cummulative'!I6</f>
        <v>0</v>
      </c>
      <c r="J6" s="225">
        <f ca="1">'Derived Cummulative'!J6</f>
        <v>0</v>
      </c>
      <c r="K6" s="225">
        <f ca="1">'Derived Cummulative'!K6</f>
        <v>0</v>
      </c>
      <c r="L6" s="225">
        <f ca="1">'Derived Cummulative'!L6</f>
        <v>0</v>
      </c>
      <c r="M6" s="226">
        <f>'Measured Cummulative'!E7</f>
        <v>0</v>
      </c>
      <c r="N6" s="226">
        <f>'Measured Cummulative'!F7</f>
        <v>0</v>
      </c>
      <c r="O6" s="226">
        <f>'Measured Cummulative'!G7</f>
        <v>0</v>
      </c>
      <c r="P6" s="226">
        <f>'Measured Cummulative'!H7</f>
        <v>0</v>
      </c>
      <c r="Q6" s="226">
        <f>'Measured Cummulative'!I7</f>
        <v>0</v>
      </c>
      <c r="R6" s="226">
        <f>'Measured Cummulative'!J7</f>
        <v>0</v>
      </c>
      <c r="S6" s="226">
        <f>'Measured Cummulative'!K7</f>
        <v>0</v>
      </c>
      <c r="T6" s="226">
        <f>'Measured Cummulative'!L7</f>
        <v>0</v>
      </c>
      <c r="V6" t="s">
        <v>138</v>
      </c>
      <c r="W6">
        <f>SQRT(W4)</f>
        <v>83.138438763306112</v>
      </c>
      <c r="X6">
        <f t="shared" ref="X6:AD6" si="2">SQRT(X4)</f>
        <v>293.9387691339814</v>
      </c>
      <c r="Y6">
        <f t="shared" si="2"/>
        <v>440.90815370097204</v>
      </c>
      <c r="Z6">
        <f t="shared" si="2"/>
        <v>831.38438763306112</v>
      </c>
      <c r="AA6">
        <f t="shared" si="2"/>
        <v>1099.8181667894016</v>
      </c>
      <c r="AB6">
        <f t="shared" si="2"/>
        <v>1138.4199576606165</v>
      </c>
      <c r="AC6">
        <f t="shared" si="2"/>
        <v>1555.3777676178865</v>
      </c>
      <c r="AD6">
        <f t="shared" si="2"/>
        <v>1763.6326148038881</v>
      </c>
      <c r="AI6" s="429"/>
      <c r="AJ6" s="429"/>
      <c r="AK6" s="429"/>
      <c r="AL6" s="429"/>
      <c r="AM6" s="429"/>
      <c r="AN6" s="429"/>
      <c r="AO6" s="429"/>
      <c r="AP6" s="429"/>
      <c r="AQ6" s="429"/>
      <c r="AR6" s="429"/>
      <c r="AS6" s="429"/>
      <c r="AT6" s="429"/>
    </row>
    <row r="7" spans="1:48" ht="15" thickBot="1" x14ac:dyDescent="0.25">
      <c r="A7" s="52" t="str">
        <f>'Measured Cummulative'!A8</f>
        <v>Chloride</v>
      </c>
      <c r="B7" s="149" t="str">
        <f>'Measured Cummulative'!B8</f>
        <v>U</v>
      </c>
      <c r="C7" s="61"/>
      <c r="D7" s="144"/>
      <c r="E7" s="225">
        <f ca="1">'Derived Cummulative'!E7</f>
        <v>71.253472789671505</v>
      </c>
      <c r="F7" s="225">
        <f ca="1">'Derived Cummulative'!F7</f>
        <v>299.26458571662039</v>
      </c>
      <c r="G7" s="225">
        <f ca="1">'Derived Cummulative'!G7</f>
        <v>4275.2083673802908</v>
      </c>
      <c r="H7" s="225">
        <f ca="1">'Derived Cummulative'!H7</f>
        <v>68403.333878084668</v>
      </c>
      <c r="I7" s="225">
        <f ca="1">'Derived Cummulative'!I7</f>
        <v>145357.08449092982</v>
      </c>
      <c r="J7" s="225">
        <f ca="1">'Derived Cummulative'!J7</f>
        <v>135381.59830037598</v>
      </c>
      <c r="K7" s="225">
        <f ca="1">'Derived Cummulative'!K7</f>
        <v>171008.33469521161</v>
      </c>
      <c r="L7" s="225">
        <f ca="1">'Derived Cummulative'!L7</f>
        <v>145357.08449092982</v>
      </c>
      <c r="M7" s="226">
        <f>'Measured Cummulative'!E8</f>
        <v>71.253472789671505</v>
      </c>
      <c r="N7" s="226">
        <f>'Measured Cummulative'!F8</f>
        <v>220.88576564798171</v>
      </c>
      <c r="O7" s="226">
        <f>'Measured Cummulative'!G8</f>
        <v>2358.4899493381272</v>
      </c>
      <c r="P7" s="226">
        <f>'Measured Cummulative'!H8</f>
        <v>25159.601242033012</v>
      </c>
      <c r="Q7" s="226">
        <f>'Measured Cummulative'!I8</f>
        <v>61498.872364765484</v>
      </c>
      <c r="R7" s="226">
        <f>'Measured Cummulative'!J8</f>
        <v>88575.192024840653</v>
      </c>
      <c r="S7" s="226">
        <f>'Measured Cummulative'!K8</f>
        <v>117076.58114070926</v>
      </c>
      <c r="T7" s="226">
        <f>'Measured Cummulative'!L8</f>
        <v>153415.85226344172</v>
      </c>
      <c r="V7" t="s">
        <v>135</v>
      </c>
      <c r="W7">
        <f ca="1">OFFSET(E$7,$W$2-1,)</f>
        <v>1425.0694557934303</v>
      </c>
      <c r="X7">
        <f t="shared" ref="X7:AD7" ca="1" si="3">OFFSET(F$6,$W$2-1,)</f>
        <v>299.26458571662039</v>
      </c>
      <c r="Y7">
        <f t="shared" ca="1" si="3"/>
        <v>4275.2083673802908</v>
      </c>
      <c r="Z7">
        <f t="shared" ca="1" si="3"/>
        <v>68403.333878084668</v>
      </c>
      <c r="AA7">
        <f t="shared" ca="1" si="3"/>
        <v>145357.08449092982</v>
      </c>
      <c r="AB7">
        <f t="shared" ca="1" si="3"/>
        <v>135381.59830037598</v>
      </c>
      <c r="AC7">
        <f t="shared" ca="1" si="3"/>
        <v>171008.33469521161</v>
      </c>
      <c r="AD7">
        <f t="shared" ca="1" si="3"/>
        <v>145357.08449092982</v>
      </c>
      <c r="AI7" s="430" t="str">
        <f ca="1">OFFSET(A7,W2-1,) &amp; " (mg/m2)"</f>
        <v>Sodium (mg/m2)</v>
      </c>
      <c r="AJ7" s="429"/>
      <c r="AK7" s="429"/>
      <c r="AL7" s="429"/>
      <c r="AM7" s="429"/>
      <c r="AN7" s="429"/>
      <c r="AO7" s="429"/>
      <c r="AP7" s="429"/>
      <c r="AQ7" s="429"/>
      <c r="AR7" s="429"/>
      <c r="AS7" s="429"/>
      <c r="AT7" s="429"/>
    </row>
    <row r="8" spans="1:48" ht="15" thickBot="1" x14ac:dyDescent="0.25">
      <c r="A8" s="52" t="str">
        <f>'Measured Cummulative'!A9</f>
        <v>Sodium</v>
      </c>
      <c r="B8" s="150" t="str">
        <f>'Measured Cummulative'!B9</f>
        <v>U</v>
      </c>
      <c r="C8" s="142"/>
      <c r="D8" s="144"/>
      <c r="E8" s="225">
        <f ca="1">'Derived Cummulative'!E8</f>
        <v>1425.0694557934303</v>
      </c>
      <c r="F8" s="225">
        <f ca="1">'Derived Cummulative'!F8</f>
        <v>5700.2778231737211</v>
      </c>
      <c r="G8" s="225">
        <f ca="1">'Derived Cummulative'!G8</f>
        <v>7125.3472789671514</v>
      </c>
      <c r="H8" s="225">
        <f ca="1">'Derived Cummulative'!H8</f>
        <v>49164.896224873351</v>
      </c>
      <c r="I8" s="225">
        <f ca="1">'Derived Cummulative'!I8</f>
        <v>96904.722993953226</v>
      </c>
      <c r="J8" s="225">
        <f ca="1">'Derived Cummulative'!J8</f>
        <v>81941.493708122289</v>
      </c>
      <c r="K8" s="225">
        <f ca="1">'Derived Cummulative'!K8</f>
        <v>106880.20918450724</v>
      </c>
      <c r="L8" s="225">
        <f ca="1">'Derived Cummulative'!L8</f>
        <v>99754.861905540078</v>
      </c>
      <c r="M8" s="226">
        <f>'Measured Cummulative'!E9</f>
        <v>1425.0694557934303</v>
      </c>
      <c r="N8" s="226">
        <f>'Measured Cummulative'!F9</f>
        <v>4275.2083673802908</v>
      </c>
      <c r="O8" s="226">
        <f>'Measured Cummulative'!G9</f>
        <v>7837.882006863867</v>
      </c>
      <c r="P8" s="226">
        <f>'Measured Cummulative'!H9</f>
        <v>24226.180748488314</v>
      </c>
      <c r="Q8" s="226">
        <f>'Measured Cummulative'!I9</f>
        <v>48452.361496976628</v>
      </c>
      <c r="R8" s="226">
        <f>'Measured Cummulative'!J9</f>
        <v>64840.660238601078</v>
      </c>
      <c r="S8" s="226">
        <f>'Measured Cummulative'!K9</f>
        <v>82654.028436018954</v>
      </c>
      <c r="T8" s="226">
        <f>'Measured Cummulative'!L9</f>
        <v>107592.74391240398</v>
      </c>
      <c r="V8" t="s">
        <v>136</v>
      </c>
      <c r="W8">
        <f ca="1">OFFSET(M$7,$W$2-1,)</f>
        <v>1425.0694557934303</v>
      </c>
      <c r="X8">
        <f t="shared" ref="X8:AD8" ca="1" si="4">OFFSET(N$7,$W$2-1,)</f>
        <v>4275.2083673802908</v>
      </c>
      <c r="Y8">
        <f t="shared" ca="1" si="4"/>
        <v>7837.882006863867</v>
      </c>
      <c r="Z8">
        <f t="shared" ca="1" si="4"/>
        <v>24226.180748488314</v>
      </c>
      <c r="AA8">
        <f t="shared" ca="1" si="4"/>
        <v>48452.361496976628</v>
      </c>
      <c r="AB8">
        <f t="shared" ca="1" si="4"/>
        <v>64840.660238601078</v>
      </c>
      <c r="AC8">
        <f t="shared" ca="1" si="4"/>
        <v>82654.028436018954</v>
      </c>
      <c r="AD8">
        <f t="shared" ca="1" si="4"/>
        <v>107592.74391240398</v>
      </c>
      <c r="AI8" s="429"/>
      <c r="AJ8" s="429"/>
      <c r="AK8" s="429"/>
      <c r="AL8" s="429"/>
      <c r="AM8" s="429"/>
      <c r="AN8" s="429"/>
      <c r="AO8" s="429"/>
      <c r="AP8" s="429"/>
      <c r="AQ8" s="429"/>
      <c r="AR8" s="429"/>
      <c r="AS8" s="429"/>
      <c r="AT8" s="429"/>
    </row>
    <row r="9" spans="1:48" ht="15" thickBot="1" x14ac:dyDescent="0.25">
      <c r="A9" s="52">
        <f>'Measured Cummulative'!A10</f>
        <v>0</v>
      </c>
      <c r="B9" s="149">
        <f>'Measured Cummulative'!B10</f>
        <v>0</v>
      </c>
      <c r="C9" s="61"/>
      <c r="D9" s="144"/>
      <c r="E9" s="225">
        <f ca="1">'Derived Cummulative'!E9</f>
        <v>0</v>
      </c>
      <c r="F9" s="225">
        <f ca="1">'Derived Cummulative'!F9</f>
        <v>0</v>
      </c>
      <c r="G9" s="225">
        <f ca="1">'Derived Cummulative'!G9</f>
        <v>0</v>
      </c>
      <c r="H9" s="225">
        <f ca="1">'Derived Cummulative'!H9</f>
        <v>0</v>
      </c>
      <c r="I9" s="225">
        <f ca="1">'Derived Cummulative'!I9</f>
        <v>0</v>
      </c>
      <c r="J9" s="225">
        <f ca="1">'Derived Cummulative'!J9</f>
        <v>0</v>
      </c>
      <c r="K9" s="225">
        <f ca="1">'Derived Cummulative'!K9</f>
        <v>0</v>
      </c>
      <c r="L9" s="225">
        <f ca="1">'Derived Cummulative'!L9</f>
        <v>0</v>
      </c>
      <c r="M9" s="226">
        <f>'Measured Cummulative'!E10</f>
        <v>0</v>
      </c>
      <c r="N9" s="226">
        <f>'Measured Cummulative'!F10</f>
        <v>0</v>
      </c>
      <c r="O9" s="226">
        <f>'Measured Cummulative'!G10</f>
        <v>0</v>
      </c>
      <c r="P9" s="226">
        <f>'Measured Cummulative'!H10</f>
        <v>0</v>
      </c>
      <c r="Q9" s="226">
        <f>'Measured Cummulative'!I10</f>
        <v>0</v>
      </c>
      <c r="R9" s="226">
        <f>'Measured Cummulative'!J10</f>
        <v>0</v>
      </c>
      <c r="S9" s="226">
        <f>'Measured Cummulative'!K10</f>
        <v>0</v>
      </c>
      <c r="T9" s="226">
        <f>'Measured Cummulative'!L10</f>
        <v>0</v>
      </c>
      <c r="V9" t="s">
        <v>139</v>
      </c>
      <c r="W9">
        <f ca="1">LOG(W7)</f>
        <v>3.1538360317359184</v>
      </c>
      <c r="X9">
        <f t="shared" ref="X9:AD9" ca="1" si="5">LOG(X7)</f>
        <v>2.4760553264698379</v>
      </c>
      <c r="Y9">
        <f t="shared" ca="1" si="5"/>
        <v>3.630957286455581</v>
      </c>
      <c r="Z9">
        <f t="shared" ca="1" si="5"/>
        <v>4.8350772691115056</v>
      </c>
      <c r="AA9">
        <f t="shared" ca="1" si="5"/>
        <v>5.1624362034978359</v>
      </c>
      <c r="AB9">
        <f t="shared" ca="1" si="5"/>
        <v>5.1315596370247665</v>
      </c>
      <c r="AC9">
        <f t="shared" ca="1" si="5"/>
        <v>5.2330172777835431</v>
      </c>
      <c r="AD9">
        <f t="shared" ca="1" si="5"/>
        <v>5.1624362034978359</v>
      </c>
      <c r="AI9" s="429"/>
      <c r="AJ9" s="429"/>
      <c r="AK9" s="429"/>
      <c r="AL9" s="429"/>
      <c r="AM9" s="429"/>
      <c r="AN9" s="429"/>
      <c r="AO9" s="429"/>
      <c r="AP9" s="429"/>
      <c r="AQ9" s="429"/>
      <c r="AR9" s="429"/>
      <c r="AS9" s="429"/>
      <c r="AT9" s="429"/>
      <c r="AV9" s="205" t="s">
        <v>153</v>
      </c>
    </row>
    <row r="10" spans="1:48" ht="15" thickBot="1" x14ac:dyDescent="0.25">
      <c r="A10" s="52">
        <f>'Measured Cummulative'!A11</f>
        <v>0</v>
      </c>
      <c r="B10" s="150">
        <f>'Measured Cummulative'!B11</f>
        <v>0</v>
      </c>
      <c r="C10" s="142"/>
      <c r="D10" s="144"/>
      <c r="E10" s="225">
        <f ca="1">'Derived Cummulative'!E10</f>
        <v>0</v>
      </c>
      <c r="F10" s="225">
        <f ca="1">'Derived Cummulative'!F10</f>
        <v>0</v>
      </c>
      <c r="G10" s="225">
        <f ca="1">'Derived Cummulative'!G10</f>
        <v>0</v>
      </c>
      <c r="H10" s="225">
        <f ca="1">'Derived Cummulative'!H10</f>
        <v>0</v>
      </c>
      <c r="I10" s="225">
        <f ca="1">'Derived Cummulative'!I10</f>
        <v>0</v>
      </c>
      <c r="J10" s="225">
        <f ca="1">'Derived Cummulative'!J10</f>
        <v>0</v>
      </c>
      <c r="K10" s="225">
        <f ca="1">'Derived Cummulative'!K10</f>
        <v>0</v>
      </c>
      <c r="L10" s="225">
        <f ca="1">'Derived Cummulative'!L10</f>
        <v>0</v>
      </c>
      <c r="M10" s="226">
        <f>'Measured Cummulative'!E11</f>
        <v>0</v>
      </c>
      <c r="N10" s="226">
        <f>'Measured Cummulative'!F11</f>
        <v>0</v>
      </c>
      <c r="O10" s="226">
        <f>'Measured Cummulative'!G11</f>
        <v>0</v>
      </c>
      <c r="P10" s="226">
        <f>'Measured Cummulative'!H11</f>
        <v>0</v>
      </c>
      <c r="Q10" s="226">
        <f>'Measured Cummulative'!I11</f>
        <v>0</v>
      </c>
      <c r="R10" s="226">
        <f>'Measured Cummulative'!J11</f>
        <v>0</v>
      </c>
      <c r="S10" s="226">
        <f>'Measured Cummulative'!K11</f>
        <v>0</v>
      </c>
      <c r="T10" s="226">
        <f>'Measured Cummulative'!L11</f>
        <v>0</v>
      </c>
      <c r="V10" t="s">
        <v>140</v>
      </c>
      <c r="W10">
        <f ca="1">LOG(W8)</f>
        <v>3.1538360317359184</v>
      </c>
      <c r="X10">
        <f t="shared" ref="X10:AD10" ca="1" si="6">LOG(X8)</f>
        <v>3.630957286455581</v>
      </c>
      <c r="Y10">
        <f t="shared" ca="1" si="6"/>
        <v>3.8941987212301625</v>
      </c>
      <c r="Z10">
        <f t="shared" ca="1" si="6"/>
        <v>4.3842849531141921</v>
      </c>
      <c r="AA10">
        <f t="shared" ca="1" si="6"/>
        <v>4.6853149487781733</v>
      </c>
      <c r="AB10">
        <f t="shared" ca="1" si="6"/>
        <v>4.8118474283930306</v>
      </c>
      <c r="AC10">
        <f t="shared" ca="1" si="6"/>
        <v>4.9172640252988558</v>
      </c>
      <c r="AD10">
        <f t="shared" ca="1" si="6"/>
        <v>5.0317829833651064</v>
      </c>
    </row>
    <row r="11" spans="1:48" ht="15" thickBot="1" x14ac:dyDescent="0.25">
      <c r="A11" s="52">
        <f>'Measured Cummulative'!A12</f>
        <v>0</v>
      </c>
      <c r="B11" s="149">
        <f>'Measured Cummulative'!B12</f>
        <v>0</v>
      </c>
      <c r="C11" s="61"/>
      <c r="D11" s="144"/>
      <c r="E11" s="225">
        <f ca="1">'Derived Cummulative'!E11</f>
        <v>0</v>
      </c>
      <c r="F11" s="225">
        <f ca="1">'Derived Cummulative'!F11</f>
        <v>0</v>
      </c>
      <c r="G11" s="225">
        <f ca="1">'Derived Cummulative'!G11</f>
        <v>0</v>
      </c>
      <c r="H11" s="225">
        <f ca="1">'Derived Cummulative'!H11</f>
        <v>0</v>
      </c>
      <c r="I11" s="225">
        <f ca="1">'Derived Cummulative'!I11</f>
        <v>0</v>
      </c>
      <c r="J11" s="225">
        <f ca="1">'Derived Cummulative'!J11</f>
        <v>0</v>
      </c>
      <c r="K11" s="225">
        <f ca="1">'Derived Cummulative'!K11</f>
        <v>0</v>
      </c>
      <c r="L11" s="225">
        <f ca="1">'Derived Cummulative'!L11</f>
        <v>0</v>
      </c>
      <c r="M11" s="226">
        <f>'Measured Cummulative'!E12</f>
        <v>0</v>
      </c>
      <c r="N11" s="226">
        <f>'Measured Cummulative'!F12</f>
        <v>0</v>
      </c>
      <c r="O11" s="226">
        <f>'Measured Cummulative'!G12</f>
        <v>0</v>
      </c>
      <c r="P11" s="226">
        <f>'Measured Cummulative'!H12</f>
        <v>0</v>
      </c>
      <c r="Q11" s="226">
        <f>'Measured Cummulative'!I12</f>
        <v>0</v>
      </c>
      <c r="R11" s="226">
        <f>'Measured Cummulative'!J12</f>
        <v>0</v>
      </c>
      <c r="S11" s="226">
        <f>'Measured Cummulative'!K12</f>
        <v>0</v>
      </c>
      <c r="T11" s="226">
        <f>'Measured Cummulative'!L12</f>
        <v>0</v>
      </c>
      <c r="V11" s="72"/>
      <c r="W11" s="72"/>
      <c r="X11" s="227"/>
      <c r="Y11" s="72"/>
      <c r="Z11" s="72"/>
      <c r="AA11" s="72"/>
      <c r="AB11" s="72"/>
      <c r="AC11" s="72"/>
      <c r="AD11" s="72"/>
    </row>
    <row r="12" spans="1:48" ht="15" thickBot="1" x14ac:dyDescent="0.25">
      <c r="A12" s="52">
        <f>'Measured Cummulative'!A13</f>
        <v>0</v>
      </c>
      <c r="B12" s="150">
        <f>'Measured Cummulative'!B13</f>
        <v>0</v>
      </c>
      <c r="C12" s="142"/>
      <c r="D12" s="144"/>
      <c r="E12" s="225">
        <f ca="1">'Derived Cummulative'!E12</f>
        <v>0</v>
      </c>
      <c r="F12" s="225">
        <f ca="1">'Derived Cummulative'!F12</f>
        <v>0</v>
      </c>
      <c r="G12" s="225">
        <f ca="1">'Derived Cummulative'!G12</f>
        <v>0</v>
      </c>
      <c r="H12" s="225">
        <f ca="1">'Derived Cummulative'!H12</f>
        <v>0</v>
      </c>
      <c r="I12" s="225">
        <f ca="1">'Derived Cummulative'!I12</f>
        <v>0</v>
      </c>
      <c r="J12" s="225">
        <f ca="1">'Derived Cummulative'!J12</f>
        <v>0</v>
      </c>
      <c r="K12" s="225">
        <f ca="1">'Derived Cummulative'!K12</f>
        <v>0</v>
      </c>
      <c r="L12" s="225">
        <f ca="1">'Derived Cummulative'!L12</f>
        <v>0</v>
      </c>
      <c r="M12" s="226">
        <f>'Measured Cummulative'!E13</f>
        <v>0</v>
      </c>
      <c r="N12" s="226">
        <f>'Measured Cummulative'!F13</f>
        <v>0</v>
      </c>
      <c r="O12" s="226">
        <f>'Measured Cummulative'!G13</f>
        <v>0</v>
      </c>
      <c r="P12" s="226">
        <f>'Measured Cummulative'!H13</f>
        <v>0</v>
      </c>
      <c r="Q12" s="226">
        <f>'Measured Cummulative'!I13</f>
        <v>0</v>
      </c>
      <c r="R12" s="226">
        <f>'Measured Cummulative'!J13</f>
        <v>0</v>
      </c>
      <c r="S12" s="226">
        <f>'Measured Cummulative'!K13</f>
        <v>0</v>
      </c>
      <c r="T12" s="226">
        <f>'Measured Cummulative'!L13</f>
        <v>0</v>
      </c>
      <c r="V12" s="151"/>
      <c r="W12" s="72"/>
      <c r="X12" s="72"/>
      <c r="Y12" s="72"/>
      <c r="Z12" s="72"/>
      <c r="AA12" s="72"/>
      <c r="AB12" s="72"/>
      <c r="AC12" s="72"/>
      <c r="AD12" s="72"/>
    </row>
    <row r="13" spans="1:48" ht="15" thickBot="1" x14ac:dyDescent="0.25">
      <c r="A13" s="52">
        <f>'Measured Cummulative'!A14</f>
        <v>0</v>
      </c>
      <c r="B13" s="149">
        <f>'Measured Cummulative'!B14</f>
        <v>0</v>
      </c>
      <c r="C13" s="61"/>
      <c r="D13" s="144"/>
      <c r="E13" s="225">
        <f ca="1">'Derived Cummulative'!E13</f>
        <v>0</v>
      </c>
      <c r="F13" s="225">
        <f ca="1">'Derived Cummulative'!F13</f>
        <v>0</v>
      </c>
      <c r="G13" s="225">
        <f ca="1">'Derived Cummulative'!G13</f>
        <v>0</v>
      </c>
      <c r="H13" s="225">
        <f ca="1">'Derived Cummulative'!H13</f>
        <v>0</v>
      </c>
      <c r="I13" s="225">
        <f ca="1">'Derived Cummulative'!I13</f>
        <v>0</v>
      </c>
      <c r="J13" s="225">
        <f ca="1">'Derived Cummulative'!J13</f>
        <v>0</v>
      </c>
      <c r="K13" s="225">
        <f ca="1">'Derived Cummulative'!K13</f>
        <v>0</v>
      </c>
      <c r="L13" s="225">
        <f ca="1">'Derived Cummulative'!L13</f>
        <v>0</v>
      </c>
      <c r="M13" s="226">
        <f>'Measured Cummulative'!E14</f>
        <v>0</v>
      </c>
      <c r="N13" s="226">
        <f>'Measured Cummulative'!F14</f>
        <v>0</v>
      </c>
      <c r="O13" s="226">
        <f>'Measured Cummulative'!G14</f>
        <v>0</v>
      </c>
      <c r="P13" s="226">
        <f>'Measured Cummulative'!H14</f>
        <v>0</v>
      </c>
      <c r="Q13" s="226">
        <f>'Measured Cummulative'!I14</f>
        <v>0</v>
      </c>
      <c r="R13" s="226">
        <f>'Measured Cummulative'!J14</f>
        <v>0</v>
      </c>
      <c r="S13" s="226">
        <f>'Measured Cummulative'!K14</f>
        <v>0</v>
      </c>
      <c r="T13" s="226">
        <f>'Measured Cummulative'!L14</f>
        <v>0</v>
      </c>
      <c r="V13" s="151"/>
      <c r="W13" s="72"/>
      <c r="X13" s="72"/>
      <c r="Y13" s="72"/>
      <c r="Z13" s="72"/>
      <c r="AA13" s="72"/>
      <c r="AB13" s="72"/>
      <c r="AC13" s="72"/>
      <c r="AD13" s="72"/>
    </row>
    <row r="14" spans="1:48" ht="15" thickBot="1" x14ac:dyDescent="0.25">
      <c r="A14" s="52">
        <f>'Measured Cummulative'!A15</f>
        <v>0</v>
      </c>
      <c r="B14" s="150">
        <f>'Measured Cummulative'!B15</f>
        <v>0</v>
      </c>
      <c r="C14" s="142"/>
      <c r="D14" s="144"/>
      <c r="E14" s="225">
        <f ca="1">'Derived Cummulative'!E14</f>
        <v>0</v>
      </c>
      <c r="F14" s="225">
        <f ca="1">'Derived Cummulative'!F14</f>
        <v>0</v>
      </c>
      <c r="G14" s="225">
        <f ca="1">'Derived Cummulative'!G14</f>
        <v>0</v>
      </c>
      <c r="H14" s="225">
        <f ca="1">'Derived Cummulative'!H14</f>
        <v>0</v>
      </c>
      <c r="I14" s="225">
        <f ca="1">'Derived Cummulative'!I14</f>
        <v>0</v>
      </c>
      <c r="J14" s="225">
        <f ca="1">'Derived Cummulative'!J14</f>
        <v>0</v>
      </c>
      <c r="K14" s="225">
        <f ca="1">'Derived Cummulative'!K14</f>
        <v>0</v>
      </c>
      <c r="L14" s="225">
        <f ca="1">'Derived Cummulative'!L14</f>
        <v>0</v>
      </c>
      <c r="M14" s="226">
        <f>'Measured Cummulative'!E15</f>
        <v>0</v>
      </c>
      <c r="N14" s="226">
        <f>'Measured Cummulative'!F15</f>
        <v>0</v>
      </c>
      <c r="O14" s="226">
        <f>'Measured Cummulative'!G15</f>
        <v>0</v>
      </c>
      <c r="P14" s="226">
        <f>'Measured Cummulative'!H15</f>
        <v>0</v>
      </c>
      <c r="Q14" s="226">
        <f>'Measured Cummulative'!I15</f>
        <v>0</v>
      </c>
      <c r="R14" s="226">
        <f>'Measured Cummulative'!J15</f>
        <v>0</v>
      </c>
      <c r="S14" s="226">
        <f>'Measured Cummulative'!K15</f>
        <v>0</v>
      </c>
      <c r="T14" s="226">
        <f>'Measured Cummulative'!L15</f>
        <v>0</v>
      </c>
      <c r="V14" s="151"/>
      <c r="W14" s="72"/>
      <c r="X14" s="72"/>
      <c r="Y14" s="72"/>
      <c r="Z14" s="72"/>
      <c r="AA14" s="72"/>
      <c r="AB14" s="72"/>
      <c r="AC14" s="72"/>
      <c r="AD14" s="72"/>
      <c r="AV14" s="205" t="s">
        <v>152</v>
      </c>
    </row>
    <row r="15" spans="1:48" ht="15" thickBot="1" x14ac:dyDescent="0.25">
      <c r="A15" s="52">
        <f>'Measured Cummulative'!A16</f>
        <v>0</v>
      </c>
      <c r="B15" s="149">
        <f>'Measured Cummulative'!B16</f>
        <v>0</v>
      </c>
      <c r="C15" s="61"/>
      <c r="D15" s="144"/>
      <c r="E15" s="225">
        <f ca="1">'Derived Cummulative'!E15</f>
        <v>0</v>
      </c>
      <c r="F15" s="225">
        <f ca="1">'Derived Cummulative'!F15</f>
        <v>0</v>
      </c>
      <c r="G15" s="225">
        <f ca="1">'Derived Cummulative'!G15</f>
        <v>0</v>
      </c>
      <c r="H15" s="225">
        <f ca="1">'Derived Cummulative'!H15</f>
        <v>0</v>
      </c>
      <c r="I15" s="225">
        <f ca="1">'Derived Cummulative'!I15</f>
        <v>0</v>
      </c>
      <c r="J15" s="225">
        <f ca="1">'Derived Cummulative'!J15</f>
        <v>0</v>
      </c>
      <c r="K15" s="225">
        <f ca="1">'Derived Cummulative'!K15</f>
        <v>0</v>
      </c>
      <c r="L15" s="225">
        <f ca="1">'Derived Cummulative'!L15</f>
        <v>0</v>
      </c>
      <c r="M15" s="226">
        <f>'Measured Cummulative'!E16</f>
        <v>0</v>
      </c>
      <c r="N15" s="226">
        <f>'Measured Cummulative'!F16</f>
        <v>0</v>
      </c>
      <c r="O15" s="226">
        <f>'Measured Cummulative'!G16</f>
        <v>0</v>
      </c>
      <c r="P15" s="226">
        <f>'Measured Cummulative'!H16</f>
        <v>0</v>
      </c>
      <c r="Q15" s="226">
        <f>'Measured Cummulative'!I16</f>
        <v>0</v>
      </c>
      <c r="R15" s="226">
        <f>'Measured Cummulative'!J16</f>
        <v>0</v>
      </c>
      <c r="S15" s="226">
        <f>'Measured Cummulative'!K16</f>
        <v>0</v>
      </c>
      <c r="T15" s="226">
        <f>'Measured Cummulative'!L16</f>
        <v>0</v>
      </c>
      <c r="V15" s="151"/>
      <c r="W15" s="72"/>
      <c r="X15" s="72"/>
      <c r="Y15" s="72"/>
      <c r="Z15" s="72"/>
      <c r="AA15" s="72"/>
      <c r="AB15" s="72"/>
      <c r="AC15" s="72"/>
      <c r="AD15" s="72"/>
    </row>
    <row r="16" spans="1:48" ht="15" thickBot="1" x14ac:dyDescent="0.25">
      <c r="A16" s="52">
        <f>'Measured Cummulative'!A17</f>
        <v>0</v>
      </c>
      <c r="B16" s="150">
        <f>'Measured Cummulative'!B17</f>
        <v>0</v>
      </c>
      <c r="C16" s="142"/>
      <c r="D16" s="144"/>
      <c r="E16" s="225">
        <f ca="1">'Derived Cummulative'!E16</f>
        <v>0</v>
      </c>
      <c r="F16" s="225">
        <f ca="1">'Derived Cummulative'!F16</f>
        <v>0</v>
      </c>
      <c r="G16" s="225">
        <f ca="1">'Derived Cummulative'!G16</f>
        <v>0</v>
      </c>
      <c r="H16" s="225">
        <f ca="1">'Derived Cummulative'!H16</f>
        <v>0</v>
      </c>
      <c r="I16" s="225">
        <f ca="1">'Derived Cummulative'!I16</f>
        <v>0</v>
      </c>
      <c r="J16" s="225">
        <f ca="1">'Derived Cummulative'!J16</f>
        <v>0</v>
      </c>
      <c r="K16" s="225">
        <f ca="1">'Derived Cummulative'!K16</f>
        <v>0</v>
      </c>
      <c r="L16" s="225">
        <f ca="1">'Derived Cummulative'!L16</f>
        <v>0</v>
      </c>
      <c r="M16" s="226">
        <f>'Measured Cummulative'!E17</f>
        <v>0</v>
      </c>
      <c r="N16" s="226">
        <f>'Measured Cummulative'!F17</f>
        <v>0</v>
      </c>
      <c r="O16" s="226">
        <f>'Measured Cummulative'!G17</f>
        <v>0</v>
      </c>
      <c r="P16" s="226">
        <f>'Measured Cummulative'!H17</f>
        <v>0</v>
      </c>
      <c r="Q16" s="226">
        <f>'Measured Cummulative'!I17</f>
        <v>0</v>
      </c>
      <c r="R16" s="226">
        <f>'Measured Cummulative'!J17</f>
        <v>0</v>
      </c>
      <c r="S16" s="226">
        <f>'Measured Cummulative'!K17</f>
        <v>0</v>
      </c>
      <c r="T16" s="226">
        <f>'Measured Cummulative'!L17</f>
        <v>0</v>
      </c>
      <c r="V16" s="151"/>
      <c r="W16" s="72"/>
      <c r="X16" s="72"/>
      <c r="Y16" s="72"/>
      <c r="Z16" s="72"/>
      <c r="AA16" s="72"/>
      <c r="AB16" s="72"/>
      <c r="AC16" s="72"/>
      <c r="AD16" s="72"/>
    </row>
    <row r="17" spans="1:46" ht="15" thickBot="1" x14ac:dyDescent="0.25">
      <c r="A17" s="52">
        <f>'Measured Cummulative'!A18</f>
        <v>0</v>
      </c>
      <c r="B17" s="149">
        <f>'Measured Cummulative'!B18</f>
        <v>0</v>
      </c>
      <c r="C17" s="61"/>
      <c r="D17" s="144"/>
      <c r="E17" s="225">
        <f ca="1">'Derived Cummulative'!E17</f>
        <v>0</v>
      </c>
      <c r="F17" s="225">
        <f ca="1">'Derived Cummulative'!F17</f>
        <v>0</v>
      </c>
      <c r="G17" s="225">
        <f ca="1">'Derived Cummulative'!G17</f>
        <v>0</v>
      </c>
      <c r="H17" s="225">
        <f ca="1">'Derived Cummulative'!H17</f>
        <v>0</v>
      </c>
      <c r="I17" s="225">
        <f ca="1">'Derived Cummulative'!I17</f>
        <v>0</v>
      </c>
      <c r="J17" s="225">
        <f ca="1">'Derived Cummulative'!J17</f>
        <v>0</v>
      </c>
      <c r="K17" s="225">
        <f ca="1">'Derived Cummulative'!K17</f>
        <v>0</v>
      </c>
      <c r="L17" s="225">
        <f ca="1">'Derived Cummulative'!L17</f>
        <v>0</v>
      </c>
      <c r="M17" s="226">
        <f>'Measured Cummulative'!E18</f>
        <v>0</v>
      </c>
      <c r="N17" s="226">
        <f>'Measured Cummulative'!F18</f>
        <v>0</v>
      </c>
      <c r="O17" s="226">
        <f>'Measured Cummulative'!G18</f>
        <v>0</v>
      </c>
      <c r="P17" s="226">
        <f>'Measured Cummulative'!H18</f>
        <v>0</v>
      </c>
      <c r="Q17" s="226">
        <f>'Measured Cummulative'!I18</f>
        <v>0</v>
      </c>
      <c r="R17" s="226">
        <f>'Measured Cummulative'!J18</f>
        <v>0</v>
      </c>
      <c r="S17" s="226">
        <f>'Measured Cummulative'!K18</f>
        <v>0</v>
      </c>
      <c r="T17" s="226">
        <f>'Measured Cummulative'!L18</f>
        <v>0</v>
      </c>
      <c r="V17" s="151"/>
      <c r="W17" s="72"/>
      <c r="X17" s="72"/>
      <c r="Y17" s="72"/>
      <c r="Z17" s="72"/>
      <c r="AA17" s="72"/>
      <c r="AB17" s="72"/>
      <c r="AC17" s="72"/>
      <c r="AD17" s="72"/>
    </row>
    <row r="18" spans="1:46" ht="15" thickBot="1" x14ac:dyDescent="0.25">
      <c r="A18" s="52">
        <f>'Measured Cummulative'!A19</f>
        <v>0</v>
      </c>
      <c r="B18" s="150">
        <f>'Measured Cummulative'!B19</f>
        <v>0</v>
      </c>
      <c r="C18" s="142"/>
      <c r="D18" s="144"/>
      <c r="E18" s="225">
        <f ca="1">'Derived Cummulative'!E18</f>
        <v>0</v>
      </c>
      <c r="F18" s="225">
        <f ca="1">'Derived Cummulative'!F18</f>
        <v>0</v>
      </c>
      <c r="G18" s="225">
        <f ca="1">'Derived Cummulative'!G18</f>
        <v>0</v>
      </c>
      <c r="H18" s="225">
        <f ca="1">'Derived Cummulative'!H18</f>
        <v>0</v>
      </c>
      <c r="I18" s="225">
        <f ca="1">'Derived Cummulative'!I18</f>
        <v>0</v>
      </c>
      <c r="J18" s="225">
        <f ca="1">'Derived Cummulative'!J18</f>
        <v>0</v>
      </c>
      <c r="K18" s="225">
        <f ca="1">'Derived Cummulative'!K18</f>
        <v>0</v>
      </c>
      <c r="L18" s="225">
        <f ca="1">'Derived Cummulative'!L18</f>
        <v>0</v>
      </c>
      <c r="M18" s="226">
        <f>'Measured Cummulative'!E19</f>
        <v>0</v>
      </c>
      <c r="N18" s="226">
        <f>'Measured Cummulative'!F19</f>
        <v>0</v>
      </c>
      <c r="O18" s="226">
        <f>'Measured Cummulative'!G19</f>
        <v>0</v>
      </c>
      <c r="P18" s="226">
        <f>'Measured Cummulative'!H19</f>
        <v>0</v>
      </c>
      <c r="Q18" s="226">
        <f>'Measured Cummulative'!I19</f>
        <v>0</v>
      </c>
      <c r="R18" s="226">
        <f>'Measured Cummulative'!J19</f>
        <v>0</v>
      </c>
      <c r="S18" s="226">
        <f>'Measured Cummulative'!K19</f>
        <v>0</v>
      </c>
      <c r="T18" s="226">
        <f>'Measured Cummulative'!L19</f>
        <v>0</v>
      </c>
      <c r="V18" s="151"/>
      <c r="W18" s="72"/>
      <c r="X18" s="72"/>
      <c r="Y18" s="72"/>
      <c r="Z18" s="72"/>
      <c r="AA18" s="72"/>
      <c r="AB18" s="72"/>
      <c r="AC18" s="72"/>
      <c r="AD18" s="72"/>
    </row>
    <row r="19" spans="1:46" ht="15" thickBot="1" x14ac:dyDescent="0.25">
      <c r="A19" s="52">
        <f>'Measured Cummulative'!A20</f>
        <v>0</v>
      </c>
      <c r="B19" s="149">
        <f>'Measured Cummulative'!B20</f>
        <v>0</v>
      </c>
      <c r="C19" s="61"/>
      <c r="D19" s="144"/>
      <c r="E19" s="225">
        <f ca="1">'Derived Cummulative'!E19</f>
        <v>0</v>
      </c>
      <c r="F19" s="225">
        <f ca="1">'Derived Cummulative'!F19</f>
        <v>0</v>
      </c>
      <c r="G19" s="225">
        <f ca="1">'Derived Cummulative'!G19</f>
        <v>0</v>
      </c>
      <c r="H19" s="225">
        <f ca="1">'Derived Cummulative'!H19</f>
        <v>0</v>
      </c>
      <c r="I19" s="225">
        <f ca="1">'Derived Cummulative'!I19</f>
        <v>0</v>
      </c>
      <c r="J19" s="225">
        <f ca="1">'Derived Cummulative'!J19</f>
        <v>0</v>
      </c>
      <c r="K19" s="225">
        <f ca="1">'Derived Cummulative'!K19</f>
        <v>0</v>
      </c>
      <c r="L19" s="225">
        <f ca="1">'Derived Cummulative'!L19</f>
        <v>0</v>
      </c>
      <c r="M19" s="226">
        <f>'Measured Cummulative'!E20</f>
        <v>0</v>
      </c>
      <c r="N19" s="226">
        <f>'Measured Cummulative'!F20</f>
        <v>0</v>
      </c>
      <c r="O19" s="226">
        <f>'Measured Cummulative'!G20</f>
        <v>0</v>
      </c>
      <c r="P19" s="226">
        <f>'Measured Cummulative'!H20</f>
        <v>0</v>
      </c>
      <c r="Q19" s="226">
        <f>'Measured Cummulative'!I20</f>
        <v>0</v>
      </c>
      <c r="R19" s="226">
        <f>'Measured Cummulative'!J20</f>
        <v>0</v>
      </c>
      <c r="S19" s="226">
        <f>'Measured Cummulative'!K20</f>
        <v>0</v>
      </c>
      <c r="T19" s="226">
        <f>'Measured Cummulative'!L20</f>
        <v>0</v>
      </c>
      <c r="V19" s="151"/>
      <c r="W19" s="72"/>
      <c r="X19" s="72"/>
      <c r="Y19" s="72"/>
      <c r="Z19" s="72"/>
      <c r="AA19" s="72"/>
      <c r="AB19" s="72"/>
      <c r="AC19" s="72"/>
      <c r="AD19" s="72"/>
    </row>
    <row r="20" spans="1:46" ht="15" thickBot="1" x14ac:dyDescent="0.25">
      <c r="A20" s="52">
        <f>'Measured Cummulative'!A21</f>
        <v>0</v>
      </c>
      <c r="B20" s="150">
        <f>'Measured Cummulative'!B21</f>
        <v>0</v>
      </c>
      <c r="C20" s="142"/>
      <c r="D20" s="144"/>
      <c r="E20" s="225">
        <f ca="1">'Derived Cummulative'!E20</f>
        <v>0</v>
      </c>
      <c r="F20" s="225">
        <f ca="1">'Derived Cummulative'!F20</f>
        <v>0</v>
      </c>
      <c r="G20" s="225">
        <f ca="1">'Derived Cummulative'!G20</f>
        <v>0</v>
      </c>
      <c r="H20" s="225">
        <f ca="1">'Derived Cummulative'!H20</f>
        <v>0</v>
      </c>
      <c r="I20" s="225">
        <f ca="1">'Derived Cummulative'!I20</f>
        <v>0</v>
      </c>
      <c r="J20" s="225">
        <f ca="1">'Derived Cummulative'!J20</f>
        <v>0</v>
      </c>
      <c r="K20" s="225">
        <f ca="1">'Derived Cummulative'!K20</f>
        <v>0</v>
      </c>
      <c r="L20" s="225">
        <f ca="1">'Derived Cummulative'!L20</f>
        <v>0</v>
      </c>
      <c r="M20" s="226">
        <f>'Measured Cummulative'!E21</f>
        <v>0</v>
      </c>
      <c r="N20" s="226">
        <f>'Measured Cummulative'!F21</f>
        <v>0</v>
      </c>
      <c r="O20" s="226">
        <f>'Measured Cummulative'!G21</f>
        <v>0</v>
      </c>
      <c r="P20" s="226">
        <f>'Measured Cummulative'!H21</f>
        <v>0</v>
      </c>
      <c r="Q20" s="226">
        <f>'Measured Cummulative'!I21</f>
        <v>0</v>
      </c>
      <c r="R20" s="226">
        <f>'Measured Cummulative'!J21</f>
        <v>0</v>
      </c>
      <c r="S20" s="226">
        <f>'Measured Cummulative'!K21</f>
        <v>0</v>
      </c>
      <c r="T20" s="226">
        <f>'Measured Cummulative'!L21</f>
        <v>0</v>
      </c>
      <c r="V20" s="151"/>
      <c r="W20" s="72"/>
      <c r="X20" s="72"/>
      <c r="Y20" s="72"/>
      <c r="Z20" s="72"/>
      <c r="AA20" s="72"/>
      <c r="AB20" s="72"/>
      <c r="AC20" s="72"/>
      <c r="AD20" s="72"/>
    </row>
    <row r="21" spans="1:46" ht="15" thickBot="1" x14ac:dyDescent="0.25">
      <c r="A21" s="52">
        <f>'Measured Cummulative'!A22</f>
        <v>0</v>
      </c>
      <c r="B21" s="149">
        <f>'Measured Cummulative'!B22</f>
        <v>0</v>
      </c>
      <c r="C21" s="61"/>
      <c r="D21" s="144"/>
      <c r="E21" s="225">
        <f ca="1">'Derived Cummulative'!E21</f>
        <v>0</v>
      </c>
      <c r="F21" s="225">
        <f ca="1">'Derived Cummulative'!F21</f>
        <v>0</v>
      </c>
      <c r="G21" s="225">
        <f ca="1">'Derived Cummulative'!G21</f>
        <v>0</v>
      </c>
      <c r="H21" s="225">
        <f ca="1">'Derived Cummulative'!H21</f>
        <v>0</v>
      </c>
      <c r="I21" s="225">
        <f ca="1">'Derived Cummulative'!I21</f>
        <v>0</v>
      </c>
      <c r="J21" s="225">
        <f ca="1">'Derived Cummulative'!J21</f>
        <v>0</v>
      </c>
      <c r="K21" s="225">
        <f ca="1">'Derived Cummulative'!K21</f>
        <v>0</v>
      </c>
      <c r="L21" s="225">
        <f ca="1">'Derived Cummulative'!L21</f>
        <v>0</v>
      </c>
      <c r="M21" s="226">
        <f>'Measured Cummulative'!E22</f>
        <v>0</v>
      </c>
      <c r="N21" s="226">
        <f>'Measured Cummulative'!F22</f>
        <v>0</v>
      </c>
      <c r="O21" s="226">
        <f>'Measured Cummulative'!G22</f>
        <v>0</v>
      </c>
      <c r="P21" s="226">
        <f>'Measured Cummulative'!H22</f>
        <v>0</v>
      </c>
      <c r="Q21" s="226">
        <f>'Measured Cummulative'!I22</f>
        <v>0</v>
      </c>
      <c r="R21" s="226">
        <f>'Measured Cummulative'!J22</f>
        <v>0</v>
      </c>
      <c r="S21" s="226">
        <f>'Measured Cummulative'!K22</f>
        <v>0</v>
      </c>
      <c r="T21" s="226">
        <f>'Measured Cummulative'!L22</f>
        <v>0</v>
      </c>
      <c r="V21" s="151"/>
      <c r="W21" s="72"/>
      <c r="X21" s="72"/>
      <c r="Y21" s="72"/>
      <c r="Z21" s="72"/>
      <c r="AA21" s="72"/>
      <c r="AB21" s="72"/>
      <c r="AC21" s="72"/>
      <c r="AD21" s="72"/>
    </row>
    <row r="22" spans="1:46" ht="15" thickBot="1" x14ac:dyDescent="0.25">
      <c r="A22" s="52">
        <f>'Measured Cummulative'!A23</f>
        <v>0</v>
      </c>
      <c r="B22" s="150">
        <f>'Measured Cummulative'!B23</f>
        <v>0</v>
      </c>
      <c r="C22" s="142"/>
      <c r="D22" s="144"/>
      <c r="E22" s="225">
        <f ca="1">'Derived Cummulative'!E22</f>
        <v>0</v>
      </c>
      <c r="F22" s="225">
        <f ca="1">'Derived Cummulative'!F22</f>
        <v>0</v>
      </c>
      <c r="G22" s="225">
        <f ca="1">'Derived Cummulative'!G22</f>
        <v>0</v>
      </c>
      <c r="H22" s="225">
        <f ca="1">'Derived Cummulative'!H22</f>
        <v>0</v>
      </c>
      <c r="I22" s="225">
        <f ca="1">'Derived Cummulative'!I22</f>
        <v>0</v>
      </c>
      <c r="J22" s="225">
        <f ca="1">'Derived Cummulative'!J22</f>
        <v>0</v>
      </c>
      <c r="K22" s="225">
        <f ca="1">'Derived Cummulative'!K22</f>
        <v>0</v>
      </c>
      <c r="L22" s="225">
        <f ca="1">'Derived Cummulative'!L22</f>
        <v>0</v>
      </c>
      <c r="M22" s="226">
        <f>'Measured Cummulative'!E23</f>
        <v>0</v>
      </c>
      <c r="N22" s="226">
        <f>'Measured Cummulative'!F23</f>
        <v>0</v>
      </c>
      <c r="O22" s="226">
        <f>'Measured Cummulative'!G23</f>
        <v>0</v>
      </c>
      <c r="P22" s="226">
        <f>'Measured Cummulative'!H23</f>
        <v>0</v>
      </c>
      <c r="Q22" s="226">
        <f>'Measured Cummulative'!I23</f>
        <v>0</v>
      </c>
      <c r="R22" s="226">
        <f>'Measured Cummulative'!J23</f>
        <v>0</v>
      </c>
      <c r="S22" s="226">
        <f>'Measured Cummulative'!K23</f>
        <v>0</v>
      </c>
      <c r="T22" s="226">
        <f>'Measured Cummulative'!L23</f>
        <v>0</v>
      </c>
      <c r="V22" s="151"/>
      <c r="W22" s="72"/>
      <c r="X22" s="72"/>
      <c r="Y22" s="72"/>
      <c r="Z22" s="72"/>
      <c r="AA22" s="72"/>
      <c r="AB22" s="72"/>
      <c r="AC22" s="72"/>
      <c r="AD22" s="72"/>
    </row>
    <row r="23" spans="1:46" ht="15" thickBot="1" x14ac:dyDescent="0.25">
      <c r="A23" s="52">
        <f>'Measured Cummulative'!A24</f>
        <v>0</v>
      </c>
      <c r="B23" s="149">
        <f>'Measured Cummulative'!B24</f>
        <v>0</v>
      </c>
      <c r="C23" s="61"/>
      <c r="D23" s="144"/>
      <c r="E23" s="225">
        <f ca="1">'Derived Cummulative'!E23</f>
        <v>0</v>
      </c>
      <c r="F23" s="225">
        <f ca="1">'Derived Cummulative'!F23</f>
        <v>0</v>
      </c>
      <c r="G23" s="225">
        <f ca="1">'Derived Cummulative'!G23</f>
        <v>0</v>
      </c>
      <c r="H23" s="225">
        <f ca="1">'Derived Cummulative'!H23</f>
        <v>0</v>
      </c>
      <c r="I23" s="225">
        <f ca="1">'Derived Cummulative'!I23</f>
        <v>0</v>
      </c>
      <c r="J23" s="225">
        <f ca="1">'Derived Cummulative'!J23</f>
        <v>0</v>
      </c>
      <c r="K23" s="225">
        <f ca="1">'Derived Cummulative'!K23</f>
        <v>0</v>
      </c>
      <c r="L23" s="225">
        <f ca="1">'Derived Cummulative'!L23</f>
        <v>0</v>
      </c>
      <c r="M23" s="226">
        <f>'Measured Cummulative'!E24</f>
        <v>0</v>
      </c>
      <c r="N23" s="226">
        <f>'Measured Cummulative'!F24</f>
        <v>0</v>
      </c>
      <c r="O23" s="226">
        <f>'Measured Cummulative'!G24</f>
        <v>0</v>
      </c>
      <c r="P23" s="226">
        <f>'Measured Cummulative'!H24</f>
        <v>0</v>
      </c>
      <c r="Q23" s="226">
        <f>'Measured Cummulative'!I24</f>
        <v>0</v>
      </c>
      <c r="R23" s="226">
        <f>'Measured Cummulative'!J24</f>
        <v>0</v>
      </c>
      <c r="S23" s="226">
        <f>'Measured Cummulative'!K24</f>
        <v>0</v>
      </c>
      <c r="T23" s="226">
        <f>'Measured Cummulative'!L24</f>
        <v>0</v>
      </c>
      <c r="V23" s="151"/>
      <c r="W23" s="72"/>
      <c r="X23" s="72"/>
      <c r="Y23" s="72"/>
      <c r="Z23" s="72"/>
      <c r="AA23" s="72"/>
      <c r="AB23" s="72"/>
      <c r="AC23" s="72"/>
      <c r="AD23" s="228"/>
    </row>
    <row r="24" spans="1:46" ht="15" thickBot="1" x14ac:dyDescent="0.25">
      <c r="A24" s="52">
        <f>'Measured Cummulative'!A25</f>
        <v>0</v>
      </c>
      <c r="B24" s="150">
        <f>'Measured Cummulative'!B25</f>
        <v>0</v>
      </c>
      <c r="C24" s="142"/>
      <c r="D24" s="144"/>
      <c r="E24" s="225">
        <f ca="1">'Derived Cummulative'!E24</f>
        <v>0</v>
      </c>
      <c r="F24" s="225">
        <f ca="1">'Derived Cummulative'!F24</f>
        <v>0</v>
      </c>
      <c r="G24" s="225">
        <f ca="1">'Derived Cummulative'!G24</f>
        <v>0</v>
      </c>
      <c r="H24" s="225">
        <f ca="1">'Derived Cummulative'!H24</f>
        <v>0</v>
      </c>
      <c r="I24" s="225">
        <f ca="1">'Derived Cummulative'!I24</f>
        <v>0</v>
      </c>
      <c r="J24" s="225">
        <f ca="1">'Derived Cummulative'!J24</f>
        <v>0</v>
      </c>
      <c r="K24" s="225">
        <f ca="1">'Derived Cummulative'!K24</f>
        <v>0</v>
      </c>
      <c r="L24" s="225">
        <f ca="1">'Derived Cummulative'!L24</f>
        <v>0</v>
      </c>
      <c r="M24" s="226">
        <f>'Measured Cummulative'!E25</f>
        <v>0</v>
      </c>
      <c r="N24" s="226">
        <f>'Measured Cummulative'!F25</f>
        <v>0</v>
      </c>
      <c r="O24" s="226">
        <f>'Measured Cummulative'!G25</f>
        <v>0</v>
      </c>
      <c r="P24" s="226">
        <f>'Measured Cummulative'!H25</f>
        <v>0</v>
      </c>
      <c r="Q24" s="226">
        <f>'Measured Cummulative'!I25</f>
        <v>0</v>
      </c>
      <c r="R24" s="226">
        <f>'Measured Cummulative'!J25</f>
        <v>0</v>
      </c>
      <c r="S24" s="226">
        <f>'Measured Cummulative'!K25</f>
        <v>0</v>
      </c>
      <c r="T24" s="226">
        <f>'Measured Cummulative'!L25</f>
        <v>0</v>
      </c>
      <c r="V24" s="151"/>
      <c r="W24" s="72"/>
      <c r="X24" s="72"/>
      <c r="Y24" s="72"/>
      <c r="Z24" s="72"/>
      <c r="AA24" s="72"/>
      <c r="AB24" s="72"/>
      <c r="AC24" s="72"/>
      <c r="AD24" s="72"/>
    </row>
    <row r="25" spans="1:46" ht="15" thickBot="1" x14ac:dyDescent="0.25">
      <c r="A25" s="52">
        <f>'Measured Cummulative'!A26</f>
        <v>0</v>
      </c>
      <c r="B25" s="149">
        <f>'Measured Cummulative'!B26</f>
        <v>0</v>
      </c>
      <c r="C25" s="61"/>
      <c r="D25" s="144"/>
      <c r="E25" s="225">
        <f ca="1">'Derived Cummulative'!E25</f>
        <v>0</v>
      </c>
      <c r="F25" s="225">
        <f ca="1">'Derived Cummulative'!F25</f>
        <v>0</v>
      </c>
      <c r="G25" s="225">
        <f ca="1">'Derived Cummulative'!G25</f>
        <v>0</v>
      </c>
      <c r="H25" s="225">
        <f ca="1">'Derived Cummulative'!H25</f>
        <v>0</v>
      </c>
      <c r="I25" s="225">
        <f ca="1">'Derived Cummulative'!I25</f>
        <v>0</v>
      </c>
      <c r="J25" s="225">
        <f ca="1">'Derived Cummulative'!J25</f>
        <v>0</v>
      </c>
      <c r="K25" s="225">
        <f ca="1">'Derived Cummulative'!K25</f>
        <v>0</v>
      </c>
      <c r="L25" s="225">
        <f ca="1">'Derived Cummulative'!L25</f>
        <v>0</v>
      </c>
      <c r="M25" s="226">
        <f>'Measured Cummulative'!E26</f>
        <v>0</v>
      </c>
      <c r="N25" s="226">
        <f>'Measured Cummulative'!F26</f>
        <v>0</v>
      </c>
      <c r="O25" s="226">
        <f>'Measured Cummulative'!G26</f>
        <v>0</v>
      </c>
      <c r="P25" s="226">
        <f>'Measured Cummulative'!H26</f>
        <v>0</v>
      </c>
      <c r="Q25" s="226">
        <f>'Measured Cummulative'!I26</f>
        <v>0</v>
      </c>
      <c r="R25" s="226">
        <f>'Measured Cummulative'!J26</f>
        <v>0</v>
      </c>
      <c r="S25" s="226">
        <f>'Measured Cummulative'!K26</f>
        <v>0</v>
      </c>
      <c r="T25" s="226">
        <f>'Measured Cummulative'!L26</f>
        <v>0</v>
      </c>
      <c r="V25" s="151"/>
      <c r="W25" s="72"/>
      <c r="X25" s="72"/>
      <c r="Y25" s="72"/>
      <c r="Z25" s="72"/>
      <c r="AA25" s="72"/>
      <c r="AB25" s="72"/>
      <c r="AC25" s="72"/>
      <c r="AD25" s="72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</row>
    <row r="26" spans="1:46" ht="15" thickBot="1" x14ac:dyDescent="0.25">
      <c r="A26" s="52">
        <f>'Measured Cummulative'!A27</f>
        <v>0</v>
      </c>
      <c r="B26" s="150">
        <f>'Measured Cummulative'!B27</f>
        <v>0</v>
      </c>
      <c r="C26" s="142"/>
      <c r="D26" s="144"/>
      <c r="E26" s="225">
        <f ca="1">'Derived Cummulative'!E26</f>
        <v>0</v>
      </c>
      <c r="F26" s="225">
        <f ca="1">'Derived Cummulative'!F26</f>
        <v>0</v>
      </c>
      <c r="G26" s="225">
        <f ca="1">'Derived Cummulative'!G26</f>
        <v>0</v>
      </c>
      <c r="H26" s="225">
        <f ca="1">'Derived Cummulative'!H26</f>
        <v>0</v>
      </c>
      <c r="I26" s="225">
        <f ca="1">'Derived Cummulative'!I26</f>
        <v>0</v>
      </c>
      <c r="J26" s="225">
        <f ca="1">'Derived Cummulative'!J26</f>
        <v>0</v>
      </c>
      <c r="K26" s="225">
        <f ca="1">'Derived Cummulative'!K26</f>
        <v>0</v>
      </c>
      <c r="L26" s="225">
        <f ca="1">'Derived Cummulative'!L26</f>
        <v>0</v>
      </c>
      <c r="M26" s="226">
        <f>'Measured Cummulative'!E27</f>
        <v>0</v>
      </c>
      <c r="N26" s="226">
        <f>'Measured Cummulative'!F27</f>
        <v>0</v>
      </c>
      <c r="O26" s="226">
        <f>'Measured Cummulative'!G27</f>
        <v>0</v>
      </c>
      <c r="P26" s="226">
        <f>'Measured Cummulative'!H27</f>
        <v>0</v>
      </c>
      <c r="Q26" s="226">
        <f>'Measured Cummulative'!I27</f>
        <v>0</v>
      </c>
      <c r="R26" s="226">
        <f>'Measured Cummulative'!J27</f>
        <v>0</v>
      </c>
      <c r="S26" s="226">
        <f>'Measured Cummulative'!K27</f>
        <v>0</v>
      </c>
      <c r="T26" s="226">
        <f>'Measured Cummulative'!L27</f>
        <v>0</v>
      </c>
      <c r="V26" s="151"/>
      <c r="W26" s="72"/>
      <c r="X26" s="72"/>
      <c r="Y26" s="72"/>
      <c r="Z26" s="72"/>
      <c r="AA26" s="72"/>
      <c r="AB26" s="72"/>
      <c r="AC26" s="72"/>
      <c r="AD26" s="72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</row>
    <row r="27" spans="1:46" ht="15" thickBot="1" x14ac:dyDescent="0.25">
      <c r="A27" s="52">
        <f>'Measured Cummulative'!A28</f>
        <v>0</v>
      </c>
      <c r="B27" s="149">
        <f>'Measured Cummulative'!B28</f>
        <v>0</v>
      </c>
      <c r="C27" s="61"/>
      <c r="D27" s="144"/>
      <c r="E27" s="225">
        <f ca="1">'Derived Cummulative'!E27</f>
        <v>0</v>
      </c>
      <c r="F27" s="225">
        <f ca="1">'Derived Cummulative'!F27</f>
        <v>0</v>
      </c>
      <c r="G27" s="225">
        <f ca="1">'Derived Cummulative'!G27</f>
        <v>0</v>
      </c>
      <c r="H27" s="225">
        <f ca="1">'Derived Cummulative'!H27</f>
        <v>0</v>
      </c>
      <c r="I27" s="225">
        <f ca="1">'Derived Cummulative'!I27</f>
        <v>0</v>
      </c>
      <c r="J27" s="225">
        <f ca="1">'Derived Cummulative'!J27</f>
        <v>0</v>
      </c>
      <c r="K27" s="225">
        <f ca="1">'Derived Cummulative'!K27</f>
        <v>0</v>
      </c>
      <c r="L27" s="225">
        <f ca="1">'Derived Cummulative'!L27</f>
        <v>0</v>
      </c>
      <c r="M27" s="226">
        <f>'Measured Cummulative'!E28</f>
        <v>0</v>
      </c>
      <c r="N27" s="226">
        <f>'Measured Cummulative'!F28</f>
        <v>0</v>
      </c>
      <c r="O27" s="226">
        <f>'Measured Cummulative'!G28</f>
        <v>0</v>
      </c>
      <c r="P27" s="226">
        <f>'Measured Cummulative'!H28</f>
        <v>0</v>
      </c>
      <c r="Q27" s="226">
        <f>'Measured Cummulative'!I28</f>
        <v>0</v>
      </c>
      <c r="R27" s="226">
        <f>'Measured Cummulative'!J28</f>
        <v>0</v>
      </c>
      <c r="S27" s="226">
        <f>'Measured Cummulative'!K28</f>
        <v>0</v>
      </c>
      <c r="T27" s="226">
        <f>'Measured Cummulative'!L28</f>
        <v>0</v>
      </c>
      <c r="V27" s="151"/>
      <c r="W27" s="72"/>
      <c r="X27" s="72"/>
      <c r="Y27" s="72"/>
      <c r="Z27" s="72"/>
      <c r="AA27" s="72"/>
      <c r="AB27" s="72"/>
      <c r="AC27" s="72"/>
      <c r="AD27" s="72"/>
      <c r="AF27" s="21">
        <v>2</v>
      </c>
      <c r="AG27" s="170"/>
      <c r="AH27" s="170"/>
      <c r="AI27" s="170"/>
      <c r="AJ27" s="170"/>
      <c r="AK27" s="170"/>
      <c r="AL27" s="170"/>
      <c r="AM27" s="170"/>
      <c r="AN27" s="170"/>
      <c r="AO27" s="170"/>
      <c r="AP27" s="170"/>
      <c r="AQ27" s="21"/>
      <c r="AR27" s="21"/>
      <c r="AS27" s="21"/>
      <c r="AT27" s="21"/>
    </row>
    <row r="28" spans="1:46" ht="15" thickBot="1" x14ac:dyDescent="0.25">
      <c r="A28" s="52">
        <f>'Measured Cummulative'!A29</f>
        <v>0</v>
      </c>
      <c r="B28" s="150">
        <f>'Measured Cummulative'!B29</f>
        <v>0</v>
      </c>
      <c r="C28" s="142"/>
      <c r="D28" s="144"/>
      <c r="E28" s="225">
        <f ca="1">'Derived Cummulative'!E28</f>
        <v>0</v>
      </c>
      <c r="F28" s="225">
        <f ca="1">'Derived Cummulative'!F28</f>
        <v>0</v>
      </c>
      <c r="G28" s="225">
        <f ca="1">'Derived Cummulative'!G28</f>
        <v>0</v>
      </c>
      <c r="H28" s="225">
        <f ca="1">'Derived Cummulative'!H28</f>
        <v>0</v>
      </c>
      <c r="I28" s="225">
        <f ca="1">'Derived Cummulative'!I28</f>
        <v>0</v>
      </c>
      <c r="J28" s="225">
        <f ca="1">'Derived Cummulative'!J28</f>
        <v>0</v>
      </c>
      <c r="K28" s="225">
        <f ca="1">'Derived Cummulative'!K28</f>
        <v>0</v>
      </c>
      <c r="L28" s="225">
        <f ca="1">'Derived Cummulative'!L28</f>
        <v>0</v>
      </c>
      <c r="M28" s="226">
        <f>'Measured Cummulative'!E29</f>
        <v>0</v>
      </c>
      <c r="N28" s="226">
        <f>'Measured Cummulative'!F29</f>
        <v>0</v>
      </c>
      <c r="O28" s="226">
        <f>'Measured Cummulative'!G29</f>
        <v>0</v>
      </c>
      <c r="P28" s="226">
        <f>'Measured Cummulative'!H29</f>
        <v>0</v>
      </c>
      <c r="Q28" s="226">
        <f>'Measured Cummulative'!I29</f>
        <v>0</v>
      </c>
      <c r="R28" s="226">
        <f>'Measured Cummulative'!J29</f>
        <v>0</v>
      </c>
      <c r="S28" s="226">
        <f>'Measured Cummulative'!K29</f>
        <v>0</v>
      </c>
      <c r="T28" s="226">
        <f>'Measured Cummulative'!L29</f>
        <v>0</v>
      </c>
      <c r="V28" s="151"/>
      <c r="W28" s="72"/>
      <c r="X28" s="72"/>
      <c r="Y28" s="72"/>
      <c r="Z28" s="72"/>
      <c r="AA28" s="72"/>
      <c r="AB28" s="72"/>
      <c r="AC28" s="72"/>
      <c r="AD28" s="72"/>
      <c r="AF28" s="21"/>
      <c r="AG28" s="170"/>
      <c r="AH28" s="170"/>
      <c r="AI28" s="170"/>
      <c r="AJ28" s="170"/>
      <c r="AK28" s="170"/>
      <c r="AL28" s="170"/>
      <c r="AM28" s="170"/>
      <c r="AN28" s="170"/>
      <c r="AO28" s="170"/>
      <c r="AP28" s="170"/>
      <c r="AQ28" s="21"/>
      <c r="AR28" s="21"/>
      <c r="AS28" s="21"/>
      <c r="AT28" s="21"/>
    </row>
    <row r="29" spans="1:46" ht="15" thickBot="1" x14ac:dyDescent="0.25">
      <c r="A29" s="52">
        <f>'Measured Cummulative'!A30</f>
        <v>0</v>
      </c>
      <c r="B29" s="149">
        <f>'Measured Cummulative'!B30</f>
        <v>0</v>
      </c>
      <c r="C29" s="61"/>
      <c r="D29" s="141"/>
      <c r="E29" s="225">
        <f ca="1">'Derived Cummulative'!E29</f>
        <v>0</v>
      </c>
      <c r="F29" s="225">
        <f ca="1">'Derived Cummulative'!F29</f>
        <v>0</v>
      </c>
      <c r="G29" s="225">
        <f ca="1">'Derived Cummulative'!G29</f>
        <v>0</v>
      </c>
      <c r="H29" s="225">
        <f ca="1">'Derived Cummulative'!H29</f>
        <v>0</v>
      </c>
      <c r="I29" s="225">
        <f ca="1">'Derived Cummulative'!I29</f>
        <v>0</v>
      </c>
      <c r="J29" s="225">
        <f ca="1">'Derived Cummulative'!J29</f>
        <v>0</v>
      </c>
      <c r="K29" s="225">
        <f ca="1">'Derived Cummulative'!K29</f>
        <v>0</v>
      </c>
      <c r="L29" s="225">
        <f ca="1">'Derived Cummulative'!L29</f>
        <v>0</v>
      </c>
      <c r="M29" s="226">
        <f>'Measured Cummulative'!E30</f>
        <v>0</v>
      </c>
      <c r="N29" s="226">
        <f>'Measured Cummulative'!F30</f>
        <v>0</v>
      </c>
      <c r="O29" s="226">
        <f>'Measured Cummulative'!G30</f>
        <v>0</v>
      </c>
      <c r="P29" s="226">
        <f>'Measured Cummulative'!H30</f>
        <v>0</v>
      </c>
      <c r="Q29" s="226">
        <f>'Measured Cummulative'!I30</f>
        <v>0</v>
      </c>
      <c r="R29" s="226">
        <f>'Measured Cummulative'!J30</f>
        <v>0</v>
      </c>
      <c r="S29" s="226">
        <f>'Measured Cummulative'!K30</f>
        <v>0</v>
      </c>
      <c r="T29" s="226">
        <f>'Measured Cummulative'!L30</f>
        <v>0</v>
      </c>
      <c r="V29" s="151"/>
      <c r="W29" s="72"/>
      <c r="X29" s="72"/>
      <c r="Y29" s="72"/>
      <c r="Z29" s="72"/>
      <c r="AA29" s="72"/>
      <c r="AB29" s="72"/>
      <c r="AC29" s="72"/>
      <c r="AD29" s="72"/>
      <c r="AF29" s="21"/>
      <c r="AG29" s="170"/>
      <c r="AH29" s="170"/>
      <c r="AI29" s="170"/>
      <c r="AJ29" s="170"/>
      <c r="AK29" s="170"/>
      <c r="AL29" s="170"/>
      <c r="AM29" s="170"/>
      <c r="AN29" s="170"/>
      <c r="AO29" s="170"/>
      <c r="AP29" s="170"/>
      <c r="AQ29" s="21"/>
      <c r="AR29" s="21"/>
      <c r="AS29" s="21"/>
      <c r="AT29" s="21"/>
    </row>
    <row r="30" spans="1:46" ht="15" thickBot="1" x14ac:dyDescent="0.25">
      <c r="A30" s="52">
        <f>'Measured Cummulative'!A31</f>
        <v>0</v>
      </c>
      <c r="B30" s="150">
        <f>'Measured Cummulative'!B31</f>
        <v>0</v>
      </c>
      <c r="C30" s="142"/>
      <c r="D30" s="145"/>
      <c r="E30" s="225">
        <f ca="1">'Derived Cummulative'!E30</f>
        <v>0</v>
      </c>
      <c r="F30" s="225">
        <f ca="1">'Derived Cummulative'!F30</f>
        <v>0</v>
      </c>
      <c r="G30" s="225">
        <f ca="1">'Derived Cummulative'!G30</f>
        <v>0</v>
      </c>
      <c r="H30" s="225">
        <f ca="1">'Derived Cummulative'!H30</f>
        <v>0</v>
      </c>
      <c r="I30" s="225">
        <f ca="1">'Derived Cummulative'!I30</f>
        <v>0</v>
      </c>
      <c r="J30" s="225">
        <f ca="1">'Derived Cummulative'!J30</f>
        <v>0</v>
      </c>
      <c r="K30" s="225">
        <f ca="1">'Derived Cummulative'!K30</f>
        <v>0</v>
      </c>
      <c r="L30" s="225">
        <f ca="1">'Derived Cummulative'!L30</f>
        <v>0</v>
      </c>
      <c r="M30" s="226">
        <f>'Measured Cummulative'!E31</f>
        <v>0</v>
      </c>
      <c r="N30" s="226">
        <f>'Measured Cummulative'!F31</f>
        <v>0</v>
      </c>
      <c r="O30" s="226">
        <f>'Measured Cummulative'!G31</f>
        <v>0</v>
      </c>
      <c r="P30" s="226">
        <f>'Measured Cummulative'!H31</f>
        <v>0</v>
      </c>
      <c r="Q30" s="226">
        <f>'Measured Cummulative'!I31</f>
        <v>0</v>
      </c>
      <c r="R30" s="226">
        <f>'Measured Cummulative'!J31</f>
        <v>0</v>
      </c>
      <c r="S30" s="226">
        <f>'Measured Cummulative'!K31</f>
        <v>0</v>
      </c>
      <c r="T30" s="226">
        <f>'Measured Cummulative'!L31</f>
        <v>0</v>
      </c>
      <c r="V30" s="151"/>
      <c r="W30" s="72"/>
      <c r="X30" s="72"/>
      <c r="Y30" s="72"/>
      <c r="Z30" s="72"/>
      <c r="AA30" s="72"/>
      <c r="AB30" s="72"/>
      <c r="AC30" s="72"/>
      <c r="AD30" s="72"/>
      <c r="AF30" s="21" t="s">
        <v>180</v>
      </c>
      <c r="AG30" s="170">
        <f>IF($AF$27=1,W4,IF($AF$27=2,W5,W6))</f>
        <v>3.8396037294708369</v>
      </c>
      <c r="AH30" s="170">
        <f t="shared" ref="AH30:AN30" si="7">IF($AF$27=1,X4,IF($AF$27=2,X5,X6))</f>
        <v>4.9365137424788932</v>
      </c>
      <c r="AI30" s="170">
        <f t="shared" si="7"/>
        <v>5.2886962605902559</v>
      </c>
      <c r="AJ30" s="170">
        <f t="shared" si="7"/>
        <v>5.8396037294708369</v>
      </c>
      <c r="AK30" s="170">
        <f t="shared" si="7"/>
        <v>6.0826417781571314</v>
      </c>
      <c r="AL30" s="170">
        <f t="shared" si="7"/>
        <v>6.1126050015345745</v>
      </c>
      <c r="AM30" s="170">
        <f t="shared" si="7"/>
        <v>6.3836717738211126</v>
      </c>
      <c r="AN30" s="170">
        <f t="shared" si="7"/>
        <v>6.4928162432461809</v>
      </c>
      <c r="AO30" s="170"/>
      <c r="AP30" s="170"/>
      <c r="AQ30" s="21"/>
      <c r="AR30" s="21"/>
      <c r="AS30" s="21"/>
      <c r="AT30" s="21"/>
    </row>
    <row r="31" spans="1:46" ht="15" thickBot="1" x14ac:dyDescent="0.25">
      <c r="A31" s="52">
        <f>'Measured Cummulative'!A32</f>
        <v>0</v>
      </c>
      <c r="B31" s="149">
        <f>'Measured Cummulative'!B32</f>
        <v>0</v>
      </c>
      <c r="C31" s="61"/>
      <c r="D31" s="145"/>
      <c r="E31" s="225">
        <f ca="1">'Derived Cummulative'!E31</f>
        <v>0</v>
      </c>
      <c r="F31" s="225">
        <f ca="1">'Derived Cummulative'!F31</f>
        <v>0</v>
      </c>
      <c r="G31" s="225">
        <f ca="1">'Derived Cummulative'!G31</f>
        <v>0</v>
      </c>
      <c r="H31" s="225">
        <f ca="1">'Derived Cummulative'!H31</f>
        <v>0</v>
      </c>
      <c r="I31" s="225">
        <f ca="1">'Derived Cummulative'!I31</f>
        <v>0</v>
      </c>
      <c r="J31" s="225">
        <f ca="1">'Derived Cummulative'!J31</f>
        <v>0</v>
      </c>
      <c r="K31" s="225">
        <f ca="1">'Derived Cummulative'!K31</f>
        <v>0</v>
      </c>
      <c r="L31" s="225">
        <f ca="1">'Derived Cummulative'!L31</f>
        <v>0</v>
      </c>
      <c r="M31" s="226">
        <f>'Measured Cummulative'!E32</f>
        <v>0</v>
      </c>
      <c r="N31" s="226">
        <f>'Measured Cummulative'!F32</f>
        <v>0</v>
      </c>
      <c r="O31" s="226">
        <f>'Measured Cummulative'!G32</f>
        <v>0</v>
      </c>
      <c r="P31" s="226">
        <f>'Measured Cummulative'!H32</f>
        <v>0</v>
      </c>
      <c r="Q31" s="226">
        <f>'Measured Cummulative'!I32</f>
        <v>0</v>
      </c>
      <c r="R31" s="226">
        <f>'Measured Cummulative'!J32</f>
        <v>0</v>
      </c>
      <c r="S31" s="226">
        <f>'Measured Cummulative'!K32</f>
        <v>0</v>
      </c>
      <c r="T31" s="226">
        <f>'Measured Cummulative'!L32</f>
        <v>0</v>
      </c>
      <c r="V31" s="151"/>
      <c r="W31" s="72"/>
      <c r="X31" s="72"/>
      <c r="Y31" s="72"/>
      <c r="Z31" s="72"/>
      <c r="AA31" s="72"/>
      <c r="AB31" s="72"/>
      <c r="AC31" s="72"/>
      <c r="AD31" s="72"/>
      <c r="AF31" s="21"/>
      <c r="AG31" s="170">
        <f ca="1">W7</f>
        <v>1425.0694557934303</v>
      </c>
      <c r="AH31" s="170">
        <f t="shared" ref="AH31:AN31" ca="1" si="8">X7</f>
        <v>299.26458571662039</v>
      </c>
      <c r="AI31" s="170">
        <f t="shared" ca="1" si="8"/>
        <v>4275.2083673802908</v>
      </c>
      <c r="AJ31" s="170">
        <f t="shared" ca="1" si="8"/>
        <v>68403.333878084668</v>
      </c>
      <c r="AK31" s="170">
        <f t="shared" ca="1" si="8"/>
        <v>145357.08449092982</v>
      </c>
      <c r="AL31" s="170">
        <f t="shared" ca="1" si="8"/>
        <v>135381.59830037598</v>
      </c>
      <c r="AM31" s="170">
        <f t="shared" ca="1" si="8"/>
        <v>171008.33469521161</v>
      </c>
      <c r="AN31" s="170">
        <f t="shared" ca="1" si="8"/>
        <v>145357.08449092982</v>
      </c>
      <c r="AO31" s="170"/>
      <c r="AP31" s="170"/>
      <c r="AQ31" s="21"/>
      <c r="AR31" s="21"/>
      <c r="AS31" s="21"/>
      <c r="AT31" s="21"/>
    </row>
    <row r="32" spans="1:46" ht="15" thickBot="1" x14ac:dyDescent="0.25">
      <c r="A32" s="52">
        <f>'Measured Cummulative'!A33</f>
        <v>0</v>
      </c>
      <c r="B32" s="150">
        <f>'Measured Cummulative'!B33</f>
        <v>0</v>
      </c>
      <c r="C32" s="142"/>
      <c r="D32" s="145"/>
      <c r="E32" s="225">
        <f ca="1">'Derived Cummulative'!E32</f>
        <v>0</v>
      </c>
      <c r="F32" s="225">
        <f ca="1">'Derived Cummulative'!F32</f>
        <v>0</v>
      </c>
      <c r="G32" s="225">
        <f ca="1">'Derived Cummulative'!G32</f>
        <v>0</v>
      </c>
      <c r="H32" s="225">
        <f ca="1">'Derived Cummulative'!H32</f>
        <v>0</v>
      </c>
      <c r="I32" s="225">
        <f ca="1">'Derived Cummulative'!I32</f>
        <v>0</v>
      </c>
      <c r="J32" s="225">
        <f ca="1">'Derived Cummulative'!J32</f>
        <v>0</v>
      </c>
      <c r="K32" s="225">
        <f ca="1">'Derived Cummulative'!K32</f>
        <v>0</v>
      </c>
      <c r="L32" s="225">
        <f ca="1">'Derived Cummulative'!L32</f>
        <v>0</v>
      </c>
      <c r="M32" s="226">
        <f>'Measured Cummulative'!E33</f>
        <v>0</v>
      </c>
      <c r="N32" s="226">
        <f>'Measured Cummulative'!F33</f>
        <v>0</v>
      </c>
      <c r="O32" s="226">
        <f>'Measured Cummulative'!G33</f>
        <v>0</v>
      </c>
      <c r="P32" s="226">
        <f>'Measured Cummulative'!H33</f>
        <v>0</v>
      </c>
      <c r="Q32" s="226">
        <f>'Measured Cummulative'!I33</f>
        <v>0</v>
      </c>
      <c r="R32" s="226">
        <f>'Measured Cummulative'!J33</f>
        <v>0</v>
      </c>
      <c r="S32" s="226">
        <f>'Measured Cummulative'!K33</f>
        <v>0</v>
      </c>
      <c r="T32" s="226">
        <f>'Measured Cummulative'!L33</f>
        <v>0</v>
      </c>
      <c r="V32" s="151"/>
      <c r="W32" s="72"/>
      <c r="X32" s="72"/>
      <c r="Y32" s="72"/>
      <c r="Z32" s="72"/>
      <c r="AA32" s="72"/>
      <c r="AB32" s="72"/>
      <c r="AC32" s="72"/>
      <c r="AD32" s="72"/>
      <c r="AF32" s="21"/>
      <c r="AG32" s="170">
        <f ca="1">W8</f>
        <v>1425.0694557934303</v>
      </c>
      <c r="AH32" s="170">
        <f t="shared" ref="AH32:AN32" ca="1" si="9">X8</f>
        <v>4275.2083673802908</v>
      </c>
      <c r="AI32" s="170">
        <f t="shared" ca="1" si="9"/>
        <v>7837.882006863867</v>
      </c>
      <c r="AJ32" s="170">
        <f t="shared" ca="1" si="9"/>
        <v>24226.180748488314</v>
      </c>
      <c r="AK32" s="170">
        <f t="shared" ca="1" si="9"/>
        <v>48452.361496976628</v>
      </c>
      <c r="AL32" s="170">
        <f t="shared" ca="1" si="9"/>
        <v>64840.660238601078</v>
      </c>
      <c r="AM32" s="170">
        <f t="shared" ca="1" si="9"/>
        <v>82654.028436018954</v>
      </c>
      <c r="AN32" s="170">
        <f t="shared" ca="1" si="9"/>
        <v>107592.74391240398</v>
      </c>
      <c r="AO32" s="170"/>
      <c r="AP32" s="170"/>
      <c r="AQ32" s="21"/>
      <c r="AR32" s="21"/>
      <c r="AS32" s="21"/>
      <c r="AT32" s="21"/>
    </row>
    <row r="33" spans="1:46" ht="15" thickBot="1" x14ac:dyDescent="0.25">
      <c r="A33" s="52">
        <f>'Measured Cummulative'!A34</f>
        <v>0</v>
      </c>
      <c r="B33" s="149">
        <f>'Measured Cummulative'!B34</f>
        <v>0</v>
      </c>
      <c r="C33" s="61"/>
      <c r="D33" s="145"/>
      <c r="E33" s="225">
        <f ca="1">'Derived Cummulative'!E33</f>
        <v>0</v>
      </c>
      <c r="F33" s="225">
        <f ca="1">'Derived Cummulative'!F33</f>
        <v>0</v>
      </c>
      <c r="G33" s="225">
        <f ca="1">'Derived Cummulative'!G33</f>
        <v>0</v>
      </c>
      <c r="H33" s="225">
        <f ca="1">'Derived Cummulative'!H33</f>
        <v>0</v>
      </c>
      <c r="I33" s="225">
        <f ca="1">'Derived Cummulative'!I33</f>
        <v>0</v>
      </c>
      <c r="J33" s="225">
        <f ca="1">'Derived Cummulative'!J33</f>
        <v>0</v>
      </c>
      <c r="K33" s="225">
        <f ca="1">'Derived Cummulative'!K33</f>
        <v>0</v>
      </c>
      <c r="L33" s="225">
        <f ca="1">'Derived Cummulative'!L33</f>
        <v>0</v>
      </c>
      <c r="M33" s="226">
        <f>'Measured Cummulative'!E34</f>
        <v>0</v>
      </c>
      <c r="N33" s="226">
        <f>'Measured Cummulative'!F34</f>
        <v>0</v>
      </c>
      <c r="O33" s="226">
        <f>'Measured Cummulative'!G34</f>
        <v>0</v>
      </c>
      <c r="P33" s="226">
        <f>'Measured Cummulative'!H34</f>
        <v>0</v>
      </c>
      <c r="Q33" s="226">
        <f>'Measured Cummulative'!I34</f>
        <v>0</v>
      </c>
      <c r="R33" s="226">
        <f>'Measured Cummulative'!J34</f>
        <v>0</v>
      </c>
      <c r="S33" s="226">
        <f>'Measured Cummulative'!K34</f>
        <v>0</v>
      </c>
      <c r="T33" s="226">
        <f>'Measured Cummulative'!L34</f>
        <v>0</v>
      </c>
      <c r="V33" s="151"/>
      <c r="W33" s="72"/>
      <c r="X33" s="72"/>
      <c r="Y33" s="72"/>
      <c r="Z33" s="72"/>
      <c r="AA33" s="72"/>
      <c r="AB33" s="72"/>
      <c r="AC33" s="72"/>
      <c r="AD33" s="72"/>
      <c r="AF33" s="21"/>
      <c r="AG33" s="170"/>
      <c r="AH33" s="170"/>
      <c r="AI33" s="170"/>
      <c r="AJ33" s="170"/>
      <c r="AK33" s="170"/>
      <c r="AL33" s="170"/>
      <c r="AM33" s="170"/>
      <c r="AN33" s="170"/>
      <c r="AO33" s="170"/>
      <c r="AP33" s="170"/>
      <c r="AQ33" s="21"/>
      <c r="AR33" s="21"/>
      <c r="AS33" s="21"/>
      <c r="AT33" s="21"/>
    </row>
    <row r="34" spans="1:46" ht="15" thickBot="1" x14ac:dyDescent="0.25">
      <c r="A34" s="52">
        <f>'Measured Cummulative'!A35</f>
        <v>0</v>
      </c>
      <c r="B34" s="150">
        <f>'Measured Cummulative'!B35</f>
        <v>0</v>
      </c>
      <c r="C34" s="142"/>
      <c r="D34" s="145"/>
      <c r="E34" s="225">
        <f ca="1">'Derived Cummulative'!E34</f>
        <v>0</v>
      </c>
      <c r="F34" s="225">
        <f ca="1">'Derived Cummulative'!F34</f>
        <v>0</v>
      </c>
      <c r="G34" s="225">
        <f ca="1">'Derived Cummulative'!G34</f>
        <v>0</v>
      </c>
      <c r="H34" s="225">
        <f ca="1">'Derived Cummulative'!H34</f>
        <v>0</v>
      </c>
      <c r="I34" s="225">
        <f ca="1">'Derived Cummulative'!I34</f>
        <v>0</v>
      </c>
      <c r="J34" s="225">
        <f ca="1">'Derived Cummulative'!J34</f>
        <v>0</v>
      </c>
      <c r="K34" s="225">
        <f ca="1">'Derived Cummulative'!K34</f>
        <v>0</v>
      </c>
      <c r="L34" s="225">
        <f ca="1">'Derived Cummulative'!L34</f>
        <v>0</v>
      </c>
      <c r="M34" s="226">
        <f>'Measured Cummulative'!E35</f>
        <v>0</v>
      </c>
      <c r="N34" s="226">
        <f>'Measured Cummulative'!F35</f>
        <v>0</v>
      </c>
      <c r="O34" s="226">
        <f>'Measured Cummulative'!G35</f>
        <v>0</v>
      </c>
      <c r="P34" s="226">
        <f>'Measured Cummulative'!H35</f>
        <v>0</v>
      </c>
      <c r="Q34" s="226">
        <f>'Measured Cummulative'!I35</f>
        <v>0</v>
      </c>
      <c r="R34" s="226">
        <f>'Measured Cummulative'!J35</f>
        <v>0</v>
      </c>
      <c r="S34" s="226">
        <f>'Measured Cummulative'!K35</f>
        <v>0</v>
      </c>
      <c r="T34" s="226">
        <f>'Measured Cummulative'!L35</f>
        <v>0</v>
      </c>
      <c r="V34" s="151"/>
      <c r="W34" s="72"/>
      <c r="X34" s="72"/>
      <c r="Y34" s="72"/>
      <c r="Z34" s="72"/>
      <c r="AA34" s="72"/>
      <c r="AB34" s="72"/>
      <c r="AC34" s="72"/>
      <c r="AD34" s="72"/>
      <c r="AF34" s="21"/>
      <c r="AG34" s="170"/>
      <c r="AH34" s="170"/>
      <c r="AI34" s="170"/>
      <c r="AJ34" s="170"/>
      <c r="AK34" s="170"/>
      <c r="AL34" s="170"/>
      <c r="AM34" s="170"/>
      <c r="AN34" s="170"/>
      <c r="AO34" s="170"/>
      <c r="AP34" s="170"/>
      <c r="AQ34" s="21"/>
      <c r="AR34" s="21"/>
      <c r="AS34" s="21"/>
      <c r="AT34" s="21"/>
    </row>
    <row r="35" spans="1:46" ht="15" thickBot="1" x14ac:dyDescent="0.25">
      <c r="A35" s="52">
        <f>'Measured Cummulative'!A36</f>
        <v>0</v>
      </c>
      <c r="B35" s="149">
        <f>'Measured Cummulative'!B36</f>
        <v>0</v>
      </c>
      <c r="C35" s="61"/>
      <c r="D35" s="145"/>
      <c r="E35" s="225">
        <f ca="1">'Derived Cummulative'!E35</f>
        <v>0</v>
      </c>
      <c r="F35" s="225">
        <f ca="1">'Derived Cummulative'!F35</f>
        <v>0</v>
      </c>
      <c r="G35" s="225">
        <f ca="1">'Derived Cummulative'!G35</f>
        <v>0</v>
      </c>
      <c r="H35" s="225">
        <f ca="1">'Derived Cummulative'!H35</f>
        <v>0</v>
      </c>
      <c r="I35" s="225">
        <f ca="1">'Derived Cummulative'!I35</f>
        <v>0</v>
      </c>
      <c r="J35" s="225">
        <f ca="1">'Derived Cummulative'!J35</f>
        <v>0</v>
      </c>
      <c r="K35" s="225">
        <f ca="1">'Derived Cummulative'!K35</f>
        <v>0</v>
      </c>
      <c r="L35" s="225">
        <f ca="1">'Derived Cummulative'!L35</f>
        <v>0</v>
      </c>
      <c r="M35" s="226">
        <f>'Measured Cummulative'!E36</f>
        <v>0</v>
      </c>
      <c r="N35" s="226">
        <f>'Measured Cummulative'!F36</f>
        <v>0</v>
      </c>
      <c r="O35" s="226">
        <f>'Measured Cummulative'!G36</f>
        <v>0</v>
      </c>
      <c r="P35" s="226">
        <f>'Measured Cummulative'!H36</f>
        <v>0</v>
      </c>
      <c r="Q35" s="226">
        <f>'Measured Cummulative'!I36</f>
        <v>0</v>
      </c>
      <c r="R35" s="226">
        <f>'Measured Cummulative'!J36</f>
        <v>0</v>
      </c>
      <c r="S35" s="226">
        <f>'Measured Cummulative'!K36</f>
        <v>0</v>
      </c>
      <c r="T35" s="226">
        <f>'Measured Cummulative'!L36</f>
        <v>0</v>
      </c>
      <c r="V35" s="151"/>
      <c r="W35" s="72"/>
      <c r="X35" s="72"/>
      <c r="Y35" s="72"/>
      <c r="Z35" s="72"/>
      <c r="AA35" s="72"/>
      <c r="AB35" s="72"/>
      <c r="AC35" s="72"/>
      <c r="AD35" s="72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</row>
    <row r="36" spans="1:46" ht="15" thickBot="1" x14ac:dyDescent="0.25">
      <c r="A36" s="52">
        <f>'Measured Cummulative'!A37</f>
        <v>0</v>
      </c>
      <c r="B36" s="150">
        <f>'Measured Cummulative'!B37</f>
        <v>0</v>
      </c>
      <c r="C36" s="142"/>
      <c r="D36" s="145"/>
      <c r="E36" s="225">
        <f ca="1">'Derived Cummulative'!E36</f>
        <v>0</v>
      </c>
      <c r="F36" s="225">
        <f ca="1">'Derived Cummulative'!F36</f>
        <v>0</v>
      </c>
      <c r="G36" s="225">
        <f ca="1">'Derived Cummulative'!G36</f>
        <v>0</v>
      </c>
      <c r="H36" s="225">
        <f ca="1">'Derived Cummulative'!H36</f>
        <v>0</v>
      </c>
      <c r="I36" s="225">
        <f ca="1">'Derived Cummulative'!I36</f>
        <v>0</v>
      </c>
      <c r="J36" s="225">
        <f ca="1">'Derived Cummulative'!J36</f>
        <v>0</v>
      </c>
      <c r="K36" s="225">
        <f ca="1">'Derived Cummulative'!K36</f>
        <v>0</v>
      </c>
      <c r="L36" s="225">
        <f ca="1">'Derived Cummulative'!L36</f>
        <v>0</v>
      </c>
      <c r="M36" s="226">
        <f>'Measured Cummulative'!E37</f>
        <v>0</v>
      </c>
      <c r="N36" s="226">
        <f>'Measured Cummulative'!F37</f>
        <v>0</v>
      </c>
      <c r="O36" s="226">
        <f>'Measured Cummulative'!G37</f>
        <v>0</v>
      </c>
      <c r="P36" s="226">
        <f>'Measured Cummulative'!H37</f>
        <v>0</v>
      </c>
      <c r="Q36" s="226">
        <f>'Measured Cummulative'!I37</f>
        <v>0</v>
      </c>
      <c r="R36" s="226">
        <f>'Measured Cummulative'!J37</f>
        <v>0</v>
      </c>
      <c r="S36" s="226">
        <f>'Measured Cummulative'!K37</f>
        <v>0</v>
      </c>
      <c r="T36" s="226">
        <f>'Measured Cummulative'!L37</f>
        <v>0</v>
      </c>
      <c r="V36" s="151"/>
      <c r="W36" s="72"/>
      <c r="X36" s="72"/>
      <c r="Y36" s="72"/>
      <c r="Z36" s="72"/>
      <c r="AA36" s="72"/>
      <c r="AB36" s="72"/>
      <c r="AC36" s="72"/>
      <c r="AD36" s="72"/>
      <c r="AJ36" s="428" t="str">
        <f>IF(AF27=3,AF30,IF(AF27=2,"log(t)", "t"))</f>
        <v>log(t)</v>
      </c>
      <c r="AK36" s="428"/>
      <c r="AL36" s="428"/>
      <c r="AM36" s="428"/>
      <c r="AN36" s="428"/>
      <c r="AO36" s="428"/>
      <c r="AP36" s="428"/>
      <c r="AQ36" s="429"/>
      <c r="AR36" s="429"/>
      <c r="AS36" s="429"/>
    </row>
    <row r="37" spans="1:46" ht="15" thickBot="1" x14ac:dyDescent="0.25">
      <c r="A37" s="52">
        <f>'Measured Cummulative'!A38</f>
        <v>0</v>
      </c>
      <c r="B37" s="149">
        <f>'Measured Cummulative'!B38</f>
        <v>0</v>
      </c>
      <c r="C37" s="61"/>
      <c r="D37" s="145"/>
      <c r="E37" s="225">
        <f ca="1">'Derived Cummulative'!E37</f>
        <v>0</v>
      </c>
      <c r="F37" s="225">
        <f ca="1">'Derived Cummulative'!F37</f>
        <v>0</v>
      </c>
      <c r="G37" s="225">
        <f ca="1">'Derived Cummulative'!G37</f>
        <v>0</v>
      </c>
      <c r="H37" s="225">
        <f ca="1">'Derived Cummulative'!H37</f>
        <v>0</v>
      </c>
      <c r="I37" s="225">
        <f ca="1">'Derived Cummulative'!I37</f>
        <v>0</v>
      </c>
      <c r="J37" s="225">
        <f ca="1">'Derived Cummulative'!J37</f>
        <v>0</v>
      </c>
      <c r="K37" s="225">
        <f ca="1">'Derived Cummulative'!K37</f>
        <v>0</v>
      </c>
      <c r="L37" s="225">
        <f ca="1">'Derived Cummulative'!L37</f>
        <v>0</v>
      </c>
      <c r="M37" s="226">
        <f>'Measured Cummulative'!E38</f>
        <v>0</v>
      </c>
      <c r="N37" s="226">
        <f>'Measured Cummulative'!F38</f>
        <v>0</v>
      </c>
      <c r="O37" s="226">
        <f>'Measured Cummulative'!G38</f>
        <v>0</v>
      </c>
      <c r="P37" s="226">
        <f>'Measured Cummulative'!H38</f>
        <v>0</v>
      </c>
      <c r="Q37" s="226">
        <f>'Measured Cummulative'!I38</f>
        <v>0</v>
      </c>
      <c r="R37" s="226">
        <f>'Measured Cummulative'!J38</f>
        <v>0</v>
      </c>
      <c r="S37" s="226">
        <f>'Measured Cummulative'!K38</f>
        <v>0</v>
      </c>
      <c r="T37" s="226">
        <f>'Measured Cummulative'!L38</f>
        <v>0</v>
      </c>
      <c r="V37" s="151"/>
      <c r="W37" s="72"/>
      <c r="X37" s="72"/>
      <c r="Y37" s="72"/>
      <c r="Z37" s="72"/>
      <c r="AA37" s="72"/>
      <c r="AB37" s="72"/>
      <c r="AC37" s="72"/>
      <c r="AD37" s="72"/>
      <c r="AJ37" s="428"/>
      <c r="AK37" s="428"/>
      <c r="AL37" s="428"/>
      <c r="AM37" s="428"/>
      <c r="AN37" s="428"/>
      <c r="AO37" s="428"/>
      <c r="AP37" s="428"/>
      <c r="AQ37" s="429"/>
      <c r="AR37" s="429"/>
      <c r="AS37" s="429"/>
    </row>
    <row r="38" spans="1:46" ht="15" thickBot="1" x14ac:dyDescent="0.25">
      <c r="A38" s="52">
        <f>'Measured Cummulative'!A39</f>
        <v>0</v>
      </c>
      <c r="B38" s="150">
        <f>'Measured Cummulative'!B39</f>
        <v>0</v>
      </c>
      <c r="C38" s="142"/>
      <c r="D38" s="145"/>
      <c r="E38" s="225">
        <f ca="1">'Derived Cummulative'!E38</f>
        <v>0</v>
      </c>
      <c r="F38" s="225">
        <f ca="1">'Derived Cummulative'!F38</f>
        <v>0</v>
      </c>
      <c r="G38" s="225">
        <f ca="1">'Derived Cummulative'!G38</f>
        <v>0</v>
      </c>
      <c r="H38" s="225">
        <f ca="1">'Derived Cummulative'!H38</f>
        <v>0</v>
      </c>
      <c r="I38" s="225">
        <f ca="1">'Derived Cummulative'!I38</f>
        <v>0</v>
      </c>
      <c r="J38" s="225">
        <f ca="1">'Derived Cummulative'!J38</f>
        <v>0</v>
      </c>
      <c r="K38" s="225">
        <f ca="1">'Derived Cummulative'!K38</f>
        <v>0</v>
      </c>
      <c r="L38" s="225">
        <f ca="1">'Derived Cummulative'!L38</f>
        <v>0</v>
      </c>
      <c r="M38" s="226">
        <f>'Measured Cummulative'!E39</f>
        <v>0</v>
      </c>
      <c r="N38" s="226">
        <f>'Measured Cummulative'!F39</f>
        <v>0</v>
      </c>
      <c r="O38" s="226">
        <f>'Measured Cummulative'!G39</f>
        <v>0</v>
      </c>
      <c r="P38" s="226">
        <f>'Measured Cummulative'!H39</f>
        <v>0</v>
      </c>
      <c r="Q38" s="226">
        <f>'Measured Cummulative'!I39</f>
        <v>0</v>
      </c>
      <c r="R38" s="226">
        <f>'Measured Cummulative'!J39</f>
        <v>0</v>
      </c>
      <c r="S38" s="226">
        <f>'Measured Cummulative'!K39</f>
        <v>0</v>
      </c>
      <c r="T38" s="226">
        <f>'Measured Cummulative'!L39</f>
        <v>0</v>
      </c>
      <c r="V38" s="151"/>
      <c r="W38" s="72"/>
      <c r="X38" s="72"/>
      <c r="Y38" s="72"/>
      <c r="Z38" s="72"/>
      <c r="AA38" s="72"/>
      <c r="AB38" s="72"/>
      <c r="AC38" s="72"/>
      <c r="AD38" s="72"/>
    </row>
    <row r="39" spans="1:46" ht="15" thickBot="1" x14ac:dyDescent="0.25">
      <c r="A39" s="52">
        <f>'Measured Cummulative'!A40</f>
        <v>0</v>
      </c>
      <c r="B39" s="149">
        <f>'Measured Cummulative'!B40</f>
        <v>0</v>
      </c>
      <c r="C39" s="61"/>
      <c r="D39" s="145"/>
      <c r="E39" s="225">
        <f ca="1">'Derived Cummulative'!E39</f>
        <v>0</v>
      </c>
      <c r="F39" s="225">
        <f ca="1">'Derived Cummulative'!F39</f>
        <v>0</v>
      </c>
      <c r="G39" s="225">
        <f ca="1">'Derived Cummulative'!G39</f>
        <v>0</v>
      </c>
      <c r="H39" s="225">
        <f ca="1">'Derived Cummulative'!H39</f>
        <v>0</v>
      </c>
      <c r="I39" s="225">
        <f ca="1">'Derived Cummulative'!I39</f>
        <v>0</v>
      </c>
      <c r="J39" s="225">
        <f ca="1">'Derived Cummulative'!J39</f>
        <v>0</v>
      </c>
      <c r="K39" s="225">
        <f ca="1">'Derived Cummulative'!K39</f>
        <v>0</v>
      </c>
      <c r="L39" s="225">
        <f ca="1">'Derived Cummulative'!L39</f>
        <v>0</v>
      </c>
      <c r="M39" s="226">
        <f>'Measured Cummulative'!E40</f>
        <v>0</v>
      </c>
      <c r="N39" s="226">
        <f>'Measured Cummulative'!F40</f>
        <v>0</v>
      </c>
      <c r="O39" s="226">
        <f>'Measured Cummulative'!G40</f>
        <v>0</v>
      </c>
      <c r="P39" s="226">
        <f>'Measured Cummulative'!H40</f>
        <v>0</v>
      </c>
      <c r="Q39" s="226">
        <f>'Measured Cummulative'!I40</f>
        <v>0</v>
      </c>
      <c r="R39" s="226">
        <f>'Measured Cummulative'!J40</f>
        <v>0</v>
      </c>
      <c r="S39" s="226">
        <f>'Measured Cummulative'!K40</f>
        <v>0</v>
      </c>
      <c r="T39" s="226">
        <f>'Measured Cummulative'!L40</f>
        <v>0</v>
      </c>
      <c r="V39" s="151"/>
      <c r="W39" s="72"/>
      <c r="X39" s="72"/>
      <c r="Y39" s="72"/>
      <c r="Z39" s="72"/>
      <c r="AA39" s="72"/>
      <c r="AB39" s="72"/>
      <c r="AC39" s="72"/>
      <c r="AD39" s="72"/>
    </row>
    <row r="40" spans="1:46" ht="15" thickBot="1" x14ac:dyDescent="0.25">
      <c r="A40" s="52">
        <f>'Measured Cummulative'!A41</f>
        <v>0</v>
      </c>
      <c r="B40" s="150">
        <f>'Measured Cummulative'!B41</f>
        <v>0</v>
      </c>
      <c r="C40" s="142"/>
      <c r="D40" s="145"/>
      <c r="E40" s="225">
        <f ca="1">'Derived Cummulative'!E40</f>
        <v>0</v>
      </c>
      <c r="F40" s="225">
        <f ca="1">'Derived Cummulative'!F40</f>
        <v>0</v>
      </c>
      <c r="G40" s="225">
        <f ca="1">'Derived Cummulative'!G40</f>
        <v>0</v>
      </c>
      <c r="H40" s="225">
        <f ca="1">'Derived Cummulative'!H40</f>
        <v>0</v>
      </c>
      <c r="I40" s="225">
        <f ca="1">'Derived Cummulative'!I40</f>
        <v>0</v>
      </c>
      <c r="J40" s="225">
        <f ca="1">'Derived Cummulative'!J40</f>
        <v>0</v>
      </c>
      <c r="K40" s="225">
        <f ca="1">'Derived Cummulative'!K40</f>
        <v>0</v>
      </c>
      <c r="L40" s="225">
        <f ca="1">'Derived Cummulative'!L40</f>
        <v>0</v>
      </c>
      <c r="M40" s="226">
        <f>'Measured Cummulative'!E41</f>
        <v>0</v>
      </c>
      <c r="N40" s="226">
        <f>'Measured Cummulative'!F41</f>
        <v>0</v>
      </c>
      <c r="O40" s="226">
        <f>'Measured Cummulative'!G41</f>
        <v>0</v>
      </c>
      <c r="P40" s="226">
        <f>'Measured Cummulative'!H41</f>
        <v>0</v>
      </c>
      <c r="Q40" s="226">
        <f>'Measured Cummulative'!I41</f>
        <v>0</v>
      </c>
      <c r="R40" s="226">
        <f>'Measured Cummulative'!J41</f>
        <v>0</v>
      </c>
      <c r="S40" s="226">
        <f>'Measured Cummulative'!K41</f>
        <v>0</v>
      </c>
      <c r="T40" s="226">
        <f>'Measured Cummulative'!L41</f>
        <v>0</v>
      </c>
      <c r="V40" s="151"/>
      <c r="W40" s="72"/>
      <c r="X40" s="72"/>
      <c r="Y40" s="72"/>
      <c r="Z40" s="72"/>
      <c r="AA40" s="72"/>
      <c r="AB40" s="72"/>
      <c r="AC40" s="72"/>
      <c r="AD40" s="72"/>
    </row>
    <row r="41" spans="1:46" ht="15" thickBot="1" x14ac:dyDescent="0.25">
      <c r="A41" s="52">
        <f>'Measured Cummulative'!A42</f>
        <v>0</v>
      </c>
      <c r="B41" s="149">
        <f>'Measured Cummulative'!B42</f>
        <v>0</v>
      </c>
      <c r="C41" s="61"/>
      <c r="D41" s="145"/>
      <c r="E41" s="225">
        <f ca="1">'Derived Cummulative'!E41</f>
        <v>0</v>
      </c>
      <c r="F41" s="225">
        <f ca="1">'Derived Cummulative'!F41</f>
        <v>0</v>
      </c>
      <c r="G41" s="225">
        <f ca="1">'Derived Cummulative'!G41</f>
        <v>0</v>
      </c>
      <c r="H41" s="225">
        <f ca="1">'Derived Cummulative'!H41</f>
        <v>0</v>
      </c>
      <c r="I41" s="225">
        <f ca="1">'Derived Cummulative'!I41</f>
        <v>0</v>
      </c>
      <c r="J41" s="225">
        <f ca="1">'Derived Cummulative'!J41</f>
        <v>0</v>
      </c>
      <c r="K41" s="225">
        <f ca="1">'Derived Cummulative'!K41</f>
        <v>0</v>
      </c>
      <c r="L41" s="225">
        <f ca="1">'Derived Cummulative'!L41</f>
        <v>0</v>
      </c>
      <c r="M41" s="226">
        <f>'Measured Cummulative'!E42</f>
        <v>0</v>
      </c>
      <c r="N41" s="226">
        <f>'Measured Cummulative'!F42</f>
        <v>0</v>
      </c>
      <c r="O41" s="226">
        <f>'Measured Cummulative'!G42</f>
        <v>0</v>
      </c>
      <c r="P41" s="226">
        <f>'Measured Cummulative'!H42</f>
        <v>0</v>
      </c>
      <c r="Q41" s="226">
        <f>'Measured Cummulative'!I42</f>
        <v>0</v>
      </c>
      <c r="R41" s="226">
        <f>'Measured Cummulative'!J42</f>
        <v>0</v>
      </c>
      <c r="S41" s="226">
        <f>'Measured Cummulative'!K42</f>
        <v>0</v>
      </c>
      <c r="T41" s="226">
        <f>'Measured Cummulative'!L42</f>
        <v>0</v>
      </c>
      <c r="V41" s="151"/>
      <c r="W41" s="72"/>
      <c r="X41" s="72"/>
      <c r="Y41" s="72"/>
      <c r="Z41" s="72"/>
      <c r="AA41" s="72"/>
      <c r="AB41" s="72"/>
      <c r="AC41" s="72"/>
      <c r="AD41" s="72"/>
    </row>
    <row r="42" spans="1:46" ht="15" thickBot="1" x14ac:dyDescent="0.25">
      <c r="A42" s="52">
        <f>'Measured Cummulative'!A43</f>
        <v>0</v>
      </c>
      <c r="B42" s="150">
        <f>'Measured Cummulative'!B43</f>
        <v>0</v>
      </c>
      <c r="C42" s="142"/>
      <c r="D42" s="145"/>
      <c r="E42" s="225">
        <f ca="1">'Derived Cummulative'!E42</f>
        <v>0</v>
      </c>
      <c r="F42" s="225">
        <f ca="1">'Derived Cummulative'!F42</f>
        <v>0</v>
      </c>
      <c r="G42" s="225">
        <f ca="1">'Derived Cummulative'!G42</f>
        <v>0</v>
      </c>
      <c r="H42" s="225">
        <f ca="1">'Derived Cummulative'!H42</f>
        <v>0</v>
      </c>
      <c r="I42" s="225">
        <f ca="1">'Derived Cummulative'!I42</f>
        <v>0</v>
      </c>
      <c r="J42" s="225">
        <f ca="1">'Derived Cummulative'!J42</f>
        <v>0</v>
      </c>
      <c r="K42" s="225">
        <f ca="1">'Derived Cummulative'!K42</f>
        <v>0</v>
      </c>
      <c r="L42" s="225">
        <f ca="1">'Derived Cummulative'!L42</f>
        <v>0</v>
      </c>
      <c r="M42" s="226">
        <f>'Measured Cummulative'!E43</f>
        <v>0</v>
      </c>
      <c r="N42" s="226">
        <f>'Measured Cummulative'!F43</f>
        <v>0</v>
      </c>
      <c r="O42" s="226">
        <f>'Measured Cummulative'!G43</f>
        <v>0</v>
      </c>
      <c r="P42" s="226">
        <f>'Measured Cummulative'!H43</f>
        <v>0</v>
      </c>
      <c r="Q42" s="226">
        <f>'Measured Cummulative'!I43</f>
        <v>0</v>
      </c>
      <c r="R42" s="226">
        <f>'Measured Cummulative'!J43</f>
        <v>0</v>
      </c>
      <c r="S42" s="226">
        <f>'Measured Cummulative'!K43</f>
        <v>0</v>
      </c>
      <c r="T42" s="226">
        <f>'Measured Cummulative'!L43</f>
        <v>0</v>
      </c>
      <c r="V42" s="151"/>
      <c r="W42" s="72"/>
      <c r="X42" s="72"/>
      <c r="Y42" s="72"/>
      <c r="Z42" s="72"/>
      <c r="AA42" s="72"/>
      <c r="AB42" s="72"/>
      <c r="AC42" s="72"/>
      <c r="AD42" s="72"/>
    </row>
    <row r="43" spans="1:46" ht="15" thickBot="1" x14ac:dyDescent="0.25">
      <c r="A43" s="52">
        <f>'Measured Cummulative'!A44</f>
        <v>0</v>
      </c>
      <c r="B43" s="149">
        <f>'Measured Cummulative'!B44</f>
        <v>0</v>
      </c>
      <c r="C43" s="61"/>
      <c r="D43" s="145"/>
      <c r="E43" s="225">
        <f ca="1">'Derived Cummulative'!E43</f>
        <v>0</v>
      </c>
      <c r="F43" s="225">
        <f ca="1">'Derived Cummulative'!F43</f>
        <v>0</v>
      </c>
      <c r="G43" s="225">
        <f ca="1">'Derived Cummulative'!G43</f>
        <v>0</v>
      </c>
      <c r="H43" s="225">
        <f ca="1">'Derived Cummulative'!H43</f>
        <v>0</v>
      </c>
      <c r="I43" s="225">
        <f ca="1">'Derived Cummulative'!I43</f>
        <v>0</v>
      </c>
      <c r="J43" s="225">
        <f ca="1">'Derived Cummulative'!J43</f>
        <v>0</v>
      </c>
      <c r="K43" s="225">
        <f ca="1">'Derived Cummulative'!K43</f>
        <v>0</v>
      </c>
      <c r="L43" s="225">
        <f ca="1">'Derived Cummulative'!L43</f>
        <v>0</v>
      </c>
      <c r="M43" s="226">
        <f>'Measured Cummulative'!E44</f>
        <v>0</v>
      </c>
      <c r="N43" s="226">
        <f>'Measured Cummulative'!F44</f>
        <v>0</v>
      </c>
      <c r="O43" s="226">
        <f>'Measured Cummulative'!G44</f>
        <v>0</v>
      </c>
      <c r="P43" s="226">
        <f>'Measured Cummulative'!H44</f>
        <v>0</v>
      </c>
      <c r="Q43" s="226">
        <f>'Measured Cummulative'!I44</f>
        <v>0</v>
      </c>
      <c r="R43" s="226">
        <f>'Measured Cummulative'!J44</f>
        <v>0</v>
      </c>
      <c r="S43" s="226">
        <f>'Measured Cummulative'!K44</f>
        <v>0</v>
      </c>
      <c r="T43" s="226">
        <f>'Measured Cummulative'!L44</f>
        <v>0</v>
      </c>
      <c r="V43" s="151"/>
      <c r="W43" s="72"/>
      <c r="X43" s="72"/>
      <c r="Y43" s="72"/>
      <c r="Z43" s="72"/>
      <c r="AA43" s="72"/>
      <c r="AB43" s="72"/>
      <c r="AC43" s="72"/>
      <c r="AD43" s="72"/>
    </row>
    <row r="44" spans="1:46" ht="15" thickBot="1" x14ac:dyDescent="0.25">
      <c r="A44" s="52">
        <f>'Measured Cummulative'!A45</f>
        <v>0</v>
      </c>
      <c r="B44" s="150">
        <f>'Measured Cummulative'!B45</f>
        <v>0</v>
      </c>
      <c r="C44" s="142"/>
      <c r="D44" s="145"/>
      <c r="E44" s="225">
        <f ca="1">'Derived Cummulative'!E44</f>
        <v>0</v>
      </c>
      <c r="F44" s="225">
        <f ca="1">'Derived Cummulative'!F44</f>
        <v>0</v>
      </c>
      <c r="G44" s="225">
        <f ca="1">'Derived Cummulative'!G44</f>
        <v>0</v>
      </c>
      <c r="H44" s="225">
        <f ca="1">'Derived Cummulative'!H44</f>
        <v>0</v>
      </c>
      <c r="I44" s="225">
        <f ca="1">'Derived Cummulative'!I44</f>
        <v>0</v>
      </c>
      <c r="J44" s="225">
        <f ca="1">'Derived Cummulative'!J44</f>
        <v>0</v>
      </c>
      <c r="K44" s="225">
        <f ca="1">'Derived Cummulative'!K44</f>
        <v>0</v>
      </c>
      <c r="L44" s="225">
        <f ca="1">'Derived Cummulative'!L44</f>
        <v>0</v>
      </c>
      <c r="M44" s="226">
        <f>'Measured Cummulative'!E45</f>
        <v>0</v>
      </c>
      <c r="N44" s="226">
        <f>'Measured Cummulative'!F45</f>
        <v>0</v>
      </c>
      <c r="O44" s="226">
        <f>'Measured Cummulative'!G45</f>
        <v>0</v>
      </c>
      <c r="P44" s="226">
        <f>'Measured Cummulative'!H45</f>
        <v>0</v>
      </c>
      <c r="Q44" s="226">
        <f>'Measured Cummulative'!I45</f>
        <v>0</v>
      </c>
      <c r="R44" s="226">
        <f>'Measured Cummulative'!J45</f>
        <v>0</v>
      </c>
      <c r="S44" s="226">
        <f>'Measured Cummulative'!K45</f>
        <v>0</v>
      </c>
      <c r="T44" s="226">
        <f>'Measured Cummulative'!L45</f>
        <v>0</v>
      </c>
      <c r="V44" s="151"/>
      <c r="W44" s="72"/>
      <c r="X44" s="72"/>
      <c r="Y44" s="72"/>
      <c r="Z44" s="72"/>
      <c r="AA44" s="72"/>
      <c r="AB44" s="72"/>
      <c r="AC44" s="72"/>
      <c r="AD44" s="72"/>
    </row>
    <row r="45" spans="1:46" ht="15" thickBot="1" x14ac:dyDescent="0.25">
      <c r="A45" s="52">
        <f>'Measured Cummulative'!A46</f>
        <v>0</v>
      </c>
      <c r="B45" s="149">
        <f>'Measured Cummulative'!B46</f>
        <v>0</v>
      </c>
      <c r="C45" s="61"/>
      <c r="D45" s="145"/>
      <c r="E45" s="225">
        <f ca="1">'Derived Cummulative'!E45</f>
        <v>0</v>
      </c>
      <c r="F45" s="225">
        <f ca="1">'Derived Cummulative'!F45</f>
        <v>0</v>
      </c>
      <c r="G45" s="225">
        <f ca="1">'Derived Cummulative'!G45</f>
        <v>0</v>
      </c>
      <c r="H45" s="225">
        <f ca="1">'Derived Cummulative'!H45</f>
        <v>0</v>
      </c>
      <c r="I45" s="225">
        <f ca="1">'Derived Cummulative'!I45</f>
        <v>0</v>
      </c>
      <c r="J45" s="225">
        <f ca="1">'Derived Cummulative'!J45</f>
        <v>0</v>
      </c>
      <c r="K45" s="225">
        <f ca="1">'Derived Cummulative'!K45</f>
        <v>0</v>
      </c>
      <c r="L45" s="225">
        <f ca="1">'Derived Cummulative'!L45</f>
        <v>0</v>
      </c>
      <c r="M45" s="226">
        <f>'Measured Cummulative'!E46</f>
        <v>0</v>
      </c>
      <c r="N45" s="226">
        <f>'Measured Cummulative'!F46</f>
        <v>0</v>
      </c>
      <c r="O45" s="226">
        <f>'Measured Cummulative'!G46</f>
        <v>0</v>
      </c>
      <c r="P45" s="226">
        <f>'Measured Cummulative'!H46</f>
        <v>0</v>
      </c>
      <c r="Q45" s="226">
        <f>'Measured Cummulative'!I46</f>
        <v>0</v>
      </c>
      <c r="R45" s="226">
        <f>'Measured Cummulative'!J46</f>
        <v>0</v>
      </c>
      <c r="S45" s="226">
        <f>'Measured Cummulative'!K46</f>
        <v>0</v>
      </c>
      <c r="T45" s="226">
        <f>'Measured Cummulative'!L46</f>
        <v>0</v>
      </c>
      <c r="V45" s="151"/>
      <c r="W45" s="72"/>
      <c r="X45" s="72"/>
      <c r="Y45" s="72"/>
      <c r="Z45" s="72"/>
      <c r="AA45" s="72"/>
      <c r="AB45" s="72"/>
      <c r="AC45" s="72"/>
      <c r="AD45" s="72"/>
    </row>
    <row r="46" spans="1:46" ht="15" thickBot="1" x14ac:dyDescent="0.25">
      <c r="A46" s="52">
        <f>'Measured Cummulative'!A47</f>
        <v>0</v>
      </c>
      <c r="B46" s="150">
        <f>'Measured Cummulative'!B47</f>
        <v>0</v>
      </c>
      <c r="C46" s="142"/>
      <c r="D46" s="145"/>
      <c r="E46" s="225">
        <f ca="1">'Derived Cummulative'!E46</f>
        <v>0</v>
      </c>
      <c r="F46" s="225">
        <f ca="1">'Derived Cummulative'!F46</f>
        <v>0</v>
      </c>
      <c r="G46" s="225">
        <f ca="1">'Derived Cummulative'!G46</f>
        <v>0</v>
      </c>
      <c r="H46" s="225">
        <f ca="1">'Derived Cummulative'!H46</f>
        <v>0</v>
      </c>
      <c r="I46" s="225">
        <f ca="1">'Derived Cummulative'!I46</f>
        <v>0</v>
      </c>
      <c r="J46" s="225">
        <f ca="1">'Derived Cummulative'!J46</f>
        <v>0</v>
      </c>
      <c r="K46" s="225">
        <f ca="1">'Derived Cummulative'!K46</f>
        <v>0</v>
      </c>
      <c r="L46" s="225">
        <f ca="1">'Derived Cummulative'!L46</f>
        <v>0</v>
      </c>
      <c r="M46" s="226">
        <f>'Measured Cummulative'!E47</f>
        <v>0</v>
      </c>
      <c r="N46" s="226">
        <f>'Measured Cummulative'!F47</f>
        <v>0</v>
      </c>
      <c r="O46" s="226">
        <f>'Measured Cummulative'!G47</f>
        <v>0</v>
      </c>
      <c r="P46" s="226">
        <f>'Measured Cummulative'!H47</f>
        <v>0</v>
      </c>
      <c r="Q46" s="226">
        <f>'Measured Cummulative'!I47</f>
        <v>0</v>
      </c>
      <c r="R46" s="226">
        <f>'Measured Cummulative'!J47</f>
        <v>0</v>
      </c>
      <c r="S46" s="226">
        <f>'Measured Cummulative'!K47</f>
        <v>0</v>
      </c>
      <c r="T46" s="226">
        <f>'Measured Cummulative'!L47</f>
        <v>0</v>
      </c>
      <c r="V46" s="151"/>
      <c r="W46" s="72"/>
      <c r="X46" s="72"/>
      <c r="Y46" s="72"/>
      <c r="Z46" s="72"/>
      <c r="AA46" s="72"/>
      <c r="AB46" s="72"/>
      <c r="AC46" s="72"/>
      <c r="AD46" s="72"/>
    </row>
    <row r="47" spans="1:46" ht="15" thickBot="1" x14ac:dyDescent="0.25">
      <c r="A47" s="52">
        <f>'Measured Cummulative'!A48</f>
        <v>0</v>
      </c>
      <c r="B47" s="149">
        <f>'Measured Cummulative'!B48</f>
        <v>0</v>
      </c>
      <c r="C47" s="61"/>
      <c r="D47" s="145"/>
      <c r="E47" s="225">
        <f ca="1">'Derived Cummulative'!E47</f>
        <v>0</v>
      </c>
      <c r="F47" s="225">
        <f ca="1">'Derived Cummulative'!F47</f>
        <v>0</v>
      </c>
      <c r="G47" s="225">
        <f ca="1">'Derived Cummulative'!G47</f>
        <v>0</v>
      </c>
      <c r="H47" s="225">
        <f ca="1">'Derived Cummulative'!H47</f>
        <v>0</v>
      </c>
      <c r="I47" s="225">
        <f ca="1">'Derived Cummulative'!I47</f>
        <v>0</v>
      </c>
      <c r="J47" s="225">
        <f ca="1">'Derived Cummulative'!J47</f>
        <v>0</v>
      </c>
      <c r="K47" s="225">
        <f ca="1">'Derived Cummulative'!K47</f>
        <v>0</v>
      </c>
      <c r="L47" s="225">
        <f ca="1">'Derived Cummulative'!L47</f>
        <v>0</v>
      </c>
      <c r="M47" s="226">
        <f>'Measured Cummulative'!E48</f>
        <v>0</v>
      </c>
      <c r="N47" s="226">
        <f>'Measured Cummulative'!F48</f>
        <v>0</v>
      </c>
      <c r="O47" s="226">
        <f>'Measured Cummulative'!G48</f>
        <v>0</v>
      </c>
      <c r="P47" s="226">
        <f>'Measured Cummulative'!H48</f>
        <v>0</v>
      </c>
      <c r="Q47" s="226">
        <f>'Measured Cummulative'!I48</f>
        <v>0</v>
      </c>
      <c r="R47" s="226">
        <f>'Measured Cummulative'!J48</f>
        <v>0</v>
      </c>
      <c r="S47" s="226">
        <f>'Measured Cummulative'!K48</f>
        <v>0</v>
      </c>
      <c r="T47" s="226">
        <f>'Measured Cummulative'!L48</f>
        <v>0</v>
      </c>
      <c r="V47" s="151"/>
      <c r="W47" s="72"/>
      <c r="X47" s="72"/>
      <c r="Y47" s="72"/>
      <c r="Z47" s="72"/>
      <c r="AA47" s="72"/>
      <c r="AB47" s="72"/>
      <c r="AC47" s="72"/>
      <c r="AD47" s="72"/>
    </row>
    <row r="48" spans="1:46" ht="15" thickBot="1" x14ac:dyDescent="0.25">
      <c r="A48" s="52">
        <f>'Measured Cummulative'!A49</f>
        <v>0</v>
      </c>
      <c r="B48" s="150">
        <f>'Measured Cummulative'!B49</f>
        <v>0</v>
      </c>
      <c r="C48" s="142"/>
      <c r="D48" s="145"/>
      <c r="E48" s="225">
        <f ca="1">'Derived Cummulative'!E48</f>
        <v>0</v>
      </c>
      <c r="F48" s="225">
        <f ca="1">'Derived Cummulative'!F48</f>
        <v>0</v>
      </c>
      <c r="G48" s="225">
        <f ca="1">'Derived Cummulative'!G48</f>
        <v>0</v>
      </c>
      <c r="H48" s="225">
        <f ca="1">'Derived Cummulative'!H48</f>
        <v>0</v>
      </c>
      <c r="I48" s="225">
        <f ca="1">'Derived Cummulative'!I48</f>
        <v>0</v>
      </c>
      <c r="J48" s="225">
        <f ca="1">'Derived Cummulative'!J48</f>
        <v>0</v>
      </c>
      <c r="K48" s="225">
        <f ca="1">'Derived Cummulative'!K48</f>
        <v>0</v>
      </c>
      <c r="L48" s="225">
        <f ca="1">'Derived Cummulative'!L48</f>
        <v>0</v>
      </c>
      <c r="M48" s="226">
        <f>'Measured Cummulative'!E49</f>
        <v>0</v>
      </c>
      <c r="N48" s="226">
        <f>'Measured Cummulative'!F49</f>
        <v>0</v>
      </c>
      <c r="O48" s="226">
        <f>'Measured Cummulative'!G49</f>
        <v>0</v>
      </c>
      <c r="P48" s="226">
        <f>'Measured Cummulative'!H49</f>
        <v>0</v>
      </c>
      <c r="Q48" s="226">
        <f>'Measured Cummulative'!I49</f>
        <v>0</v>
      </c>
      <c r="R48" s="226">
        <f>'Measured Cummulative'!J49</f>
        <v>0</v>
      </c>
      <c r="S48" s="226">
        <f>'Measured Cummulative'!K49</f>
        <v>0</v>
      </c>
      <c r="T48" s="226">
        <f>'Measured Cummulative'!L49</f>
        <v>0</v>
      </c>
      <c r="V48" s="151"/>
      <c r="W48" s="72"/>
      <c r="X48" s="72"/>
      <c r="Y48" s="72"/>
      <c r="Z48" s="72"/>
      <c r="AA48" s="72"/>
      <c r="AB48" s="72"/>
      <c r="AC48" s="72"/>
      <c r="AD48" s="72"/>
    </row>
    <row r="49" spans="1:30" ht="15" thickBot="1" x14ac:dyDescent="0.25">
      <c r="A49" s="52">
        <f>'Measured Cummulative'!A50</f>
        <v>0</v>
      </c>
      <c r="B49" s="149">
        <f>'Measured Cummulative'!B50</f>
        <v>0</v>
      </c>
      <c r="C49" s="61"/>
      <c r="D49" s="145"/>
      <c r="E49" s="225">
        <f ca="1">'Derived Cummulative'!E49</f>
        <v>0</v>
      </c>
      <c r="F49" s="225">
        <f ca="1">'Derived Cummulative'!F49</f>
        <v>0</v>
      </c>
      <c r="G49" s="225">
        <f ca="1">'Derived Cummulative'!G49</f>
        <v>0</v>
      </c>
      <c r="H49" s="225">
        <f ca="1">'Derived Cummulative'!H49</f>
        <v>0</v>
      </c>
      <c r="I49" s="225">
        <f ca="1">'Derived Cummulative'!I49</f>
        <v>0</v>
      </c>
      <c r="J49" s="225">
        <f ca="1">'Derived Cummulative'!J49</f>
        <v>0</v>
      </c>
      <c r="K49" s="225">
        <f ca="1">'Derived Cummulative'!K49</f>
        <v>0</v>
      </c>
      <c r="L49" s="225">
        <f ca="1">'Derived Cummulative'!L49</f>
        <v>0</v>
      </c>
      <c r="M49" s="226">
        <f>'Measured Cummulative'!E50</f>
        <v>0</v>
      </c>
      <c r="N49" s="226">
        <f>'Measured Cummulative'!F50</f>
        <v>0</v>
      </c>
      <c r="O49" s="226">
        <f>'Measured Cummulative'!G50</f>
        <v>0</v>
      </c>
      <c r="P49" s="226">
        <f>'Measured Cummulative'!H50</f>
        <v>0</v>
      </c>
      <c r="Q49" s="226">
        <f>'Measured Cummulative'!I50</f>
        <v>0</v>
      </c>
      <c r="R49" s="226">
        <f>'Measured Cummulative'!J50</f>
        <v>0</v>
      </c>
      <c r="S49" s="226">
        <f>'Measured Cummulative'!K50</f>
        <v>0</v>
      </c>
      <c r="T49" s="226">
        <f>'Measured Cummulative'!L50</f>
        <v>0</v>
      </c>
      <c r="V49" s="151"/>
      <c r="W49" s="72"/>
      <c r="X49" s="72"/>
      <c r="Y49" s="72"/>
      <c r="Z49" s="72"/>
      <c r="AA49" s="72"/>
      <c r="AB49" s="72"/>
      <c r="AC49" s="72"/>
      <c r="AD49" s="72"/>
    </row>
    <row r="50" spans="1:30" ht="15" thickBot="1" x14ac:dyDescent="0.25">
      <c r="A50" s="52">
        <f>'Measured Cummulative'!A51</f>
        <v>0</v>
      </c>
      <c r="B50" s="150">
        <f>'Measured Cummulative'!B51</f>
        <v>0</v>
      </c>
      <c r="C50" s="142"/>
      <c r="D50" s="145"/>
      <c r="E50" s="225">
        <f ca="1">'Derived Cummulative'!E50</f>
        <v>0</v>
      </c>
      <c r="F50" s="225">
        <f ca="1">'Derived Cummulative'!F50</f>
        <v>0</v>
      </c>
      <c r="G50" s="225">
        <f ca="1">'Derived Cummulative'!G50</f>
        <v>0</v>
      </c>
      <c r="H50" s="225">
        <f ca="1">'Derived Cummulative'!H50</f>
        <v>0</v>
      </c>
      <c r="I50" s="225">
        <f ca="1">'Derived Cummulative'!I50</f>
        <v>0</v>
      </c>
      <c r="J50" s="225">
        <f ca="1">'Derived Cummulative'!J50</f>
        <v>0</v>
      </c>
      <c r="K50" s="225">
        <f ca="1">'Derived Cummulative'!K50</f>
        <v>0</v>
      </c>
      <c r="L50" s="225">
        <f ca="1">'Derived Cummulative'!L50</f>
        <v>0</v>
      </c>
      <c r="M50" s="226">
        <f>'Measured Cummulative'!E51</f>
        <v>0</v>
      </c>
      <c r="N50" s="226">
        <f>'Measured Cummulative'!F51</f>
        <v>0</v>
      </c>
      <c r="O50" s="226">
        <f>'Measured Cummulative'!G51</f>
        <v>0</v>
      </c>
      <c r="P50" s="226">
        <f>'Measured Cummulative'!H51</f>
        <v>0</v>
      </c>
      <c r="Q50" s="226">
        <f>'Measured Cummulative'!I51</f>
        <v>0</v>
      </c>
      <c r="R50" s="226">
        <f>'Measured Cummulative'!J51</f>
        <v>0</v>
      </c>
      <c r="S50" s="226">
        <f>'Measured Cummulative'!K51</f>
        <v>0</v>
      </c>
      <c r="T50" s="226">
        <f>'Measured Cummulative'!L51</f>
        <v>0</v>
      </c>
      <c r="V50" s="151"/>
      <c r="W50" s="72"/>
      <c r="X50" s="72"/>
      <c r="Y50" s="72"/>
      <c r="Z50" s="72"/>
      <c r="AA50" s="72"/>
      <c r="AB50" s="72"/>
      <c r="AC50" s="72"/>
      <c r="AD50" s="72"/>
    </row>
    <row r="51" spans="1:30" ht="15" thickBot="1" x14ac:dyDescent="0.25">
      <c r="A51" s="52">
        <f>'Measured Cummulative'!A52</f>
        <v>0</v>
      </c>
      <c r="B51" s="149">
        <f>'Measured Cummulative'!B52</f>
        <v>0</v>
      </c>
      <c r="C51" s="61"/>
      <c r="D51" s="145"/>
      <c r="E51" s="225">
        <f ca="1">'Derived Cummulative'!E51</f>
        <v>0</v>
      </c>
      <c r="F51" s="225">
        <f ca="1">'Derived Cummulative'!F51</f>
        <v>0</v>
      </c>
      <c r="G51" s="225">
        <f ca="1">'Derived Cummulative'!G51</f>
        <v>0</v>
      </c>
      <c r="H51" s="225">
        <f ca="1">'Derived Cummulative'!H51</f>
        <v>0</v>
      </c>
      <c r="I51" s="225">
        <f ca="1">'Derived Cummulative'!I51</f>
        <v>0</v>
      </c>
      <c r="J51" s="225">
        <f ca="1">'Derived Cummulative'!J51</f>
        <v>0</v>
      </c>
      <c r="K51" s="225">
        <f ca="1">'Derived Cummulative'!K51</f>
        <v>0</v>
      </c>
      <c r="L51" s="225">
        <f ca="1">'Derived Cummulative'!L51</f>
        <v>0</v>
      </c>
      <c r="M51" s="226">
        <f>'Measured Cummulative'!E52</f>
        <v>0</v>
      </c>
      <c r="N51" s="226">
        <f>'Measured Cummulative'!F52</f>
        <v>0</v>
      </c>
      <c r="O51" s="226">
        <f>'Measured Cummulative'!G52</f>
        <v>0</v>
      </c>
      <c r="P51" s="226">
        <f>'Measured Cummulative'!H52</f>
        <v>0</v>
      </c>
      <c r="Q51" s="226">
        <f>'Measured Cummulative'!I52</f>
        <v>0</v>
      </c>
      <c r="R51" s="226">
        <f>'Measured Cummulative'!J52</f>
        <v>0</v>
      </c>
      <c r="S51" s="226">
        <f>'Measured Cummulative'!K52</f>
        <v>0</v>
      </c>
      <c r="T51" s="226">
        <f>'Measured Cummulative'!L52</f>
        <v>0</v>
      </c>
      <c r="V51" s="151"/>
      <c r="W51" s="72"/>
      <c r="X51" s="72"/>
      <c r="Y51" s="72"/>
      <c r="Z51" s="72"/>
      <c r="AA51" s="72"/>
      <c r="AB51" s="72"/>
      <c r="AC51" s="72"/>
      <c r="AD51" s="72"/>
    </row>
    <row r="52" spans="1:30" ht="15" thickBot="1" x14ac:dyDescent="0.25">
      <c r="A52" s="52">
        <f>'Measured Cummulative'!A53</f>
        <v>0</v>
      </c>
      <c r="B52" s="150">
        <f>'Measured Cummulative'!B53</f>
        <v>0</v>
      </c>
      <c r="C52" s="142"/>
      <c r="D52" s="145"/>
      <c r="E52" s="225">
        <f ca="1">'Derived Cummulative'!E52</f>
        <v>0</v>
      </c>
      <c r="F52" s="225">
        <f ca="1">'Derived Cummulative'!F52</f>
        <v>0</v>
      </c>
      <c r="G52" s="225">
        <f ca="1">'Derived Cummulative'!G52</f>
        <v>0</v>
      </c>
      <c r="H52" s="225">
        <f ca="1">'Derived Cummulative'!H52</f>
        <v>0</v>
      </c>
      <c r="I52" s="225">
        <f ca="1">'Derived Cummulative'!I52</f>
        <v>0</v>
      </c>
      <c r="J52" s="225">
        <f ca="1">'Derived Cummulative'!J52</f>
        <v>0</v>
      </c>
      <c r="K52" s="225">
        <f ca="1">'Derived Cummulative'!K52</f>
        <v>0</v>
      </c>
      <c r="L52" s="225">
        <f ca="1">'Derived Cummulative'!L52</f>
        <v>0</v>
      </c>
      <c r="M52" s="226">
        <f>'Measured Cummulative'!E53</f>
        <v>0</v>
      </c>
      <c r="N52" s="226">
        <f>'Measured Cummulative'!F53</f>
        <v>0</v>
      </c>
      <c r="O52" s="226">
        <f>'Measured Cummulative'!G53</f>
        <v>0</v>
      </c>
      <c r="P52" s="226">
        <f>'Measured Cummulative'!H53</f>
        <v>0</v>
      </c>
      <c r="Q52" s="226">
        <f>'Measured Cummulative'!I53</f>
        <v>0</v>
      </c>
      <c r="R52" s="226">
        <f>'Measured Cummulative'!J53</f>
        <v>0</v>
      </c>
      <c r="S52" s="226">
        <f>'Measured Cummulative'!K53</f>
        <v>0</v>
      </c>
      <c r="T52" s="226">
        <f>'Measured Cummulative'!L53</f>
        <v>0</v>
      </c>
      <c r="V52" s="151"/>
      <c r="W52" s="72"/>
      <c r="X52" s="72"/>
      <c r="Y52" s="72"/>
      <c r="Z52" s="72"/>
      <c r="AA52" s="72"/>
      <c r="AB52" s="72"/>
      <c r="AC52" s="72"/>
      <c r="AD52" s="72"/>
    </row>
    <row r="53" spans="1:30" ht="15" thickBot="1" x14ac:dyDescent="0.25">
      <c r="A53" s="52">
        <f>'Measured Cummulative'!A54</f>
        <v>0</v>
      </c>
      <c r="B53" s="149">
        <f>'Measured Cummulative'!B54</f>
        <v>0</v>
      </c>
      <c r="C53" s="61"/>
      <c r="D53" s="145"/>
      <c r="E53" s="225">
        <f ca="1">'Derived Cummulative'!E53</f>
        <v>0</v>
      </c>
      <c r="F53" s="225">
        <f ca="1">'Derived Cummulative'!F53</f>
        <v>0</v>
      </c>
      <c r="G53" s="225">
        <f ca="1">'Derived Cummulative'!G53</f>
        <v>0</v>
      </c>
      <c r="H53" s="225">
        <f ca="1">'Derived Cummulative'!H53</f>
        <v>0</v>
      </c>
      <c r="I53" s="225">
        <f ca="1">'Derived Cummulative'!I53</f>
        <v>0</v>
      </c>
      <c r="J53" s="225">
        <f ca="1">'Derived Cummulative'!J53</f>
        <v>0</v>
      </c>
      <c r="K53" s="225">
        <f ca="1">'Derived Cummulative'!K53</f>
        <v>0</v>
      </c>
      <c r="L53" s="225">
        <f ca="1">'Derived Cummulative'!L53</f>
        <v>0</v>
      </c>
      <c r="M53" s="226">
        <f>'Measured Cummulative'!E54</f>
        <v>0</v>
      </c>
      <c r="N53" s="226">
        <f>'Measured Cummulative'!F54</f>
        <v>0</v>
      </c>
      <c r="O53" s="226">
        <f>'Measured Cummulative'!G54</f>
        <v>0</v>
      </c>
      <c r="P53" s="226">
        <f>'Measured Cummulative'!H54</f>
        <v>0</v>
      </c>
      <c r="Q53" s="226">
        <f>'Measured Cummulative'!I54</f>
        <v>0</v>
      </c>
      <c r="R53" s="226">
        <f>'Measured Cummulative'!J54</f>
        <v>0</v>
      </c>
      <c r="S53" s="226">
        <f>'Measured Cummulative'!K54</f>
        <v>0</v>
      </c>
      <c r="T53" s="226">
        <f>'Measured Cummulative'!L54</f>
        <v>0</v>
      </c>
      <c r="V53" s="151"/>
      <c r="W53" s="72"/>
      <c r="X53" s="72"/>
      <c r="Y53" s="72"/>
      <c r="Z53" s="72"/>
      <c r="AA53" s="72"/>
      <c r="AB53" s="72"/>
      <c r="AC53" s="72"/>
      <c r="AD53" s="72"/>
    </row>
    <row r="54" spans="1:30" ht="15" thickBot="1" x14ac:dyDescent="0.25">
      <c r="A54" s="52">
        <f>'Measured Cummulative'!A55</f>
        <v>0</v>
      </c>
      <c r="B54" s="150">
        <f>'Measured Cummulative'!B55</f>
        <v>0</v>
      </c>
      <c r="C54" s="142"/>
      <c r="D54" s="145"/>
      <c r="E54" s="225">
        <f ca="1">'Derived Cummulative'!E54</f>
        <v>0</v>
      </c>
      <c r="F54" s="225">
        <f ca="1">'Derived Cummulative'!F54</f>
        <v>0</v>
      </c>
      <c r="G54" s="225">
        <f ca="1">'Derived Cummulative'!G54</f>
        <v>0</v>
      </c>
      <c r="H54" s="225">
        <f ca="1">'Derived Cummulative'!H54</f>
        <v>0</v>
      </c>
      <c r="I54" s="225">
        <f ca="1">'Derived Cummulative'!I54</f>
        <v>0</v>
      </c>
      <c r="J54" s="225">
        <f ca="1">'Derived Cummulative'!J54</f>
        <v>0</v>
      </c>
      <c r="K54" s="225">
        <f ca="1">'Derived Cummulative'!K54</f>
        <v>0</v>
      </c>
      <c r="L54" s="225">
        <f ca="1">'Derived Cummulative'!L54</f>
        <v>0</v>
      </c>
      <c r="M54" s="226">
        <f>'Measured Cummulative'!E55</f>
        <v>0</v>
      </c>
      <c r="N54" s="226">
        <f>'Measured Cummulative'!F55</f>
        <v>0</v>
      </c>
      <c r="O54" s="226">
        <f>'Measured Cummulative'!G55</f>
        <v>0</v>
      </c>
      <c r="P54" s="226">
        <f>'Measured Cummulative'!H55</f>
        <v>0</v>
      </c>
      <c r="Q54" s="226">
        <f>'Measured Cummulative'!I55</f>
        <v>0</v>
      </c>
      <c r="R54" s="226">
        <f>'Measured Cummulative'!J55</f>
        <v>0</v>
      </c>
      <c r="S54" s="226">
        <f>'Measured Cummulative'!K55</f>
        <v>0</v>
      </c>
      <c r="T54" s="226">
        <f>'Measured Cummulative'!L55</f>
        <v>0</v>
      </c>
      <c r="V54" s="151"/>
      <c r="W54" s="72"/>
      <c r="X54" s="72"/>
      <c r="Y54" s="72"/>
      <c r="Z54" s="72"/>
      <c r="AA54" s="72"/>
      <c r="AB54" s="72"/>
      <c r="AC54" s="72"/>
      <c r="AD54" s="72"/>
    </row>
    <row r="55" spans="1:30" ht="15" thickBot="1" x14ac:dyDescent="0.25">
      <c r="A55" s="52">
        <f>'Measured Cummulative'!A56</f>
        <v>0</v>
      </c>
      <c r="B55" s="149">
        <f>'Measured Cummulative'!B56</f>
        <v>0</v>
      </c>
      <c r="C55" s="61"/>
      <c r="D55" s="145"/>
      <c r="E55" s="225">
        <f ca="1">'Derived Cummulative'!E55</f>
        <v>0</v>
      </c>
      <c r="F55" s="225">
        <f ca="1">'Derived Cummulative'!F55</f>
        <v>0</v>
      </c>
      <c r="G55" s="225">
        <f ca="1">'Derived Cummulative'!G55</f>
        <v>0</v>
      </c>
      <c r="H55" s="225">
        <f ca="1">'Derived Cummulative'!H55</f>
        <v>0</v>
      </c>
      <c r="I55" s="225">
        <f ca="1">'Derived Cummulative'!I55</f>
        <v>0</v>
      </c>
      <c r="J55" s="225">
        <f ca="1">'Derived Cummulative'!J55</f>
        <v>0</v>
      </c>
      <c r="K55" s="225">
        <f ca="1">'Derived Cummulative'!K55</f>
        <v>0</v>
      </c>
      <c r="L55" s="225">
        <f ca="1">'Derived Cummulative'!L55</f>
        <v>0</v>
      </c>
      <c r="M55" s="226">
        <f>'Measured Cummulative'!E56</f>
        <v>0</v>
      </c>
      <c r="N55" s="226">
        <f>'Measured Cummulative'!F56</f>
        <v>0</v>
      </c>
      <c r="O55" s="226">
        <f>'Measured Cummulative'!G56</f>
        <v>0</v>
      </c>
      <c r="P55" s="226">
        <f>'Measured Cummulative'!H56</f>
        <v>0</v>
      </c>
      <c r="Q55" s="226">
        <f>'Measured Cummulative'!I56</f>
        <v>0</v>
      </c>
      <c r="R55" s="226">
        <f>'Measured Cummulative'!J56</f>
        <v>0</v>
      </c>
      <c r="S55" s="226">
        <f>'Measured Cummulative'!K56</f>
        <v>0</v>
      </c>
      <c r="T55" s="226">
        <f>'Measured Cummulative'!L56</f>
        <v>0</v>
      </c>
      <c r="V55" s="151"/>
      <c r="W55" s="72"/>
      <c r="X55" s="72"/>
      <c r="Y55" s="72"/>
      <c r="Z55" s="72"/>
      <c r="AA55" s="72"/>
      <c r="AB55" s="72"/>
      <c r="AC55" s="72"/>
      <c r="AD55" s="72"/>
    </row>
    <row r="56" spans="1:30" ht="15" thickBot="1" x14ac:dyDescent="0.25">
      <c r="A56" s="52">
        <f>'Measured Cummulative'!A57</f>
        <v>0</v>
      </c>
      <c r="B56" s="150">
        <f>'Measured Cummulative'!B57</f>
        <v>0</v>
      </c>
      <c r="C56" s="142"/>
      <c r="D56" s="145"/>
      <c r="E56" s="225">
        <f ca="1">'Derived Cummulative'!E56</f>
        <v>0</v>
      </c>
      <c r="F56" s="225">
        <f ca="1">'Derived Cummulative'!F56</f>
        <v>0</v>
      </c>
      <c r="G56" s="225">
        <f ca="1">'Derived Cummulative'!G56</f>
        <v>0</v>
      </c>
      <c r="H56" s="225">
        <f ca="1">'Derived Cummulative'!H56</f>
        <v>0</v>
      </c>
      <c r="I56" s="225">
        <f ca="1">'Derived Cummulative'!I56</f>
        <v>0</v>
      </c>
      <c r="J56" s="225">
        <f ca="1">'Derived Cummulative'!J56</f>
        <v>0</v>
      </c>
      <c r="K56" s="225">
        <f ca="1">'Derived Cummulative'!K56</f>
        <v>0</v>
      </c>
      <c r="L56" s="225">
        <f ca="1">'Derived Cummulative'!L56</f>
        <v>0</v>
      </c>
      <c r="M56" s="226">
        <f>'Measured Cummulative'!E57</f>
        <v>0</v>
      </c>
      <c r="N56" s="226">
        <f>'Measured Cummulative'!F57</f>
        <v>0</v>
      </c>
      <c r="O56" s="226">
        <f>'Measured Cummulative'!G57</f>
        <v>0</v>
      </c>
      <c r="P56" s="226">
        <f>'Measured Cummulative'!H57</f>
        <v>0</v>
      </c>
      <c r="Q56" s="226">
        <f>'Measured Cummulative'!I57</f>
        <v>0</v>
      </c>
      <c r="R56" s="226">
        <f>'Measured Cummulative'!J57</f>
        <v>0</v>
      </c>
      <c r="S56" s="226">
        <f>'Measured Cummulative'!K57</f>
        <v>0</v>
      </c>
      <c r="T56" s="226">
        <f>'Measured Cummulative'!L57</f>
        <v>0</v>
      </c>
      <c r="V56" s="151"/>
      <c r="W56" s="72"/>
      <c r="X56" s="72"/>
      <c r="Y56" s="72"/>
      <c r="Z56" s="72"/>
      <c r="AA56" s="72"/>
      <c r="AB56" s="72"/>
      <c r="AC56" s="72"/>
      <c r="AD56" s="72"/>
    </row>
    <row r="57" spans="1:30" ht="15" thickBot="1" x14ac:dyDescent="0.25">
      <c r="A57" s="52">
        <f>'Measured Cummulative'!A58</f>
        <v>0</v>
      </c>
      <c r="B57" s="149">
        <f>'Measured Cummulative'!B58</f>
        <v>0</v>
      </c>
      <c r="C57" s="61"/>
      <c r="D57" s="145"/>
      <c r="E57" s="225">
        <f ca="1">'Derived Cummulative'!E57</f>
        <v>0</v>
      </c>
      <c r="F57" s="225">
        <f ca="1">'Derived Cummulative'!F57</f>
        <v>0</v>
      </c>
      <c r="G57" s="225">
        <f ca="1">'Derived Cummulative'!G57</f>
        <v>0</v>
      </c>
      <c r="H57" s="225">
        <f ca="1">'Derived Cummulative'!H57</f>
        <v>0</v>
      </c>
      <c r="I57" s="225">
        <f ca="1">'Derived Cummulative'!I57</f>
        <v>0</v>
      </c>
      <c r="J57" s="225">
        <f ca="1">'Derived Cummulative'!J57</f>
        <v>0</v>
      </c>
      <c r="K57" s="225">
        <f ca="1">'Derived Cummulative'!K57</f>
        <v>0</v>
      </c>
      <c r="L57" s="225">
        <f ca="1">'Derived Cummulative'!L57</f>
        <v>0</v>
      </c>
      <c r="M57" s="226">
        <f>'Measured Cummulative'!E58</f>
        <v>0</v>
      </c>
      <c r="N57" s="226">
        <f>'Measured Cummulative'!F58</f>
        <v>0</v>
      </c>
      <c r="O57" s="226">
        <f>'Measured Cummulative'!G58</f>
        <v>0</v>
      </c>
      <c r="P57" s="226">
        <f>'Measured Cummulative'!H58</f>
        <v>0</v>
      </c>
      <c r="Q57" s="226">
        <f>'Measured Cummulative'!I58</f>
        <v>0</v>
      </c>
      <c r="R57" s="226">
        <f>'Measured Cummulative'!J58</f>
        <v>0</v>
      </c>
      <c r="S57" s="226">
        <f>'Measured Cummulative'!K58</f>
        <v>0</v>
      </c>
      <c r="T57" s="226">
        <f>'Measured Cummulative'!L58</f>
        <v>0</v>
      </c>
      <c r="V57" s="151"/>
      <c r="W57" s="72"/>
      <c r="X57" s="72"/>
      <c r="Y57" s="72"/>
      <c r="Z57" s="72"/>
      <c r="AA57" s="72"/>
      <c r="AB57" s="72"/>
      <c r="AC57" s="72"/>
      <c r="AD57" s="72"/>
    </row>
    <row r="58" spans="1:30" ht="15" thickBot="1" x14ac:dyDescent="0.25">
      <c r="A58" s="52">
        <f>'Measured Cummulative'!A59</f>
        <v>0</v>
      </c>
      <c r="B58" s="150">
        <f>'Measured Cummulative'!B59</f>
        <v>0</v>
      </c>
      <c r="C58" s="142"/>
      <c r="D58" s="145"/>
      <c r="E58" s="225">
        <f ca="1">'Derived Cummulative'!E58</f>
        <v>0</v>
      </c>
      <c r="F58" s="225">
        <f ca="1">'Derived Cummulative'!F58</f>
        <v>0</v>
      </c>
      <c r="G58" s="225">
        <f ca="1">'Derived Cummulative'!G58</f>
        <v>0</v>
      </c>
      <c r="H58" s="225">
        <f ca="1">'Derived Cummulative'!H58</f>
        <v>0</v>
      </c>
      <c r="I58" s="225">
        <f ca="1">'Derived Cummulative'!I58</f>
        <v>0</v>
      </c>
      <c r="J58" s="225">
        <f ca="1">'Derived Cummulative'!J58</f>
        <v>0</v>
      </c>
      <c r="K58" s="225">
        <f ca="1">'Derived Cummulative'!K58</f>
        <v>0</v>
      </c>
      <c r="L58" s="225">
        <f ca="1">'Derived Cummulative'!L58</f>
        <v>0</v>
      </c>
      <c r="M58" s="226">
        <f>'Measured Cummulative'!E59</f>
        <v>0</v>
      </c>
      <c r="N58" s="226">
        <f>'Measured Cummulative'!F59</f>
        <v>0</v>
      </c>
      <c r="O58" s="226">
        <f>'Measured Cummulative'!G59</f>
        <v>0</v>
      </c>
      <c r="P58" s="226">
        <f>'Measured Cummulative'!H59</f>
        <v>0</v>
      </c>
      <c r="Q58" s="226">
        <f>'Measured Cummulative'!I59</f>
        <v>0</v>
      </c>
      <c r="R58" s="226">
        <f>'Measured Cummulative'!J59</f>
        <v>0</v>
      </c>
      <c r="S58" s="226">
        <f>'Measured Cummulative'!K59</f>
        <v>0</v>
      </c>
      <c r="T58" s="226">
        <f>'Measured Cummulative'!L59</f>
        <v>0</v>
      </c>
      <c r="V58" s="151"/>
      <c r="W58" s="72"/>
      <c r="X58" s="72"/>
      <c r="Y58" s="72"/>
      <c r="Z58" s="72"/>
      <c r="AA58" s="72"/>
      <c r="AB58" s="72"/>
      <c r="AC58" s="72"/>
      <c r="AD58" s="72"/>
    </row>
    <row r="59" spans="1:30" ht="15" thickBot="1" x14ac:dyDescent="0.25">
      <c r="A59" s="52">
        <f>'Measured Cummulative'!A60</f>
        <v>0</v>
      </c>
      <c r="B59" s="149">
        <f>'Measured Cummulative'!B60</f>
        <v>0</v>
      </c>
      <c r="C59" s="61"/>
      <c r="D59" s="145"/>
      <c r="E59" s="225">
        <f ca="1">'Derived Cummulative'!E59</f>
        <v>0</v>
      </c>
      <c r="F59" s="225">
        <f ca="1">'Derived Cummulative'!F59</f>
        <v>0</v>
      </c>
      <c r="G59" s="225">
        <f ca="1">'Derived Cummulative'!G59</f>
        <v>0</v>
      </c>
      <c r="H59" s="225">
        <f ca="1">'Derived Cummulative'!H59</f>
        <v>0</v>
      </c>
      <c r="I59" s="225">
        <f ca="1">'Derived Cummulative'!I59</f>
        <v>0</v>
      </c>
      <c r="J59" s="225">
        <f ca="1">'Derived Cummulative'!J59</f>
        <v>0</v>
      </c>
      <c r="K59" s="225">
        <f ca="1">'Derived Cummulative'!K59</f>
        <v>0</v>
      </c>
      <c r="L59" s="225">
        <f ca="1">'Derived Cummulative'!L59</f>
        <v>0</v>
      </c>
      <c r="M59" s="226">
        <f>'Measured Cummulative'!E60</f>
        <v>0</v>
      </c>
      <c r="N59" s="226">
        <f>'Measured Cummulative'!F60</f>
        <v>0</v>
      </c>
      <c r="O59" s="226">
        <f>'Measured Cummulative'!G60</f>
        <v>0</v>
      </c>
      <c r="P59" s="226">
        <f>'Measured Cummulative'!H60</f>
        <v>0</v>
      </c>
      <c r="Q59" s="226">
        <f>'Measured Cummulative'!I60</f>
        <v>0</v>
      </c>
      <c r="R59" s="226">
        <f>'Measured Cummulative'!J60</f>
        <v>0</v>
      </c>
      <c r="S59" s="226">
        <f>'Measured Cummulative'!K60</f>
        <v>0</v>
      </c>
      <c r="T59" s="226">
        <f>'Measured Cummulative'!L60</f>
        <v>0</v>
      </c>
      <c r="V59" s="151"/>
      <c r="W59" s="72"/>
      <c r="X59" s="72"/>
      <c r="Y59" s="72"/>
      <c r="Z59" s="72"/>
      <c r="AA59" s="72"/>
      <c r="AB59" s="72"/>
      <c r="AC59" s="72"/>
      <c r="AD59" s="72"/>
    </row>
    <row r="60" spans="1:30" ht="15" thickBot="1" x14ac:dyDescent="0.25">
      <c r="A60" s="52">
        <f>'Measured Cummulative'!A61</f>
        <v>0</v>
      </c>
      <c r="B60" s="150">
        <f>'Measured Cummulative'!B61</f>
        <v>0</v>
      </c>
      <c r="C60" s="142"/>
      <c r="D60" s="145"/>
      <c r="E60" s="225">
        <f ca="1">'Derived Cummulative'!E60</f>
        <v>0</v>
      </c>
      <c r="F60" s="225">
        <f ca="1">'Derived Cummulative'!F60</f>
        <v>0</v>
      </c>
      <c r="G60" s="225">
        <f ca="1">'Derived Cummulative'!G60</f>
        <v>0</v>
      </c>
      <c r="H60" s="225">
        <f ca="1">'Derived Cummulative'!H60</f>
        <v>0</v>
      </c>
      <c r="I60" s="225">
        <f ca="1">'Derived Cummulative'!I60</f>
        <v>0</v>
      </c>
      <c r="J60" s="225">
        <f ca="1">'Derived Cummulative'!J60</f>
        <v>0</v>
      </c>
      <c r="K60" s="225">
        <f ca="1">'Derived Cummulative'!K60</f>
        <v>0</v>
      </c>
      <c r="L60" s="225">
        <f ca="1">'Derived Cummulative'!L60</f>
        <v>0</v>
      </c>
      <c r="M60" s="226">
        <f>'Measured Cummulative'!E61</f>
        <v>0</v>
      </c>
      <c r="N60" s="226">
        <f>'Measured Cummulative'!F61</f>
        <v>0</v>
      </c>
      <c r="O60" s="226">
        <f>'Measured Cummulative'!G61</f>
        <v>0</v>
      </c>
      <c r="P60" s="226">
        <f>'Measured Cummulative'!H61</f>
        <v>0</v>
      </c>
      <c r="Q60" s="226">
        <f>'Measured Cummulative'!I61</f>
        <v>0</v>
      </c>
      <c r="R60" s="226">
        <f>'Measured Cummulative'!J61</f>
        <v>0</v>
      </c>
      <c r="S60" s="226">
        <f>'Measured Cummulative'!K61</f>
        <v>0</v>
      </c>
      <c r="T60" s="226">
        <f>'Measured Cummulative'!L61</f>
        <v>0</v>
      </c>
      <c r="V60" s="151"/>
      <c r="W60" s="72"/>
      <c r="X60" s="72"/>
      <c r="Y60" s="72"/>
      <c r="Z60" s="72"/>
      <c r="AA60" s="72"/>
      <c r="AB60" s="72"/>
      <c r="AC60" s="72"/>
      <c r="AD60" s="72"/>
    </row>
    <row r="61" spans="1:30" ht="15" thickBot="1" x14ac:dyDescent="0.25">
      <c r="A61" s="52">
        <f>'Measured Cummulative'!A62</f>
        <v>0</v>
      </c>
      <c r="B61" s="149">
        <f>'Measured Cummulative'!B62</f>
        <v>0</v>
      </c>
      <c r="C61" s="61"/>
      <c r="D61" s="145"/>
      <c r="E61" s="225">
        <f ca="1">'Derived Cummulative'!E61</f>
        <v>0</v>
      </c>
      <c r="F61" s="225">
        <f ca="1">'Derived Cummulative'!F61</f>
        <v>0</v>
      </c>
      <c r="G61" s="225">
        <f ca="1">'Derived Cummulative'!G61</f>
        <v>0</v>
      </c>
      <c r="H61" s="225">
        <f ca="1">'Derived Cummulative'!H61</f>
        <v>0</v>
      </c>
      <c r="I61" s="225">
        <f ca="1">'Derived Cummulative'!I61</f>
        <v>0</v>
      </c>
      <c r="J61" s="225">
        <f ca="1">'Derived Cummulative'!J61</f>
        <v>0</v>
      </c>
      <c r="K61" s="225">
        <f ca="1">'Derived Cummulative'!K61</f>
        <v>0</v>
      </c>
      <c r="L61" s="225">
        <f ca="1">'Derived Cummulative'!L61</f>
        <v>0</v>
      </c>
      <c r="M61" s="226">
        <f>'Measured Cummulative'!E62</f>
        <v>0</v>
      </c>
      <c r="N61" s="226">
        <f>'Measured Cummulative'!F62</f>
        <v>0</v>
      </c>
      <c r="O61" s="226">
        <f>'Measured Cummulative'!G62</f>
        <v>0</v>
      </c>
      <c r="P61" s="226">
        <f>'Measured Cummulative'!H62</f>
        <v>0</v>
      </c>
      <c r="Q61" s="226">
        <f>'Measured Cummulative'!I62</f>
        <v>0</v>
      </c>
      <c r="R61" s="226">
        <f>'Measured Cummulative'!J62</f>
        <v>0</v>
      </c>
      <c r="S61" s="226">
        <f>'Measured Cummulative'!K62</f>
        <v>0</v>
      </c>
      <c r="T61" s="226">
        <f>'Measured Cummulative'!L62</f>
        <v>0</v>
      </c>
      <c r="V61" s="151"/>
      <c r="W61" s="72"/>
      <c r="X61" s="72"/>
      <c r="Y61" s="72"/>
      <c r="Z61" s="72"/>
      <c r="AA61" s="72"/>
      <c r="AB61" s="72"/>
      <c r="AC61" s="72"/>
      <c r="AD61" s="72"/>
    </row>
    <row r="62" spans="1:30" ht="15" thickBot="1" x14ac:dyDescent="0.25">
      <c r="A62" s="52">
        <f>'Measured Cummulative'!A63</f>
        <v>0</v>
      </c>
      <c r="B62" s="150">
        <f>'Measured Cummulative'!B63</f>
        <v>0</v>
      </c>
      <c r="C62" s="142"/>
      <c r="D62" s="145"/>
      <c r="E62" s="225">
        <f ca="1">'Derived Cummulative'!E62</f>
        <v>0</v>
      </c>
      <c r="F62" s="225">
        <f ca="1">'Derived Cummulative'!F62</f>
        <v>0</v>
      </c>
      <c r="G62" s="225">
        <f ca="1">'Derived Cummulative'!G62</f>
        <v>0</v>
      </c>
      <c r="H62" s="225">
        <f ca="1">'Derived Cummulative'!H62</f>
        <v>0</v>
      </c>
      <c r="I62" s="225">
        <f ca="1">'Derived Cummulative'!I62</f>
        <v>0</v>
      </c>
      <c r="J62" s="225">
        <f ca="1">'Derived Cummulative'!J62</f>
        <v>0</v>
      </c>
      <c r="K62" s="225">
        <f ca="1">'Derived Cummulative'!K62</f>
        <v>0</v>
      </c>
      <c r="L62" s="225">
        <f ca="1">'Derived Cummulative'!L62</f>
        <v>0</v>
      </c>
      <c r="M62" s="226">
        <f>'Measured Cummulative'!E63</f>
        <v>0</v>
      </c>
      <c r="N62" s="226">
        <f>'Measured Cummulative'!F63</f>
        <v>0</v>
      </c>
      <c r="O62" s="226">
        <f>'Measured Cummulative'!G63</f>
        <v>0</v>
      </c>
      <c r="P62" s="226">
        <f>'Measured Cummulative'!H63</f>
        <v>0</v>
      </c>
      <c r="Q62" s="226">
        <f>'Measured Cummulative'!I63</f>
        <v>0</v>
      </c>
      <c r="R62" s="226">
        <f>'Measured Cummulative'!J63</f>
        <v>0</v>
      </c>
      <c r="S62" s="226">
        <f>'Measured Cummulative'!K63</f>
        <v>0</v>
      </c>
      <c r="T62" s="226">
        <f>'Measured Cummulative'!L63</f>
        <v>0</v>
      </c>
      <c r="V62" s="151"/>
      <c r="W62" s="72"/>
      <c r="X62" s="72"/>
      <c r="Y62" s="72"/>
      <c r="Z62" s="72"/>
      <c r="AA62" s="72"/>
      <c r="AB62" s="72"/>
      <c r="AC62" s="72"/>
      <c r="AD62" s="72"/>
    </row>
    <row r="63" spans="1:30" ht="15" thickBot="1" x14ac:dyDescent="0.25">
      <c r="A63" s="52">
        <f>'Measured Cummulative'!A64</f>
        <v>0</v>
      </c>
      <c r="B63" s="149">
        <f>'Measured Cummulative'!B64</f>
        <v>0</v>
      </c>
      <c r="C63" s="61"/>
      <c r="D63" s="145"/>
      <c r="E63" s="225">
        <f ca="1">'Derived Cummulative'!E63</f>
        <v>0</v>
      </c>
      <c r="F63" s="225">
        <f ca="1">'Derived Cummulative'!F63</f>
        <v>0</v>
      </c>
      <c r="G63" s="225">
        <f ca="1">'Derived Cummulative'!G63</f>
        <v>0</v>
      </c>
      <c r="H63" s="225">
        <f ca="1">'Derived Cummulative'!H63</f>
        <v>0</v>
      </c>
      <c r="I63" s="225">
        <f ca="1">'Derived Cummulative'!I63</f>
        <v>0</v>
      </c>
      <c r="J63" s="225">
        <f ca="1">'Derived Cummulative'!J63</f>
        <v>0</v>
      </c>
      <c r="K63" s="225">
        <f ca="1">'Derived Cummulative'!K63</f>
        <v>0</v>
      </c>
      <c r="L63" s="225">
        <f ca="1">'Derived Cummulative'!L63</f>
        <v>0</v>
      </c>
      <c r="M63" s="226">
        <f>'Measured Cummulative'!E64</f>
        <v>0</v>
      </c>
      <c r="N63" s="226">
        <f>'Measured Cummulative'!F64</f>
        <v>0</v>
      </c>
      <c r="O63" s="226">
        <f>'Measured Cummulative'!G64</f>
        <v>0</v>
      </c>
      <c r="P63" s="226">
        <f>'Measured Cummulative'!H64</f>
        <v>0</v>
      </c>
      <c r="Q63" s="226">
        <f>'Measured Cummulative'!I64</f>
        <v>0</v>
      </c>
      <c r="R63" s="226">
        <f>'Measured Cummulative'!J64</f>
        <v>0</v>
      </c>
      <c r="S63" s="226">
        <f>'Measured Cummulative'!K64</f>
        <v>0</v>
      </c>
      <c r="T63" s="226">
        <f>'Measured Cummulative'!L64</f>
        <v>0</v>
      </c>
      <c r="V63" s="151"/>
      <c r="W63" s="72"/>
      <c r="X63" s="72"/>
      <c r="Y63" s="72"/>
      <c r="Z63" s="72"/>
      <c r="AA63" s="72"/>
      <c r="AB63" s="72"/>
      <c r="AC63" s="72"/>
      <c r="AD63" s="72"/>
    </row>
    <row r="64" spans="1:30" ht="15" thickBot="1" x14ac:dyDescent="0.25">
      <c r="A64" s="52">
        <f>'Measured Cummulative'!A65</f>
        <v>0</v>
      </c>
      <c r="B64" s="150">
        <f>'Measured Cummulative'!B65</f>
        <v>0</v>
      </c>
      <c r="C64" s="142"/>
      <c r="D64" s="145"/>
      <c r="E64" s="225">
        <f ca="1">'Derived Cummulative'!E64</f>
        <v>0</v>
      </c>
      <c r="F64" s="225">
        <f ca="1">'Derived Cummulative'!F64</f>
        <v>0</v>
      </c>
      <c r="G64" s="225">
        <f ca="1">'Derived Cummulative'!G64</f>
        <v>0</v>
      </c>
      <c r="H64" s="225">
        <f ca="1">'Derived Cummulative'!H64</f>
        <v>0</v>
      </c>
      <c r="I64" s="225">
        <f ca="1">'Derived Cummulative'!I64</f>
        <v>0</v>
      </c>
      <c r="J64" s="225">
        <f ca="1">'Derived Cummulative'!J64</f>
        <v>0</v>
      </c>
      <c r="K64" s="225">
        <f ca="1">'Derived Cummulative'!K64</f>
        <v>0</v>
      </c>
      <c r="L64" s="225">
        <f ca="1">'Derived Cummulative'!L64</f>
        <v>0</v>
      </c>
      <c r="M64" s="226">
        <f>'Measured Cummulative'!E65</f>
        <v>0</v>
      </c>
      <c r="N64" s="226">
        <f>'Measured Cummulative'!F65</f>
        <v>0</v>
      </c>
      <c r="O64" s="226">
        <f>'Measured Cummulative'!G65</f>
        <v>0</v>
      </c>
      <c r="P64" s="226">
        <f>'Measured Cummulative'!H65</f>
        <v>0</v>
      </c>
      <c r="Q64" s="226">
        <f>'Measured Cummulative'!I65</f>
        <v>0</v>
      </c>
      <c r="R64" s="226">
        <f>'Measured Cummulative'!J65</f>
        <v>0</v>
      </c>
      <c r="S64" s="226">
        <f>'Measured Cummulative'!K65</f>
        <v>0</v>
      </c>
      <c r="T64" s="226">
        <f>'Measured Cummulative'!L65</f>
        <v>0</v>
      </c>
      <c r="V64" s="151"/>
      <c r="W64" s="72"/>
      <c r="X64" s="72"/>
      <c r="Y64" s="72"/>
      <c r="Z64" s="72"/>
      <c r="AA64" s="72"/>
      <c r="AB64" s="72"/>
      <c r="AC64" s="72"/>
      <c r="AD64" s="72"/>
    </row>
    <row r="65" spans="1:30" ht="15" thickBot="1" x14ac:dyDescent="0.25">
      <c r="A65" s="52">
        <f>'Measured Cummulative'!A66</f>
        <v>0</v>
      </c>
      <c r="B65" s="149">
        <f>'Measured Cummulative'!B66</f>
        <v>0</v>
      </c>
      <c r="C65" s="61"/>
      <c r="D65" s="146"/>
      <c r="E65" s="225">
        <f ca="1">'Derived Cummulative'!E65</f>
        <v>0</v>
      </c>
      <c r="F65" s="225">
        <f ca="1">'Derived Cummulative'!F65</f>
        <v>0</v>
      </c>
      <c r="G65" s="225">
        <f ca="1">'Derived Cummulative'!G65</f>
        <v>0</v>
      </c>
      <c r="H65" s="225">
        <f ca="1">'Derived Cummulative'!H65</f>
        <v>0</v>
      </c>
      <c r="I65" s="225">
        <f ca="1">'Derived Cummulative'!I65</f>
        <v>0</v>
      </c>
      <c r="J65" s="225">
        <f ca="1">'Derived Cummulative'!J65</f>
        <v>0</v>
      </c>
      <c r="K65" s="225">
        <f ca="1">'Derived Cummulative'!K65</f>
        <v>0</v>
      </c>
      <c r="L65" s="225">
        <f ca="1">'Derived Cummulative'!L65</f>
        <v>0</v>
      </c>
      <c r="M65" s="226">
        <f>'Measured Cummulative'!E66</f>
        <v>0</v>
      </c>
      <c r="N65" s="226">
        <f>'Measured Cummulative'!F66</f>
        <v>0</v>
      </c>
      <c r="O65" s="226">
        <f>'Measured Cummulative'!G66</f>
        <v>0</v>
      </c>
      <c r="P65" s="226">
        <f>'Measured Cummulative'!H66</f>
        <v>0</v>
      </c>
      <c r="Q65" s="226">
        <f>'Measured Cummulative'!I66</f>
        <v>0</v>
      </c>
      <c r="R65" s="226">
        <f>'Measured Cummulative'!J66</f>
        <v>0</v>
      </c>
      <c r="S65" s="226">
        <f>'Measured Cummulative'!K66</f>
        <v>0</v>
      </c>
      <c r="T65" s="226">
        <f>'Measured Cummulative'!L66</f>
        <v>0</v>
      </c>
      <c r="V65" s="151"/>
      <c r="W65" s="72"/>
      <c r="X65" s="72"/>
      <c r="Y65" s="72"/>
      <c r="Z65" s="72"/>
      <c r="AA65" s="72"/>
      <c r="AB65" s="72"/>
      <c r="AC65" s="72"/>
      <c r="AD65" s="72"/>
    </row>
    <row r="66" spans="1:30" ht="15" thickBot="1" x14ac:dyDescent="0.25">
      <c r="A66" s="52">
        <f>'Measured Cummulative'!A67</f>
        <v>0</v>
      </c>
      <c r="B66" s="150">
        <f>'Measured Cummulative'!B67</f>
        <v>0</v>
      </c>
      <c r="C66" s="142"/>
      <c r="E66" s="225">
        <f ca="1">'Derived Cummulative'!E66</f>
        <v>0</v>
      </c>
      <c r="F66" s="225">
        <f ca="1">'Derived Cummulative'!F66</f>
        <v>0</v>
      </c>
      <c r="G66" s="225">
        <f ca="1">'Derived Cummulative'!G66</f>
        <v>0</v>
      </c>
      <c r="H66" s="225">
        <f ca="1">'Derived Cummulative'!H66</f>
        <v>0</v>
      </c>
      <c r="I66" s="225">
        <f ca="1">'Derived Cummulative'!I66</f>
        <v>0</v>
      </c>
      <c r="J66" s="225">
        <f ca="1">'Derived Cummulative'!J66</f>
        <v>0</v>
      </c>
      <c r="K66" s="225">
        <f ca="1">'Derived Cummulative'!K66</f>
        <v>0</v>
      </c>
      <c r="L66" s="225">
        <f ca="1">'Derived Cummulative'!L66</f>
        <v>0</v>
      </c>
      <c r="M66" s="226">
        <f>'Measured Cummulative'!E67</f>
        <v>0</v>
      </c>
      <c r="N66" s="226">
        <f>'Measured Cummulative'!F67</f>
        <v>0</v>
      </c>
      <c r="O66" s="226">
        <f>'Measured Cummulative'!G67</f>
        <v>0</v>
      </c>
      <c r="P66" s="226">
        <f>'Measured Cummulative'!H67</f>
        <v>0</v>
      </c>
      <c r="Q66" s="226">
        <f>'Measured Cummulative'!I67</f>
        <v>0</v>
      </c>
      <c r="R66" s="226">
        <f>'Measured Cummulative'!J67</f>
        <v>0</v>
      </c>
      <c r="S66" s="226">
        <f>'Measured Cummulative'!K67</f>
        <v>0</v>
      </c>
      <c r="T66" s="226">
        <f>'Measured Cummulative'!L67</f>
        <v>0</v>
      </c>
      <c r="V66" s="151"/>
      <c r="W66" s="72"/>
      <c r="X66" s="72"/>
      <c r="Y66" s="72"/>
      <c r="Z66" s="72"/>
      <c r="AA66" s="72"/>
      <c r="AB66" s="72"/>
      <c r="AC66" s="72"/>
      <c r="AD66" s="72"/>
    </row>
    <row r="67" spans="1:30" ht="15" thickBot="1" x14ac:dyDescent="0.25">
      <c r="A67" s="52">
        <f>'Measured Cummulative'!A68</f>
        <v>0</v>
      </c>
      <c r="B67" s="149">
        <f>'Measured Cummulative'!B68</f>
        <v>0</v>
      </c>
      <c r="C67" s="61"/>
      <c r="E67" s="225">
        <f ca="1">'Derived Cummulative'!E67</f>
        <v>0</v>
      </c>
      <c r="F67" s="225">
        <f ca="1">'Derived Cummulative'!F67</f>
        <v>0</v>
      </c>
      <c r="G67" s="225">
        <f ca="1">'Derived Cummulative'!G67</f>
        <v>0</v>
      </c>
      <c r="H67" s="225">
        <f ca="1">'Derived Cummulative'!H67</f>
        <v>0</v>
      </c>
      <c r="I67" s="225">
        <f ca="1">'Derived Cummulative'!I67</f>
        <v>0</v>
      </c>
      <c r="J67" s="225">
        <f ca="1">'Derived Cummulative'!J67</f>
        <v>0</v>
      </c>
      <c r="K67" s="225">
        <f ca="1">'Derived Cummulative'!K67</f>
        <v>0</v>
      </c>
      <c r="L67" s="225">
        <f ca="1">'Derived Cummulative'!L67</f>
        <v>0</v>
      </c>
      <c r="M67" s="226">
        <f>'Measured Cummulative'!E68</f>
        <v>0</v>
      </c>
      <c r="N67" s="226">
        <f>'Measured Cummulative'!F68</f>
        <v>0</v>
      </c>
      <c r="O67" s="226">
        <f>'Measured Cummulative'!G68</f>
        <v>0</v>
      </c>
      <c r="P67" s="226">
        <f>'Measured Cummulative'!H68</f>
        <v>0</v>
      </c>
      <c r="Q67" s="226">
        <f>'Measured Cummulative'!I68</f>
        <v>0</v>
      </c>
      <c r="R67" s="226">
        <f>'Measured Cummulative'!J68</f>
        <v>0</v>
      </c>
      <c r="S67" s="226">
        <f>'Measured Cummulative'!K68</f>
        <v>0</v>
      </c>
      <c r="T67" s="226">
        <f>'Measured Cummulative'!L68</f>
        <v>0</v>
      </c>
      <c r="V67" s="151"/>
      <c r="W67" s="72"/>
      <c r="X67" s="72"/>
      <c r="Y67" s="72"/>
      <c r="Z67" s="72"/>
      <c r="AA67" s="72"/>
      <c r="AB67" s="72"/>
      <c r="AC67" s="72"/>
      <c r="AD67" s="72"/>
    </row>
    <row r="68" spans="1:30" ht="15" thickBot="1" x14ac:dyDescent="0.25">
      <c r="A68" s="52">
        <f>'Measured Cummulative'!A69</f>
        <v>0</v>
      </c>
      <c r="B68" s="150">
        <f>'Measured Cummulative'!B69</f>
        <v>0</v>
      </c>
      <c r="C68" s="142"/>
      <c r="E68" s="225">
        <f ca="1">'Derived Cummulative'!E68</f>
        <v>0</v>
      </c>
      <c r="F68" s="225">
        <f ca="1">'Derived Cummulative'!F68</f>
        <v>0</v>
      </c>
      <c r="G68" s="225">
        <f ca="1">'Derived Cummulative'!G68</f>
        <v>0</v>
      </c>
      <c r="H68" s="225">
        <f ca="1">'Derived Cummulative'!H68</f>
        <v>0</v>
      </c>
      <c r="I68" s="225">
        <f ca="1">'Derived Cummulative'!I68</f>
        <v>0</v>
      </c>
      <c r="J68" s="225">
        <f ca="1">'Derived Cummulative'!J68</f>
        <v>0</v>
      </c>
      <c r="K68" s="225">
        <f ca="1">'Derived Cummulative'!K68</f>
        <v>0</v>
      </c>
      <c r="L68" s="225">
        <f ca="1">'Derived Cummulative'!L68</f>
        <v>0</v>
      </c>
      <c r="M68" s="226">
        <f>'Measured Cummulative'!E69</f>
        <v>0</v>
      </c>
      <c r="N68" s="226">
        <f>'Measured Cummulative'!F69</f>
        <v>0</v>
      </c>
      <c r="O68" s="226">
        <f>'Measured Cummulative'!G69</f>
        <v>0</v>
      </c>
      <c r="P68" s="226">
        <f>'Measured Cummulative'!H69</f>
        <v>0</v>
      </c>
      <c r="Q68" s="226">
        <f>'Measured Cummulative'!I69</f>
        <v>0</v>
      </c>
      <c r="R68" s="226">
        <f>'Measured Cummulative'!J69</f>
        <v>0</v>
      </c>
      <c r="S68" s="226">
        <f>'Measured Cummulative'!K69</f>
        <v>0</v>
      </c>
      <c r="T68" s="226">
        <f>'Measured Cummulative'!L69</f>
        <v>0</v>
      </c>
      <c r="V68" s="151"/>
      <c r="W68" s="72"/>
      <c r="X68" s="72"/>
      <c r="Y68" s="72"/>
      <c r="Z68" s="72"/>
      <c r="AA68" s="72"/>
      <c r="AB68" s="72"/>
      <c r="AC68" s="72"/>
      <c r="AD68" s="72"/>
    </row>
    <row r="69" spans="1:30" ht="15" thickBot="1" x14ac:dyDescent="0.25">
      <c r="A69" s="52">
        <f>'Measured Cummulative'!A70</f>
        <v>0</v>
      </c>
      <c r="B69" s="149">
        <f>'Measured Cummulative'!B70</f>
        <v>0</v>
      </c>
      <c r="C69" s="61"/>
      <c r="E69" s="225">
        <f ca="1">'Derived Cummulative'!E69</f>
        <v>0</v>
      </c>
      <c r="F69" s="225">
        <f ca="1">'Derived Cummulative'!F69</f>
        <v>0</v>
      </c>
      <c r="G69" s="225">
        <f ca="1">'Derived Cummulative'!G69</f>
        <v>0</v>
      </c>
      <c r="H69" s="225">
        <f ca="1">'Derived Cummulative'!H69</f>
        <v>0</v>
      </c>
      <c r="I69" s="225">
        <f ca="1">'Derived Cummulative'!I69</f>
        <v>0</v>
      </c>
      <c r="J69" s="225">
        <f ca="1">'Derived Cummulative'!J69</f>
        <v>0</v>
      </c>
      <c r="K69" s="225">
        <f ca="1">'Derived Cummulative'!K69</f>
        <v>0</v>
      </c>
      <c r="L69" s="225">
        <f ca="1">'Derived Cummulative'!L69</f>
        <v>0</v>
      </c>
      <c r="M69" s="226">
        <f>'Measured Cummulative'!E70</f>
        <v>0</v>
      </c>
      <c r="N69" s="226">
        <f>'Measured Cummulative'!F70</f>
        <v>0</v>
      </c>
      <c r="O69" s="226">
        <f>'Measured Cummulative'!G70</f>
        <v>0</v>
      </c>
      <c r="P69" s="226">
        <f>'Measured Cummulative'!H70</f>
        <v>0</v>
      </c>
      <c r="Q69" s="226">
        <f>'Measured Cummulative'!I70</f>
        <v>0</v>
      </c>
      <c r="R69" s="226">
        <f>'Measured Cummulative'!J70</f>
        <v>0</v>
      </c>
      <c r="S69" s="226">
        <f>'Measured Cummulative'!K70</f>
        <v>0</v>
      </c>
      <c r="T69" s="226">
        <f>'Measured Cummulative'!L70</f>
        <v>0</v>
      </c>
      <c r="V69" s="151"/>
      <c r="W69" s="72"/>
      <c r="X69" s="72"/>
      <c r="Y69" s="72"/>
      <c r="Z69" s="72"/>
      <c r="AA69" s="72"/>
      <c r="AB69" s="72"/>
      <c r="AC69" s="72"/>
      <c r="AD69" s="72"/>
    </row>
    <row r="70" spans="1:30" ht="15" thickBot="1" x14ac:dyDescent="0.25">
      <c r="A70" s="52">
        <f>'Measured Cummulative'!A71</f>
        <v>0</v>
      </c>
      <c r="B70" s="150">
        <f>'Measured Cummulative'!B71</f>
        <v>0</v>
      </c>
      <c r="C70" s="142"/>
      <c r="E70" s="225">
        <f ca="1">'Derived Cummulative'!E70</f>
        <v>0</v>
      </c>
      <c r="F70" s="225">
        <f ca="1">'Derived Cummulative'!F70</f>
        <v>0</v>
      </c>
      <c r="G70" s="225">
        <f ca="1">'Derived Cummulative'!G70</f>
        <v>0</v>
      </c>
      <c r="H70" s="225">
        <f ca="1">'Derived Cummulative'!H70</f>
        <v>0</v>
      </c>
      <c r="I70" s="225">
        <f ca="1">'Derived Cummulative'!I70</f>
        <v>0</v>
      </c>
      <c r="J70" s="225">
        <f ca="1">'Derived Cummulative'!J70</f>
        <v>0</v>
      </c>
      <c r="K70" s="225">
        <f ca="1">'Derived Cummulative'!K70</f>
        <v>0</v>
      </c>
      <c r="L70" s="225">
        <f ca="1">'Derived Cummulative'!L70</f>
        <v>0</v>
      </c>
      <c r="M70" s="226">
        <f>'Measured Cummulative'!E71</f>
        <v>0</v>
      </c>
      <c r="N70" s="226">
        <f>'Measured Cummulative'!F71</f>
        <v>0</v>
      </c>
      <c r="O70" s="226">
        <f>'Measured Cummulative'!G71</f>
        <v>0</v>
      </c>
      <c r="P70" s="226">
        <f>'Measured Cummulative'!H71</f>
        <v>0</v>
      </c>
      <c r="Q70" s="226">
        <f>'Measured Cummulative'!I71</f>
        <v>0</v>
      </c>
      <c r="R70" s="226">
        <f>'Measured Cummulative'!J71</f>
        <v>0</v>
      </c>
      <c r="S70" s="226">
        <f>'Measured Cummulative'!K71</f>
        <v>0</v>
      </c>
      <c r="T70" s="226">
        <f>'Measured Cummulative'!L71</f>
        <v>0</v>
      </c>
      <c r="V70" s="151"/>
      <c r="W70" s="72"/>
      <c r="X70" s="72"/>
      <c r="Y70" s="72"/>
      <c r="Z70" s="72"/>
      <c r="AA70" s="72"/>
      <c r="AB70" s="72"/>
      <c r="AC70" s="72"/>
      <c r="AD70" s="72"/>
    </row>
    <row r="71" spans="1:30" ht="15" thickBot="1" x14ac:dyDescent="0.25">
      <c r="A71" s="52">
        <f>'Measured Cummulative'!A72</f>
        <v>0</v>
      </c>
      <c r="B71" s="149">
        <f>'Measured Cummulative'!B72</f>
        <v>0</v>
      </c>
      <c r="C71" s="61"/>
      <c r="E71" s="225">
        <f ca="1">'Derived Cummulative'!E71</f>
        <v>0</v>
      </c>
      <c r="F71" s="225">
        <f ca="1">'Derived Cummulative'!F71</f>
        <v>0</v>
      </c>
      <c r="G71" s="225">
        <f ca="1">'Derived Cummulative'!G71</f>
        <v>0</v>
      </c>
      <c r="H71" s="225">
        <f ca="1">'Derived Cummulative'!H71</f>
        <v>0</v>
      </c>
      <c r="I71" s="225">
        <f ca="1">'Derived Cummulative'!I71</f>
        <v>0</v>
      </c>
      <c r="J71" s="225">
        <f ca="1">'Derived Cummulative'!J71</f>
        <v>0</v>
      </c>
      <c r="K71" s="225">
        <f ca="1">'Derived Cummulative'!K71</f>
        <v>0</v>
      </c>
      <c r="L71" s="225">
        <f ca="1">'Derived Cummulative'!L71</f>
        <v>0</v>
      </c>
      <c r="M71" s="226">
        <f>'Measured Cummulative'!E72</f>
        <v>0</v>
      </c>
      <c r="N71" s="226">
        <f>'Measured Cummulative'!F72</f>
        <v>0</v>
      </c>
      <c r="O71" s="226">
        <f>'Measured Cummulative'!G72</f>
        <v>0</v>
      </c>
      <c r="P71" s="226">
        <f>'Measured Cummulative'!H72</f>
        <v>0</v>
      </c>
      <c r="Q71" s="226">
        <f>'Measured Cummulative'!I72</f>
        <v>0</v>
      </c>
      <c r="R71" s="226">
        <f>'Measured Cummulative'!J72</f>
        <v>0</v>
      </c>
      <c r="S71" s="226">
        <f>'Measured Cummulative'!K72</f>
        <v>0</v>
      </c>
      <c r="T71" s="226">
        <f>'Measured Cummulative'!L72</f>
        <v>0</v>
      </c>
      <c r="V71" s="151"/>
      <c r="W71" s="72"/>
      <c r="X71" s="72"/>
      <c r="Y71" s="72"/>
      <c r="Z71" s="72"/>
      <c r="AA71" s="72"/>
      <c r="AB71" s="72"/>
      <c r="AC71" s="72"/>
      <c r="AD71" s="72"/>
    </row>
    <row r="72" spans="1:30" ht="15" thickBot="1" x14ac:dyDescent="0.25">
      <c r="A72" s="52">
        <f>'Measured Cummulative'!A73</f>
        <v>0</v>
      </c>
      <c r="B72" s="150">
        <f>'Measured Cummulative'!B73</f>
        <v>0</v>
      </c>
      <c r="C72" s="142"/>
      <c r="E72" s="225">
        <f ca="1">'Derived Cummulative'!E72</f>
        <v>0</v>
      </c>
      <c r="F72" s="225">
        <f ca="1">'Derived Cummulative'!F72</f>
        <v>0</v>
      </c>
      <c r="G72" s="225">
        <f ca="1">'Derived Cummulative'!G72</f>
        <v>0</v>
      </c>
      <c r="H72" s="225">
        <f ca="1">'Derived Cummulative'!H72</f>
        <v>0</v>
      </c>
      <c r="I72" s="225">
        <f ca="1">'Derived Cummulative'!I72</f>
        <v>0</v>
      </c>
      <c r="J72" s="225">
        <f ca="1">'Derived Cummulative'!J72</f>
        <v>0</v>
      </c>
      <c r="K72" s="225">
        <f ca="1">'Derived Cummulative'!K72</f>
        <v>0</v>
      </c>
      <c r="L72" s="225">
        <f ca="1">'Derived Cummulative'!L72</f>
        <v>0</v>
      </c>
      <c r="M72" s="226">
        <f>'Measured Cummulative'!E73</f>
        <v>0</v>
      </c>
      <c r="N72" s="226">
        <f>'Measured Cummulative'!F73</f>
        <v>0</v>
      </c>
      <c r="O72" s="226">
        <f>'Measured Cummulative'!G73</f>
        <v>0</v>
      </c>
      <c r="P72" s="226">
        <f>'Measured Cummulative'!H73</f>
        <v>0</v>
      </c>
      <c r="Q72" s="226">
        <f>'Measured Cummulative'!I73</f>
        <v>0</v>
      </c>
      <c r="R72" s="226">
        <f>'Measured Cummulative'!J73</f>
        <v>0</v>
      </c>
      <c r="S72" s="226">
        <f>'Measured Cummulative'!K73</f>
        <v>0</v>
      </c>
      <c r="T72" s="226">
        <f>'Measured Cummulative'!L73</f>
        <v>0</v>
      </c>
      <c r="V72" s="151"/>
      <c r="W72" s="72"/>
      <c r="X72" s="72"/>
      <c r="Y72" s="72"/>
      <c r="Z72" s="72"/>
      <c r="AA72" s="72"/>
      <c r="AB72" s="72"/>
      <c r="AC72" s="72"/>
      <c r="AD72" s="72"/>
    </row>
    <row r="73" spans="1:30" ht="15" thickBot="1" x14ac:dyDescent="0.25">
      <c r="A73" s="52">
        <f>'Measured Cummulative'!A74</f>
        <v>0</v>
      </c>
      <c r="B73" s="149">
        <f>'Measured Cummulative'!B74</f>
        <v>0</v>
      </c>
      <c r="C73" s="61"/>
      <c r="E73" s="225">
        <f ca="1">'Derived Cummulative'!E73</f>
        <v>0</v>
      </c>
      <c r="F73" s="225">
        <f ca="1">'Derived Cummulative'!F73</f>
        <v>0</v>
      </c>
      <c r="G73" s="225">
        <f ca="1">'Derived Cummulative'!G73</f>
        <v>0</v>
      </c>
      <c r="H73" s="225">
        <f ca="1">'Derived Cummulative'!H73</f>
        <v>0</v>
      </c>
      <c r="I73" s="225">
        <f ca="1">'Derived Cummulative'!I73</f>
        <v>0</v>
      </c>
      <c r="J73" s="225">
        <f ca="1">'Derived Cummulative'!J73</f>
        <v>0</v>
      </c>
      <c r="K73" s="225">
        <f ca="1">'Derived Cummulative'!K73</f>
        <v>0</v>
      </c>
      <c r="L73" s="225">
        <f ca="1">'Derived Cummulative'!L73</f>
        <v>0</v>
      </c>
      <c r="M73" s="226">
        <f>'Measured Cummulative'!E74</f>
        <v>0</v>
      </c>
      <c r="N73" s="226">
        <f>'Measured Cummulative'!F74</f>
        <v>0</v>
      </c>
      <c r="O73" s="226">
        <f>'Measured Cummulative'!G74</f>
        <v>0</v>
      </c>
      <c r="P73" s="226">
        <f>'Measured Cummulative'!H74</f>
        <v>0</v>
      </c>
      <c r="Q73" s="226">
        <f>'Measured Cummulative'!I74</f>
        <v>0</v>
      </c>
      <c r="R73" s="226">
        <f>'Measured Cummulative'!J74</f>
        <v>0</v>
      </c>
      <c r="S73" s="226">
        <f>'Measured Cummulative'!K74</f>
        <v>0</v>
      </c>
      <c r="T73" s="226">
        <f>'Measured Cummulative'!L74</f>
        <v>0</v>
      </c>
      <c r="V73" s="151"/>
      <c r="W73" s="72"/>
      <c r="X73" s="72"/>
      <c r="Y73" s="72"/>
      <c r="Z73" s="72"/>
      <c r="AA73" s="72"/>
      <c r="AB73" s="72"/>
      <c r="AC73" s="72"/>
      <c r="AD73" s="72"/>
    </row>
    <row r="74" spans="1:30" ht="15" thickBot="1" x14ac:dyDescent="0.25">
      <c r="A74" s="52">
        <f>'Measured Cummulative'!A75</f>
        <v>0</v>
      </c>
      <c r="B74" s="150">
        <f>'Measured Cummulative'!B75</f>
        <v>0</v>
      </c>
      <c r="C74" s="142"/>
      <c r="V74" s="72"/>
      <c r="W74" s="72"/>
      <c r="X74" s="72"/>
      <c r="Y74" s="72"/>
      <c r="Z74" s="72"/>
      <c r="AA74" s="72"/>
      <c r="AB74" s="72"/>
      <c r="AC74" s="72"/>
      <c r="AD74" s="72"/>
    </row>
    <row r="75" spans="1:30" ht="15" thickBot="1" x14ac:dyDescent="0.25">
      <c r="A75" s="52">
        <f>'Measured Cummulative'!A76</f>
        <v>0</v>
      </c>
      <c r="B75" s="149">
        <f>'Measured Cummulative'!B76</f>
        <v>0</v>
      </c>
      <c r="C75" s="61"/>
      <c r="V75" s="72"/>
      <c r="W75" s="72"/>
      <c r="X75" s="72"/>
      <c r="Y75" s="72"/>
      <c r="Z75" s="72"/>
      <c r="AA75" s="72"/>
      <c r="AB75" s="72"/>
      <c r="AC75" s="72"/>
      <c r="AD75" s="72"/>
    </row>
    <row r="76" spans="1:30" ht="15" thickBot="1" x14ac:dyDescent="0.25">
      <c r="A76" s="52">
        <f>'Measured Cummulative'!A77</f>
        <v>0</v>
      </c>
      <c r="B76" s="150">
        <f>'Measured Cummulative'!B77</f>
        <v>0</v>
      </c>
      <c r="C76" s="142"/>
      <c r="V76" s="72"/>
      <c r="W76" s="72"/>
      <c r="X76" s="72"/>
      <c r="Y76" s="72"/>
      <c r="Z76" s="72"/>
      <c r="AA76" s="72"/>
      <c r="AB76" s="72"/>
      <c r="AC76" s="72"/>
      <c r="AD76" s="72"/>
    </row>
    <row r="77" spans="1:30" ht="15" thickBot="1" x14ac:dyDescent="0.25">
      <c r="A77" s="52">
        <f>'Measured Cummulative'!A78</f>
        <v>0</v>
      </c>
      <c r="B77" s="149">
        <f>'Measured Cummulative'!B78</f>
        <v>0</v>
      </c>
      <c r="C77" s="61"/>
      <c r="V77" s="72"/>
      <c r="W77" s="72"/>
      <c r="X77" s="72"/>
      <c r="Y77" s="72"/>
      <c r="Z77" s="72"/>
      <c r="AA77" s="72"/>
      <c r="AB77" s="72"/>
      <c r="AC77" s="72"/>
      <c r="AD77" s="72"/>
    </row>
    <row r="78" spans="1:30" ht="15" thickBot="1" x14ac:dyDescent="0.25">
      <c r="A78" s="52">
        <f>'Measured Cummulative'!A79</f>
        <v>0</v>
      </c>
      <c r="B78" s="150">
        <f>'Measured Cummulative'!B79</f>
        <v>0</v>
      </c>
      <c r="C78" s="142"/>
    </row>
    <row r="79" spans="1:30" ht="15" thickBot="1" x14ac:dyDescent="0.25">
      <c r="A79" s="52">
        <f>'Measured Cummulative'!A80</f>
        <v>0</v>
      </c>
      <c r="B79" s="149">
        <f>'Measured Cummulative'!B80</f>
        <v>0</v>
      </c>
      <c r="C79" s="61"/>
    </row>
    <row r="80" spans="1:30" ht="15" thickBot="1" x14ac:dyDescent="0.25">
      <c r="A80" s="52">
        <f>'Measured Cummulative'!A81</f>
        <v>0</v>
      </c>
      <c r="B80" s="150">
        <f>'Measured Cummulative'!B81</f>
        <v>0</v>
      </c>
      <c r="C80" s="142"/>
    </row>
    <row r="81" spans="1:3" ht="14.25" x14ac:dyDescent="0.2">
      <c r="A81" s="52">
        <f>'Measured Cummulative'!A82</f>
        <v>0</v>
      </c>
      <c r="B81" s="149">
        <f>'Measured Cummulative'!B82</f>
        <v>0</v>
      </c>
      <c r="C81" s="61"/>
    </row>
  </sheetData>
  <mergeCells count="5">
    <mergeCell ref="E1:L1"/>
    <mergeCell ref="M1:T1"/>
    <mergeCell ref="AJ36:AS37"/>
    <mergeCell ref="AI7:AT9"/>
    <mergeCell ref="AI4:AT6"/>
  </mergeCells>
  <phoneticPr fontId="15" type="noConversion"/>
  <pageMargins left="0.75" right="0.75" top="1" bottom="1" header="0.5" footer="0.5"/>
  <pageSetup paperSize="9" scale="61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List Box 1">
              <controlPr defaultSize="0" autoLine="0" autoPict="0">
                <anchor moveWithCells="1">
                  <from>
                    <xdr:col>46</xdr:col>
                    <xdr:colOff>561975</xdr:colOff>
                    <xdr:row>14</xdr:row>
                    <xdr:rowOff>57150</xdr:rowOff>
                  </from>
                  <to>
                    <xdr:col>49</xdr:col>
                    <xdr:colOff>228600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5" name="Option Button 4">
              <controlPr defaultSize="0" autoFill="0" autoLine="0" autoPict="0">
                <anchor moveWithCells="1">
                  <from>
                    <xdr:col>46</xdr:col>
                    <xdr:colOff>600075</xdr:colOff>
                    <xdr:row>11</xdr:row>
                    <xdr:rowOff>19050</xdr:rowOff>
                  </from>
                  <to>
                    <xdr:col>49</xdr:col>
                    <xdr:colOff>95250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6" name="Option Button 6">
              <controlPr defaultSize="0" autoFill="0" autoLine="0" autoPict="0">
                <anchor moveWithCells="1">
                  <from>
                    <xdr:col>46</xdr:col>
                    <xdr:colOff>600075</xdr:colOff>
                    <xdr:row>10</xdr:row>
                    <xdr:rowOff>9525</xdr:rowOff>
                  </from>
                  <to>
                    <xdr:col>49</xdr:col>
                    <xdr:colOff>95250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7" name="Option Button 7">
              <controlPr defaultSize="0" autoFill="0" autoLine="0" autoPict="0">
                <anchor moveWithCells="1">
                  <from>
                    <xdr:col>46</xdr:col>
                    <xdr:colOff>600075</xdr:colOff>
                    <xdr:row>9</xdr:row>
                    <xdr:rowOff>0</xdr:rowOff>
                  </from>
                  <to>
                    <xdr:col>49</xdr:col>
                    <xdr:colOff>95250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5">
    <pageSetUpPr fitToPage="1"/>
  </sheetPr>
  <dimension ref="A1:L80"/>
  <sheetViews>
    <sheetView view="pageBreakPreview" zoomScale="60" zoomScaleNormal="100" workbookViewId="0">
      <selection activeCell="H39" sqref="H39"/>
    </sheetView>
  </sheetViews>
  <sheetFormatPr defaultRowHeight="12.75" x14ac:dyDescent="0.2"/>
  <cols>
    <col min="1" max="1" width="39.85546875" style="2" customWidth="1"/>
    <col min="2" max="2" width="19" style="2" customWidth="1"/>
    <col min="3" max="3" width="20.5703125" style="2" customWidth="1"/>
    <col min="4" max="4" width="20.42578125" style="2" customWidth="1"/>
    <col min="5" max="5" width="21.140625" style="2" customWidth="1"/>
    <col min="6" max="6" width="25.42578125" style="2" bestFit="1" customWidth="1"/>
    <col min="7" max="9" width="19" style="2" customWidth="1"/>
    <col min="10" max="10" width="20" style="2" customWidth="1"/>
    <col min="11" max="11" width="20.42578125" style="2" customWidth="1"/>
    <col min="12" max="12" width="25.7109375" style="2" customWidth="1"/>
    <col min="13" max="16384" width="9.140625" style="2"/>
  </cols>
  <sheetData>
    <row r="1" spans="1:12" ht="15" thickBot="1" x14ac:dyDescent="0.25">
      <c r="A1" s="22"/>
      <c r="B1" s="46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15" x14ac:dyDescent="0.25">
      <c r="A2" s="25" t="s">
        <v>49</v>
      </c>
      <c r="B2" s="46"/>
      <c r="C2" s="22"/>
      <c r="D2" s="30" t="s">
        <v>46</v>
      </c>
      <c r="E2" s="37" t="str">
        <f ca="1">'Measured Cummulative'!E3</f>
        <v>t=0.0625days</v>
      </c>
      <c r="F2" s="37" t="str">
        <f ca="1">'Measured Cummulative'!F3</f>
        <v>t=0.25days</v>
      </c>
      <c r="G2" s="37" t="str">
        <f ca="1">'Measured Cummulative'!G3</f>
        <v>t=1days</v>
      </c>
      <c r="H2" s="37" t="str">
        <f ca="1">'Measured Cummulative'!H3</f>
        <v>t=2.25days</v>
      </c>
      <c r="I2" s="37" t="str">
        <f ca="1">'Measured Cummulative'!I3</f>
        <v>t=4days</v>
      </c>
      <c r="J2" s="37" t="str">
        <f ca="1">'Measured Cummulative'!J3</f>
        <v>t=6.25days</v>
      </c>
      <c r="K2" s="37" t="str">
        <f ca="1">'Measured Cummulative'!K3</f>
        <v>t=9days</v>
      </c>
      <c r="L2" s="49" t="str">
        <f ca="1">'Measured Cummulative'!L3</f>
        <v>t=16days</v>
      </c>
    </row>
    <row r="3" spans="1:12" ht="15.75" thickBot="1" x14ac:dyDescent="0.3">
      <c r="A3" s="22"/>
      <c r="B3" s="46"/>
      <c r="C3" s="22"/>
      <c r="D3" s="39" t="s">
        <v>47</v>
      </c>
      <c r="E3" s="50">
        <f ca="1">'Measured Cummulative'!E4</f>
        <v>6.25E-2</v>
      </c>
      <c r="F3" s="50">
        <f ca="1">'Measured Cummulative'!F4</f>
        <v>0.25</v>
      </c>
      <c r="G3" s="50">
        <f ca="1">'Measured Cummulative'!G4</f>
        <v>1</v>
      </c>
      <c r="H3" s="50">
        <f ca="1">'Measured Cummulative'!H4</f>
        <v>2.25</v>
      </c>
      <c r="I3" s="50">
        <f ca="1">'Measured Cummulative'!I4</f>
        <v>4</v>
      </c>
      <c r="J3" s="50">
        <f ca="1">'Measured Cummulative'!J4</f>
        <v>6.25</v>
      </c>
      <c r="K3" s="50">
        <f ca="1">'Measured Cummulative'!K4</f>
        <v>9</v>
      </c>
      <c r="L3" s="51">
        <f ca="1">'Measured Cummulative'!L4</f>
        <v>16</v>
      </c>
    </row>
    <row r="4" spans="1:12" ht="14.25" x14ac:dyDescent="0.2">
      <c r="A4" s="219" t="str">
        <f>'Measured Cummulative'!A5</f>
        <v>pH</v>
      </c>
      <c r="B4" s="220">
        <f>'Measured Cummulative'!B5</f>
        <v>1010</v>
      </c>
      <c r="C4" s="221"/>
      <c r="D4" s="143"/>
      <c r="E4" s="222">
        <f ca="1">Normalisation!E5*SQRT(E$3*24*60*60)/(SQRT(E$3*24*60*60)-SQRT(0))</f>
        <v>625.2492237293676</v>
      </c>
      <c r="F4" s="223">
        <f ca="1">Normalisation!F5*SQRT(F$3*24*60*60)/(SQRT(F$3*24*60*60)-SQRT(E$3*24*60*60))</f>
        <v>980.1627716947213</v>
      </c>
      <c r="G4" s="223">
        <f ca="1">Normalisation!G5*SQRT(G$3*24*60*60)/(SQRT(G$3*24*60*60)-SQRT(F$3*24*60*60))</f>
        <v>1017.2145775453505</v>
      </c>
      <c r="H4" s="223">
        <f ca="1">Normalisation!H5*SQRT(H$3*24*60*60)/(SQRT(H$3*24*60*60)-SQRT(G$3*24*60*60))</f>
        <v>1477.2982513482598</v>
      </c>
      <c r="I4" s="223">
        <f ca="1">Normalisation!I5*SQRT(I$3*24*60*60)/(SQRT(I$3*24*60*60)-SQRT(H$3*24*60*60))</f>
        <v>1998.5174048047058</v>
      </c>
      <c r="J4" s="223">
        <f ca="1">Normalisation!J5*SQRT(J$3*24*60*60)/(SQRT(J$3*24*60*60)-SQRT(I$3*24*60*60))</f>
        <v>2414.780192841969</v>
      </c>
      <c r="K4" s="223">
        <f ca="1">Normalisation!K5*SQRT(K$3*24*60*60)/(SQRT(K$3*24*60*60)-SQRT(J$3*24*60*60))</f>
        <v>2892.1784605327662</v>
      </c>
      <c r="L4" s="224">
        <f ca="1">Normalisation!L5*SQRT(L$3*24*60*60)/(SQRT(L$3*24*60*60)-SQRT(K$3*24*60*60))</f>
        <v>2007.0678215394664</v>
      </c>
    </row>
    <row r="5" spans="1:12" ht="14.25" x14ac:dyDescent="0.2">
      <c r="A5" s="149" t="str">
        <f>'Measured Cummulative'!A6</f>
        <v>Electrical Conductivity</v>
      </c>
      <c r="B5" s="149">
        <f>'Measured Cummulative'!B6</f>
        <v>1020</v>
      </c>
      <c r="C5" s="61"/>
      <c r="D5" s="144"/>
      <c r="E5" s="156">
        <f ca="1">Normalisation!E6*SQRT(E$3*24*60*60)/(SQRT(E$3*24*60*60)-SQRT(0))</f>
        <v>1011.7993136133355</v>
      </c>
      <c r="F5" s="98">
        <f ca="1">Normalisation!F6*SQRT(F$3*24*60*60)/(SQRT(F$3*24*60*60)-SQRT(E$3*24*60*60))</f>
        <v>5858.4605327667923</v>
      </c>
      <c r="G5" s="98">
        <f ca="1">Normalisation!G6*SQRT(G$3*24*60*60)/(SQRT(G$3*24*60*60)-SQRT(F$3*24*60*60))</f>
        <v>81670.730511521484</v>
      </c>
      <c r="H5" s="98">
        <f ca="1">Normalisation!H6*SQRT(H$3*24*60*60)/(SQRT(H$3*24*60*60)-SQRT(G$3*24*60*60))</f>
        <v>558983.49403497321</v>
      </c>
      <c r="I5" s="98">
        <f ca="1">Normalisation!I6*SQRT(I$3*24*60*60)/(SQRT(I$3*24*60*60)-SQRT(H$3*24*60*60))</f>
        <v>788633.436836084</v>
      </c>
      <c r="J5" s="98">
        <f ca="1">Normalisation!J6*SQRT(J$3*24*60*60)/(SQRT(J$3*24*60*60)-SQRT(I$3*24*60*60))</f>
        <v>757424.41575420857</v>
      </c>
      <c r="K5" s="98">
        <f ca="1">Normalisation!K6*SQRT(K$3*24*60*60)/(SQRT(K$3*24*60*60)-SQRT(J$3*24*60*60))</f>
        <v>1017499.591436509</v>
      </c>
      <c r="L5" s="98">
        <f ca="1">Normalisation!L6*SQRT(L$3*24*60*60)/(SQRT(L$3*24*60*60)-SQRT(K$3*24*60*60))</f>
        <v>495924.17061611352</v>
      </c>
    </row>
    <row r="6" spans="1:12" ht="16.5" x14ac:dyDescent="0.2">
      <c r="A6" s="149" t="str">
        <f>'Measured Cummulative'!A7</f>
        <v>Redox potential</v>
      </c>
      <c r="B6" s="149">
        <f>'Measured Cummulative'!B7</f>
        <v>1170</v>
      </c>
      <c r="C6" s="139" t="s">
        <v>100</v>
      </c>
      <c r="D6" s="144"/>
      <c r="E6" s="156">
        <f ca="1">Normalisation!E7*SQRT(E$3*24*60*60)/(SQRT(E$3*24*60*60)-SQRT(0))</f>
        <v>0</v>
      </c>
      <c r="F6" s="98">
        <f ca="1">Normalisation!F7*SQRT(F$3*24*60*60)/(SQRT(F$3*24*60*60)-SQRT(E$3*24*60*60))</f>
        <v>0</v>
      </c>
      <c r="G6" s="98">
        <f ca="1">Normalisation!G7*SQRT(G$3*24*60*60)/(SQRT(G$3*24*60*60)-SQRT(F$3*24*60*60))</f>
        <v>0</v>
      </c>
      <c r="H6" s="98">
        <f ca="1">Normalisation!H7*SQRT(H$3*24*60*60)/(SQRT(H$3*24*60*60)-SQRT(G$3*24*60*60))</f>
        <v>0</v>
      </c>
      <c r="I6" s="98">
        <f ca="1">Normalisation!I7*SQRT(I$3*24*60*60)/(SQRT(I$3*24*60*60)-SQRT(H$3*24*60*60))</f>
        <v>0</v>
      </c>
      <c r="J6" s="98">
        <f ca="1">Normalisation!J7*SQRT(J$3*24*60*60)/(SQRT(J$3*24*60*60)-SQRT(I$3*24*60*60))</f>
        <v>0</v>
      </c>
      <c r="K6" s="98">
        <f ca="1">Normalisation!K7*SQRT(K$3*24*60*60)/(SQRT(K$3*24*60*60)-SQRT(J$3*24*60*60))</f>
        <v>0</v>
      </c>
      <c r="L6" s="98">
        <f ca="1">Normalisation!L7*SQRT(L$3*24*60*60)/(SQRT(L$3*24*60*60)-SQRT(K$3*24*60*60))</f>
        <v>0</v>
      </c>
    </row>
    <row r="7" spans="1:12" ht="16.5" x14ac:dyDescent="0.2">
      <c r="A7" s="214" t="str">
        <f>'Measured Cummulative'!A8</f>
        <v>Chloride</v>
      </c>
      <c r="B7" s="215" t="str">
        <f>'Measured Cummulative'!B8</f>
        <v>U</v>
      </c>
      <c r="C7" s="139" t="s">
        <v>100</v>
      </c>
      <c r="D7" s="144"/>
      <c r="E7" s="216">
        <f ca="1">Normalisation!E8*SQRT(E$3*24*60*60)/(SQRT(E$3*24*60*60)-SQRT(0))</f>
        <v>71.253472789671505</v>
      </c>
      <c r="F7" s="217">
        <f ca="1">Normalisation!F8*SQRT(F$3*24*60*60)/(SQRT(F$3*24*60*60)-SQRT(E$3*24*60*60))</f>
        <v>299.26458571662039</v>
      </c>
      <c r="G7" s="217">
        <f ca="1">Normalisation!G8*SQRT(G$3*24*60*60)/(SQRT(G$3*24*60*60)-SQRT(F$3*24*60*60))</f>
        <v>4275.2083673802908</v>
      </c>
      <c r="H7" s="217">
        <f ca="1">Normalisation!H8*SQRT(H$3*24*60*60)/(SQRT(H$3*24*60*60)-SQRT(G$3*24*60*60))</f>
        <v>68403.333878084668</v>
      </c>
      <c r="I7" s="217">
        <f ca="1">Normalisation!I8*SQRT(I$3*24*60*60)/(SQRT(I$3*24*60*60)-SQRT(H$3*24*60*60))</f>
        <v>145357.08449092982</v>
      </c>
      <c r="J7" s="217">
        <f ca="1">Normalisation!J8*SQRT(J$3*24*60*60)/(SQRT(J$3*24*60*60)-SQRT(I$3*24*60*60))</f>
        <v>135381.59830037598</v>
      </c>
      <c r="K7" s="217">
        <f ca="1">Normalisation!K8*SQRT(K$3*24*60*60)/(SQRT(K$3*24*60*60)-SQRT(J$3*24*60*60))</f>
        <v>171008.33469521161</v>
      </c>
      <c r="L7" s="218">
        <f ca="1">Normalisation!L8*SQRT(L$3*24*60*60)/(SQRT(L$3*24*60*60)-SQRT(K$3*24*60*60))</f>
        <v>145357.08449092982</v>
      </c>
    </row>
    <row r="8" spans="1:12" ht="16.5" x14ac:dyDescent="0.2">
      <c r="A8" s="53" t="str">
        <f>'Measured Cummulative'!A9</f>
        <v>Sodium</v>
      </c>
      <c r="B8" s="149" t="str">
        <f>'Measured Cummulative'!B9</f>
        <v>U</v>
      </c>
      <c r="C8" s="139" t="s">
        <v>100</v>
      </c>
      <c r="D8" s="144"/>
      <c r="E8" s="156">
        <f ca="1">Normalisation!E9*SQRT(E$3*24*60*60)/(SQRT(E$3*24*60*60)-SQRT(0))</f>
        <v>1425.0694557934303</v>
      </c>
      <c r="F8" s="98">
        <f ca="1">Normalisation!F9*SQRT(F$3*24*60*60)/(SQRT(F$3*24*60*60)-SQRT(E$3*24*60*60))</f>
        <v>5700.2778231737211</v>
      </c>
      <c r="G8" s="98">
        <f ca="1">Normalisation!G9*SQRT(G$3*24*60*60)/(SQRT(G$3*24*60*60)-SQRT(F$3*24*60*60))</f>
        <v>7125.3472789671514</v>
      </c>
      <c r="H8" s="98">
        <f ca="1">Normalisation!H9*SQRT(H$3*24*60*60)/(SQRT(H$3*24*60*60)-SQRT(G$3*24*60*60))</f>
        <v>49164.896224873351</v>
      </c>
      <c r="I8" s="98">
        <f ca="1">Normalisation!I9*SQRT(I$3*24*60*60)/(SQRT(I$3*24*60*60)-SQRT(H$3*24*60*60))</f>
        <v>96904.722993953226</v>
      </c>
      <c r="J8" s="98">
        <f ca="1">Normalisation!J9*SQRT(J$3*24*60*60)/(SQRT(J$3*24*60*60)-SQRT(I$3*24*60*60))</f>
        <v>81941.493708122289</v>
      </c>
      <c r="K8" s="98">
        <f ca="1">Normalisation!K9*SQRT(K$3*24*60*60)/(SQRT(K$3*24*60*60)-SQRT(J$3*24*60*60))</f>
        <v>106880.20918450724</v>
      </c>
      <c r="L8" s="99">
        <f ca="1">Normalisation!L9*SQRT(L$3*24*60*60)/(SQRT(L$3*24*60*60)-SQRT(K$3*24*60*60))</f>
        <v>99754.861905540078</v>
      </c>
    </row>
    <row r="9" spans="1:12" ht="16.5" x14ac:dyDescent="0.2">
      <c r="A9" s="53">
        <f>'Measured Cummulative'!A10</f>
        <v>0</v>
      </c>
      <c r="B9" s="149">
        <f>'Measured Cummulative'!B10</f>
        <v>0</v>
      </c>
      <c r="C9" s="139" t="s">
        <v>100</v>
      </c>
      <c r="D9" s="144"/>
      <c r="E9" s="156">
        <f ca="1">Normalisation!E10*SQRT(E$3*24*60*60)/(SQRT(E$3*24*60*60)-SQRT(0))</f>
        <v>0</v>
      </c>
      <c r="F9" s="98">
        <f ca="1">Normalisation!F10*SQRT(F$3*24*60*60)/(SQRT(F$3*24*60*60)-SQRT(E$3*24*60*60))</f>
        <v>0</v>
      </c>
      <c r="G9" s="98">
        <f ca="1">Normalisation!G10*SQRT(G$3*24*60*60)/(SQRT(G$3*24*60*60)-SQRT(F$3*24*60*60))</f>
        <v>0</v>
      </c>
      <c r="H9" s="98">
        <f ca="1">Normalisation!H10*SQRT(H$3*24*60*60)/(SQRT(H$3*24*60*60)-SQRT(G$3*24*60*60))</f>
        <v>0</v>
      </c>
      <c r="I9" s="98">
        <f ca="1">Normalisation!I10*SQRT(I$3*24*60*60)/(SQRT(I$3*24*60*60)-SQRT(H$3*24*60*60))</f>
        <v>0</v>
      </c>
      <c r="J9" s="98">
        <f ca="1">Normalisation!J10*SQRT(J$3*24*60*60)/(SQRT(J$3*24*60*60)-SQRT(I$3*24*60*60))</f>
        <v>0</v>
      </c>
      <c r="K9" s="98">
        <f ca="1">Normalisation!K10*SQRT(K$3*24*60*60)/(SQRT(K$3*24*60*60)-SQRT(J$3*24*60*60))</f>
        <v>0</v>
      </c>
      <c r="L9" s="99">
        <f ca="1">Normalisation!L10*SQRT(L$3*24*60*60)/(SQRT(L$3*24*60*60)-SQRT(K$3*24*60*60))</f>
        <v>0</v>
      </c>
    </row>
    <row r="10" spans="1:12" ht="16.5" x14ac:dyDescent="0.2">
      <c r="A10" s="53">
        <f>'Measured Cummulative'!A11</f>
        <v>0</v>
      </c>
      <c r="B10" s="149">
        <f>'Measured Cummulative'!B11</f>
        <v>0</v>
      </c>
      <c r="C10" s="139" t="s">
        <v>100</v>
      </c>
      <c r="D10" s="144"/>
      <c r="E10" s="156">
        <f ca="1">Normalisation!E11*SQRT(E$3*24*60*60)/(SQRT(E$3*24*60*60)-SQRT(0))</f>
        <v>0</v>
      </c>
      <c r="F10" s="98">
        <f ca="1">Normalisation!F11*SQRT(F$3*24*60*60)/(SQRT(F$3*24*60*60)-SQRT(E$3*24*60*60))</f>
        <v>0</v>
      </c>
      <c r="G10" s="98">
        <f ca="1">Normalisation!G11*SQRT(G$3*24*60*60)/(SQRT(G$3*24*60*60)-SQRT(F$3*24*60*60))</f>
        <v>0</v>
      </c>
      <c r="H10" s="98">
        <f ca="1">Normalisation!H11*SQRT(H$3*24*60*60)/(SQRT(H$3*24*60*60)-SQRT(G$3*24*60*60))</f>
        <v>0</v>
      </c>
      <c r="I10" s="98">
        <f ca="1">Normalisation!I11*SQRT(I$3*24*60*60)/(SQRT(I$3*24*60*60)-SQRT(H$3*24*60*60))</f>
        <v>0</v>
      </c>
      <c r="J10" s="98">
        <f ca="1">Normalisation!J11*SQRT(J$3*24*60*60)/(SQRT(J$3*24*60*60)-SQRT(I$3*24*60*60))</f>
        <v>0</v>
      </c>
      <c r="K10" s="98">
        <f ca="1">Normalisation!K11*SQRT(K$3*24*60*60)/(SQRT(K$3*24*60*60)-SQRT(J$3*24*60*60))</f>
        <v>0</v>
      </c>
      <c r="L10" s="99">
        <f ca="1">Normalisation!L11*SQRT(L$3*24*60*60)/(SQRT(L$3*24*60*60)-SQRT(K$3*24*60*60))</f>
        <v>0</v>
      </c>
    </row>
    <row r="11" spans="1:12" ht="16.5" x14ac:dyDescent="0.2">
      <c r="A11" s="53">
        <f>'Measured Cummulative'!A12</f>
        <v>0</v>
      </c>
      <c r="B11" s="149">
        <f>'Measured Cummulative'!B12</f>
        <v>0</v>
      </c>
      <c r="C11" s="139" t="s">
        <v>100</v>
      </c>
      <c r="D11" s="144"/>
      <c r="E11" s="156">
        <f ca="1">Normalisation!E12*SQRT(E$3*24*60*60)/(SQRT(E$3*24*60*60)-SQRT(0))</f>
        <v>0</v>
      </c>
      <c r="F11" s="98">
        <f ca="1">Normalisation!F12*SQRT(F$3*24*60*60)/(SQRT(F$3*24*60*60)-SQRT(E$3*24*60*60))</f>
        <v>0</v>
      </c>
      <c r="G11" s="98">
        <f ca="1">Normalisation!G12*SQRT(G$3*24*60*60)/(SQRT(G$3*24*60*60)-SQRT(F$3*24*60*60))</f>
        <v>0</v>
      </c>
      <c r="H11" s="98">
        <f ca="1">Normalisation!H12*SQRT(H$3*24*60*60)/(SQRT(H$3*24*60*60)-SQRT(G$3*24*60*60))</f>
        <v>0</v>
      </c>
      <c r="I11" s="98">
        <f ca="1">Normalisation!I12*SQRT(I$3*24*60*60)/(SQRT(I$3*24*60*60)-SQRT(H$3*24*60*60))</f>
        <v>0</v>
      </c>
      <c r="J11" s="98">
        <f ca="1">Normalisation!J12*SQRT(J$3*24*60*60)/(SQRT(J$3*24*60*60)-SQRT(I$3*24*60*60))</f>
        <v>0</v>
      </c>
      <c r="K11" s="98">
        <f ca="1">Normalisation!K12*SQRT(K$3*24*60*60)/(SQRT(K$3*24*60*60)-SQRT(J$3*24*60*60))</f>
        <v>0</v>
      </c>
      <c r="L11" s="99">
        <f ca="1">Normalisation!L12*SQRT(L$3*24*60*60)/(SQRT(L$3*24*60*60)-SQRT(K$3*24*60*60))</f>
        <v>0</v>
      </c>
    </row>
    <row r="12" spans="1:12" ht="16.5" x14ac:dyDescent="0.2">
      <c r="A12" s="53">
        <f>'Measured Cummulative'!A13</f>
        <v>0</v>
      </c>
      <c r="B12" s="149">
        <f>'Measured Cummulative'!B13</f>
        <v>0</v>
      </c>
      <c r="C12" s="139" t="s">
        <v>100</v>
      </c>
      <c r="D12" s="144"/>
      <c r="E12" s="156">
        <f ca="1">Normalisation!E13*SQRT(E$3*24*60*60)/(SQRT(E$3*24*60*60)-SQRT(0))</f>
        <v>0</v>
      </c>
      <c r="F12" s="98">
        <f ca="1">Normalisation!F13*SQRT(F$3*24*60*60)/(SQRT(F$3*24*60*60)-SQRT(E$3*24*60*60))</f>
        <v>0</v>
      </c>
      <c r="G12" s="98">
        <f ca="1">Normalisation!G13*SQRT(G$3*24*60*60)/(SQRT(G$3*24*60*60)-SQRT(F$3*24*60*60))</f>
        <v>0</v>
      </c>
      <c r="H12" s="98">
        <f ca="1">Normalisation!H13*SQRT(H$3*24*60*60)/(SQRT(H$3*24*60*60)-SQRT(G$3*24*60*60))</f>
        <v>0</v>
      </c>
      <c r="I12" s="98">
        <f ca="1">Normalisation!I13*SQRT(I$3*24*60*60)/(SQRT(I$3*24*60*60)-SQRT(H$3*24*60*60))</f>
        <v>0</v>
      </c>
      <c r="J12" s="98">
        <f ca="1">Normalisation!J13*SQRT(J$3*24*60*60)/(SQRT(J$3*24*60*60)-SQRT(I$3*24*60*60))</f>
        <v>0</v>
      </c>
      <c r="K12" s="98">
        <f ca="1">Normalisation!K13*SQRT(K$3*24*60*60)/(SQRT(K$3*24*60*60)-SQRT(J$3*24*60*60))</f>
        <v>0</v>
      </c>
      <c r="L12" s="99">
        <f ca="1">Normalisation!L13*SQRT(L$3*24*60*60)/(SQRT(L$3*24*60*60)-SQRT(K$3*24*60*60))</f>
        <v>0</v>
      </c>
    </row>
    <row r="13" spans="1:12" ht="16.5" x14ac:dyDescent="0.2">
      <c r="A13" s="53">
        <f>'Measured Cummulative'!A14</f>
        <v>0</v>
      </c>
      <c r="B13" s="149">
        <f>'Measured Cummulative'!B14</f>
        <v>0</v>
      </c>
      <c r="C13" s="139" t="s">
        <v>100</v>
      </c>
      <c r="D13" s="144"/>
      <c r="E13" s="156">
        <f ca="1">Normalisation!E14*SQRT(E$3*24*60*60)/(SQRT(E$3*24*60*60)-SQRT(0))</f>
        <v>0</v>
      </c>
      <c r="F13" s="98">
        <f ca="1">Normalisation!F14*SQRT(F$3*24*60*60)/(SQRT(F$3*24*60*60)-SQRT(E$3*24*60*60))</f>
        <v>0</v>
      </c>
      <c r="G13" s="98">
        <f ca="1">Normalisation!G14*SQRT(G$3*24*60*60)/(SQRT(G$3*24*60*60)-SQRT(F$3*24*60*60))</f>
        <v>0</v>
      </c>
      <c r="H13" s="98">
        <f ca="1">Normalisation!H14*SQRT(H$3*24*60*60)/(SQRT(H$3*24*60*60)-SQRT(G$3*24*60*60))</f>
        <v>0</v>
      </c>
      <c r="I13" s="98">
        <f ca="1">Normalisation!I14*SQRT(I$3*24*60*60)/(SQRT(I$3*24*60*60)-SQRT(H$3*24*60*60))</f>
        <v>0</v>
      </c>
      <c r="J13" s="98">
        <f ca="1">Normalisation!J14*SQRT(J$3*24*60*60)/(SQRT(J$3*24*60*60)-SQRT(I$3*24*60*60))</f>
        <v>0</v>
      </c>
      <c r="K13" s="98">
        <f ca="1">Normalisation!K14*SQRT(K$3*24*60*60)/(SQRT(K$3*24*60*60)-SQRT(J$3*24*60*60))</f>
        <v>0</v>
      </c>
      <c r="L13" s="99">
        <f ca="1">Normalisation!L14*SQRT(L$3*24*60*60)/(SQRT(L$3*24*60*60)-SQRT(K$3*24*60*60))</f>
        <v>0</v>
      </c>
    </row>
    <row r="14" spans="1:12" ht="16.5" x14ac:dyDescent="0.2">
      <c r="A14" s="53">
        <f>'Measured Cummulative'!A15</f>
        <v>0</v>
      </c>
      <c r="B14" s="149">
        <f>'Measured Cummulative'!B15</f>
        <v>0</v>
      </c>
      <c r="C14" s="139" t="s">
        <v>100</v>
      </c>
      <c r="D14" s="144"/>
      <c r="E14" s="156">
        <f ca="1">Normalisation!E15*SQRT(E$3*24*60*60)/(SQRT(E$3*24*60*60)-SQRT(0))</f>
        <v>0</v>
      </c>
      <c r="F14" s="98">
        <f ca="1">Normalisation!F15*SQRT(F$3*24*60*60)/(SQRT(F$3*24*60*60)-SQRT(E$3*24*60*60))</f>
        <v>0</v>
      </c>
      <c r="G14" s="98">
        <f ca="1">Normalisation!G15*SQRT(G$3*24*60*60)/(SQRT(G$3*24*60*60)-SQRT(F$3*24*60*60))</f>
        <v>0</v>
      </c>
      <c r="H14" s="98">
        <f ca="1">Normalisation!H15*SQRT(H$3*24*60*60)/(SQRT(H$3*24*60*60)-SQRT(G$3*24*60*60))</f>
        <v>0</v>
      </c>
      <c r="I14" s="98">
        <f ca="1">Normalisation!I15*SQRT(I$3*24*60*60)/(SQRT(I$3*24*60*60)-SQRT(H$3*24*60*60))</f>
        <v>0</v>
      </c>
      <c r="J14" s="98">
        <f ca="1">Normalisation!J15*SQRT(J$3*24*60*60)/(SQRT(J$3*24*60*60)-SQRT(I$3*24*60*60))</f>
        <v>0</v>
      </c>
      <c r="K14" s="98">
        <f ca="1">Normalisation!K15*SQRT(K$3*24*60*60)/(SQRT(K$3*24*60*60)-SQRT(J$3*24*60*60))</f>
        <v>0</v>
      </c>
      <c r="L14" s="99">
        <f ca="1">Normalisation!L15*SQRT(L$3*24*60*60)/(SQRT(L$3*24*60*60)-SQRT(K$3*24*60*60))</f>
        <v>0</v>
      </c>
    </row>
    <row r="15" spans="1:12" ht="16.5" x14ac:dyDescent="0.2">
      <c r="A15" s="53">
        <f>'Measured Cummulative'!A16</f>
        <v>0</v>
      </c>
      <c r="B15" s="149">
        <f>'Measured Cummulative'!B16</f>
        <v>0</v>
      </c>
      <c r="C15" s="139" t="s">
        <v>100</v>
      </c>
      <c r="D15" s="144"/>
      <c r="E15" s="156">
        <f ca="1">Normalisation!E16*SQRT(E$3*24*60*60)/(SQRT(E$3*24*60*60)-SQRT(0))</f>
        <v>0</v>
      </c>
      <c r="F15" s="98">
        <f ca="1">Normalisation!F16*SQRT(F$3*24*60*60)/(SQRT(F$3*24*60*60)-SQRT(E$3*24*60*60))</f>
        <v>0</v>
      </c>
      <c r="G15" s="98">
        <f ca="1">Normalisation!G16*SQRT(G$3*24*60*60)/(SQRT(G$3*24*60*60)-SQRT(F$3*24*60*60))</f>
        <v>0</v>
      </c>
      <c r="H15" s="98">
        <f ca="1">Normalisation!H16*SQRT(H$3*24*60*60)/(SQRT(H$3*24*60*60)-SQRT(G$3*24*60*60))</f>
        <v>0</v>
      </c>
      <c r="I15" s="98">
        <f ca="1">Normalisation!I16*SQRT(I$3*24*60*60)/(SQRT(I$3*24*60*60)-SQRT(H$3*24*60*60))</f>
        <v>0</v>
      </c>
      <c r="J15" s="98">
        <f ca="1">Normalisation!J16*SQRT(J$3*24*60*60)/(SQRT(J$3*24*60*60)-SQRT(I$3*24*60*60))</f>
        <v>0</v>
      </c>
      <c r="K15" s="98">
        <f ca="1">Normalisation!K16*SQRT(K$3*24*60*60)/(SQRT(K$3*24*60*60)-SQRT(J$3*24*60*60))</f>
        <v>0</v>
      </c>
      <c r="L15" s="99">
        <f ca="1">Normalisation!L16*SQRT(L$3*24*60*60)/(SQRT(L$3*24*60*60)-SQRT(K$3*24*60*60))</f>
        <v>0</v>
      </c>
    </row>
    <row r="16" spans="1:12" ht="16.5" x14ac:dyDescent="0.2">
      <c r="A16" s="53">
        <f>'Measured Cummulative'!A17</f>
        <v>0</v>
      </c>
      <c r="B16" s="149">
        <f>'Measured Cummulative'!B17</f>
        <v>0</v>
      </c>
      <c r="C16" s="139" t="s">
        <v>100</v>
      </c>
      <c r="D16" s="144"/>
      <c r="E16" s="156">
        <f ca="1">Normalisation!E17*SQRT(E$3*24*60*60)/(SQRT(E$3*24*60*60)-SQRT(0))</f>
        <v>0</v>
      </c>
      <c r="F16" s="98">
        <f ca="1">Normalisation!F17*SQRT(F$3*24*60*60)/(SQRT(F$3*24*60*60)-SQRT(E$3*24*60*60))</f>
        <v>0</v>
      </c>
      <c r="G16" s="98">
        <f ca="1">Normalisation!G17*SQRT(G$3*24*60*60)/(SQRT(G$3*24*60*60)-SQRT(F$3*24*60*60))</f>
        <v>0</v>
      </c>
      <c r="H16" s="98">
        <f ca="1">Normalisation!H17*SQRT(H$3*24*60*60)/(SQRT(H$3*24*60*60)-SQRT(G$3*24*60*60))</f>
        <v>0</v>
      </c>
      <c r="I16" s="98">
        <f ca="1">Normalisation!I17*SQRT(I$3*24*60*60)/(SQRT(I$3*24*60*60)-SQRT(H$3*24*60*60))</f>
        <v>0</v>
      </c>
      <c r="J16" s="98">
        <f ca="1">Normalisation!J17*SQRT(J$3*24*60*60)/(SQRT(J$3*24*60*60)-SQRT(I$3*24*60*60))</f>
        <v>0</v>
      </c>
      <c r="K16" s="98">
        <f ca="1">Normalisation!K17*SQRT(K$3*24*60*60)/(SQRT(K$3*24*60*60)-SQRT(J$3*24*60*60))</f>
        <v>0</v>
      </c>
      <c r="L16" s="99">
        <f ca="1">Normalisation!L17*SQRT(L$3*24*60*60)/(SQRT(L$3*24*60*60)-SQRT(K$3*24*60*60))</f>
        <v>0</v>
      </c>
    </row>
    <row r="17" spans="1:12" ht="16.5" x14ac:dyDescent="0.2">
      <c r="A17" s="53">
        <f>'Measured Cummulative'!A18</f>
        <v>0</v>
      </c>
      <c r="B17" s="149">
        <f>'Measured Cummulative'!B18</f>
        <v>0</v>
      </c>
      <c r="C17" s="139" t="s">
        <v>100</v>
      </c>
      <c r="D17" s="144"/>
      <c r="E17" s="156">
        <f ca="1">Normalisation!E18*SQRT(E$3*24*60*60)/(SQRT(E$3*24*60*60)-SQRT(0))</f>
        <v>0</v>
      </c>
      <c r="F17" s="98">
        <f ca="1">Normalisation!F18*SQRT(F$3*24*60*60)/(SQRT(F$3*24*60*60)-SQRT(E$3*24*60*60))</f>
        <v>0</v>
      </c>
      <c r="G17" s="98">
        <f ca="1">Normalisation!G18*SQRT(G$3*24*60*60)/(SQRT(G$3*24*60*60)-SQRT(F$3*24*60*60))</f>
        <v>0</v>
      </c>
      <c r="H17" s="98">
        <f ca="1">Normalisation!H18*SQRT(H$3*24*60*60)/(SQRT(H$3*24*60*60)-SQRT(G$3*24*60*60))</f>
        <v>0</v>
      </c>
      <c r="I17" s="98">
        <f ca="1">Normalisation!I18*SQRT(I$3*24*60*60)/(SQRT(I$3*24*60*60)-SQRT(H$3*24*60*60))</f>
        <v>0</v>
      </c>
      <c r="J17" s="98">
        <f ca="1">Normalisation!J18*SQRT(J$3*24*60*60)/(SQRT(J$3*24*60*60)-SQRT(I$3*24*60*60))</f>
        <v>0</v>
      </c>
      <c r="K17" s="98">
        <f ca="1">Normalisation!K18*SQRT(K$3*24*60*60)/(SQRT(K$3*24*60*60)-SQRT(J$3*24*60*60))</f>
        <v>0</v>
      </c>
      <c r="L17" s="99">
        <f ca="1">Normalisation!L18*SQRT(L$3*24*60*60)/(SQRT(L$3*24*60*60)-SQRT(K$3*24*60*60))</f>
        <v>0</v>
      </c>
    </row>
    <row r="18" spans="1:12" ht="16.5" x14ac:dyDescent="0.2">
      <c r="A18" s="53">
        <f>'Measured Cummulative'!A19</f>
        <v>0</v>
      </c>
      <c r="B18" s="149">
        <f>'Measured Cummulative'!B19</f>
        <v>0</v>
      </c>
      <c r="C18" s="139" t="s">
        <v>100</v>
      </c>
      <c r="D18" s="144"/>
      <c r="E18" s="156">
        <f ca="1">Normalisation!E19*SQRT(E$3*24*60*60)/(SQRT(E$3*24*60*60)-SQRT(0))</f>
        <v>0</v>
      </c>
      <c r="F18" s="98">
        <f ca="1">Normalisation!F19*SQRT(F$3*24*60*60)/(SQRT(F$3*24*60*60)-SQRT(E$3*24*60*60))</f>
        <v>0</v>
      </c>
      <c r="G18" s="98">
        <f ca="1">Normalisation!G19*SQRT(G$3*24*60*60)/(SQRT(G$3*24*60*60)-SQRT(F$3*24*60*60))</f>
        <v>0</v>
      </c>
      <c r="H18" s="98">
        <f ca="1">Normalisation!H19*SQRT(H$3*24*60*60)/(SQRT(H$3*24*60*60)-SQRT(G$3*24*60*60))</f>
        <v>0</v>
      </c>
      <c r="I18" s="98">
        <f ca="1">Normalisation!I19*SQRT(I$3*24*60*60)/(SQRT(I$3*24*60*60)-SQRT(H$3*24*60*60))</f>
        <v>0</v>
      </c>
      <c r="J18" s="98">
        <f ca="1">Normalisation!J19*SQRT(J$3*24*60*60)/(SQRT(J$3*24*60*60)-SQRT(I$3*24*60*60))</f>
        <v>0</v>
      </c>
      <c r="K18" s="98">
        <f ca="1">Normalisation!K19*SQRT(K$3*24*60*60)/(SQRT(K$3*24*60*60)-SQRT(J$3*24*60*60))</f>
        <v>0</v>
      </c>
      <c r="L18" s="99">
        <f ca="1">Normalisation!L19*SQRT(L$3*24*60*60)/(SQRT(L$3*24*60*60)-SQRT(K$3*24*60*60))</f>
        <v>0</v>
      </c>
    </row>
    <row r="19" spans="1:12" ht="16.5" x14ac:dyDescent="0.2">
      <c r="A19" s="53">
        <f>'Measured Cummulative'!A20</f>
        <v>0</v>
      </c>
      <c r="B19" s="149">
        <f>'Measured Cummulative'!B20</f>
        <v>0</v>
      </c>
      <c r="C19" s="139" t="s">
        <v>100</v>
      </c>
      <c r="D19" s="144"/>
      <c r="E19" s="156">
        <f ca="1">Normalisation!E20*SQRT(E$3*24*60*60)/(SQRT(E$3*24*60*60)-SQRT(0))</f>
        <v>0</v>
      </c>
      <c r="F19" s="98">
        <f ca="1">Normalisation!F20*SQRT(F$3*24*60*60)/(SQRT(F$3*24*60*60)-SQRT(E$3*24*60*60))</f>
        <v>0</v>
      </c>
      <c r="G19" s="98">
        <f ca="1">Normalisation!G20*SQRT(G$3*24*60*60)/(SQRT(G$3*24*60*60)-SQRT(F$3*24*60*60))</f>
        <v>0</v>
      </c>
      <c r="H19" s="98">
        <f ca="1">Normalisation!H20*SQRT(H$3*24*60*60)/(SQRT(H$3*24*60*60)-SQRT(G$3*24*60*60))</f>
        <v>0</v>
      </c>
      <c r="I19" s="98">
        <f ca="1">Normalisation!I20*SQRT(I$3*24*60*60)/(SQRT(I$3*24*60*60)-SQRT(H$3*24*60*60))</f>
        <v>0</v>
      </c>
      <c r="J19" s="98">
        <f ca="1">Normalisation!J20*SQRT(J$3*24*60*60)/(SQRT(J$3*24*60*60)-SQRT(I$3*24*60*60))</f>
        <v>0</v>
      </c>
      <c r="K19" s="98">
        <f ca="1">Normalisation!K20*SQRT(K$3*24*60*60)/(SQRT(K$3*24*60*60)-SQRT(J$3*24*60*60))</f>
        <v>0</v>
      </c>
      <c r="L19" s="99">
        <f ca="1">Normalisation!L20*SQRT(L$3*24*60*60)/(SQRT(L$3*24*60*60)-SQRT(K$3*24*60*60))</f>
        <v>0</v>
      </c>
    </row>
    <row r="20" spans="1:12" ht="16.5" x14ac:dyDescent="0.2">
      <c r="A20" s="53">
        <f>'Measured Cummulative'!A21</f>
        <v>0</v>
      </c>
      <c r="B20" s="149">
        <f>'Measured Cummulative'!B21</f>
        <v>0</v>
      </c>
      <c r="C20" s="139" t="s">
        <v>100</v>
      </c>
      <c r="D20" s="144"/>
      <c r="E20" s="156">
        <f ca="1">Normalisation!E21*SQRT(E$3*24*60*60)/(SQRT(E$3*24*60*60)-SQRT(0))</f>
        <v>0</v>
      </c>
      <c r="F20" s="98">
        <f ca="1">Normalisation!F21*SQRT(F$3*24*60*60)/(SQRT(F$3*24*60*60)-SQRT(E$3*24*60*60))</f>
        <v>0</v>
      </c>
      <c r="G20" s="98">
        <f ca="1">Normalisation!G21*SQRT(G$3*24*60*60)/(SQRT(G$3*24*60*60)-SQRT(F$3*24*60*60))</f>
        <v>0</v>
      </c>
      <c r="H20" s="98">
        <f ca="1">Normalisation!H21*SQRT(H$3*24*60*60)/(SQRT(H$3*24*60*60)-SQRT(G$3*24*60*60))</f>
        <v>0</v>
      </c>
      <c r="I20" s="98">
        <f ca="1">Normalisation!I21*SQRT(I$3*24*60*60)/(SQRT(I$3*24*60*60)-SQRT(H$3*24*60*60))</f>
        <v>0</v>
      </c>
      <c r="J20" s="98">
        <f ca="1">Normalisation!J21*SQRT(J$3*24*60*60)/(SQRT(J$3*24*60*60)-SQRT(I$3*24*60*60))</f>
        <v>0</v>
      </c>
      <c r="K20" s="98">
        <f ca="1">Normalisation!K21*SQRT(K$3*24*60*60)/(SQRT(K$3*24*60*60)-SQRT(J$3*24*60*60))</f>
        <v>0</v>
      </c>
      <c r="L20" s="99">
        <f ca="1">Normalisation!L21*SQRT(L$3*24*60*60)/(SQRT(L$3*24*60*60)-SQRT(K$3*24*60*60))</f>
        <v>0</v>
      </c>
    </row>
    <row r="21" spans="1:12" ht="16.5" x14ac:dyDescent="0.2">
      <c r="A21" s="53">
        <f>'Measured Cummulative'!A22</f>
        <v>0</v>
      </c>
      <c r="B21" s="149">
        <f>'Measured Cummulative'!B22</f>
        <v>0</v>
      </c>
      <c r="C21" s="139" t="s">
        <v>100</v>
      </c>
      <c r="D21" s="144"/>
      <c r="E21" s="156">
        <f ca="1">Normalisation!E22*SQRT(E$3*24*60*60)/(SQRT(E$3*24*60*60)-SQRT(0))</f>
        <v>0</v>
      </c>
      <c r="F21" s="98">
        <f ca="1">Normalisation!F22*SQRT(F$3*24*60*60)/(SQRT(F$3*24*60*60)-SQRT(E$3*24*60*60))</f>
        <v>0</v>
      </c>
      <c r="G21" s="98">
        <f ca="1">Normalisation!G22*SQRT(G$3*24*60*60)/(SQRT(G$3*24*60*60)-SQRT(F$3*24*60*60))</f>
        <v>0</v>
      </c>
      <c r="H21" s="98">
        <f ca="1">Normalisation!H22*SQRT(H$3*24*60*60)/(SQRT(H$3*24*60*60)-SQRT(G$3*24*60*60))</f>
        <v>0</v>
      </c>
      <c r="I21" s="98">
        <f ca="1">Normalisation!I22*SQRT(I$3*24*60*60)/(SQRT(I$3*24*60*60)-SQRT(H$3*24*60*60))</f>
        <v>0</v>
      </c>
      <c r="J21" s="98">
        <f ca="1">Normalisation!J22*SQRT(J$3*24*60*60)/(SQRT(J$3*24*60*60)-SQRT(I$3*24*60*60))</f>
        <v>0</v>
      </c>
      <c r="K21" s="98">
        <f ca="1">Normalisation!K22*SQRT(K$3*24*60*60)/(SQRT(K$3*24*60*60)-SQRT(J$3*24*60*60))</f>
        <v>0</v>
      </c>
      <c r="L21" s="99">
        <f ca="1">Normalisation!L22*SQRT(L$3*24*60*60)/(SQRT(L$3*24*60*60)-SQRT(K$3*24*60*60))</f>
        <v>0</v>
      </c>
    </row>
    <row r="22" spans="1:12" ht="16.5" hidden="1" x14ac:dyDescent="0.2">
      <c r="A22" s="53">
        <f>'Measured Cummulative'!A23</f>
        <v>0</v>
      </c>
      <c r="B22" s="149">
        <f>'Measured Cummulative'!B23</f>
        <v>0</v>
      </c>
      <c r="C22" s="139" t="s">
        <v>100</v>
      </c>
      <c r="D22" s="144"/>
      <c r="E22" s="156">
        <f ca="1">Normalisation!E23*SQRT(E$3*24*60*60)/(SQRT(E$3*24*60*60)-SQRT(0))</f>
        <v>0</v>
      </c>
      <c r="F22" s="98">
        <f ca="1">Normalisation!F23*SQRT(F$3*24*60*60)/(SQRT(F$3*24*60*60)-SQRT(E$3*24*60*60))</f>
        <v>0</v>
      </c>
      <c r="G22" s="98">
        <f ca="1">Normalisation!G23*SQRT(G$3*24*60*60)/(SQRT(G$3*24*60*60)-SQRT(F$3*24*60*60))</f>
        <v>0</v>
      </c>
      <c r="H22" s="98">
        <f ca="1">Normalisation!H23*SQRT(H$3*24*60*60)/(SQRT(H$3*24*60*60)-SQRT(G$3*24*60*60))</f>
        <v>0</v>
      </c>
      <c r="I22" s="98">
        <f ca="1">Normalisation!I23*SQRT(I$3*24*60*60)/(SQRT(I$3*24*60*60)-SQRT(H$3*24*60*60))</f>
        <v>0</v>
      </c>
      <c r="J22" s="98">
        <f ca="1">Normalisation!J23*SQRT(J$3*24*60*60)/(SQRT(J$3*24*60*60)-SQRT(I$3*24*60*60))</f>
        <v>0</v>
      </c>
      <c r="K22" s="98">
        <f ca="1">Normalisation!K23*SQRT(K$3*24*60*60)/(SQRT(K$3*24*60*60)-SQRT(J$3*24*60*60))</f>
        <v>0</v>
      </c>
      <c r="L22" s="99">
        <f ca="1">Normalisation!L23*SQRT(L$3*24*60*60)/(SQRT(L$3*24*60*60)-SQRT(K$3*24*60*60))</f>
        <v>0</v>
      </c>
    </row>
    <row r="23" spans="1:12" ht="16.5" hidden="1" x14ac:dyDescent="0.2">
      <c r="A23" s="53">
        <f>'Measured Cummulative'!A24</f>
        <v>0</v>
      </c>
      <c r="B23" s="149">
        <f>'Measured Cummulative'!B24</f>
        <v>0</v>
      </c>
      <c r="C23" s="139" t="s">
        <v>100</v>
      </c>
      <c r="D23" s="144"/>
      <c r="E23" s="156">
        <f ca="1">Normalisation!E24*SQRT(E$3*24*60*60)/(SQRT(E$3*24*60*60)-SQRT(0))</f>
        <v>0</v>
      </c>
      <c r="F23" s="98">
        <f ca="1">Normalisation!F24*SQRT(F$3*24*60*60)/(SQRT(F$3*24*60*60)-SQRT(E$3*24*60*60))</f>
        <v>0</v>
      </c>
      <c r="G23" s="98">
        <f ca="1">Normalisation!G24*SQRT(G$3*24*60*60)/(SQRT(G$3*24*60*60)-SQRT(F$3*24*60*60))</f>
        <v>0</v>
      </c>
      <c r="H23" s="98">
        <f ca="1">Normalisation!H24*SQRT(H$3*24*60*60)/(SQRT(H$3*24*60*60)-SQRT(G$3*24*60*60))</f>
        <v>0</v>
      </c>
      <c r="I23" s="98">
        <f ca="1">Normalisation!I24*SQRT(I$3*24*60*60)/(SQRT(I$3*24*60*60)-SQRT(H$3*24*60*60))</f>
        <v>0</v>
      </c>
      <c r="J23" s="98">
        <f ca="1">Normalisation!J24*SQRT(J$3*24*60*60)/(SQRT(J$3*24*60*60)-SQRT(I$3*24*60*60))</f>
        <v>0</v>
      </c>
      <c r="K23" s="98">
        <f ca="1">Normalisation!K24*SQRT(K$3*24*60*60)/(SQRT(K$3*24*60*60)-SQRT(J$3*24*60*60))</f>
        <v>0</v>
      </c>
      <c r="L23" s="99">
        <f ca="1">Normalisation!L24*SQRT(L$3*24*60*60)/(SQRT(L$3*24*60*60)-SQRT(K$3*24*60*60))</f>
        <v>0</v>
      </c>
    </row>
    <row r="24" spans="1:12" ht="16.5" x14ac:dyDescent="0.2">
      <c r="A24" s="53">
        <f>'Measured Cummulative'!A25</f>
        <v>0</v>
      </c>
      <c r="B24" s="149">
        <f>'Measured Cummulative'!B25</f>
        <v>0</v>
      </c>
      <c r="C24" s="139" t="s">
        <v>100</v>
      </c>
      <c r="D24" s="144"/>
      <c r="E24" s="156">
        <f ca="1">Normalisation!E25*SQRT(E$3*24*60*60)/(SQRT(E$3*24*60*60)-SQRT(0))</f>
        <v>0</v>
      </c>
      <c r="F24" s="98">
        <f ca="1">Normalisation!F25*SQRT(F$3*24*60*60)/(SQRT(F$3*24*60*60)-SQRT(E$3*24*60*60))</f>
        <v>0</v>
      </c>
      <c r="G24" s="98">
        <f ca="1">Normalisation!G25*SQRT(G$3*24*60*60)/(SQRT(G$3*24*60*60)-SQRT(F$3*24*60*60))</f>
        <v>0</v>
      </c>
      <c r="H24" s="98">
        <f ca="1">Normalisation!H25*SQRT(H$3*24*60*60)/(SQRT(H$3*24*60*60)-SQRT(G$3*24*60*60))</f>
        <v>0</v>
      </c>
      <c r="I24" s="98">
        <f ca="1">Normalisation!I25*SQRT(I$3*24*60*60)/(SQRT(I$3*24*60*60)-SQRT(H$3*24*60*60))</f>
        <v>0</v>
      </c>
      <c r="J24" s="98">
        <f ca="1">Normalisation!J25*SQRT(J$3*24*60*60)/(SQRT(J$3*24*60*60)-SQRT(I$3*24*60*60))</f>
        <v>0</v>
      </c>
      <c r="K24" s="98">
        <f ca="1">Normalisation!K25*SQRT(K$3*24*60*60)/(SQRT(K$3*24*60*60)-SQRT(J$3*24*60*60))</f>
        <v>0</v>
      </c>
      <c r="L24" s="99">
        <f ca="1">Normalisation!L25*SQRT(L$3*24*60*60)/(SQRT(L$3*24*60*60)-SQRT(K$3*24*60*60))</f>
        <v>0</v>
      </c>
    </row>
    <row r="25" spans="1:12" ht="16.5" x14ac:dyDescent="0.2">
      <c r="A25" s="53">
        <f>'Measured Cummulative'!A26</f>
        <v>0</v>
      </c>
      <c r="B25" s="149">
        <f>'Measured Cummulative'!B26</f>
        <v>0</v>
      </c>
      <c r="C25" s="139" t="s">
        <v>100</v>
      </c>
      <c r="D25" s="144"/>
      <c r="E25" s="156">
        <f ca="1">Normalisation!E26*SQRT(E$3*24*60*60)/(SQRT(E$3*24*60*60)-SQRT(0))</f>
        <v>0</v>
      </c>
      <c r="F25" s="98">
        <f ca="1">Normalisation!F26*SQRT(F$3*24*60*60)/(SQRT(F$3*24*60*60)-SQRT(E$3*24*60*60))</f>
        <v>0</v>
      </c>
      <c r="G25" s="98">
        <f ca="1">Normalisation!G26*SQRT(G$3*24*60*60)/(SQRT(G$3*24*60*60)-SQRT(F$3*24*60*60))</f>
        <v>0</v>
      </c>
      <c r="H25" s="98">
        <f ca="1">Normalisation!H26*SQRT(H$3*24*60*60)/(SQRT(H$3*24*60*60)-SQRT(G$3*24*60*60))</f>
        <v>0</v>
      </c>
      <c r="I25" s="98">
        <f ca="1">Normalisation!I26*SQRT(I$3*24*60*60)/(SQRT(I$3*24*60*60)-SQRT(H$3*24*60*60))</f>
        <v>0</v>
      </c>
      <c r="J25" s="98">
        <f ca="1">Normalisation!J26*SQRT(J$3*24*60*60)/(SQRT(J$3*24*60*60)-SQRT(I$3*24*60*60))</f>
        <v>0</v>
      </c>
      <c r="K25" s="98">
        <f ca="1">Normalisation!K26*SQRT(K$3*24*60*60)/(SQRT(K$3*24*60*60)-SQRT(J$3*24*60*60))</f>
        <v>0</v>
      </c>
      <c r="L25" s="99">
        <f ca="1">Normalisation!L26*SQRT(L$3*24*60*60)/(SQRT(L$3*24*60*60)-SQRT(K$3*24*60*60))</f>
        <v>0</v>
      </c>
    </row>
    <row r="26" spans="1:12" ht="16.5" x14ac:dyDescent="0.2">
      <c r="A26" s="53">
        <f>'Measured Cummulative'!A27</f>
        <v>0</v>
      </c>
      <c r="B26" s="149">
        <f>'Measured Cummulative'!B27</f>
        <v>0</v>
      </c>
      <c r="C26" s="139" t="s">
        <v>100</v>
      </c>
      <c r="D26" s="144"/>
      <c r="E26" s="156">
        <f ca="1">Normalisation!E27*SQRT(E$3*24*60*60)/(SQRT(E$3*24*60*60)-SQRT(0))</f>
        <v>0</v>
      </c>
      <c r="F26" s="98">
        <f ca="1">Normalisation!F27*SQRT(F$3*24*60*60)/(SQRT(F$3*24*60*60)-SQRT(E$3*24*60*60))</f>
        <v>0</v>
      </c>
      <c r="G26" s="98">
        <f ca="1">Normalisation!G27*SQRT(G$3*24*60*60)/(SQRT(G$3*24*60*60)-SQRT(F$3*24*60*60))</f>
        <v>0</v>
      </c>
      <c r="H26" s="98">
        <f ca="1">Normalisation!H27*SQRT(H$3*24*60*60)/(SQRT(H$3*24*60*60)-SQRT(G$3*24*60*60))</f>
        <v>0</v>
      </c>
      <c r="I26" s="98">
        <f ca="1">Normalisation!I27*SQRT(I$3*24*60*60)/(SQRT(I$3*24*60*60)-SQRT(H$3*24*60*60))</f>
        <v>0</v>
      </c>
      <c r="J26" s="98">
        <f ca="1">Normalisation!J27*SQRT(J$3*24*60*60)/(SQRT(J$3*24*60*60)-SQRT(I$3*24*60*60))</f>
        <v>0</v>
      </c>
      <c r="K26" s="98">
        <f ca="1">Normalisation!K27*SQRT(K$3*24*60*60)/(SQRT(K$3*24*60*60)-SQRT(J$3*24*60*60))</f>
        <v>0</v>
      </c>
      <c r="L26" s="99">
        <f ca="1">Normalisation!L27*SQRT(L$3*24*60*60)/(SQRT(L$3*24*60*60)-SQRT(K$3*24*60*60))</f>
        <v>0</v>
      </c>
    </row>
    <row r="27" spans="1:12" ht="16.5" x14ac:dyDescent="0.2">
      <c r="A27" s="53">
        <f>'Measured Cummulative'!A28</f>
        <v>0</v>
      </c>
      <c r="B27" s="149">
        <f>'Measured Cummulative'!B28</f>
        <v>0</v>
      </c>
      <c r="C27" s="139" t="s">
        <v>100</v>
      </c>
      <c r="D27" s="144"/>
      <c r="E27" s="156">
        <f ca="1">Normalisation!E28*SQRT(E$3*24*60*60)/(SQRT(E$3*24*60*60)-SQRT(0))</f>
        <v>0</v>
      </c>
      <c r="F27" s="98">
        <f ca="1">Normalisation!F28*SQRT(F$3*24*60*60)/(SQRT(F$3*24*60*60)-SQRT(E$3*24*60*60))</f>
        <v>0</v>
      </c>
      <c r="G27" s="98">
        <f ca="1">Normalisation!G28*SQRT(G$3*24*60*60)/(SQRT(G$3*24*60*60)-SQRT(F$3*24*60*60))</f>
        <v>0</v>
      </c>
      <c r="H27" s="98">
        <f ca="1">Normalisation!H28*SQRT(H$3*24*60*60)/(SQRT(H$3*24*60*60)-SQRT(G$3*24*60*60))</f>
        <v>0</v>
      </c>
      <c r="I27" s="98">
        <f ca="1">Normalisation!I28*SQRT(I$3*24*60*60)/(SQRT(I$3*24*60*60)-SQRT(H$3*24*60*60))</f>
        <v>0</v>
      </c>
      <c r="J27" s="98">
        <f ca="1">Normalisation!J28*SQRT(J$3*24*60*60)/(SQRT(J$3*24*60*60)-SQRT(I$3*24*60*60))</f>
        <v>0</v>
      </c>
      <c r="K27" s="98">
        <f ca="1">Normalisation!K28*SQRT(K$3*24*60*60)/(SQRT(K$3*24*60*60)-SQRT(J$3*24*60*60))</f>
        <v>0</v>
      </c>
      <c r="L27" s="99">
        <f ca="1">Normalisation!L28*SQRT(L$3*24*60*60)/(SQRT(L$3*24*60*60)-SQRT(K$3*24*60*60))</f>
        <v>0</v>
      </c>
    </row>
    <row r="28" spans="1:12" ht="16.5" x14ac:dyDescent="0.2">
      <c r="A28" s="53">
        <f>'Measured Cummulative'!A29</f>
        <v>0</v>
      </c>
      <c r="B28" s="149">
        <f>'Measured Cummulative'!B29</f>
        <v>0</v>
      </c>
      <c r="C28" s="139" t="s">
        <v>100</v>
      </c>
      <c r="D28" s="144"/>
      <c r="E28" s="156">
        <f ca="1">Normalisation!E29*SQRT(E$3*24*60*60)/(SQRT(E$3*24*60*60)-SQRT(0))</f>
        <v>0</v>
      </c>
      <c r="F28" s="98">
        <f ca="1">Normalisation!F29*SQRT(F$3*24*60*60)/(SQRT(F$3*24*60*60)-SQRT(E$3*24*60*60))</f>
        <v>0</v>
      </c>
      <c r="G28" s="98">
        <f ca="1">Normalisation!G29*SQRT(G$3*24*60*60)/(SQRT(G$3*24*60*60)-SQRT(F$3*24*60*60))</f>
        <v>0</v>
      </c>
      <c r="H28" s="98">
        <f ca="1">Normalisation!H29*SQRT(H$3*24*60*60)/(SQRT(H$3*24*60*60)-SQRT(G$3*24*60*60))</f>
        <v>0</v>
      </c>
      <c r="I28" s="98">
        <f ca="1">Normalisation!I29*SQRT(I$3*24*60*60)/(SQRT(I$3*24*60*60)-SQRT(H$3*24*60*60))</f>
        <v>0</v>
      </c>
      <c r="J28" s="98">
        <f ca="1">Normalisation!J29*SQRT(J$3*24*60*60)/(SQRT(J$3*24*60*60)-SQRT(I$3*24*60*60))</f>
        <v>0</v>
      </c>
      <c r="K28" s="98">
        <f ca="1">Normalisation!K29*SQRT(K$3*24*60*60)/(SQRT(K$3*24*60*60)-SQRT(J$3*24*60*60))</f>
        <v>0</v>
      </c>
      <c r="L28" s="99">
        <f ca="1">Normalisation!L29*SQRT(L$3*24*60*60)/(SQRT(L$3*24*60*60)-SQRT(K$3*24*60*60))</f>
        <v>0</v>
      </c>
    </row>
    <row r="29" spans="1:12" ht="16.5" x14ac:dyDescent="0.2">
      <c r="A29" s="53">
        <f>'Measured Cummulative'!A30</f>
        <v>0</v>
      </c>
      <c r="B29" s="149">
        <f>'Measured Cummulative'!B30</f>
        <v>0</v>
      </c>
      <c r="C29" s="139" t="s">
        <v>100</v>
      </c>
      <c r="D29" s="144"/>
      <c r="E29" s="156">
        <f ca="1">Normalisation!E30*SQRT(E$3*24*60*60)/(SQRT(E$3*24*60*60)-SQRT(0))</f>
        <v>0</v>
      </c>
      <c r="F29" s="98">
        <f ca="1">Normalisation!F30*SQRT(F$3*24*60*60)/(SQRT(F$3*24*60*60)-SQRT(E$3*24*60*60))</f>
        <v>0</v>
      </c>
      <c r="G29" s="98">
        <f ca="1">Normalisation!G30*SQRT(G$3*24*60*60)/(SQRT(G$3*24*60*60)-SQRT(F$3*24*60*60))</f>
        <v>0</v>
      </c>
      <c r="H29" s="98">
        <f ca="1">Normalisation!H30*SQRT(H$3*24*60*60)/(SQRT(H$3*24*60*60)-SQRT(G$3*24*60*60))</f>
        <v>0</v>
      </c>
      <c r="I29" s="98">
        <f ca="1">Normalisation!I30*SQRT(I$3*24*60*60)/(SQRT(I$3*24*60*60)-SQRT(H$3*24*60*60))</f>
        <v>0</v>
      </c>
      <c r="J29" s="98">
        <f ca="1">Normalisation!J30*SQRT(J$3*24*60*60)/(SQRT(J$3*24*60*60)-SQRT(I$3*24*60*60))</f>
        <v>0</v>
      </c>
      <c r="K29" s="98">
        <f ca="1">Normalisation!K30*SQRT(K$3*24*60*60)/(SQRT(K$3*24*60*60)-SQRT(J$3*24*60*60))</f>
        <v>0</v>
      </c>
      <c r="L29" s="99">
        <f ca="1">Normalisation!L30*SQRT(L$3*24*60*60)/(SQRT(L$3*24*60*60)-SQRT(K$3*24*60*60))</f>
        <v>0</v>
      </c>
    </row>
    <row r="30" spans="1:12" ht="16.5" x14ac:dyDescent="0.2">
      <c r="A30" s="53">
        <f>'Measured Cummulative'!A31</f>
        <v>0</v>
      </c>
      <c r="B30" s="149">
        <f>'Measured Cummulative'!B31</f>
        <v>0</v>
      </c>
      <c r="C30" s="139" t="s">
        <v>100</v>
      </c>
      <c r="D30" s="144"/>
      <c r="E30" s="156">
        <f ca="1">Normalisation!E31*SQRT(E$3*24*60*60)/(SQRT(E$3*24*60*60)-SQRT(0))</f>
        <v>0</v>
      </c>
      <c r="F30" s="98">
        <f ca="1">Normalisation!F31*SQRT(F$3*24*60*60)/(SQRT(F$3*24*60*60)-SQRT(E$3*24*60*60))</f>
        <v>0</v>
      </c>
      <c r="G30" s="98">
        <f ca="1">Normalisation!G31*SQRT(G$3*24*60*60)/(SQRT(G$3*24*60*60)-SQRT(F$3*24*60*60))</f>
        <v>0</v>
      </c>
      <c r="H30" s="98">
        <f ca="1">Normalisation!H31*SQRT(H$3*24*60*60)/(SQRT(H$3*24*60*60)-SQRT(G$3*24*60*60))</f>
        <v>0</v>
      </c>
      <c r="I30" s="98">
        <f ca="1">Normalisation!I31*SQRT(I$3*24*60*60)/(SQRT(I$3*24*60*60)-SQRT(H$3*24*60*60))</f>
        <v>0</v>
      </c>
      <c r="J30" s="98">
        <f ca="1">Normalisation!J31*SQRT(J$3*24*60*60)/(SQRT(J$3*24*60*60)-SQRT(I$3*24*60*60))</f>
        <v>0</v>
      </c>
      <c r="K30" s="98">
        <f ca="1">Normalisation!K31*SQRT(K$3*24*60*60)/(SQRT(K$3*24*60*60)-SQRT(J$3*24*60*60))</f>
        <v>0</v>
      </c>
      <c r="L30" s="99">
        <f ca="1">Normalisation!L31*SQRT(L$3*24*60*60)/(SQRT(L$3*24*60*60)-SQRT(K$3*24*60*60))</f>
        <v>0</v>
      </c>
    </row>
    <row r="31" spans="1:12" ht="16.5" x14ac:dyDescent="0.2">
      <c r="A31" s="53">
        <f>'Measured Cummulative'!A32</f>
        <v>0</v>
      </c>
      <c r="B31" s="149">
        <f>'Measured Cummulative'!B32</f>
        <v>0</v>
      </c>
      <c r="C31" s="139" t="s">
        <v>100</v>
      </c>
      <c r="D31" s="144"/>
      <c r="E31" s="156">
        <f ca="1">Normalisation!E32*SQRT(E$3*24*60*60)/(SQRT(E$3*24*60*60)-SQRT(0))</f>
        <v>0</v>
      </c>
      <c r="F31" s="98">
        <f ca="1">Normalisation!F32*SQRT(F$3*24*60*60)/(SQRT(F$3*24*60*60)-SQRT(E$3*24*60*60))</f>
        <v>0</v>
      </c>
      <c r="G31" s="98">
        <f ca="1">Normalisation!G32*SQRT(G$3*24*60*60)/(SQRT(G$3*24*60*60)-SQRT(F$3*24*60*60))</f>
        <v>0</v>
      </c>
      <c r="H31" s="98">
        <f ca="1">Normalisation!H32*SQRT(H$3*24*60*60)/(SQRT(H$3*24*60*60)-SQRT(G$3*24*60*60))</f>
        <v>0</v>
      </c>
      <c r="I31" s="98">
        <f ca="1">Normalisation!I32*SQRT(I$3*24*60*60)/(SQRT(I$3*24*60*60)-SQRT(H$3*24*60*60))</f>
        <v>0</v>
      </c>
      <c r="J31" s="98">
        <f ca="1">Normalisation!J32*SQRT(J$3*24*60*60)/(SQRT(J$3*24*60*60)-SQRT(I$3*24*60*60))</f>
        <v>0</v>
      </c>
      <c r="K31" s="98">
        <f ca="1">Normalisation!K32*SQRT(K$3*24*60*60)/(SQRT(K$3*24*60*60)-SQRT(J$3*24*60*60))</f>
        <v>0</v>
      </c>
      <c r="L31" s="99">
        <f ca="1">Normalisation!L32*SQRT(L$3*24*60*60)/(SQRT(L$3*24*60*60)-SQRT(K$3*24*60*60))</f>
        <v>0</v>
      </c>
    </row>
    <row r="32" spans="1:12" ht="16.5" x14ac:dyDescent="0.2">
      <c r="A32" s="53">
        <f>'Measured Cummulative'!A33</f>
        <v>0</v>
      </c>
      <c r="B32" s="149">
        <f>'Measured Cummulative'!B33</f>
        <v>0</v>
      </c>
      <c r="C32" s="139" t="s">
        <v>100</v>
      </c>
      <c r="D32" s="144"/>
      <c r="E32" s="156">
        <f ca="1">Normalisation!E33*SQRT(E$3*24*60*60)/(SQRT(E$3*24*60*60)-SQRT(0))</f>
        <v>0</v>
      </c>
      <c r="F32" s="98">
        <f ca="1">Normalisation!F33*SQRT(F$3*24*60*60)/(SQRT(F$3*24*60*60)-SQRT(E$3*24*60*60))</f>
        <v>0</v>
      </c>
      <c r="G32" s="98">
        <f ca="1">Normalisation!G33*SQRT(G$3*24*60*60)/(SQRT(G$3*24*60*60)-SQRT(F$3*24*60*60))</f>
        <v>0</v>
      </c>
      <c r="H32" s="98">
        <f ca="1">Normalisation!H33*SQRT(H$3*24*60*60)/(SQRT(H$3*24*60*60)-SQRT(G$3*24*60*60))</f>
        <v>0</v>
      </c>
      <c r="I32" s="98">
        <f ca="1">Normalisation!I33*SQRT(I$3*24*60*60)/(SQRT(I$3*24*60*60)-SQRT(H$3*24*60*60))</f>
        <v>0</v>
      </c>
      <c r="J32" s="98">
        <f ca="1">Normalisation!J33*SQRT(J$3*24*60*60)/(SQRT(J$3*24*60*60)-SQRT(I$3*24*60*60))</f>
        <v>0</v>
      </c>
      <c r="K32" s="98">
        <f ca="1">Normalisation!K33*SQRT(K$3*24*60*60)/(SQRT(K$3*24*60*60)-SQRT(J$3*24*60*60))</f>
        <v>0</v>
      </c>
      <c r="L32" s="99">
        <f ca="1">Normalisation!L33*SQRT(L$3*24*60*60)/(SQRT(L$3*24*60*60)-SQRT(K$3*24*60*60))</f>
        <v>0</v>
      </c>
    </row>
    <row r="33" spans="1:12" ht="16.5" x14ac:dyDescent="0.2">
      <c r="A33" s="53">
        <f>'Measured Cummulative'!A34</f>
        <v>0</v>
      </c>
      <c r="B33" s="149">
        <f>'Measured Cummulative'!B34</f>
        <v>0</v>
      </c>
      <c r="C33" s="139" t="s">
        <v>100</v>
      </c>
      <c r="D33" s="144"/>
      <c r="E33" s="156">
        <f ca="1">Normalisation!E34*SQRT(E$3*24*60*60)/(SQRT(E$3*24*60*60)-SQRT(0))</f>
        <v>0</v>
      </c>
      <c r="F33" s="98">
        <f ca="1">Normalisation!F34*SQRT(F$3*24*60*60)/(SQRT(F$3*24*60*60)-SQRT(E$3*24*60*60))</f>
        <v>0</v>
      </c>
      <c r="G33" s="98">
        <f ca="1">Normalisation!G34*SQRT(G$3*24*60*60)/(SQRT(G$3*24*60*60)-SQRT(F$3*24*60*60))</f>
        <v>0</v>
      </c>
      <c r="H33" s="98">
        <f ca="1">Normalisation!H34*SQRT(H$3*24*60*60)/(SQRT(H$3*24*60*60)-SQRT(G$3*24*60*60))</f>
        <v>0</v>
      </c>
      <c r="I33" s="98">
        <f ca="1">Normalisation!I34*SQRT(I$3*24*60*60)/(SQRT(I$3*24*60*60)-SQRT(H$3*24*60*60))</f>
        <v>0</v>
      </c>
      <c r="J33" s="98">
        <f ca="1">Normalisation!J34*SQRT(J$3*24*60*60)/(SQRT(J$3*24*60*60)-SQRT(I$3*24*60*60))</f>
        <v>0</v>
      </c>
      <c r="K33" s="98">
        <f ca="1">Normalisation!K34*SQRT(K$3*24*60*60)/(SQRT(K$3*24*60*60)-SQRT(J$3*24*60*60))</f>
        <v>0</v>
      </c>
      <c r="L33" s="99">
        <f ca="1">Normalisation!L34*SQRT(L$3*24*60*60)/(SQRT(L$3*24*60*60)-SQRT(K$3*24*60*60))</f>
        <v>0</v>
      </c>
    </row>
    <row r="34" spans="1:12" ht="16.5" x14ac:dyDescent="0.2">
      <c r="A34" s="53">
        <f>'Measured Cummulative'!A35</f>
        <v>0</v>
      </c>
      <c r="B34" s="149">
        <f>'Measured Cummulative'!B35</f>
        <v>0</v>
      </c>
      <c r="C34" s="139" t="s">
        <v>100</v>
      </c>
      <c r="D34" s="144"/>
      <c r="E34" s="156">
        <f ca="1">Normalisation!E35*SQRT(E$3*24*60*60)/(SQRT(E$3*24*60*60)-SQRT(0))</f>
        <v>0</v>
      </c>
      <c r="F34" s="98">
        <f ca="1">Normalisation!F35*SQRT(F$3*24*60*60)/(SQRT(F$3*24*60*60)-SQRT(E$3*24*60*60))</f>
        <v>0</v>
      </c>
      <c r="G34" s="98">
        <f ca="1">Normalisation!G35*SQRT(G$3*24*60*60)/(SQRT(G$3*24*60*60)-SQRT(F$3*24*60*60))</f>
        <v>0</v>
      </c>
      <c r="H34" s="98">
        <f ca="1">Normalisation!H35*SQRT(H$3*24*60*60)/(SQRT(H$3*24*60*60)-SQRT(G$3*24*60*60))</f>
        <v>0</v>
      </c>
      <c r="I34" s="98">
        <f ca="1">Normalisation!I35*SQRT(I$3*24*60*60)/(SQRT(I$3*24*60*60)-SQRT(H$3*24*60*60))</f>
        <v>0</v>
      </c>
      <c r="J34" s="98">
        <f ca="1">Normalisation!J35*SQRT(J$3*24*60*60)/(SQRT(J$3*24*60*60)-SQRT(I$3*24*60*60))</f>
        <v>0</v>
      </c>
      <c r="K34" s="98">
        <f ca="1">Normalisation!K35*SQRT(K$3*24*60*60)/(SQRT(K$3*24*60*60)-SQRT(J$3*24*60*60))</f>
        <v>0</v>
      </c>
      <c r="L34" s="99">
        <f ca="1">Normalisation!L35*SQRT(L$3*24*60*60)/(SQRT(L$3*24*60*60)-SQRT(K$3*24*60*60))</f>
        <v>0</v>
      </c>
    </row>
    <row r="35" spans="1:12" ht="16.5" x14ac:dyDescent="0.2">
      <c r="A35" s="53">
        <f>'Measured Cummulative'!A36</f>
        <v>0</v>
      </c>
      <c r="B35" s="149">
        <f>'Measured Cummulative'!B36</f>
        <v>0</v>
      </c>
      <c r="C35" s="139" t="s">
        <v>100</v>
      </c>
      <c r="D35" s="144"/>
      <c r="E35" s="156">
        <f ca="1">Normalisation!E36*SQRT(E$3*24*60*60)/(SQRT(E$3*24*60*60)-SQRT(0))</f>
        <v>0</v>
      </c>
      <c r="F35" s="98">
        <f ca="1">Normalisation!F36*SQRT(F$3*24*60*60)/(SQRT(F$3*24*60*60)-SQRT(E$3*24*60*60))</f>
        <v>0</v>
      </c>
      <c r="G35" s="98">
        <f ca="1">Normalisation!G36*SQRT(G$3*24*60*60)/(SQRT(G$3*24*60*60)-SQRT(F$3*24*60*60))</f>
        <v>0</v>
      </c>
      <c r="H35" s="98">
        <f ca="1">Normalisation!H36*SQRT(H$3*24*60*60)/(SQRT(H$3*24*60*60)-SQRT(G$3*24*60*60))</f>
        <v>0</v>
      </c>
      <c r="I35" s="98">
        <f ca="1">Normalisation!I36*SQRT(I$3*24*60*60)/(SQRT(I$3*24*60*60)-SQRT(H$3*24*60*60))</f>
        <v>0</v>
      </c>
      <c r="J35" s="98">
        <f ca="1">Normalisation!J36*SQRT(J$3*24*60*60)/(SQRT(J$3*24*60*60)-SQRT(I$3*24*60*60))</f>
        <v>0</v>
      </c>
      <c r="K35" s="98">
        <f ca="1">Normalisation!K36*SQRT(K$3*24*60*60)/(SQRT(K$3*24*60*60)-SQRT(J$3*24*60*60))</f>
        <v>0</v>
      </c>
      <c r="L35" s="99">
        <f ca="1">Normalisation!L36*SQRT(L$3*24*60*60)/(SQRT(L$3*24*60*60)-SQRT(K$3*24*60*60))</f>
        <v>0</v>
      </c>
    </row>
    <row r="36" spans="1:12" ht="16.5" x14ac:dyDescent="0.2">
      <c r="A36" s="53">
        <f>'Measured Cummulative'!A37</f>
        <v>0</v>
      </c>
      <c r="B36" s="149">
        <f>'Measured Cummulative'!B37</f>
        <v>0</v>
      </c>
      <c r="C36" s="139" t="s">
        <v>100</v>
      </c>
      <c r="D36" s="144"/>
      <c r="E36" s="156">
        <f ca="1">Normalisation!E37*SQRT(E$3*24*60*60)/(SQRT(E$3*24*60*60)-SQRT(0))</f>
        <v>0</v>
      </c>
      <c r="F36" s="98">
        <f ca="1">Normalisation!F37*SQRT(F$3*24*60*60)/(SQRT(F$3*24*60*60)-SQRT(E$3*24*60*60))</f>
        <v>0</v>
      </c>
      <c r="G36" s="98">
        <f ca="1">Normalisation!G37*SQRT(G$3*24*60*60)/(SQRT(G$3*24*60*60)-SQRT(F$3*24*60*60))</f>
        <v>0</v>
      </c>
      <c r="H36" s="98">
        <f ca="1">Normalisation!H37*SQRT(H$3*24*60*60)/(SQRT(H$3*24*60*60)-SQRT(G$3*24*60*60))</f>
        <v>0</v>
      </c>
      <c r="I36" s="98">
        <f ca="1">Normalisation!I37*SQRT(I$3*24*60*60)/(SQRT(I$3*24*60*60)-SQRT(H$3*24*60*60))</f>
        <v>0</v>
      </c>
      <c r="J36" s="98">
        <f ca="1">Normalisation!J37*SQRT(J$3*24*60*60)/(SQRT(J$3*24*60*60)-SQRT(I$3*24*60*60))</f>
        <v>0</v>
      </c>
      <c r="K36" s="98">
        <f ca="1">Normalisation!K37*SQRT(K$3*24*60*60)/(SQRT(K$3*24*60*60)-SQRT(J$3*24*60*60))</f>
        <v>0</v>
      </c>
      <c r="L36" s="99">
        <f ca="1">Normalisation!L37*SQRT(L$3*24*60*60)/(SQRT(L$3*24*60*60)-SQRT(K$3*24*60*60))</f>
        <v>0</v>
      </c>
    </row>
    <row r="37" spans="1:12" ht="16.5" x14ac:dyDescent="0.2">
      <c r="A37" s="53">
        <f>'Measured Cummulative'!A38</f>
        <v>0</v>
      </c>
      <c r="B37" s="149">
        <f>'Measured Cummulative'!B38</f>
        <v>0</v>
      </c>
      <c r="C37" s="139" t="s">
        <v>100</v>
      </c>
      <c r="D37" s="144"/>
      <c r="E37" s="156">
        <f ca="1">Normalisation!E38*SQRT(E$3*24*60*60)/(SQRT(E$3*24*60*60)-SQRT(0))</f>
        <v>0</v>
      </c>
      <c r="F37" s="98">
        <f ca="1">Normalisation!F38*SQRT(F$3*24*60*60)/(SQRT(F$3*24*60*60)-SQRT(E$3*24*60*60))</f>
        <v>0</v>
      </c>
      <c r="G37" s="98">
        <f ca="1">Normalisation!G38*SQRT(G$3*24*60*60)/(SQRT(G$3*24*60*60)-SQRT(F$3*24*60*60))</f>
        <v>0</v>
      </c>
      <c r="H37" s="98">
        <f ca="1">Normalisation!H38*SQRT(H$3*24*60*60)/(SQRT(H$3*24*60*60)-SQRT(G$3*24*60*60))</f>
        <v>0</v>
      </c>
      <c r="I37" s="98">
        <f ca="1">Normalisation!I38*SQRT(I$3*24*60*60)/(SQRT(I$3*24*60*60)-SQRT(H$3*24*60*60))</f>
        <v>0</v>
      </c>
      <c r="J37" s="98">
        <f ca="1">Normalisation!J38*SQRT(J$3*24*60*60)/(SQRT(J$3*24*60*60)-SQRT(I$3*24*60*60))</f>
        <v>0</v>
      </c>
      <c r="K37" s="98">
        <f ca="1">Normalisation!K38*SQRT(K$3*24*60*60)/(SQRT(K$3*24*60*60)-SQRT(J$3*24*60*60))</f>
        <v>0</v>
      </c>
      <c r="L37" s="99">
        <f ca="1">Normalisation!L38*SQRT(L$3*24*60*60)/(SQRT(L$3*24*60*60)-SQRT(K$3*24*60*60))</f>
        <v>0</v>
      </c>
    </row>
    <row r="38" spans="1:12" ht="16.5" x14ac:dyDescent="0.2">
      <c r="A38" s="53">
        <f>'Measured Cummulative'!A39</f>
        <v>0</v>
      </c>
      <c r="B38" s="149">
        <f>'Measured Cummulative'!B39</f>
        <v>0</v>
      </c>
      <c r="C38" s="139" t="s">
        <v>100</v>
      </c>
      <c r="D38" s="144"/>
      <c r="E38" s="156">
        <f ca="1">Normalisation!E39*SQRT(E$3*24*60*60)/(SQRT(E$3*24*60*60)-SQRT(0))</f>
        <v>0</v>
      </c>
      <c r="F38" s="98">
        <f ca="1">Normalisation!F39*SQRT(F$3*24*60*60)/(SQRT(F$3*24*60*60)-SQRT(E$3*24*60*60))</f>
        <v>0</v>
      </c>
      <c r="G38" s="98">
        <f ca="1">Normalisation!G39*SQRT(G$3*24*60*60)/(SQRT(G$3*24*60*60)-SQRT(F$3*24*60*60))</f>
        <v>0</v>
      </c>
      <c r="H38" s="98">
        <f ca="1">Normalisation!H39*SQRT(H$3*24*60*60)/(SQRT(H$3*24*60*60)-SQRT(G$3*24*60*60))</f>
        <v>0</v>
      </c>
      <c r="I38" s="98">
        <f ca="1">Normalisation!I39*SQRT(I$3*24*60*60)/(SQRT(I$3*24*60*60)-SQRT(H$3*24*60*60))</f>
        <v>0</v>
      </c>
      <c r="J38" s="98">
        <f ca="1">Normalisation!J39*SQRT(J$3*24*60*60)/(SQRT(J$3*24*60*60)-SQRT(I$3*24*60*60))</f>
        <v>0</v>
      </c>
      <c r="K38" s="98">
        <f ca="1">Normalisation!K39*SQRT(K$3*24*60*60)/(SQRT(K$3*24*60*60)-SQRT(J$3*24*60*60))</f>
        <v>0</v>
      </c>
      <c r="L38" s="99">
        <f ca="1">Normalisation!L39*SQRT(L$3*24*60*60)/(SQRT(L$3*24*60*60)-SQRT(K$3*24*60*60))</f>
        <v>0</v>
      </c>
    </row>
    <row r="39" spans="1:12" ht="16.5" x14ac:dyDescent="0.2">
      <c r="A39" s="53">
        <f>'Measured Cummulative'!A40</f>
        <v>0</v>
      </c>
      <c r="B39" s="149">
        <f>'Measured Cummulative'!B40</f>
        <v>0</v>
      </c>
      <c r="C39" s="139" t="s">
        <v>100</v>
      </c>
      <c r="D39" s="144"/>
      <c r="E39" s="156">
        <f ca="1">Normalisation!E40*SQRT(E$3*24*60*60)/(SQRT(E$3*24*60*60)-SQRT(0))</f>
        <v>0</v>
      </c>
      <c r="F39" s="98">
        <f ca="1">Normalisation!F40*SQRT(F$3*24*60*60)/(SQRT(F$3*24*60*60)-SQRT(E$3*24*60*60))</f>
        <v>0</v>
      </c>
      <c r="G39" s="98">
        <f ca="1">Normalisation!G40*SQRT(G$3*24*60*60)/(SQRT(G$3*24*60*60)-SQRT(F$3*24*60*60))</f>
        <v>0</v>
      </c>
      <c r="H39" s="98">
        <f ca="1">Normalisation!H40*SQRT(H$3*24*60*60)/(SQRT(H$3*24*60*60)-SQRT(G$3*24*60*60))</f>
        <v>0</v>
      </c>
      <c r="I39" s="98">
        <f ca="1">Normalisation!I40*SQRT(I$3*24*60*60)/(SQRT(I$3*24*60*60)-SQRT(H$3*24*60*60))</f>
        <v>0</v>
      </c>
      <c r="J39" s="98">
        <f ca="1">Normalisation!J40*SQRT(J$3*24*60*60)/(SQRT(J$3*24*60*60)-SQRT(I$3*24*60*60))</f>
        <v>0</v>
      </c>
      <c r="K39" s="98">
        <f ca="1">Normalisation!K40*SQRT(K$3*24*60*60)/(SQRT(K$3*24*60*60)-SQRT(J$3*24*60*60))</f>
        <v>0</v>
      </c>
      <c r="L39" s="99">
        <f ca="1">Normalisation!L40*SQRT(L$3*24*60*60)/(SQRT(L$3*24*60*60)-SQRT(K$3*24*60*60))</f>
        <v>0</v>
      </c>
    </row>
    <row r="40" spans="1:12" ht="16.5" x14ac:dyDescent="0.2">
      <c r="A40" s="53">
        <f>'Measured Cummulative'!A41</f>
        <v>0</v>
      </c>
      <c r="B40" s="149">
        <f>'Measured Cummulative'!B41</f>
        <v>0</v>
      </c>
      <c r="C40" s="139" t="s">
        <v>100</v>
      </c>
      <c r="D40" s="144"/>
      <c r="E40" s="156">
        <f ca="1">Normalisation!E41*SQRT(E$3*24*60*60)/(SQRT(E$3*24*60*60)-SQRT(0))</f>
        <v>0</v>
      </c>
      <c r="F40" s="98">
        <f ca="1">Normalisation!F41*SQRT(F$3*24*60*60)/(SQRT(F$3*24*60*60)-SQRT(E$3*24*60*60))</f>
        <v>0</v>
      </c>
      <c r="G40" s="98">
        <f ca="1">Normalisation!G41*SQRT(G$3*24*60*60)/(SQRT(G$3*24*60*60)-SQRT(F$3*24*60*60))</f>
        <v>0</v>
      </c>
      <c r="H40" s="98">
        <f ca="1">Normalisation!H41*SQRT(H$3*24*60*60)/(SQRT(H$3*24*60*60)-SQRT(G$3*24*60*60))</f>
        <v>0</v>
      </c>
      <c r="I40" s="98">
        <f ca="1">Normalisation!I41*SQRT(I$3*24*60*60)/(SQRT(I$3*24*60*60)-SQRT(H$3*24*60*60))</f>
        <v>0</v>
      </c>
      <c r="J40" s="98">
        <f ca="1">Normalisation!J41*SQRT(J$3*24*60*60)/(SQRT(J$3*24*60*60)-SQRT(I$3*24*60*60))</f>
        <v>0</v>
      </c>
      <c r="K40" s="98">
        <f ca="1">Normalisation!K41*SQRT(K$3*24*60*60)/(SQRT(K$3*24*60*60)-SQRT(J$3*24*60*60))</f>
        <v>0</v>
      </c>
      <c r="L40" s="99">
        <f ca="1">Normalisation!L41*SQRT(L$3*24*60*60)/(SQRT(L$3*24*60*60)-SQRT(K$3*24*60*60))</f>
        <v>0</v>
      </c>
    </row>
    <row r="41" spans="1:12" ht="16.5" x14ac:dyDescent="0.2">
      <c r="A41" s="53">
        <f>'Measured Cummulative'!A42</f>
        <v>0</v>
      </c>
      <c r="B41" s="149">
        <f>'Measured Cummulative'!B42</f>
        <v>0</v>
      </c>
      <c r="C41" s="139" t="s">
        <v>100</v>
      </c>
      <c r="D41" s="144"/>
      <c r="E41" s="156">
        <f ca="1">Normalisation!E42*SQRT(E$3*24*60*60)/(SQRT(E$3*24*60*60)-SQRT(0))</f>
        <v>0</v>
      </c>
      <c r="F41" s="98">
        <f ca="1">Normalisation!F42*SQRT(F$3*24*60*60)/(SQRT(F$3*24*60*60)-SQRT(E$3*24*60*60))</f>
        <v>0</v>
      </c>
      <c r="G41" s="98">
        <f ca="1">Normalisation!G42*SQRT(G$3*24*60*60)/(SQRT(G$3*24*60*60)-SQRT(F$3*24*60*60))</f>
        <v>0</v>
      </c>
      <c r="H41" s="98">
        <f ca="1">Normalisation!H42*SQRT(H$3*24*60*60)/(SQRT(H$3*24*60*60)-SQRT(G$3*24*60*60))</f>
        <v>0</v>
      </c>
      <c r="I41" s="98">
        <f ca="1">Normalisation!I42*SQRT(I$3*24*60*60)/(SQRT(I$3*24*60*60)-SQRT(H$3*24*60*60))</f>
        <v>0</v>
      </c>
      <c r="J41" s="98">
        <f ca="1">Normalisation!J42*SQRT(J$3*24*60*60)/(SQRT(J$3*24*60*60)-SQRT(I$3*24*60*60))</f>
        <v>0</v>
      </c>
      <c r="K41" s="98">
        <f ca="1">Normalisation!K42*SQRT(K$3*24*60*60)/(SQRT(K$3*24*60*60)-SQRT(J$3*24*60*60))</f>
        <v>0</v>
      </c>
      <c r="L41" s="99">
        <f ca="1">Normalisation!L42*SQRT(L$3*24*60*60)/(SQRT(L$3*24*60*60)-SQRT(K$3*24*60*60))</f>
        <v>0</v>
      </c>
    </row>
    <row r="42" spans="1:12" ht="16.5" x14ac:dyDescent="0.2">
      <c r="A42" s="53">
        <f>'Measured Cummulative'!A43</f>
        <v>0</v>
      </c>
      <c r="B42" s="149">
        <f>'Measured Cummulative'!B43</f>
        <v>0</v>
      </c>
      <c r="C42" s="139" t="s">
        <v>100</v>
      </c>
      <c r="D42" s="144"/>
      <c r="E42" s="156">
        <f ca="1">Normalisation!E43*SQRT(E$3*24*60*60)/(SQRT(E$3*24*60*60)-SQRT(0))</f>
        <v>0</v>
      </c>
      <c r="F42" s="98">
        <f ca="1">Normalisation!F43*SQRT(F$3*24*60*60)/(SQRT(F$3*24*60*60)-SQRT(E$3*24*60*60))</f>
        <v>0</v>
      </c>
      <c r="G42" s="98">
        <f ca="1">Normalisation!G43*SQRT(G$3*24*60*60)/(SQRT(G$3*24*60*60)-SQRT(F$3*24*60*60))</f>
        <v>0</v>
      </c>
      <c r="H42" s="98">
        <f ca="1">Normalisation!H43*SQRT(H$3*24*60*60)/(SQRT(H$3*24*60*60)-SQRT(G$3*24*60*60))</f>
        <v>0</v>
      </c>
      <c r="I42" s="98">
        <f ca="1">Normalisation!I43*SQRT(I$3*24*60*60)/(SQRT(I$3*24*60*60)-SQRT(H$3*24*60*60))</f>
        <v>0</v>
      </c>
      <c r="J42" s="98">
        <f ca="1">Normalisation!J43*SQRT(J$3*24*60*60)/(SQRT(J$3*24*60*60)-SQRT(I$3*24*60*60))</f>
        <v>0</v>
      </c>
      <c r="K42" s="98">
        <f ca="1">Normalisation!K43*SQRT(K$3*24*60*60)/(SQRT(K$3*24*60*60)-SQRT(J$3*24*60*60))</f>
        <v>0</v>
      </c>
      <c r="L42" s="99">
        <f ca="1">Normalisation!L43*SQRT(L$3*24*60*60)/(SQRT(L$3*24*60*60)-SQRT(K$3*24*60*60))</f>
        <v>0</v>
      </c>
    </row>
    <row r="43" spans="1:12" ht="16.5" x14ac:dyDescent="0.2">
      <c r="A43" s="53">
        <f>'Measured Cummulative'!A44</f>
        <v>0</v>
      </c>
      <c r="B43" s="149">
        <f>'Measured Cummulative'!B44</f>
        <v>0</v>
      </c>
      <c r="C43" s="139" t="s">
        <v>100</v>
      </c>
      <c r="D43" s="144"/>
      <c r="E43" s="156">
        <f ca="1">Normalisation!E44*SQRT(E$3*24*60*60)/(SQRT(E$3*24*60*60)-SQRT(0))</f>
        <v>0</v>
      </c>
      <c r="F43" s="98">
        <f ca="1">Normalisation!F44*SQRT(F$3*24*60*60)/(SQRT(F$3*24*60*60)-SQRT(E$3*24*60*60))</f>
        <v>0</v>
      </c>
      <c r="G43" s="98">
        <f ca="1">Normalisation!G44*SQRT(G$3*24*60*60)/(SQRT(G$3*24*60*60)-SQRT(F$3*24*60*60))</f>
        <v>0</v>
      </c>
      <c r="H43" s="98">
        <f ca="1">Normalisation!H44*SQRT(H$3*24*60*60)/(SQRT(H$3*24*60*60)-SQRT(G$3*24*60*60))</f>
        <v>0</v>
      </c>
      <c r="I43" s="98">
        <f ca="1">Normalisation!I44*SQRT(I$3*24*60*60)/(SQRT(I$3*24*60*60)-SQRT(H$3*24*60*60))</f>
        <v>0</v>
      </c>
      <c r="J43" s="98">
        <f ca="1">Normalisation!J44*SQRT(J$3*24*60*60)/(SQRT(J$3*24*60*60)-SQRT(I$3*24*60*60))</f>
        <v>0</v>
      </c>
      <c r="K43" s="98">
        <f ca="1">Normalisation!K44*SQRT(K$3*24*60*60)/(SQRT(K$3*24*60*60)-SQRT(J$3*24*60*60))</f>
        <v>0</v>
      </c>
      <c r="L43" s="99">
        <f ca="1">Normalisation!L44*SQRT(L$3*24*60*60)/(SQRT(L$3*24*60*60)-SQRT(K$3*24*60*60))</f>
        <v>0</v>
      </c>
    </row>
    <row r="44" spans="1:12" ht="16.5" x14ac:dyDescent="0.2">
      <c r="A44" s="53">
        <f>'Measured Cummulative'!A45</f>
        <v>0</v>
      </c>
      <c r="B44" s="149">
        <f>'Measured Cummulative'!B45</f>
        <v>0</v>
      </c>
      <c r="C44" s="139" t="s">
        <v>100</v>
      </c>
      <c r="D44" s="144"/>
      <c r="E44" s="156">
        <f ca="1">Normalisation!E45*SQRT(E$3*24*60*60)/(SQRT(E$3*24*60*60)-SQRT(0))</f>
        <v>0</v>
      </c>
      <c r="F44" s="98">
        <f ca="1">Normalisation!F45*SQRT(F$3*24*60*60)/(SQRT(F$3*24*60*60)-SQRT(E$3*24*60*60))</f>
        <v>0</v>
      </c>
      <c r="G44" s="98">
        <f ca="1">Normalisation!G45*SQRT(G$3*24*60*60)/(SQRT(G$3*24*60*60)-SQRT(F$3*24*60*60))</f>
        <v>0</v>
      </c>
      <c r="H44" s="98">
        <f ca="1">Normalisation!H45*SQRT(H$3*24*60*60)/(SQRT(H$3*24*60*60)-SQRT(G$3*24*60*60))</f>
        <v>0</v>
      </c>
      <c r="I44" s="98">
        <f ca="1">Normalisation!I45*SQRT(I$3*24*60*60)/(SQRT(I$3*24*60*60)-SQRT(H$3*24*60*60))</f>
        <v>0</v>
      </c>
      <c r="J44" s="98">
        <f ca="1">Normalisation!J45*SQRT(J$3*24*60*60)/(SQRT(J$3*24*60*60)-SQRT(I$3*24*60*60))</f>
        <v>0</v>
      </c>
      <c r="K44" s="98">
        <f ca="1">Normalisation!K45*SQRT(K$3*24*60*60)/(SQRT(K$3*24*60*60)-SQRT(J$3*24*60*60))</f>
        <v>0</v>
      </c>
      <c r="L44" s="99">
        <f ca="1">Normalisation!L45*SQRT(L$3*24*60*60)/(SQRT(L$3*24*60*60)-SQRT(K$3*24*60*60))</f>
        <v>0</v>
      </c>
    </row>
    <row r="45" spans="1:12" ht="16.5" x14ac:dyDescent="0.2">
      <c r="A45" s="53">
        <f>'Measured Cummulative'!A46</f>
        <v>0</v>
      </c>
      <c r="B45" s="149">
        <f>'Measured Cummulative'!B46</f>
        <v>0</v>
      </c>
      <c r="C45" s="139" t="s">
        <v>100</v>
      </c>
      <c r="D45" s="144"/>
      <c r="E45" s="156">
        <f ca="1">Normalisation!E46*SQRT(E$3*24*60*60)/(SQRT(E$3*24*60*60)-SQRT(0))</f>
        <v>0</v>
      </c>
      <c r="F45" s="98">
        <f ca="1">Normalisation!F46*SQRT(F$3*24*60*60)/(SQRT(F$3*24*60*60)-SQRT(E$3*24*60*60))</f>
        <v>0</v>
      </c>
      <c r="G45" s="98">
        <f ca="1">Normalisation!G46*SQRT(G$3*24*60*60)/(SQRT(G$3*24*60*60)-SQRT(F$3*24*60*60))</f>
        <v>0</v>
      </c>
      <c r="H45" s="98">
        <f ca="1">Normalisation!H46*SQRT(H$3*24*60*60)/(SQRT(H$3*24*60*60)-SQRT(G$3*24*60*60))</f>
        <v>0</v>
      </c>
      <c r="I45" s="98">
        <f ca="1">Normalisation!I46*SQRT(I$3*24*60*60)/(SQRT(I$3*24*60*60)-SQRT(H$3*24*60*60))</f>
        <v>0</v>
      </c>
      <c r="J45" s="98">
        <f ca="1">Normalisation!J46*SQRT(J$3*24*60*60)/(SQRT(J$3*24*60*60)-SQRT(I$3*24*60*60))</f>
        <v>0</v>
      </c>
      <c r="K45" s="98">
        <f ca="1">Normalisation!K46*SQRT(K$3*24*60*60)/(SQRT(K$3*24*60*60)-SQRT(J$3*24*60*60))</f>
        <v>0</v>
      </c>
      <c r="L45" s="99">
        <f ca="1">Normalisation!L46*SQRT(L$3*24*60*60)/(SQRT(L$3*24*60*60)-SQRT(K$3*24*60*60))</f>
        <v>0</v>
      </c>
    </row>
    <row r="46" spans="1:12" ht="16.5" x14ac:dyDescent="0.2">
      <c r="A46" s="53">
        <f>'Measured Cummulative'!A47</f>
        <v>0</v>
      </c>
      <c r="B46" s="149">
        <f>'Measured Cummulative'!B47</f>
        <v>0</v>
      </c>
      <c r="C46" s="139" t="s">
        <v>100</v>
      </c>
      <c r="D46" s="144"/>
      <c r="E46" s="156">
        <f ca="1">Normalisation!E47*SQRT(E$3*24*60*60)/(SQRT(E$3*24*60*60)-SQRT(0))</f>
        <v>0</v>
      </c>
      <c r="F46" s="98">
        <f ca="1">Normalisation!F47*SQRT(F$3*24*60*60)/(SQRT(F$3*24*60*60)-SQRT(E$3*24*60*60))</f>
        <v>0</v>
      </c>
      <c r="G46" s="98">
        <f ca="1">Normalisation!G47*SQRT(G$3*24*60*60)/(SQRT(G$3*24*60*60)-SQRT(F$3*24*60*60))</f>
        <v>0</v>
      </c>
      <c r="H46" s="98">
        <f ca="1">Normalisation!H47*SQRT(H$3*24*60*60)/(SQRT(H$3*24*60*60)-SQRT(G$3*24*60*60))</f>
        <v>0</v>
      </c>
      <c r="I46" s="98">
        <f ca="1">Normalisation!I47*SQRT(I$3*24*60*60)/(SQRT(I$3*24*60*60)-SQRT(H$3*24*60*60))</f>
        <v>0</v>
      </c>
      <c r="J46" s="98">
        <f ca="1">Normalisation!J47*SQRT(J$3*24*60*60)/(SQRT(J$3*24*60*60)-SQRT(I$3*24*60*60))</f>
        <v>0</v>
      </c>
      <c r="K46" s="98">
        <f ca="1">Normalisation!K47*SQRT(K$3*24*60*60)/(SQRT(K$3*24*60*60)-SQRT(J$3*24*60*60))</f>
        <v>0</v>
      </c>
      <c r="L46" s="99">
        <f ca="1">Normalisation!L47*SQRT(L$3*24*60*60)/(SQRT(L$3*24*60*60)-SQRT(K$3*24*60*60))</f>
        <v>0</v>
      </c>
    </row>
    <row r="47" spans="1:12" ht="16.5" x14ac:dyDescent="0.2">
      <c r="A47" s="53">
        <f>'Measured Cummulative'!A48</f>
        <v>0</v>
      </c>
      <c r="B47" s="149">
        <f>'Measured Cummulative'!B48</f>
        <v>0</v>
      </c>
      <c r="C47" s="139" t="s">
        <v>100</v>
      </c>
      <c r="D47" s="144"/>
      <c r="E47" s="156">
        <f ca="1">Normalisation!E48*SQRT(E$3*24*60*60)/(SQRT(E$3*24*60*60)-SQRT(0))</f>
        <v>0</v>
      </c>
      <c r="F47" s="98">
        <f ca="1">Normalisation!F48*SQRT(F$3*24*60*60)/(SQRT(F$3*24*60*60)-SQRT(E$3*24*60*60))</f>
        <v>0</v>
      </c>
      <c r="G47" s="98">
        <f ca="1">Normalisation!G48*SQRT(G$3*24*60*60)/(SQRT(G$3*24*60*60)-SQRT(F$3*24*60*60))</f>
        <v>0</v>
      </c>
      <c r="H47" s="98">
        <f ca="1">Normalisation!H48*SQRT(H$3*24*60*60)/(SQRT(H$3*24*60*60)-SQRT(G$3*24*60*60))</f>
        <v>0</v>
      </c>
      <c r="I47" s="98">
        <f ca="1">Normalisation!I48*SQRT(I$3*24*60*60)/(SQRT(I$3*24*60*60)-SQRT(H$3*24*60*60))</f>
        <v>0</v>
      </c>
      <c r="J47" s="98">
        <f ca="1">Normalisation!J48*SQRT(J$3*24*60*60)/(SQRT(J$3*24*60*60)-SQRT(I$3*24*60*60))</f>
        <v>0</v>
      </c>
      <c r="K47" s="98">
        <f ca="1">Normalisation!K48*SQRT(K$3*24*60*60)/(SQRT(K$3*24*60*60)-SQRT(J$3*24*60*60))</f>
        <v>0</v>
      </c>
      <c r="L47" s="99">
        <f ca="1">Normalisation!L48*SQRT(L$3*24*60*60)/(SQRT(L$3*24*60*60)-SQRT(K$3*24*60*60))</f>
        <v>0</v>
      </c>
    </row>
    <row r="48" spans="1:12" ht="16.5" x14ac:dyDescent="0.2">
      <c r="A48" s="53">
        <f>'Measured Cummulative'!A49</f>
        <v>0</v>
      </c>
      <c r="B48" s="149">
        <f>'Measured Cummulative'!B49</f>
        <v>0</v>
      </c>
      <c r="C48" s="139" t="s">
        <v>100</v>
      </c>
      <c r="D48" s="144"/>
      <c r="E48" s="156">
        <f ca="1">Normalisation!E49*SQRT(E$3*24*60*60)/(SQRT(E$3*24*60*60)-SQRT(0))</f>
        <v>0</v>
      </c>
      <c r="F48" s="98">
        <f ca="1">Normalisation!F49*SQRT(F$3*24*60*60)/(SQRT(F$3*24*60*60)-SQRT(E$3*24*60*60))</f>
        <v>0</v>
      </c>
      <c r="G48" s="98">
        <f ca="1">Normalisation!G49*SQRT(G$3*24*60*60)/(SQRT(G$3*24*60*60)-SQRT(F$3*24*60*60))</f>
        <v>0</v>
      </c>
      <c r="H48" s="98">
        <f ca="1">Normalisation!H49*SQRT(H$3*24*60*60)/(SQRT(H$3*24*60*60)-SQRT(G$3*24*60*60))</f>
        <v>0</v>
      </c>
      <c r="I48" s="98">
        <f ca="1">Normalisation!I49*SQRT(I$3*24*60*60)/(SQRT(I$3*24*60*60)-SQRT(H$3*24*60*60))</f>
        <v>0</v>
      </c>
      <c r="J48" s="98">
        <f ca="1">Normalisation!J49*SQRT(J$3*24*60*60)/(SQRT(J$3*24*60*60)-SQRT(I$3*24*60*60))</f>
        <v>0</v>
      </c>
      <c r="K48" s="98">
        <f ca="1">Normalisation!K49*SQRT(K$3*24*60*60)/(SQRT(K$3*24*60*60)-SQRT(J$3*24*60*60))</f>
        <v>0</v>
      </c>
      <c r="L48" s="99">
        <f ca="1">Normalisation!L49*SQRT(L$3*24*60*60)/(SQRT(L$3*24*60*60)-SQRT(K$3*24*60*60))</f>
        <v>0</v>
      </c>
    </row>
    <row r="49" spans="1:12" ht="16.5" x14ac:dyDescent="0.2">
      <c r="A49" s="53">
        <f>'Measured Cummulative'!A50</f>
        <v>0</v>
      </c>
      <c r="B49" s="149">
        <f>'Measured Cummulative'!B50</f>
        <v>0</v>
      </c>
      <c r="C49" s="139" t="s">
        <v>100</v>
      </c>
      <c r="D49" s="144"/>
      <c r="E49" s="156">
        <f ca="1">Normalisation!E50*SQRT(E$3*24*60*60)/(SQRT(E$3*24*60*60)-SQRT(0))</f>
        <v>0</v>
      </c>
      <c r="F49" s="98">
        <f ca="1">Normalisation!F50*SQRT(F$3*24*60*60)/(SQRT(F$3*24*60*60)-SQRT(E$3*24*60*60))</f>
        <v>0</v>
      </c>
      <c r="G49" s="98">
        <f ca="1">Normalisation!G50*SQRT(G$3*24*60*60)/(SQRT(G$3*24*60*60)-SQRT(F$3*24*60*60))</f>
        <v>0</v>
      </c>
      <c r="H49" s="98">
        <f ca="1">Normalisation!H50*SQRT(H$3*24*60*60)/(SQRT(H$3*24*60*60)-SQRT(G$3*24*60*60))</f>
        <v>0</v>
      </c>
      <c r="I49" s="98">
        <f ca="1">Normalisation!I50*SQRT(I$3*24*60*60)/(SQRT(I$3*24*60*60)-SQRT(H$3*24*60*60))</f>
        <v>0</v>
      </c>
      <c r="J49" s="98">
        <f ca="1">Normalisation!J50*SQRT(J$3*24*60*60)/(SQRT(J$3*24*60*60)-SQRT(I$3*24*60*60))</f>
        <v>0</v>
      </c>
      <c r="K49" s="98">
        <f ca="1">Normalisation!K50*SQRT(K$3*24*60*60)/(SQRT(K$3*24*60*60)-SQRT(J$3*24*60*60))</f>
        <v>0</v>
      </c>
      <c r="L49" s="99">
        <f ca="1">Normalisation!L50*SQRT(L$3*24*60*60)/(SQRT(L$3*24*60*60)-SQRT(K$3*24*60*60))</f>
        <v>0</v>
      </c>
    </row>
    <row r="50" spans="1:12" ht="16.5" x14ac:dyDescent="0.2">
      <c r="A50" s="53">
        <f>'Measured Cummulative'!A51</f>
        <v>0</v>
      </c>
      <c r="B50" s="149">
        <f>'Measured Cummulative'!B51</f>
        <v>0</v>
      </c>
      <c r="C50" s="139" t="s">
        <v>100</v>
      </c>
      <c r="D50" s="144"/>
      <c r="E50" s="156">
        <f ca="1">Normalisation!E51*SQRT(E$3*24*60*60)/(SQRT(E$3*24*60*60)-SQRT(0))</f>
        <v>0</v>
      </c>
      <c r="F50" s="98">
        <f ca="1">Normalisation!F51*SQRT(F$3*24*60*60)/(SQRT(F$3*24*60*60)-SQRT(E$3*24*60*60))</f>
        <v>0</v>
      </c>
      <c r="G50" s="98">
        <f ca="1">Normalisation!G51*SQRT(G$3*24*60*60)/(SQRT(G$3*24*60*60)-SQRT(F$3*24*60*60))</f>
        <v>0</v>
      </c>
      <c r="H50" s="98">
        <f ca="1">Normalisation!H51*SQRT(H$3*24*60*60)/(SQRT(H$3*24*60*60)-SQRT(G$3*24*60*60))</f>
        <v>0</v>
      </c>
      <c r="I50" s="98">
        <f ca="1">Normalisation!I51*SQRT(I$3*24*60*60)/(SQRT(I$3*24*60*60)-SQRT(H$3*24*60*60))</f>
        <v>0</v>
      </c>
      <c r="J50" s="98">
        <f ca="1">Normalisation!J51*SQRT(J$3*24*60*60)/(SQRT(J$3*24*60*60)-SQRT(I$3*24*60*60))</f>
        <v>0</v>
      </c>
      <c r="K50" s="98">
        <f ca="1">Normalisation!K51*SQRT(K$3*24*60*60)/(SQRT(K$3*24*60*60)-SQRT(J$3*24*60*60))</f>
        <v>0</v>
      </c>
      <c r="L50" s="99">
        <f ca="1">Normalisation!L51*SQRT(L$3*24*60*60)/(SQRT(L$3*24*60*60)-SQRT(K$3*24*60*60))</f>
        <v>0</v>
      </c>
    </row>
    <row r="51" spans="1:12" ht="16.5" x14ac:dyDescent="0.2">
      <c r="A51" s="53">
        <f>'Measured Cummulative'!A52</f>
        <v>0</v>
      </c>
      <c r="B51" s="149">
        <f>'Measured Cummulative'!B52</f>
        <v>0</v>
      </c>
      <c r="C51" s="139" t="s">
        <v>100</v>
      </c>
      <c r="D51" s="144"/>
      <c r="E51" s="156">
        <f ca="1">Normalisation!E52*SQRT(E$3*24*60*60)/(SQRT(E$3*24*60*60)-SQRT(0))</f>
        <v>0</v>
      </c>
      <c r="F51" s="98">
        <f ca="1">Normalisation!F52*SQRT(F$3*24*60*60)/(SQRT(F$3*24*60*60)-SQRT(E$3*24*60*60))</f>
        <v>0</v>
      </c>
      <c r="G51" s="98">
        <f ca="1">Normalisation!G52*SQRT(G$3*24*60*60)/(SQRT(G$3*24*60*60)-SQRT(F$3*24*60*60))</f>
        <v>0</v>
      </c>
      <c r="H51" s="98">
        <f ca="1">Normalisation!H52*SQRT(H$3*24*60*60)/(SQRT(H$3*24*60*60)-SQRT(G$3*24*60*60))</f>
        <v>0</v>
      </c>
      <c r="I51" s="98">
        <f ca="1">Normalisation!I52*SQRT(I$3*24*60*60)/(SQRT(I$3*24*60*60)-SQRT(H$3*24*60*60))</f>
        <v>0</v>
      </c>
      <c r="J51" s="98">
        <f ca="1">Normalisation!J52*SQRT(J$3*24*60*60)/(SQRT(J$3*24*60*60)-SQRT(I$3*24*60*60))</f>
        <v>0</v>
      </c>
      <c r="K51" s="98">
        <f ca="1">Normalisation!K52*SQRT(K$3*24*60*60)/(SQRT(K$3*24*60*60)-SQRT(J$3*24*60*60))</f>
        <v>0</v>
      </c>
      <c r="L51" s="99">
        <f ca="1">Normalisation!L52*SQRT(L$3*24*60*60)/(SQRT(L$3*24*60*60)-SQRT(K$3*24*60*60))</f>
        <v>0</v>
      </c>
    </row>
    <row r="52" spans="1:12" ht="16.5" x14ac:dyDescent="0.2">
      <c r="A52" s="53">
        <f>'Measured Cummulative'!A53</f>
        <v>0</v>
      </c>
      <c r="B52" s="149">
        <f>'Measured Cummulative'!B53</f>
        <v>0</v>
      </c>
      <c r="C52" s="139" t="s">
        <v>100</v>
      </c>
      <c r="D52" s="144"/>
      <c r="E52" s="156">
        <f ca="1">Normalisation!E53*SQRT(E$3*24*60*60)/(SQRT(E$3*24*60*60)-SQRT(0))</f>
        <v>0</v>
      </c>
      <c r="F52" s="98">
        <f ca="1">Normalisation!F53*SQRT(F$3*24*60*60)/(SQRT(F$3*24*60*60)-SQRT(E$3*24*60*60))</f>
        <v>0</v>
      </c>
      <c r="G52" s="98">
        <f ca="1">Normalisation!G53*SQRT(G$3*24*60*60)/(SQRT(G$3*24*60*60)-SQRT(F$3*24*60*60))</f>
        <v>0</v>
      </c>
      <c r="H52" s="98">
        <f ca="1">Normalisation!H53*SQRT(H$3*24*60*60)/(SQRT(H$3*24*60*60)-SQRT(G$3*24*60*60))</f>
        <v>0</v>
      </c>
      <c r="I52" s="98">
        <f ca="1">Normalisation!I53*SQRT(I$3*24*60*60)/(SQRT(I$3*24*60*60)-SQRT(H$3*24*60*60))</f>
        <v>0</v>
      </c>
      <c r="J52" s="98">
        <f ca="1">Normalisation!J53*SQRT(J$3*24*60*60)/(SQRT(J$3*24*60*60)-SQRT(I$3*24*60*60))</f>
        <v>0</v>
      </c>
      <c r="K52" s="98">
        <f ca="1">Normalisation!K53*SQRT(K$3*24*60*60)/(SQRT(K$3*24*60*60)-SQRT(J$3*24*60*60))</f>
        <v>0</v>
      </c>
      <c r="L52" s="99">
        <f ca="1">Normalisation!L53*SQRT(L$3*24*60*60)/(SQRT(L$3*24*60*60)-SQRT(K$3*24*60*60))</f>
        <v>0</v>
      </c>
    </row>
    <row r="53" spans="1:12" ht="16.5" x14ac:dyDescent="0.2">
      <c r="A53" s="53">
        <f>'Measured Cummulative'!A54</f>
        <v>0</v>
      </c>
      <c r="B53" s="149">
        <f>'Measured Cummulative'!B54</f>
        <v>0</v>
      </c>
      <c r="C53" s="139" t="s">
        <v>100</v>
      </c>
      <c r="D53" s="144"/>
      <c r="E53" s="156">
        <f ca="1">Normalisation!E54*SQRT(E$3*24*60*60)/(SQRT(E$3*24*60*60)-SQRT(0))</f>
        <v>0</v>
      </c>
      <c r="F53" s="98">
        <f ca="1">Normalisation!F54*SQRT(F$3*24*60*60)/(SQRT(F$3*24*60*60)-SQRT(E$3*24*60*60))</f>
        <v>0</v>
      </c>
      <c r="G53" s="98">
        <f ca="1">Normalisation!G54*SQRT(G$3*24*60*60)/(SQRT(G$3*24*60*60)-SQRT(F$3*24*60*60))</f>
        <v>0</v>
      </c>
      <c r="H53" s="98">
        <f ca="1">Normalisation!H54*SQRT(H$3*24*60*60)/(SQRT(H$3*24*60*60)-SQRT(G$3*24*60*60))</f>
        <v>0</v>
      </c>
      <c r="I53" s="98">
        <f ca="1">Normalisation!I54*SQRT(I$3*24*60*60)/(SQRT(I$3*24*60*60)-SQRT(H$3*24*60*60))</f>
        <v>0</v>
      </c>
      <c r="J53" s="98">
        <f ca="1">Normalisation!J54*SQRT(J$3*24*60*60)/(SQRT(J$3*24*60*60)-SQRT(I$3*24*60*60))</f>
        <v>0</v>
      </c>
      <c r="K53" s="98">
        <f ca="1">Normalisation!K54*SQRT(K$3*24*60*60)/(SQRT(K$3*24*60*60)-SQRT(J$3*24*60*60))</f>
        <v>0</v>
      </c>
      <c r="L53" s="99">
        <f ca="1">Normalisation!L54*SQRT(L$3*24*60*60)/(SQRT(L$3*24*60*60)-SQRT(K$3*24*60*60))</f>
        <v>0</v>
      </c>
    </row>
    <row r="54" spans="1:12" ht="16.5" x14ac:dyDescent="0.2">
      <c r="A54" s="53">
        <f>'Measured Cummulative'!A55</f>
        <v>0</v>
      </c>
      <c r="B54" s="149">
        <f>'Measured Cummulative'!B55</f>
        <v>0</v>
      </c>
      <c r="C54" s="139" t="s">
        <v>100</v>
      </c>
      <c r="D54" s="144"/>
      <c r="E54" s="156">
        <f ca="1">Normalisation!E55*SQRT(E$3*24*60*60)/(SQRT(E$3*24*60*60)-SQRT(0))</f>
        <v>0</v>
      </c>
      <c r="F54" s="98">
        <f ca="1">Normalisation!F55*SQRT(F$3*24*60*60)/(SQRT(F$3*24*60*60)-SQRT(E$3*24*60*60))</f>
        <v>0</v>
      </c>
      <c r="G54" s="98">
        <f ca="1">Normalisation!G55*SQRT(G$3*24*60*60)/(SQRT(G$3*24*60*60)-SQRT(F$3*24*60*60))</f>
        <v>0</v>
      </c>
      <c r="H54" s="98">
        <f ca="1">Normalisation!H55*SQRT(H$3*24*60*60)/(SQRT(H$3*24*60*60)-SQRT(G$3*24*60*60))</f>
        <v>0</v>
      </c>
      <c r="I54" s="98">
        <f ca="1">Normalisation!I55*SQRT(I$3*24*60*60)/(SQRT(I$3*24*60*60)-SQRT(H$3*24*60*60))</f>
        <v>0</v>
      </c>
      <c r="J54" s="98">
        <f ca="1">Normalisation!J55*SQRT(J$3*24*60*60)/(SQRT(J$3*24*60*60)-SQRT(I$3*24*60*60))</f>
        <v>0</v>
      </c>
      <c r="K54" s="98">
        <f ca="1">Normalisation!K55*SQRT(K$3*24*60*60)/(SQRT(K$3*24*60*60)-SQRT(J$3*24*60*60))</f>
        <v>0</v>
      </c>
      <c r="L54" s="99">
        <f ca="1">Normalisation!L55*SQRT(L$3*24*60*60)/(SQRT(L$3*24*60*60)-SQRT(K$3*24*60*60))</f>
        <v>0</v>
      </c>
    </row>
    <row r="55" spans="1:12" ht="16.5" x14ac:dyDescent="0.2">
      <c r="A55" s="53">
        <f>'Measured Cummulative'!A56</f>
        <v>0</v>
      </c>
      <c r="B55" s="149">
        <f>'Measured Cummulative'!B56</f>
        <v>0</v>
      </c>
      <c r="C55" s="139" t="s">
        <v>100</v>
      </c>
      <c r="D55" s="144"/>
      <c r="E55" s="156">
        <f ca="1">Normalisation!E56*SQRT(E$3*24*60*60)/(SQRT(E$3*24*60*60)-SQRT(0))</f>
        <v>0</v>
      </c>
      <c r="F55" s="98">
        <f ca="1">Normalisation!F56*SQRT(F$3*24*60*60)/(SQRT(F$3*24*60*60)-SQRT(E$3*24*60*60))</f>
        <v>0</v>
      </c>
      <c r="G55" s="98">
        <f ca="1">Normalisation!G56*SQRT(G$3*24*60*60)/(SQRT(G$3*24*60*60)-SQRT(F$3*24*60*60))</f>
        <v>0</v>
      </c>
      <c r="H55" s="98">
        <f ca="1">Normalisation!H56*SQRT(H$3*24*60*60)/(SQRT(H$3*24*60*60)-SQRT(G$3*24*60*60))</f>
        <v>0</v>
      </c>
      <c r="I55" s="98">
        <f ca="1">Normalisation!I56*SQRT(I$3*24*60*60)/(SQRT(I$3*24*60*60)-SQRT(H$3*24*60*60))</f>
        <v>0</v>
      </c>
      <c r="J55" s="98">
        <f ca="1">Normalisation!J56*SQRT(J$3*24*60*60)/(SQRT(J$3*24*60*60)-SQRT(I$3*24*60*60))</f>
        <v>0</v>
      </c>
      <c r="K55" s="98">
        <f ca="1">Normalisation!K56*SQRT(K$3*24*60*60)/(SQRT(K$3*24*60*60)-SQRT(J$3*24*60*60))</f>
        <v>0</v>
      </c>
      <c r="L55" s="99">
        <f ca="1">Normalisation!L56*SQRT(L$3*24*60*60)/(SQRT(L$3*24*60*60)-SQRT(K$3*24*60*60))</f>
        <v>0</v>
      </c>
    </row>
    <row r="56" spans="1:12" ht="16.5" x14ac:dyDescent="0.2">
      <c r="A56" s="53">
        <f>'Measured Cummulative'!A57</f>
        <v>0</v>
      </c>
      <c r="B56" s="149">
        <f>'Measured Cummulative'!B57</f>
        <v>0</v>
      </c>
      <c r="C56" s="139" t="s">
        <v>100</v>
      </c>
      <c r="D56" s="144"/>
      <c r="E56" s="156">
        <f ca="1">Normalisation!E57*SQRT(E$3*24*60*60)/(SQRT(E$3*24*60*60)-SQRT(0))</f>
        <v>0</v>
      </c>
      <c r="F56" s="98">
        <f ca="1">Normalisation!F57*SQRT(F$3*24*60*60)/(SQRT(F$3*24*60*60)-SQRT(E$3*24*60*60))</f>
        <v>0</v>
      </c>
      <c r="G56" s="98">
        <f ca="1">Normalisation!G57*SQRT(G$3*24*60*60)/(SQRT(G$3*24*60*60)-SQRT(F$3*24*60*60))</f>
        <v>0</v>
      </c>
      <c r="H56" s="98">
        <f ca="1">Normalisation!H57*SQRT(H$3*24*60*60)/(SQRT(H$3*24*60*60)-SQRT(G$3*24*60*60))</f>
        <v>0</v>
      </c>
      <c r="I56" s="98">
        <f ca="1">Normalisation!I57*SQRT(I$3*24*60*60)/(SQRT(I$3*24*60*60)-SQRT(H$3*24*60*60))</f>
        <v>0</v>
      </c>
      <c r="J56" s="98">
        <f ca="1">Normalisation!J57*SQRT(J$3*24*60*60)/(SQRT(J$3*24*60*60)-SQRT(I$3*24*60*60))</f>
        <v>0</v>
      </c>
      <c r="K56" s="98">
        <f ca="1">Normalisation!K57*SQRT(K$3*24*60*60)/(SQRT(K$3*24*60*60)-SQRT(J$3*24*60*60))</f>
        <v>0</v>
      </c>
      <c r="L56" s="99">
        <f ca="1">Normalisation!L57*SQRT(L$3*24*60*60)/(SQRT(L$3*24*60*60)-SQRT(K$3*24*60*60))</f>
        <v>0</v>
      </c>
    </row>
    <row r="57" spans="1:12" ht="16.5" x14ac:dyDescent="0.2">
      <c r="A57" s="53">
        <f>'Measured Cummulative'!A58</f>
        <v>0</v>
      </c>
      <c r="B57" s="149">
        <f>'Measured Cummulative'!B58</f>
        <v>0</v>
      </c>
      <c r="C57" s="139" t="s">
        <v>100</v>
      </c>
      <c r="D57" s="144"/>
      <c r="E57" s="156">
        <f ca="1">Normalisation!E58*SQRT(E$3*24*60*60)/(SQRT(E$3*24*60*60)-SQRT(0))</f>
        <v>0</v>
      </c>
      <c r="F57" s="98">
        <f ca="1">Normalisation!F58*SQRT(F$3*24*60*60)/(SQRT(F$3*24*60*60)-SQRT(E$3*24*60*60))</f>
        <v>0</v>
      </c>
      <c r="G57" s="98">
        <f ca="1">Normalisation!G58*SQRT(G$3*24*60*60)/(SQRT(G$3*24*60*60)-SQRT(F$3*24*60*60))</f>
        <v>0</v>
      </c>
      <c r="H57" s="98">
        <f ca="1">Normalisation!H58*SQRT(H$3*24*60*60)/(SQRT(H$3*24*60*60)-SQRT(G$3*24*60*60))</f>
        <v>0</v>
      </c>
      <c r="I57" s="98">
        <f ca="1">Normalisation!I58*SQRT(I$3*24*60*60)/(SQRT(I$3*24*60*60)-SQRT(H$3*24*60*60))</f>
        <v>0</v>
      </c>
      <c r="J57" s="98">
        <f ca="1">Normalisation!J58*SQRT(J$3*24*60*60)/(SQRT(J$3*24*60*60)-SQRT(I$3*24*60*60))</f>
        <v>0</v>
      </c>
      <c r="K57" s="98">
        <f ca="1">Normalisation!K58*SQRT(K$3*24*60*60)/(SQRT(K$3*24*60*60)-SQRT(J$3*24*60*60))</f>
        <v>0</v>
      </c>
      <c r="L57" s="99">
        <f ca="1">Normalisation!L58*SQRT(L$3*24*60*60)/(SQRT(L$3*24*60*60)-SQRT(K$3*24*60*60))</f>
        <v>0</v>
      </c>
    </row>
    <row r="58" spans="1:12" ht="16.5" x14ac:dyDescent="0.2">
      <c r="A58" s="53">
        <f>'Measured Cummulative'!A59</f>
        <v>0</v>
      </c>
      <c r="B58" s="149">
        <f>'Measured Cummulative'!B59</f>
        <v>0</v>
      </c>
      <c r="C58" s="139" t="s">
        <v>100</v>
      </c>
      <c r="D58" s="144"/>
      <c r="E58" s="156">
        <f ca="1">Normalisation!E59*SQRT(E$3*24*60*60)/(SQRT(E$3*24*60*60)-SQRT(0))</f>
        <v>0</v>
      </c>
      <c r="F58" s="98">
        <f ca="1">Normalisation!F59*SQRT(F$3*24*60*60)/(SQRT(F$3*24*60*60)-SQRT(E$3*24*60*60))</f>
        <v>0</v>
      </c>
      <c r="G58" s="98">
        <f ca="1">Normalisation!G59*SQRT(G$3*24*60*60)/(SQRT(G$3*24*60*60)-SQRT(F$3*24*60*60))</f>
        <v>0</v>
      </c>
      <c r="H58" s="98">
        <f ca="1">Normalisation!H59*SQRT(H$3*24*60*60)/(SQRT(H$3*24*60*60)-SQRT(G$3*24*60*60))</f>
        <v>0</v>
      </c>
      <c r="I58" s="98">
        <f ca="1">Normalisation!I59*SQRT(I$3*24*60*60)/(SQRT(I$3*24*60*60)-SQRT(H$3*24*60*60))</f>
        <v>0</v>
      </c>
      <c r="J58" s="98">
        <f ca="1">Normalisation!J59*SQRT(J$3*24*60*60)/(SQRT(J$3*24*60*60)-SQRT(I$3*24*60*60))</f>
        <v>0</v>
      </c>
      <c r="K58" s="98">
        <f ca="1">Normalisation!K59*SQRT(K$3*24*60*60)/(SQRT(K$3*24*60*60)-SQRT(J$3*24*60*60))</f>
        <v>0</v>
      </c>
      <c r="L58" s="99">
        <f ca="1">Normalisation!L59*SQRT(L$3*24*60*60)/(SQRT(L$3*24*60*60)-SQRT(K$3*24*60*60))</f>
        <v>0</v>
      </c>
    </row>
    <row r="59" spans="1:12" ht="16.5" x14ac:dyDescent="0.2">
      <c r="A59" s="53">
        <f>'Measured Cummulative'!A60</f>
        <v>0</v>
      </c>
      <c r="B59" s="149">
        <f>'Measured Cummulative'!B60</f>
        <v>0</v>
      </c>
      <c r="C59" s="139" t="s">
        <v>100</v>
      </c>
      <c r="D59" s="144"/>
      <c r="E59" s="156">
        <f ca="1">Normalisation!E60*SQRT(E$3*24*60*60)/(SQRT(E$3*24*60*60)-SQRT(0))</f>
        <v>0</v>
      </c>
      <c r="F59" s="98">
        <f ca="1">Normalisation!F60*SQRT(F$3*24*60*60)/(SQRT(F$3*24*60*60)-SQRT(E$3*24*60*60))</f>
        <v>0</v>
      </c>
      <c r="G59" s="98">
        <f ca="1">Normalisation!G60*SQRT(G$3*24*60*60)/(SQRT(G$3*24*60*60)-SQRT(F$3*24*60*60))</f>
        <v>0</v>
      </c>
      <c r="H59" s="98">
        <f ca="1">Normalisation!H60*SQRT(H$3*24*60*60)/(SQRT(H$3*24*60*60)-SQRT(G$3*24*60*60))</f>
        <v>0</v>
      </c>
      <c r="I59" s="98">
        <f ca="1">Normalisation!I60*SQRT(I$3*24*60*60)/(SQRT(I$3*24*60*60)-SQRT(H$3*24*60*60))</f>
        <v>0</v>
      </c>
      <c r="J59" s="98">
        <f ca="1">Normalisation!J60*SQRT(J$3*24*60*60)/(SQRT(J$3*24*60*60)-SQRT(I$3*24*60*60))</f>
        <v>0</v>
      </c>
      <c r="K59" s="98">
        <f ca="1">Normalisation!K60*SQRT(K$3*24*60*60)/(SQRT(K$3*24*60*60)-SQRT(J$3*24*60*60))</f>
        <v>0</v>
      </c>
      <c r="L59" s="99">
        <f ca="1">Normalisation!L60*SQRT(L$3*24*60*60)/(SQRT(L$3*24*60*60)-SQRT(K$3*24*60*60))</f>
        <v>0</v>
      </c>
    </row>
    <row r="60" spans="1:12" ht="16.5" x14ac:dyDescent="0.2">
      <c r="A60" s="53">
        <f>'Measured Cummulative'!A61</f>
        <v>0</v>
      </c>
      <c r="B60" s="149">
        <f>'Measured Cummulative'!B61</f>
        <v>0</v>
      </c>
      <c r="C60" s="139" t="s">
        <v>100</v>
      </c>
      <c r="D60" s="144"/>
      <c r="E60" s="156">
        <f ca="1">Normalisation!E61*SQRT(E$3*24*60*60)/(SQRT(E$3*24*60*60)-SQRT(0))</f>
        <v>0</v>
      </c>
      <c r="F60" s="98">
        <f ca="1">Normalisation!F61*SQRT(F$3*24*60*60)/(SQRT(F$3*24*60*60)-SQRT(E$3*24*60*60))</f>
        <v>0</v>
      </c>
      <c r="G60" s="98">
        <f ca="1">Normalisation!G61*SQRT(G$3*24*60*60)/(SQRT(G$3*24*60*60)-SQRT(F$3*24*60*60))</f>
        <v>0</v>
      </c>
      <c r="H60" s="98">
        <f ca="1">Normalisation!H61*SQRT(H$3*24*60*60)/(SQRT(H$3*24*60*60)-SQRT(G$3*24*60*60))</f>
        <v>0</v>
      </c>
      <c r="I60" s="98">
        <f ca="1">Normalisation!I61*SQRT(I$3*24*60*60)/(SQRT(I$3*24*60*60)-SQRT(H$3*24*60*60))</f>
        <v>0</v>
      </c>
      <c r="J60" s="98">
        <f ca="1">Normalisation!J61*SQRT(J$3*24*60*60)/(SQRT(J$3*24*60*60)-SQRT(I$3*24*60*60))</f>
        <v>0</v>
      </c>
      <c r="K60" s="98">
        <f ca="1">Normalisation!K61*SQRT(K$3*24*60*60)/(SQRT(K$3*24*60*60)-SQRT(J$3*24*60*60))</f>
        <v>0</v>
      </c>
      <c r="L60" s="99">
        <f ca="1">Normalisation!L61*SQRT(L$3*24*60*60)/(SQRT(L$3*24*60*60)-SQRT(K$3*24*60*60))</f>
        <v>0</v>
      </c>
    </row>
    <row r="61" spans="1:12" ht="16.5" x14ac:dyDescent="0.2">
      <c r="A61" s="53">
        <f>'Measured Cummulative'!A62</f>
        <v>0</v>
      </c>
      <c r="B61" s="149">
        <f>'Measured Cummulative'!B62</f>
        <v>0</v>
      </c>
      <c r="C61" s="139" t="s">
        <v>100</v>
      </c>
      <c r="D61" s="144"/>
      <c r="E61" s="156">
        <f ca="1">Normalisation!E62*SQRT(E$3*24*60*60)/(SQRT(E$3*24*60*60)-SQRT(0))</f>
        <v>0</v>
      </c>
      <c r="F61" s="98">
        <f ca="1">Normalisation!F62*SQRT(F$3*24*60*60)/(SQRT(F$3*24*60*60)-SQRT(E$3*24*60*60))</f>
        <v>0</v>
      </c>
      <c r="G61" s="98">
        <f ca="1">Normalisation!G62*SQRT(G$3*24*60*60)/(SQRT(G$3*24*60*60)-SQRT(F$3*24*60*60))</f>
        <v>0</v>
      </c>
      <c r="H61" s="98">
        <f ca="1">Normalisation!H62*SQRT(H$3*24*60*60)/(SQRT(H$3*24*60*60)-SQRT(G$3*24*60*60))</f>
        <v>0</v>
      </c>
      <c r="I61" s="98">
        <f ca="1">Normalisation!I62*SQRT(I$3*24*60*60)/(SQRT(I$3*24*60*60)-SQRT(H$3*24*60*60))</f>
        <v>0</v>
      </c>
      <c r="J61" s="98">
        <f ca="1">Normalisation!J62*SQRT(J$3*24*60*60)/(SQRT(J$3*24*60*60)-SQRT(I$3*24*60*60))</f>
        <v>0</v>
      </c>
      <c r="K61" s="98">
        <f ca="1">Normalisation!K62*SQRT(K$3*24*60*60)/(SQRT(K$3*24*60*60)-SQRT(J$3*24*60*60))</f>
        <v>0</v>
      </c>
      <c r="L61" s="99">
        <f ca="1">Normalisation!L62*SQRT(L$3*24*60*60)/(SQRT(L$3*24*60*60)-SQRT(K$3*24*60*60))</f>
        <v>0</v>
      </c>
    </row>
    <row r="62" spans="1:12" ht="16.5" x14ac:dyDescent="0.2">
      <c r="A62" s="53">
        <f>'Measured Cummulative'!A63</f>
        <v>0</v>
      </c>
      <c r="B62" s="149">
        <f>'Measured Cummulative'!B63</f>
        <v>0</v>
      </c>
      <c r="C62" s="139" t="s">
        <v>100</v>
      </c>
      <c r="D62" s="144"/>
      <c r="E62" s="156">
        <f ca="1">Normalisation!E63*SQRT(E$3*24*60*60)/(SQRT(E$3*24*60*60)-SQRT(0))</f>
        <v>0</v>
      </c>
      <c r="F62" s="98">
        <f ca="1">Normalisation!F63*SQRT(F$3*24*60*60)/(SQRT(F$3*24*60*60)-SQRT(E$3*24*60*60))</f>
        <v>0</v>
      </c>
      <c r="G62" s="98">
        <f ca="1">Normalisation!G63*SQRT(G$3*24*60*60)/(SQRT(G$3*24*60*60)-SQRT(F$3*24*60*60))</f>
        <v>0</v>
      </c>
      <c r="H62" s="98">
        <f ca="1">Normalisation!H63*SQRT(H$3*24*60*60)/(SQRT(H$3*24*60*60)-SQRT(G$3*24*60*60))</f>
        <v>0</v>
      </c>
      <c r="I62" s="98">
        <f ca="1">Normalisation!I63*SQRT(I$3*24*60*60)/(SQRT(I$3*24*60*60)-SQRT(H$3*24*60*60))</f>
        <v>0</v>
      </c>
      <c r="J62" s="98">
        <f ca="1">Normalisation!J63*SQRT(J$3*24*60*60)/(SQRT(J$3*24*60*60)-SQRT(I$3*24*60*60))</f>
        <v>0</v>
      </c>
      <c r="K62" s="98">
        <f ca="1">Normalisation!K63*SQRT(K$3*24*60*60)/(SQRT(K$3*24*60*60)-SQRT(J$3*24*60*60))</f>
        <v>0</v>
      </c>
      <c r="L62" s="99">
        <f ca="1">Normalisation!L63*SQRT(L$3*24*60*60)/(SQRT(L$3*24*60*60)-SQRT(K$3*24*60*60))</f>
        <v>0</v>
      </c>
    </row>
    <row r="63" spans="1:12" ht="16.5" x14ac:dyDescent="0.2">
      <c r="A63" s="53">
        <f>'Measured Cummulative'!A64</f>
        <v>0</v>
      </c>
      <c r="B63" s="149">
        <f>'Measured Cummulative'!B64</f>
        <v>0</v>
      </c>
      <c r="C63" s="139" t="s">
        <v>100</v>
      </c>
      <c r="D63" s="144"/>
      <c r="E63" s="156">
        <f ca="1">Normalisation!E64*SQRT(E$3*24*60*60)/(SQRT(E$3*24*60*60)-SQRT(0))</f>
        <v>0</v>
      </c>
      <c r="F63" s="98">
        <f ca="1">Normalisation!F64*SQRT(F$3*24*60*60)/(SQRT(F$3*24*60*60)-SQRT(E$3*24*60*60))</f>
        <v>0</v>
      </c>
      <c r="G63" s="98">
        <f ca="1">Normalisation!G64*SQRT(G$3*24*60*60)/(SQRT(G$3*24*60*60)-SQRT(F$3*24*60*60))</f>
        <v>0</v>
      </c>
      <c r="H63" s="98">
        <f ca="1">Normalisation!H64*SQRT(H$3*24*60*60)/(SQRT(H$3*24*60*60)-SQRT(G$3*24*60*60))</f>
        <v>0</v>
      </c>
      <c r="I63" s="98">
        <f ca="1">Normalisation!I64*SQRT(I$3*24*60*60)/(SQRT(I$3*24*60*60)-SQRT(H$3*24*60*60))</f>
        <v>0</v>
      </c>
      <c r="J63" s="98">
        <f ca="1">Normalisation!J64*SQRT(J$3*24*60*60)/(SQRT(J$3*24*60*60)-SQRT(I$3*24*60*60))</f>
        <v>0</v>
      </c>
      <c r="K63" s="98">
        <f ca="1">Normalisation!K64*SQRT(K$3*24*60*60)/(SQRT(K$3*24*60*60)-SQRT(J$3*24*60*60))</f>
        <v>0</v>
      </c>
      <c r="L63" s="99">
        <f ca="1">Normalisation!L64*SQRT(L$3*24*60*60)/(SQRT(L$3*24*60*60)-SQRT(K$3*24*60*60))</f>
        <v>0</v>
      </c>
    </row>
    <row r="64" spans="1:12" ht="16.5" x14ac:dyDescent="0.2">
      <c r="A64" s="53">
        <f>'Measured Cummulative'!A65</f>
        <v>0</v>
      </c>
      <c r="B64" s="149">
        <f>'Measured Cummulative'!B65</f>
        <v>0</v>
      </c>
      <c r="C64" s="139" t="s">
        <v>100</v>
      </c>
      <c r="D64" s="144"/>
      <c r="E64" s="156">
        <f ca="1">Normalisation!E65*SQRT(E$3*24*60*60)/(SQRT(E$3*24*60*60)-SQRT(0))</f>
        <v>0</v>
      </c>
      <c r="F64" s="98">
        <f ca="1">Normalisation!F65*SQRT(F$3*24*60*60)/(SQRT(F$3*24*60*60)-SQRT(E$3*24*60*60))</f>
        <v>0</v>
      </c>
      <c r="G64" s="98">
        <f ca="1">Normalisation!G65*SQRT(G$3*24*60*60)/(SQRT(G$3*24*60*60)-SQRT(F$3*24*60*60))</f>
        <v>0</v>
      </c>
      <c r="H64" s="98">
        <f ca="1">Normalisation!H65*SQRT(H$3*24*60*60)/(SQRT(H$3*24*60*60)-SQRT(G$3*24*60*60))</f>
        <v>0</v>
      </c>
      <c r="I64" s="98">
        <f ca="1">Normalisation!I65*SQRT(I$3*24*60*60)/(SQRT(I$3*24*60*60)-SQRT(H$3*24*60*60))</f>
        <v>0</v>
      </c>
      <c r="J64" s="98">
        <f ca="1">Normalisation!J65*SQRT(J$3*24*60*60)/(SQRT(J$3*24*60*60)-SQRT(I$3*24*60*60))</f>
        <v>0</v>
      </c>
      <c r="K64" s="98">
        <f ca="1">Normalisation!K65*SQRT(K$3*24*60*60)/(SQRT(K$3*24*60*60)-SQRT(J$3*24*60*60))</f>
        <v>0</v>
      </c>
      <c r="L64" s="99">
        <f ca="1">Normalisation!L65*SQRT(L$3*24*60*60)/(SQRT(L$3*24*60*60)-SQRT(K$3*24*60*60))</f>
        <v>0</v>
      </c>
    </row>
    <row r="65" spans="1:12" ht="16.5" x14ac:dyDescent="0.2">
      <c r="A65" s="53">
        <f>'Measured Cummulative'!A66</f>
        <v>0</v>
      </c>
      <c r="B65" s="149">
        <f>'Measured Cummulative'!B66</f>
        <v>0</v>
      </c>
      <c r="C65" s="139" t="s">
        <v>100</v>
      </c>
      <c r="D65" s="144"/>
      <c r="E65" s="156">
        <f ca="1">Normalisation!E66*SQRT(E$3*24*60*60)/(SQRT(E$3*24*60*60)-SQRT(0))</f>
        <v>0</v>
      </c>
      <c r="F65" s="98">
        <f ca="1">Normalisation!F66*SQRT(F$3*24*60*60)/(SQRT(F$3*24*60*60)-SQRT(E$3*24*60*60))</f>
        <v>0</v>
      </c>
      <c r="G65" s="98">
        <f ca="1">Normalisation!G66*SQRT(G$3*24*60*60)/(SQRT(G$3*24*60*60)-SQRT(F$3*24*60*60))</f>
        <v>0</v>
      </c>
      <c r="H65" s="98">
        <f ca="1">Normalisation!H66*SQRT(H$3*24*60*60)/(SQRT(H$3*24*60*60)-SQRT(G$3*24*60*60))</f>
        <v>0</v>
      </c>
      <c r="I65" s="98">
        <f ca="1">Normalisation!I66*SQRT(I$3*24*60*60)/(SQRT(I$3*24*60*60)-SQRT(H$3*24*60*60))</f>
        <v>0</v>
      </c>
      <c r="J65" s="98">
        <f ca="1">Normalisation!J66*SQRT(J$3*24*60*60)/(SQRT(J$3*24*60*60)-SQRT(I$3*24*60*60))</f>
        <v>0</v>
      </c>
      <c r="K65" s="98">
        <f ca="1">Normalisation!K66*SQRT(K$3*24*60*60)/(SQRT(K$3*24*60*60)-SQRT(J$3*24*60*60))</f>
        <v>0</v>
      </c>
      <c r="L65" s="99">
        <f ca="1">Normalisation!L66*SQRT(L$3*24*60*60)/(SQRT(L$3*24*60*60)-SQRT(K$3*24*60*60))</f>
        <v>0</v>
      </c>
    </row>
    <row r="66" spans="1:12" ht="16.5" x14ac:dyDescent="0.2">
      <c r="A66" s="53">
        <f>'Measured Cummulative'!A67</f>
        <v>0</v>
      </c>
      <c r="B66" s="149">
        <f>'Measured Cummulative'!B67</f>
        <v>0</v>
      </c>
      <c r="C66" s="139" t="s">
        <v>100</v>
      </c>
      <c r="D66" s="144"/>
      <c r="E66" s="156">
        <f ca="1">Normalisation!E67*SQRT(E$3*24*60*60)/(SQRT(E$3*24*60*60)-SQRT(0))</f>
        <v>0</v>
      </c>
      <c r="F66" s="98">
        <f ca="1">Normalisation!F67*SQRT(F$3*24*60*60)/(SQRT(F$3*24*60*60)-SQRT(E$3*24*60*60))</f>
        <v>0</v>
      </c>
      <c r="G66" s="98">
        <f ca="1">Normalisation!G67*SQRT(G$3*24*60*60)/(SQRT(G$3*24*60*60)-SQRT(F$3*24*60*60))</f>
        <v>0</v>
      </c>
      <c r="H66" s="98">
        <f ca="1">Normalisation!H67*SQRT(H$3*24*60*60)/(SQRT(H$3*24*60*60)-SQRT(G$3*24*60*60))</f>
        <v>0</v>
      </c>
      <c r="I66" s="98">
        <f ca="1">Normalisation!I67*SQRT(I$3*24*60*60)/(SQRT(I$3*24*60*60)-SQRT(H$3*24*60*60))</f>
        <v>0</v>
      </c>
      <c r="J66" s="98">
        <f ca="1">Normalisation!J67*SQRT(J$3*24*60*60)/(SQRT(J$3*24*60*60)-SQRT(I$3*24*60*60))</f>
        <v>0</v>
      </c>
      <c r="K66" s="98">
        <f ca="1">Normalisation!K67*SQRT(K$3*24*60*60)/(SQRT(K$3*24*60*60)-SQRT(J$3*24*60*60))</f>
        <v>0</v>
      </c>
      <c r="L66" s="99">
        <f ca="1">Normalisation!L67*SQRT(L$3*24*60*60)/(SQRT(L$3*24*60*60)-SQRT(K$3*24*60*60))</f>
        <v>0</v>
      </c>
    </row>
    <row r="67" spans="1:12" ht="16.5" x14ac:dyDescent="0.2">
      <c r="A67" s="53">
        <f>'Measured Cummulative'!A68</f>
        <v>0</v>
      </c>
      <c r="B67" s="149">
        <f>'Measured Cummulative'!B68</f>
        <v>0</v>
      </c>
      <c r="C67" s="139" t="s">
        <v>100</v>
      </c>
      <c r="D67" s="144"/>
      <c r="E67" s="156">
        <f ca="1">Normalisation!E68*SQRT(E$3*24*60*60)/(SQRT(E$3*24*60*60)-SQRT(0))</f>
        <v>0</v>
      </c>
      <c r="F67" s="98">
        <f ca="1">Normalisation!F68*SQRT(F$3*24*60*60)/(SQRT(F$3*24*60*60)-SQRT(E$3*24*60*60))</f>
        <v>0</v>
      </c>
      <c r="G67" s="98">
        <f ca="1">Normalisation!G68*SQRT(G$3*24*60*60)/(SQRT(G$3*24*60*60)-SQRT(F$3*24*60*60))</f>
        <v>0</v>
      </c>
      <c r="H67" s="98">
        <f ca="1">Normalisation!H68*SQRT(H$3*24*60*60)/(SQRT(H$3*24*60*60)-SQRT(G$3*24*60*60))</f>
        <v>0</v>
      </c>
      <c r="I67" s="98">
        <f ca="1">Normalisation!I68*SQRT(I$3*24*60*60)/(SQRT(I$3*24*60*60)-SQRT(H$3*24*60*60))</f>
        <v>0</v>
      </c>
      <c r="J67" s="98">
        <f ca="1">Normalisation!J68*SQRT(J$3*24*60*60)/(SQRT(J$3*24*60*60)-SQRT(I$3*24*60*60))</f>
        <v>0</v>
      </c>
      <c r="K67" s="98">
        <f ca="1">Normalisation!K68*SQRT(K$3*24*60*60)/(SQRT(K$3*24*60*60)-SQRT(J$3*24*60*60))</f>
        <v>0</v>
      </c>
      <c r="L67" s="99">
        <f ca="1">Normalisation!L68*SQRT(L$3*24*60*60)/(SQRT(L$3*24*60*60)-SQRT(K$3*24*60*60))</f>
        <v>0</v>
      </c>
    </row>
    <row r="68" spans="1:12" ht="16.5" x14ac:dyDescent="0.2">
      <c r="A68" s="53">
        <f>'Measured Cummulative'!A69</f>
        <v>0</v>
      </c>
      <c r="B68" s="149">
        <f>'Measured Cummulative'!B69</f>
        <v>0</v>
      </c>
      <c r="C68" s="139" t="s">
        <v>100</v>
      </c>
      <c r="D68" s="144"/>
      <c r="E68" s="156">
        <f ca="1">Normalisation!E69*SQRT(E$3*24*60*60)/(SQRT(E$3*24*60*60)-SQRT(0))</f>
        <v>0</v>
      </c>
      <c r="F68" s="98">
        <f ca="1">Normalisation!F69*SQRT(F$3*24*60*60)/(SQRT(F$3*24*60*60)-SQRT(E$3*24*60*60))</f>
        <v>0</v>
      </c>
      <c r="G68" s="98">
        <f ca="1">Normalisation!G69*SQRT(G$3*24*60*60)/(SQRT(G$3*24*60*60)-SQRT(F$3*24*60*60))</f>
        <v>0</v>
      </c>
      <c r="H68" s="98">
        <f ca="1">Normalisation!H69*SQRT(H$3*24*60*60)/(SQRT(H$3*24*60*60)-SQRT(G$3*24*60*60))</f>
        <v>0</v>
      </c>
      <c r="I68" s="98">
        <f ca="1">Normalisation!I69*SQRT(I$3*24*60*60)/(SQRT(I$3*24*60*60)-SQRT(H$3*24*60*60))</f>
        <v>0</v>
      </c>
      <c r="J68" s="98">
        <f ca="1">Normalisation!J69*SQRT(J$3*24*60*60)/(SQRT(J$3*24*60*60)-SQRT(I$3*24*60*60))</f>
        <v>0</v>
      </c>
      <c r="K68" s="98">
        <f ca="1">Normalisation!K69*SQRT(K$3*24*60*60)/(SQRT(K$3*24*60*60)-SQRT(J$3*24*60*60))</f>
        <v>0</v>
      </c>
      <c r="L68" s="99">
        <f ca="1">Normalisation!L69*SQRT(L$3*24*60*60)/(SQRT(L$3*24*60*60)-SQRT(K$3*24*60*60))</f>
        <v>0</v>
      </c>
    </row>
    <row r="69" spans="1:12" ht="16.5" x14ac:dyDescent="0.2">
      <c r="A69" s="53">
        <f>'Measured Cummulative'!A70</f>
        <v>0</v>
      </c>
      <c r="B69" s="149">
        <f>'Measured Cummulative'!B70</f>
        <v>0</v>
      </c>
      <c r="C69" s="139" t="s">
        <v>100</v>
      </c>
      <c r="D69" s="144"/>
      <c r="E69" s="156">
        <f ca="1">Normalisation!E70*SQRT(E$3*24*60*60)/(SQRT(E$3*24*60*60)-SQRT(0))</f>
        <v>0</v>
      </c>
      <c r="F69" s="98">
        <f ca="1">Normalisation!F70*SQRT(F$3*24*60*60)/(SQRT(F$3*24*60*60)-SQRT(E$3*24*60*60))</f>
        <v>0</v>
      </c>
      <c r="G69" s="98">
        <f ca="1">Normalisation!G70*SQRT(G$3*24*60*60)/(SQRT(G$3*24*60*60)-SQRT(F$3*24*60*60))</f>
        <v>0</v>
      </c>
      <c r="H69" s="98">
        <f ca="1">Normalisation!H70*SQRT(H$3*24*60*60)/(SQRT(H$3*24*60*60)-SQRT(G$3*24*60*60))</f>
        <v>0</v>
      </c>
      <c r="I69" s="98">
        <f ca="1">Normalisation!I70*SQRT(I$3*24*60*60)/(SQRT(I$3*24*60*60)-SQRT(H$3*24*60*60))</f>
        <v>0</v>
      </c>
      <c r="J69" s="98">
        <f ca="1">Normalisation!J70*SQRT(J$3*24*60*60)/(SQRT(J$3*24*60*60)-SQRT(I$3*24*60*60))</f>
        <v>0</v>
      </c>
      <c r="K69" s="98">
        <f ca="1">Normalisation!K70*SQRT(K$3*24*60*60)/(SQRT(K$3*24*60*60)-SQRT(J$3*24*60*60))</f>
        <v>0</v>
      </c>
      <c r="L69" s="99">
        <f ca="1">Normalisation!L70*SQRT(L$3*24*60*60)/(SQRT(L$3*24*60*60)-SQRT(K$3*24*60*60))</f>
        <v>0</v>
      </c>
    </row>
    <row r="70" spans="1:12" ht="16.5" x14ac:dyDescent="0.2">
      <c r="A70" s="53">
        <f>'Measured Cummulative'!A71</f>
        <v>0</v>
      </c>
      <c r="B70" s="149">
        <f>'Measured Cummulative'!B71</f>
        <v>0</v>
      </c>
      <c r="C70" s="139" t="s">
        <v>100</v>
      </c>
      <c r="D70" s="144"/>
      <c r="E70" s="156">
        <f ca="1">Normalisation!E71*SQRT(E$3*24*60*60)/(SQRT(E$3*24*60*60)-SQRT(0))</f>
        <v>0</v>
      </c>
      <c r="F70" s="98">
        <f ca="1">Normalisation!F71*SQRT(F$3*24*60*60)/(SQRT(F$3*24*60*60)-SQRT(E$3*24*60*60))</f>
        <v>0</v>
      </c>
      <c r="G70" s="98">
        <f ca="1">Normalisation!G71*SQRT(G$3*24*60*60)/(SQRT(G$3*24*60*60)-SQRT(F$3*24*60*60))</f>
        <v>0</v>
      </c>
      <c r="H70" s="98">
        <f ca="1">Normalisation!H71*SQRT(H$3*24*60*60)/(SQRT(H$3*24*60*60)-SQRT(G$3*24*60*60))</f>
        <v>0</v>
      </c>
      <c r="I70" s="98">
        <f ca="1">Normalisation!I71*SQRT(I$3*24*60*60)/(SQRT(I$3*24*60*60)-SQRT(H$3*24*60*60))</f>
        <v>0</v>
      </c>
      <c r="J70" s="98">
        <f ca="1">Normalisation!J71*SQRT(J$3*24*60*60)/(SQRT(J$3*24*60*60)-SQRT(I$3*24*60*60))</f>
        <v>0</v>
      </c>
      <c r="K70" s="98">
        <f ca="1">Normalisation!K71*SQRT(K$3*24*60*60)/(SQRT(K$3*24*60*60)-SQRT(J$3*24*60*60))</f>
        <v>0</v>
      </c>
      <c r="L70" s="99">
        <f ca="1">Normalisation!L71*SQRT(L$3*24*60*60)/(SQRT(L$3*24*60*60)-SQRT(K$3*24*60*60))</f>
        <v>0</v>
      </c>
    </row>
    <row r="71" spans="1:12" ht="16.5" x14ac:dyDescent="0.2">
      <c r="A71" s="53">
        <f>'Measured Cummulative'!A72</f>
        <v>0</v>
      </c>
      <c r="B71" s="149">
        <f>'Measured Cummulative'!B72</f>
        <v>0</v>
      </c>
      <c r="C71" s="139" t="s">
        <v>100</v>
      </c>
      <c r="D71" s="419"/>
      <c r="E71" s="156">
        <f ca="1">Normalisation!E72*SQRT(E$3*24*60*60)/(SQRT(E$3*24*60*60)-SQRT(0))</f>
        <v>0</v>
      </c>
      <c r="F71" s="98">
        <f ca="1">Normalisation!F72*SQRT(F$3*24*60*60)/(SQRT(F$3*24*60*60)-SQRT(E$3*24*60*60))</f>
        <v>0</v>
      </c>
      <c r="G71" s="98">
        <f ca="1">Normalisation!G72*SQRT(G$3*24*60*60)/(SQRT(G$3*24*60*60)-SQRT(F$3*24*60*60))</f>
        <v>0</v>
      </c>
      <c r="H71" s="98">
        <f ca="1">Normalisation!H72*SQRT(H$3*24*60*60)/(SQRT(H$3*24*60*60)-SQRT(G$3*24*60*60))</f>
        <v>0</v>
      </c>
      <c r="I71" s="98">
        <f ca="1">Normalisation!I72*SQRT(I$3*24*60*60)/(SQRT(I$3*24*60*60)-SQRT(H$3*24*60*60))</f>
        <v>0</v>
      </c>
      <c r="J71" s="98">
        <f ca="1">Normalisation!J72*SQRT(J$3*24*60*60)/(SQRT(J$3*24*60*60)-SQRT(I$3*24*60*60))</f>
        <v>0</v>
      </c>
      <c r="K71" s="98">
        <f ca="1">Normalisation!K72*SQRT(K$3*24*60*60)/(SQRT(K$3*24*60*60)-SQRT(J$3*24*60*60))</f>
        <v>0</v>
      </c>
      <c r="L71" s="99">
        <f ca="1">Normalisation!L72*SQRT(L$3*24*60*60)/(SQRT(L$3*24*60*60)-SQRT(K$3*24*60*60))</f>
        <v>0</v>
      </c>
    </row>
    <row r="72" spans="1:12" ht="16.5" x14ac:dyDescent="0.2">
      <c r="A72" s="290">
        <f>'Measured Cummulative'!A73</f>
        <v>0</v>
      </c>
      <c r="B72" s="291">
        <f>'Measured Cummulative'!B73</f>
        <v>0</v>
      </c>
      <c r="C72" s="288" t="s">
        <v>100</v>
      </c>
      <c r="D72" s="419"/>
      <c r="E72" s="289">
        <f ca="1">Normalisation!E73*SQRT(E$3*24*60*60)/(SQRT(E$3*24*60*60)-SQRT(0))</f>
        <v>0</v>
      </c>
      <c r="F72" s="285">
        <f ca="1">Normalisation!F73*SQRT(F$3*24*60*60)/(SQRT(F$3*24*60*60)-SQRT(E$3*24*60*60))</f>
        <v>0</v>
      </c>
      <c r="G72" s="285">
        <f ca="1">Normalisation!G73*SQRT(G$3*24*60*60)/(SQRT(G$3*24*60*60)-SQRT(F$3*24*60*60))</f>
        <v>0</v>
      </c>
      <c r="H72" s="285">
        <f ca="1">Normalisation!H73*SQRT(H$3*24*60*60)/(SQRT(H$3*24*60*60)-SQRT(G$3*24*60*60))</f>
        <v>0</v>
      </c>
      <c r="I72" s="285">
        <f ca="1">Normalisation!I73*SQRT(I$3*24*60*60)/(SQRT(I$3*24*60*60)-SQRT(H$3*24*60*60))</f>
        <v>0</v>
      </c>
      <c r="J72" s="285">
        <f ca="1">Normalisation!J73*SQRT(J$3*24*60*60)/(SQRT(J$3*24*60*60)-SQRT(I$3*24*60*60))</f>
        <v>0</v>
      </c>
      <c r="K72" s="285">
        <f ca="1">Normalisation!K73*SQRT(K$3*24*60*60)/(SQRT(K$3*24*60*60)-SQRT(J$3*24*60*60))</f>
        <v>0</v>
      </c>
      <c r="L72" s="286">
        <f ca="1">Normalisation!L73*SQRT(L$3*24*60*60)/(SQRT(L$3*24*60*60)-SQRT(K$3*24*60*60))</f>
        <v>0</v>
      </c>
    </row>
    <row r="73" spans="1:12" ht="16.5" x14ac:dyDescent="0.2">
      <c r="A73" s="149">
        <f>'Measured Cummulative'!A74</f>
        <v>0</v>
      </c>
      <c r="B73" s="149">
        <f>'Measured Cummulative'!B74</f>
        <v>0</v>
      </c>
      <c r="C73" s="45" t="s">
        <v>100</v>
      </c>
      <c r="D73" s="419"/>
      <c r="E73" s="98">
        <f ca="1">Normalisation!E74*SQRT(E$3*24*60*60)/(SQRT(E$3*24*60*60)-SQRT(0))</f>
        <v>0</v>
      </c>
      <c r="F73" s="98">
        <f ca="1">Normalisation!F74*SQRT(F$3*24*60*60)/(SQRT(F$3*24*60*60)-SQRT(E$3*24*60*60))</f>
        <v>0</v>
      </c>
      <c r="G73" s="98">
        <f ca="1">Normalisation!G74*SQRT(G$3*24*60*60)/(SQRT(G$3*24*60*60)-SQRT(F$3*24*60*60))</f>
        <v>0</v>
      </c>
      <c r="H73" s="98">
        <f ca="1">Normalisation!H74*SQRT(H$3*24*60*60)/(SQRT(H$3*24*60*60)-SQRT(G$3*24*60*60))</f>
        <v>0</v>
      </c>
      <c r="I73" s="98">
        <f ca="1">Normalisation!I74*SQRT(I$3*24*60*60)/(SQRT(I$3*24*60*60)-SQRT(H$3*24*60*60))</f>
        <v>0</v>
      </c>
      <c r="J73" s="98">
        <f ca="1">Normalisation!J74*SQRT(J$3*24*60*60)/(SQRT(J$3*24*60*60)-SQRT(I$3*24*60*60))</f>
        <v>0</v>
      </c>
      <c r="K73" s="98">
        <f ca="1">Normalisation!K74*SQRT(K$3*24*60*60)/(SQRT(K$3*24*60*60)-SQRT(J$3*24*60*60))</f>
        <v>0</v>
      </c>
      <c r="L73" s="98">
        <f ca="1">Normalisation!L74*SQRT(L$3*24*60*60)/(SQRT(L$3*24*60*60)-SQRT(K$3*24*60*60))</f>
        <v>0</v>
      </c>
    </row>
    <row r="74" spans="1:12" ht="17.25" x14ac:dyDescent="0.25">
      <c r="A74" s="149">
        <f>'Measured Cummulative'!A75</f>
        <v>0</v>
      </c>
      <c r="B74" s="149">
        <f>'Measured Cummulative'!B75</f>
        <v>0</v>
      </c>
      <c r="C74" s="45" t="s">
        <v>223</v>
      </c>
      <c r="D74" s="419"/>
      <c r="E74" s="98">
        <f ca="1">Normalisation!E75*SQRT(E$3*24*60*60)/(SQRT(E$3*24*60*60)-SQRT(0))</f>
        <v>0</v>
      </c>
      <c r="F74" s="98">
        <f ca="1">Normalisation!F75*SQRT(F$3*24*60*60)/(SQRT(F$3*24*60*60)-SQRT(E$3*24*60*60))</f>
        <v>0</v>
      </c>
      <c r="G74" s="98">
        <f ca="1">Normalisation!G75*SQRT(G$3*24*60*60)/(SQRT(G$3*24*60*60)-SQRT(F$3*24*60*60))</f>
        <v>0</v>
      </c>
      <c r="H74" s="98">
        <f ca="1">Normalisation!H75*SQRT(H$3*24*60*60)/(SQRT(H$3*24*60*60)-SQRT(G$3*24*60*60))</f>
        <v>0</v>
      </c>
      <c r="I74" s="98">
        <f ca="1">Normalisation!I75*SQRT(I$3*24*60*60)/(SQRT(I$3*24*60*60)-SQRT(H$3*24*60*60))</f>
        <v>0</v>
      </c>
      <c r="J74" s="98">
        <f ca="1">Normalisation!J75*SQRT(J$3*24*60*60)/(SQRT(J$3*24*60*60)-SQRT(I$3*24*60*60))</f>
        <v>0</v>
      </c>
      <c r="K74" s="98">
        <f ca="1">Normalisation!K75*SQRT(K$3*24*60*60)/(SQRT(K$3*24*60*60)-SQRT(J$3*24*60*60))</f>
        <v>0</v>
      </c>
      <c r="L74" s="98">
        <f ca="1">Normalisation!L75*SQRT(L$3*24*60*60)/(SQRT(L$3*24*60*60)-SQRT(K$3*24*60*60))</f>
        <v>0</v>
      </c>
    </row>
    <row r="75" spans="1:12" ht="17.25" x14ac:dyDescent="0.25">
      <c r="A75" s="149">
        <f>'Measured Cummulative'!A76</f>
        <v>0</v>
      </c>
      <c r="B75" s="149">
        <f>'Measured Cummulative'!B76</f>
        <v>0</v>
      </c>
      <c r="C75" s="45" t="s">
        <v>224</v>
      </c>
      <c r="D75" s="431"/>
      <c r="E75" s="98">
        <f ca="1">Normalisation!E76*SQRT(E$3*24*60*60)/(SQRT(E$3*24*60*60)-SQRT(0))</f>
        <v>0</v>
      </c>
      <c r="F75" s="98">
        <f ca="1">Normalisation!F76*SQRT(F$3*24*60*60)/(SQRT(F$3*24*60*60)-SQRT(E$3*24*60*60))</f>
        <v>0</v>
      </c>
      <c r="G75" s="98">
        <f ca="1">Normalisation!G76*SQRT(G$3*24*60*60)/(SQRT(G$3*24*60*60)-SQRT(F$3*24*60*60))</f>
        <v>0</v>
      </c>
      <c r="H75" s="98">
        <f ca="1">Normalisation!H76*SQRT(H$3*24*60*60)/(SQRT(H$3*24*60*60)-SQRT(G$3*24*60*60))</f>
        <v>0</v>
      </c>
      <c r="I75" s="98">
        <f ca="1">Normalisation!I76*SQRT(I$3*24*60*60)/(SQRT(I$3*24*60*60)-SQRT(H$3*24*60*60))</f>
        <v>0</v>
      </c>
      <c r="J75" s="98">
        <f ca="1">Normalisation!J76*SQRT(J$3*24*60*60)/(SQRT(J$3*24*60*60)-SQRT(I$3*24*60*60))</f>
        <v>0</v>
      </c>
      <c r="K75" s="98">
        <f ca="1">Normalisation!K76*SQRT(K$3*24*60*60)/(SQRT(K$3*24*60*60)-SQRT(J$3*24*60*60))</f>
        <v>0</v>
      </c>
      <c r="L75" s="98">
        <f ca="1">Normalisation!L76*SQRT(L$3*24*60*60)/(SQRT(L$3*24*60*60)-SQRT(K$3*24*60*60))</f>
        <v>0</v>
      </c>
    </row>
    <row r="76" spans="1:12" x14ac:dyDescent="0.2">
      <c r="A76" s="147"/>
      <c r="B76" s="147"/>
      <c r="C76" s="147"/>
      <c r="D76" s="147"/>
      <c r="E76" s="147"/>
      <c r="F76" s="147"/>
      <c r="G76" s="147"/>
      <c r="H76" s="147"/>
      <c r="I76" s="147"/>
      <c r="J76" s="147"/>
      <c r="K76" s="147"/>
      <c r="L76" s="147"/>
    </row>
    <row r="77" spans="1:12" x14ac:dyDescent="0.2">
      <c r="A77" s="147"/>
      <c r="B77" s="147"/>
      <c r="C77" s="147"/>
      <c r="D77" s="147"/>
      <c r="E77" s="147"/>
      <c r="F77" s="147"/>
      <c r="G77" s="147"/>
      <c r="H77" s="147"/>
      <c r="I77" s="147"/>
      <c r="J77" s="147"/>
      <c r="K77" s="147"/>
      <c r="L77" s="147"/>
    </row>
    <row r="78" spans="1:12" x14ac:dyDescent="0.2">
      <c r="A78" s="147"/>
      <c r="B78" s="147"/>
      <c r="C78" s="147"/>
      <c r="D78" s="147"/>
      <c r="E78" s="147"/>
      <c r="F78" s="147"/>
      <c r="G78" s="147"/>
      <c r="H78" s="147"/>
      <c r="I78" s="147"/>
      <c r="J78" s="147"/>
      <c r="K78" s="147"/>
      <c r="L78" s="147"/>
    </row>
    <row r="79" spans="1:12" x14ac:dyDescent="0.2">
      <c r="A79" s="147"/>
      <c r="B79" s="147"/>
      <c r="C79" s="147"/>
      <c r="D79" s="147"/>
      <c r="E79" s="147"/>
      <c r="F79" s="147"/>
      <c r="G79" s="147"/>
      <c r="H79" s="147"/>
      <c r="I79" s="147"/>
      <c r="J79" s="147"/>
      <c r="K79" s="147"/>
      <c r="L79" s="147"/>
    </row>
    <row r="80" spans="1:12" x14ac:dyDescent="0.2">
      <c r="A80" s="147"/>
      <c r="B80" s="147"/>
      <c r="C80" s="147"/>
      <c r="D80" s="147"/>
      <c r="E80" s="147"/>
      <c r="F80" s="147"/>
      <c r="G80" s="147"/>
      <c r="H80" s="147"/>
      <c r="I80" s="147"/>
      <c r="J80" s="147"/>
      <c r="K80" s="147"/>
      <c r="L80" s="147"/>
    </row>
  </sheetData>
  <mergeCells count="1">
    <mergeCell ref="D71:D75"/>
  </mergeCells>
  <phoneticPr fontId="15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">
    <pageSetUpPr fitToPage="1"/>
  </sheetPr>
  <dimension ref="A1:N77"/>
  <sheetViews>
    <sheetView view="pageBreakPreview" zoomScale="60" zoomScaleNormal="100" workbookViewId="0">
      <selection activeCell="Q50" sqref="Q50"/>
    </sheetView>
  </sheetViews>
  <sheetFormatPr defaultRowHeight="12.75" x14ac:dyDescent="0.2"/>
  <cols>
    <col min="1" max="1" width="39.85546875" style="2" customWidth="1"/>
    <col min="2" max="2" width="19" style="2" customWidth="1"/>
    <col min="3" max="3" width="20.5703125" style="2" customWidth="1"/>
    <col min="4" max="4" width="20.42578125" style="2" customWidth="1"/>
    <col min="5" max="5" width="21.140625" style="2" customWidth="1"/>
    <col min="6" max="6" width="25.42578125" style="2" customWidth="1"/>
    <col min="7" max="9" width="19" style="2" customWidth="1"/>
    <col min="10" max="10" width="20" style="2" customWidth="1"/>
    <col min="11" max="11" width="20.42578125" style="2" customWidth="1"/>
    <col min="12" max="13" width="25.7109375" style="2" customWidth="1"/>
    <col min="14" max="14" width="9.140625" style="2"/>
    <col min="15" max="15" width="12.42578125" style="2" bestFit="1" customWidth="1"/>
    <col min="16" max="16384" width="9.140625" style="2"/>
  </cols>
  <sheetData>
    <row r="1" spans="1:13" ht="14.25" x14ac:dyDescent="0.2">
      <c r="A1" s="22"/>
      <c r="B1" s="46"/>
      <c r="C1" s="22"/>
      <c r="D1" s="22"/>
      <c r="E1" s="80">
        <f ca="1">E4*24*60*60</f>
        <v>5400</v>
      </c>
      <c r="F1" s="80">
        <f t="shared" ref="F1:L1" ca="1" si="0">F4*24*60*60</f>
        <v>21600</v>
      </c>
      <c r="G1" s="80">
        <f t="shared" ca="1" si="0"/>
        <v>86400</v>
      </c>
      <c r="H1" s="80">
        <f t="shared" ca="1" si="0"/>
        <v>194400</v>
      </c>
      <c r="I1" s="80">
        <f t="shared" ca="1" si="0"/>
        <v>345600</v>
      </c>
      <c r="J1" s="80">
        <f t="shared" ca="1" si="0"/>
        <v>540000</v>
      </c>
      <c r="K1" s="80">
        <f t="shared" ca="1" si="0"/>
        <v>777600</v>
      </c>
      <c r="L1" s="80">
        <f t="shared" ca="1" si="0"/>
        <v>1382400</v>
      </c>
      <c r="M1" s="22"/>
    </row>
    <row r="2" spans="1:13" ht="15" thickBot="1" x14ac:dyDescent="0.25">
      <c r="A2" s="22"/>
      <c r="B2" s="46"/>
      <c r="C2" s="22"/>
      <c r="D2" s="22"/>
      <c r="E2" s="80">
        <f ca="1">SQRT(E4*24*60*60)</f>
        <v>73.484692283495349</v>
      </c>
      <c r="F2" s="80">
        <f t="shared" ref="F2:L2" ca="1" si="1">SQRT(F4*24*60*60)</f>
        <v>146.9693845669907</v>
      </c>
      <c r="G2" s="80">
        <f t="shared" ca="1" si="1"/>
        <v>293.9387691339814</v>
      </c>
      <c r="H2" s="80">
        <f t="shared" ca="1" si="1"/>
        <v>440.90815370097204</v>
      </c>
      <c r="I2" s="80">
        <f t="shared" ca="1" si="1"/>
        <v>587.87753826796279</v>
      </c>
      <c r="J2" s="80">
        <f t="shared" ca="1" si="1"/>
        <v>734.84692283495338</v>
      </c>
      <c r="K2" s="80">
        <f t="shared" ca="1" si="1"/>
        <v>881.81630740194407</v>
      </c>
      <c r="L2" s="80">
        <f t="shared" ca="1" si="1"/>
        <v>1175.7550765359256</v>
      </c>
      <c r="M2" s="22"/>
    </row>
    <row r="3" spans="1:13" ht="15" x14ac:dyDescent="0.25">
      <c r="A3" s="26" t="s">
        <v>48</v>
      </c>
      <c r="B3" s="46"/>
      <c r="C3" s="22"/>
      <c r="D3" s="30" t="s">
        <v>46</v>
      </c>
      <c r="E3" s="37" t="str">
        <f ca="1">'Analytical Data'!F3</f>
        <v>t=0.0625days</v>
      </c>
      <c r="F3" s="37" t="str">
        <f ca="1">'Analytical Data'!G3</f>
        <v>t=0.25days</v>
      </c>
      <c r="G3" s="37" t="str">
        <f ca="1">'Analytical Data'!H3</f>
        <v>t=1days</v>
      </c>
      <c r="H3" s="37" t="str">
        <f ca="1">'Analytical Data'!I3</f>
        <v>t=2.25days</v>
      </c>
      <c r="I3" s="37" t="str">
        <f ca="1">'Analytical Data'!J3</f>
        <v>t=4days</v>
      </c>
      <c r="J3" s="37" t="str">
        <f ca="1">'Analytical Data'!K3</f>
        <v>t=6.25days</v>
      </c>
      <c r="K3" s="37" t="str">
        <f ca="1">'Analytical Data'!L3</f>
        <v>t=9days</v>
      </c>
      <c r="L3" s="49" t="str">
        <f ca="1">'Analytical Data'!M3</f>
        <v>t=16days</v>
      </c>
      <c r="M3" s="40"/>
    </row>
    <row r="4" spans="1:13" ht="15.75" thickBot="1" x14ac:dyDescent="0.3">
      <c r="A4" s="22"/>
      <c r="B4" s="46"/>
      <c r="C4" s="22"/>
      <c r="D4" s="47" t="s">
        <v>47</v>
      </c>
      <c r="E4" s="48">
        <f ca="1">Normalisation!E4</f>
        <v>6.25E-2</v>
      </c>
      <c r="F4" s="48">
        <f ca="1">Normalisation!F4</f>
        <v>0.25</v>
      </c>
      <c r="G4" s="48">
        <f ca="1">Normalisation!G4</f>
        <v>1</v>
      </c>
      <c r="H4" s="48">
        <f ca="1">Normalisation!H4</f>
        <v>2.25</v>
      </c>
      <c r="I4" s="48">
        <f ca="1">Normalisation!I4</f>
        <v>4</v>
      </c>
      <c r="J4" s="48">
        <f ca="1">Normalisation!J4</f>
        <v>6.25</v>
      </c>
      <c r="K4" s="48">
        <f ca="1">Normalisation!K4</f>
        <v>9</v>
      </c>
      <c r="L4" s="48">
        <f ca="1">Normalisation!L4</f>
        <v>16</v>
      </c>
      <c r="M4" s="48"/>
    </row>
    <row r="5" spans="1:13" ht="14.25" x14ac:dyDescent="0.2">
      <c r="A5" s="41" t="str">
        <f>Normalisation!A5</f>
        <v>pH</v>
      </c>
      <c r="B5" s="32">
        <f>Normalisation!B5</f>
        <v>1010</v>
      </c>
      <c r="C5" s="142"/>
      <c r="D5" s="143"/>
      <c r="E5" s="155">
        <f>Normalisation!E5</f>
        <v>625.2492237293676</v>
      </c>
      <c r="F5" s="96">
        <f>E5+Normalisation!F5</f>
        <v>1115.3306095767282</v>
      </c>
      <c r="G5" s="96">
        <f>F5+Normalisation!G5</f>
        <v>1623.9378983494034</v>
      </c>
      <c r="H5" s="96">
        <f>G5+Normalisation!H5</f>
        <v>2116.3706487988234</v>
      </c>
      <c r="I5" s="96">
        <f>H5+Normalisation!I5</f>
        <v>2616</v>
      </c>
      <c r="J5" s="96">
        <f>I5+Normalisation!J5</f>
        <v>3098.9560385683935</v>
      </c>
      <c r="K5" s="96">
        <f>J5+Normalisation!K5</f>
        <v>3580.9857819905214</v>
      </c>
      <c r="L5" s="97">
        <f>K5+Normalisation!L5</f>
        <v>4082.7527373753883</v>
      </c>
      <c r="M5" s="40"/>
    </row>
    <row r="6" spans="1:13" ht="14.25" x14ac:dyDescent="0.2">
      <c r="A6" s="43" t="str">
        <f>Normalisation!A6</f>
        <v>Electrical Conductivity</v>
      </c>
      <c r="B6" s="33">
        <f>Normalisation!B6</f>
        <v>1020</v>
      </c>
      <c r="C6" s="61"/>
      <c r="D6" s="144"/>
      <c r="E6" s="156">
        <f>Normalisation!E6</f>
        <v>1011.7993136133354</v>
      </c>
      <c r="F6" s="98">
        <f>E6+Normalisation!F6</f>
        <v>3941.0295799967316</v>
      </c>
      <c r="G6" s="98">
        <f>F6+Normalisation!G6</f>
        <v>44776.39483575747</v>
      </c>
      <c r="H6" s="98">
        <f>G6+Normalisation!H6</f>
        <v>231104.22618074849</v>
      </c>
      <c r="I6" s="98">
        <f>H6+Normalisation!I6</f>
        <v>428262.58538976958</v>
      </c>
      <c r="J6" s="98">
        <f>I6+Normalisation!J6</f>
        <v>579747.46854061121</v>
      </c>
      <c r="K6" s="98">
        <f>J6+Normalisation!K6</f>
        <v>749330.73378002946</v>
      </c>
      <c r="L6" s="99">
        <f>K6+Normalisation!L6</f>
        <v>873311.77643405786</v>
      </c>
      <c r="M6" s="40"/>
    </row>
    <row r="7" spans="1:13" ht="16.5" x14ac:dyDescent="0.2">
      <c r="A7" s="43" t="str">
        <f>Normalisation!A7</f>
        <v>Redox potential</v>
      </c>
      <c r="B7" s="33">
        <f>Normalisation!B7</f>
        <v>1170</v>
      </c>
      <c r="C7" s="139" t="s">
        <v>100</v>
      </c>
      <c r="D7" s="144"/>
      <c r="E7" s="156">
        <f>Normalisation!E7</f>
        <v>0</v>
      </c>
      <c r="F7" s="98">
        <f>E7+Normalisation!F7</f>
        <v>0</v>
      </c>
      <c r="G7" s="98">
        <f>F7+Normalisation!G7</f>
        <v>0</v>
      </c>
      <c r="H7" s="98">
        <f>G7+Normalisation!H7</f>
        <v>0</v>
      </c>
      <c r="I7" s="98">
        <f>H7+Normalisation!I7</f>
        <v>0</v>
      </c>
      <c r="J7" s="98">
        <f>I7+Normalisation!J7</f>
        <v>0</v>
      </c>
      <c r="K7" s="98">
        <f>J7+Normalisation!K7</f>
        <v>0</v>
      </c>
      <c r="L7" s="99">
        <f>K7+Normalisation!L7</f>
        <v>0</v>
      </c>
      <c r="M7" s="40"/>
    </row>
    <row r="8" spans="1:13" ht="16.5" x14ac:dyDescent="0.2">
      <c r="A8" s="43" t="str">
        <f>Normalisation!A8</f>
        <v>Chloride</v>
      </c>
      <c r="B8" s="33" t="str">
        <f>Normalisation!B8</f>
        <v>U</v>
      </c>
      <c r="C8" s="139" t="s">
        <v>100</v>
      </c>
      <c r="D8" s="144"/>
      <c r="E8" s="156">
        <f>Normalisation!E8</f>
        <v>71.253472789671505</v>
      </c>
      <c r="F8" s="98">
        <f>E8+Normalisation!F8</f>
        <v>220.88576564798171</v>
      </c>
      <c r="G8" s="98">
        <f>F8+Normalisation!G8</f>
        <v>2358.4899493381272</v>
      </c>
      <c r="H8" s="98">
        <f>G8+Normalisation!H8</f>
        <v>25159.601242033012</v>
      </c>
      <c r="I8" s="98">
        <f>H8+Normalisation!I8</f>
        <v>61498.872364765484</v>
      </c>
      <c r="J8" s="98">
        <f>I8+Normalisation!J8</f>
        <v>88575.192024840653</v>
      </c>
      <c r="K8" s="98">
        <f>J8+Normalisation!K8</f>
        <v>117076.58114070926</v>
      </c>
      <c r="L8" s="99">
        <f>K8+Normalisation!L8</f>
        <v>153415.85226344172</v>
      </c>
      <c r="M8" s="40"/>
    </row>
    <row r="9" spans="1:13" ht="16.5" x14ac:dyDescent="0.2">
      <c r="A9" s="43" t="str">
        <f>Normalisation!A9</f>
        <v>Sodium</v>
      </c>
      <c r="B9" s="33" t="str">
        <f>Normalisation!B9</f>
        <v>U</v>
      </c>
      <c r="C9" s="139" t="s">
        <v>100</v>
      </c>
      <c r="D9" s="144"/>
      <c r="E9" s="156">
        <f>Normalisation!E9</f>
        <v>1425.0694557934303</v>
      </c>
      <c r="F9" s="98">
        <f>E9+Normalisation!F9</f>
        <v>4275.2083673802908</v>
      </c>
      <c r="G9" s="98">
        <f>F9+Normalisation!G9</f>
        <v>7837.882006863867</v>
      </c>
      <c r="H9" s="98">
        <f>G9+Normalisation!H9</f>
        <v>24226.180748488314</v>
      </c>
      <c r="I9" s="98">
        <f>H9+Normalisation!I9</f>
        <v>48452.361496976628</v>
      </c>
      <c r="J9" s="98">
        <f>I9+Normalisation!J9</f>
        <v>64840.660238601078</v>
      </c>
      <c r="K9" s="98">
        <f>J9+Normalisation!K9</f>
        <v>82654.028436018954</v>
      </c>
      <c r="L9" s="99">
        <f>K9+Normalisation!L9</f>
        <v>107592.74391240398</v>
      </c>
      <c r="M9" s="40"/>
    </row>
    <row r="10" spans="1:13" ht="16.5" x14ac:dyDescent="0.2">
      <c r="A10" s="43">
        <f>Normalisation!A10</f>
        <v>0</v>
      </c>
      <c r="B10" s="33">
        <f>Normalisation!B10</f>
        <v>0</v>
      </c>
      <c r="C10" s="139" t="s">
        <v>100</v>
      </c>
      <c r="D10" s="144"/>
      <c r="E10" s="156">
        <f>Normalisation!E10</f>
        <v>0</v>
      </c>
      <c r="F10" s="98">
        <f>E10+Normalisation!F10</f>
        <v>0</v>
      </c>
      <c r="G10" s="98">
        <f>F10+Normalisation!G10</f>
        <v>0</v>
      </c>
      <c r="H10" s="98">
        <f>G10+Normalisation!H10</f>
        <v>0</v>
      </c>
      <c r="I10" s="98">
        <f>H10+Normalisation!I10</f>
        <v>0</v>
      </c>
      <c r="J10" s="98">
        <f>I10+Normalisation!J10</f>
        <v>0</v>
      </c>
      <c r="K10" s="98">
        <f>J10+Normalisation!K10</f>
        <v>0</v>
      </c>
      <c r="L10" s="99">
        <f>K10+Normalisation!L10</f>
        <v>0</v>
      </c>
      <c r="M10" s="40"/>
    </row>
    <row r="11" spans="1:13" ht="16.5" x14ac:dyDescent="0.2">
      <c r="A11" s="43">
        <f>Normalisation!A11</f>
        <v>0</v>
      </c>
      <c r="B11" s="33">
        <f>Normalisation!B11</f>
        <v>0</v>
      </c>
      <c r="C11" s="139" t="s">
        <v>100</v>
      </c>
      <c r="D11" s="144"/>
      <c r="E11" s="156">
        <f>Normalisation!E11</f>
        <v>0</v>
      </c>
      <c r="F11" s="98">
        <f>E11+Normalisation!F11</f>
        <v>0</v>
      </c>
      <c r="G11" s="98">
        <f>F11+Normalisation!G11</f>
        <v>0</v>
      </c>
      <c r="H11" s="98">
        <f>G11+Normalisation!H11</f>
        <v>0</v>
      </c>
      <c r="I11" s="98">
        <f>H11+Normalisation!I11</f>
        <v>0</v>
      </c>
      <c r="J11" s="98">
        <f>I11+Normalisation!J11</f>
        <v>0</v>
      </c>
      <c r="K11" s="98">
        <f>J11+Normalisation!K11</f>
        <v>0</v>
      </c>
      <c r="L11" s="99">
        <f>K11+Normalisation!L11</f>
        <v>0</v>
      </c>
      <c r="M11" s="40"/>
    </row>
    <row r="12" spans="1:13" ht="16.5" x14ac:dyDescent="0.2">
      <c r="A12" s="43">
        <f>Normalisation!A12</f>
        <v>0</v>
      </c>
      <c r="B12" s="33">
        <f>Normalisation!B12</f>
        <v>0</v>
      </c>
      <c r="C12" s="139" t="s">
        <v>100</v>
      </c>
      <c r="D12" s="144"/>
      <c r="E12" s="156">
        <f>Normalisation!E12</f>
        <v>0</v>
      </c>
      <c r="F12" s="98">
        <f>E12+Normalisation!F12</f>
        <v>0</v>
      </c>
      <c r="G12" s="98">
        <f>F12+Normalisation!G12</f>
        <v>0</v>
      </c>
      <c r="H12" s="98">
        <f>G12+Normalisation!H12</f>
        <v>0</v>
      </c>
      <c r="I12" s="98">
        <f>H12+Normalisation!I12</f>
        <v>0</v>
      </c>
      <c r="J12" s="98">
        <f>I12+Normalisation!J12</f>
        <v>0</v>
      </c>
      <c r="K12" s="98">
        <f>J12+Normalisation!K12</f>
        <v>0</v>
      </c>
      <c r="L12" s="99">
        <f>K12+Normalisation!L12</f>
        <v>0</v>
      </c>
      <c r="M12" s="40"/>
    </row>
    <row r="13" spans="1:13" ht="16.5" x14ac:dyDescent="0.2">
      <c r="A13" s="43">
        <f>Normalisation!A13</f>
        <v>0</v>
      </c>
      <c r="B13" s="33">
        <f>Normalisation!B13</f>
        <v>0</v>
      </c>
      <c r="C13" s="139" t="s">
        <v>100</v>
      </c>
      <c r="D13" s="144"/>
      <c r="E13" s="156">
        <f>Normalisation!E13</f>
        <v>0</v>
      </c>
      <c r="F13" s="98">
        <f>E13+Normalisation!F13</f>
        <v>0</v>
      </c>
      <c r="G13" s="98">
        <f>F13+Normalisation!G13</f>
        <v>0</v>
      </c>
      <c r="H13" s="98">
        <f>G13+Normalisation!H13</f>
        <v>0</v>
      </c>
      <c r="I13" s="98">
        <f>H13+Normalisation!I13</f>
        <v>0</v>
      </c>
      <c r="J13" s="98">
        <f>I13+Normalisation!J13</f>
        <v>0</v>
      </c>
      <c r="K13" s="98">
        <f>J13+Normalisation!K13</f>
        <v>0</v>
      </c>
      <c r="L13" s="99">
        <f>K13+Normalisation!L13</f>
        <v>0</v>
      </c>
      <c r="M13" s="40"/>
    </row>
    <row r="14" spans="1:13" ht="16.5" x14ac:dyDescent="0.2">
      <c r="A14" s="43">
        <f>Normalisation!A14</f>
        <v>0</v>
      </c>
      <c r="B14" s="33">
        <f>Normalisation!B14</f>
        <v>0</v>
      </c>
      <c r="C14" s="139" t="s">
        <v>100</v>
      </c>
      <c r="D14" s="144"/>
      <c r="E14" s="156">
        <f>Normalisation!E14</f>
        <v>0</v>
      </c>
      <c r="F14" s="98">
        <f>E14+Normalisation!F14</f>
        <v>0</v>
      </c>
      <c r="G14" s="98">
        <f>F14+Normalisation!G14</f>
        <v>0</v>
      </c>
      <c r="H14" s="98">
        <f>G14+Normalisation!H14</f>
        <v>0</v>
      </c>
      <c r="I14" s="98">
        <f>H14+Normalisation!I14</f>
        <v>0</v>
      </c>
      <c r="J14" s="98">
        <f>I14+Normalisation!J14</f>
        <v>0</v>
      </c>
      <c r="K14" s="98">
        <f>J14+Normalisation!K14</f>
        <v>0</v>
      </c>
      <c r="L14" s="99">
        <f>K14+Normalisation!L14</f>
        <v>0</v>
      </c>
      <c r="M14" s="40"/>
    </row>
    <row r="15" spans="1:13" ht="16.5" x14ac:dyDescent="0.2">
      <c r="A15" s="43">
        <f>Normalisation!A15</f>
        <v>0</v>
      </c>
      <c r="B15" s="33">
        <f>Normalisation!B15</f>
        <v>0</v>
      </c>
      <c r="C15" s="139" t="s">
        <v>100</v>
      </c>
      <c r="D15" s="144"/>
      <c r="E15" s="156">
        <f>Normalisation!E15</f>
        <v>0</v>
      </c>
      <c r="F15" s="98">
        <f>E15+Normalisation!F15</f>
        <v>0</v>
      </c>
      <c r="G15" s="98">
        <f>F15+Normalisation!G15</f>
        <v>0</v>
      </c>
      <c r="H15" s="98">
        <f>G15+Normalisation!H15</f>
        <v>0</v>
      </c>
      <c r="I15" s="98">
        <f>H15+Normalisation!I15</f>
        <v>0</v>
      </c>
      <c r="J15" s="98">
        <f>I15+Normalisation!J15</f>
        <v>0</v>
      </c>
      <c r="K15" s="98">
        <f>J15+Normalisation!K15</f>
        <v>0</v>
      </c>
      <c r="L15" s="99">
        <f>K15+Normalisation!L15</f>
        <v>0</v>
      </c>
      <c r="M15" s="40"/>
    </row>
    <row r="16" spans="1:13" ht="16.5" x14ac:dyDescent="0.2">
      <c r="A16" s="43">
        <f>Normalisation!A16</f>
        <v>0</v>
      </c>
      <c r="B16" s="33">
        <f>Normalisation!B16</f>
        <v>0</v>
      </c>
      <c r="C16" s="139" t="s">
        <v>100</v>
      </c>
      <c r="D16" s="144"/>
      <c r="E16" s="156">
        <f>Normalisation!E16</f>
        <v>0</v>
      </c>
      <c r="F16" s="98">
        <f>E16+Normalisation!F16</f>
        <v>0</v>
      </c>
      <c r="G16" s="98">
        <f>F16+Normalisation!G16</f>
        <v>0</v>
      </c>
      <c r="H16" s="98">
        <f>G16+Normalisation!H16</f>
        <v>0</v>
      </c>
      <c r="I16" s="98">
        <f>H16+Normalisation!I16</f>
        <v>0</v>
      </c>
      <c r="J16" s="98">
        <f>I16+Normalisation!J16</f>
        <v>0</v>
      </c>
      <c r="K16" s="98">
        <f>J16+Normalisation!K16</f>
        <v>0</v>
      </c>
      <c r="L16" s="99">
        <f>K16+Normalisation!L16</f>
        <v>0</v>
      </c>
      <c r="M16" s="40"/>
    </row>
    <row r="17" spans="1:13" ht="16.5" x14ac:dyDescent="0.2">
      <c r="A17" s="43">
        <f>Normalisation!A17</f>
        <v>0</v>
      </c>
      <c r="B17" s="33">
        <f>Normalisation!B17</f>
        <v>0</v>
      </c>
      <c r="C17" s="139" t="s">
        <v>100</v>
      </c>
      <c r="D17" s="144"/>
      <c r="E17" s="156">
        <f>Normalisation!E17</f>
        <v>0</v>
      </c>
      <c r="F17" s="98">
        <f>E17+Normalisation!F17</f>
        <v>0</v>
      </c>
      <c r="G17" s="98">
        <f>F17+Normalisation!G17</f>
        <v>0</v>
      </c>
      <c r="H17" s="98">
        <f>G17+Normalisation!H17</f>
        <v>0</v>
      </c>
      <c r="I17" s="98">
        <f>H17+Normalisation!I17</f>
        <v>0</v>
      </c>
      <c r="J17" s="98">
        <f>I17+Normalisation!J17</f>
        <v>0</v>
      </c>
      <c r="K17" s="98">
        <f>J17+Normalisation!K17</f>
        <v>0</v>
      </c>
      <c r="L17" s="99">
        <f>K17+Normalisation!L17</f>
        <v>0</v>
      </c>
      <c r="M17" s="40"/>
    </row>
    <row r="18" spans="1:13" ht="16.5" x14ac:dyDescent="0.2">
      <c r="A18" s="43">
        <f>Normalisation!A18</f>
        <v>0</v>
      </c>
      <c r="B18" s="33">
        <f>Normalisation!B18</f>
        <v>0</v>
      </c>
      <c r="C18" s="139" t="s">
        <v>100</v>
      </c>
      <c r="D18" s="144"/>
      <c r="E18" s="156">
        <f>Normalisation!E18</f>
        <v>0</v>
      </c>
      <c r="F18" s="98">
        <f>E18+Normalisation!F18</f>
        <v>0</v>
      </c>
      <c r="G18" s="98">
        <f>F18+Normalisation!G18</f>
        <v>0</v>
      </c>
      <c r="H18" s="98">
        <f>G18+Normalisation!H18</f>
        <v>0</v>
      </c>
      <c r="I18" s="98">
        <f>H18+Normalisation!I18</f>
        <v>0</v>
      </c>
      <c r="J18" s="98">
        <f>I18+Normalisation!J18</f>
        <v>0</v>
      </c>
      <c r="K18" s="98">
        <f>J18+Normalisation!K18</f>
        <v>0</v>
      </c>
      <c r="L18" s="99">
        <f>K18+Normalisation!L18</f>
        <v>0</v>
      </c>
      <c r="M18" s="40"/>
    </row>
    <row r="19" spans="1:13" ht="16.5" x14ac:dyDescent="0.2">
      <c r="A19" s="43">
        <f>Normalisation!A19</f>
        <v>0</v>
      </c>
      <c r="B19" s="33">
        <f>Normalisation!B19</f>
        <v>0</v>
      </c>
      <c r="C19" s="139" t="s">
        <v>100</v>
      </c>
      <c r="D19" s="144"/>
      <c r="E19" s="156">
        <f>Normalisation!E19</f>
        <v>0</v>
      </c>
      <c r="F19" s="98">
        <f>E19+Normalisation!F19</f>
        <v>0</v>
      </c>
      <c r="G19" s="98">
        <f>F19+Normalisation!G19</f>
        <v>0</v>
      </c>
      <c r="H19" s="98">
        <f>G19+Normalisation!H19</f>
        <v>0</v>
      </c>
      <c r="I19" s="98">
        <f>H19+Normalisation!I19</f>
        <v>0</v>
      </c>
      <c r="J19" s="98">
        <f>I19+Normalisation!J19</f>
        <v>0</v>
      </c>
      <c r="K19" s="98">
        <f>J19+Normalisation!K19</f>
        <v>0</v>
      </c>
      <c r="L19" s="99">
        <f>K19+Normalisation!L19</f>
        <v>0</v>
      </c>
      <c r="M19" s="40"/>
    </row>
    <row r="20" spans="1:13" ht="16.5" x14ac:dyDescent="0.2">
      <c r="A20" s="43">
        <f>Normalisation!A20</f>
        <v>0</v>
      </c>
      <c r="B20" s="33">
        <f>Normalisation!B20</f>
        <v>0</v>
      </c>
      <c r="C20" s="139" t="s">
        <v>100</v>
      </c>
      <c r="D20" s="144"/>
      <c r="E20" s="156">
        <f>Normalisation!E20</f>
        <v>0</v>
      </c>
      <c r="F20" s="98">
        <f>E20+Normalisation!F20</f>
        <v>0</v>
      </c>
      <c r="G20" s="98">
        <f>F20+Normalisation!G20</f>
        <v>0</v>
      </c>
      <c r="H20" s="98">
        <f>G20+Normalisation!H20</f>
        <v>0</v>
      </c>
      <c r="I20" s="98">
        <f>H20+Normalisation!I20</f>
        <v>0</v>
      </c>
      <c r="J20" s="98">
        <f>I20+Normalisation!J20</f>
        <v>0</v>
      </c>
      <c r="K20" s="98">
        <f>J20+Normalisation!K20</f>
        <v>0</v>
      </c>
      <c r="L20" s="99">
        <f>K20+Normalisation!L20</f>
        <v>0</v>
      </c>
      <c r="M20" s="40"/>
    </row>
    <row r="21" spans="1:13" ht="16.5" x14ac:dyDescent="0.2">
      <c r="A21" s="43">
        <f>Normalisation!A21</f>
        <v>0</v>
      </c>
      <c r="B21" s="33">
        <f>Normalisation!B21</f>
        <v>0</v>
      </c>
      <c r="C21" s="139" t="s">
        <v>100</v>
      </c>
      <c r="D21" s="144"/>
      <c r="E21" s="156">
        <f>Normalisation!E21</f>
        <v>0</v>
      </c>
      <c r="F21" s="98">
        <f>E21+Normalisation!F21</f>
        <v>0</v>
      </c>
      <c r="G21" s="98">
        <f>F21+Normalisation!G21</f>
        <v>0</v>
      </c>
      <c r="H21" s="98">
        <f>G21+Normalisation!H21</f>
        <v>0</v>
      </c>
      <c r="I21" s="98">
        <f>H21+Normalisation!I21</f>
        <v>0</v>
      </c>
      <c r="J21" s="98">
        <f>I21+Normalisation!J21</f>
        <v>0</v>
      </c>
      <c r="K21" s="98">
        <f>J21+Normalisation!K21</f>
        <v>0</v>
      </c>
      <c r="L21" s="99">
        <f>K21+Normalisation!L21</f>
        <v>0</v>
      </c>
      <c r="M21" s="40"/>
    </row>
    <row r="22" spans="1:13" ht="16.5" x14ac:dyDescent="0.2">
      <c r="A22" s="43">
        <f>Normalisation!A22</f>
        <v>0</v>
      </c>
      <c r="B22" s="33">
        <f>Normalisation!B22</f>
        <v>0</v>
      </c>
      <c r="C22" s="139" t="s">
        <v>100</v>
      </c>
      <c r="D22" s="144"/>
      <c r="E22" s="156">
        <f>Normalisation!E22</f>
        <v>0</v>
      </c>
      <c r="F22" s="98">
        <f>E22+Normalisation!F22</f>
        <v>0</v>
      </c>
      <c r="G22" s="98">
        <f>F22+Normalisation!G22</f>
        <v>0</v>
      </c>
      <c r="H22" s="98">
        <f>G22+Normalisation!H22</f>
        <v>0</v>
      </c>
      <c r="I22" s="98">
        <f>H22+Normalisation!I22</f>
        <v>0</v>
      </c>
      <c r="J22" s="98">
        <f>I22+Normalisation!J22</f>
        <v>0</v>
      </c>
      <c r="K22" s="98">
        <f>J22+Normalisation!K22</f>
        <v>0</v>
      </c>
      <c r="L22" s="99">
        <f>K22+Normalisation!L22</f>
        <v>0</v>
      </c>
      <c r="M22" s="40"/>
    </row>
    <row r="23" spans="1:13" ht="16.5" x14ac:dyDescent="0.2">
      <c r="A23" s="43">
        <f>Normalisation!A23</f>
        <v>0</v>
      </c>
      <c r="B23" s="33">
        <f>Normalisation!B23</f>
        <v>0</v>
      </c>
      <c r="C23" s="139" t="s">
        <v>100</v>
      </c>
      <c r="D23" s="144"/>
      <c r="E23" s="156">
        <f>Normalisation!E23</f>
        <v>0</v>
      </c>
      <c r="F23" s="98">
        <f>E23+Normalisation!F23</f>
        <v>0</v>
      </c>
      <c r="G23" s="98">
        <f>F23+Normalisation!G23</f>
        <v>0</v>
      </c>
      <c r="H23" s="98">
        <f>G23+Normalisation!H23</f>
        <v>0</v>
      </c>
      <c r="I23" s="98">
        <f>H23+Normalisation!I23</f>
        <v>0</v>
      </c>
      <c r="J23" s="98">
        <f>I23+Normalisation!J23</f>
        <v>0</v>
      </c>
      <c r="K23" s="98">
        <f>J23+Normalisation!K23</f>
        <v>0</v>
      </c>
      <c r="L23" s="99">
        <f>K23+Normalisation!L23</f>
        <v>0</v>
      </c>
      <c r="M23" s="40"/>
    </row>
    <row r="24" spans="1:13" ht="16.5" x14ac:dyDescent="0.2">
      <c r="A24" s="43">
        <f>Normalisation!A24</f>
        <v>0</v>
      </c>
      <c r="B24" s="33">
        <f>Normalisation!B24</f>
        <v>0</v>
      </c>
      <c r="C24" s="139" t="s">
        <v>100</v>
      </c>
      <c r="D24" s="144"/>
      <c r="E24" s="156">
        <f>Normalisation!E24</f>
        <v>0</v>
      </c>
      <c r="F24" s="98">
        <f>E24+Normalisation!F24</f>
        <v>0</v>
      </c>
      <c r="G24" s="98">
        <f>F24+Normalisation!G24</f>
        <v>0</v>
      </c>
      <c r="H24" s="98">
        <f>G24+Normalisation!H24</f>
        <v>0</v>
      </c>
      <c r="I24" s="98">
        <f>H24+Normalisation!I24</f>
        <v>0</v>
      </c>
      <c r="J24" s="98">
        <f>I24+Normalisation!J24</f>
        <v>0</v>
      </c>
      <c r="K24" s="98">
        <f>J24+Normalisation!K24</f>
        <v>0</v>
      </c>
      <c r="L24" s="99">
        <f>K24+Normalisation!L24</f>
        <v>0</v>
      </c>
      <c r="M24" s="40"/>
    </row>
    <row r="25" spans="1:13" ht="16.5" x14ac:dyDescent="0.2">
      <c r="A25" s="43">
        <f>Normalisation!A25</f>
        <v>0</v>
      </c>
      <c r="B25" s="33">
        <f>Normalisation!B25</f>
        <v>0</v>
      </c>
      <c r="C25" s="139" t="s">
        <v>100</v>
      </c>
      <c r="D25" s="144"/>
      <c r="E25" s="156">
        <f>Normalisation!E25</f>
        <v>0</v>
      </c>
      <c r="F25" s="98">
        <f>E25+Normalisation!F25</f>
        <v>0</v>
      </c>
      <c r="G25" s="98">
        <f>F25+Normalisation!G25</f>
        <v>0</v>
      </c>
      <c r="H25" s="98">
        <f>G25+Normalisation!H25</f>
        <v>0</v>
      </c>
      <c r="I25" s="98">
        <f>H25+Normalisation!I25</f>
        <v>0</v>
      </c>
      <c r="J25" s="98">
        <f>I25+Normalisation!J25</f>
        <v>0</v>
      </c>
      <c r="K25" s="98">
        <f>J25+Normalisation!K25</f>
        <v>0</v>
      </c>
      <c r="L25" s="99">
        <f>K25+Normalisation!L25</f>
        <v>0</v>
      </c>
      <c r="M25" s="40"/>
    </row>
    <row r="26" spans="1:13" ht="16.5" x14ac:dyDescent="0.2">
      <c r="A26" s="43">
        <f>Normalisation!A26</f>
        <v>0</v>
      </c>
      <c r="B26" s="33">
        <f>Normalisation!B26</f>
        <v>0</v>
      </c>
      <c r="C26" s="139" t="s">
        <v>100</v>
      </c>
      <c r="D26" s="144"/>
      <c r="E26" s="156">
        <f>Normalisation!E26</f>
        <v>0</v>
      </c>
      <c r="F26" s="98">
        <f>E26+Normalisation!F26</f>
        <v>0</v>
      </c>
      <c r="G26" s="98">
        <f>F26+Normalisation!G26</f>
        <v>0</v>
      </c>
      <c r="H26" s="98">
        <f>G26+Normalisation!H26</f>
        <v>0</v>
      </c>
      <c r="I26" s="98">
        <f>H26+Normalisation!I26</f>
        <v>0</v>
      </c>
      <c r="J26" s="98">
        <f>I26+Normalisation!J26</f>
        <v>0</v>
      </c>
      <c r="K26" s="98">
        <f>J26+Normalisation!K26</f>
        <v>0</v>
      </c>
      <c r="L26" s="99">
        <f>K26+Normalisation!L26</f>
        <v>0</v>
      </c>
      <c r="M26" s="40"/>
    </row>
    <row r="27" spans="1:13" ht="16.5" x14ac:dyDescent="0.2">
      <c r="A27" s="43">
        <f>Normalisation!A27</f>
        <v>0</v>
      </c>
      <c r="B27" s="33">
        <f>Normalisation!B27</f>
        <v>0</v>
      </c>
      <c r="C27" s="139" t="s">
        <v>100</v>
      </c>
      <c r="D27" s="144"/>
      <c r="E27" s="156">
        <f>Normalisation!E27</f>
        <v>0</v>
      </c>
      <c r="F27" s="98">
        <f>E27+Normalisation!F27</f>
        <v>0</v>
      </c>
      <c r="G27" s="98">
        <f>F27+Normalisation!G27</f>
        <v>0</v>
      </c>
      <c r="H27" s="98">
        <f>G27+Normalisation!H27</f>
        <v>0</v>
      </c>
      <c r="I27" s="98">
        <f>H27+Normalisation!I27</f>
        <v>0</v>
      </c>
      <c r="J27" s="98">
        <f>I27+Normalisation!J27</f>
        <v>0</v>
      </c>
      <c r="K27" s="98">
        <f>J27+Normalisation!K27</f>
        <v>0</v>
      </c>
      <c r="L27" s="99">
        <f>K27+Normalisation!L27</f>
        <v>0</v>
      </c>
      <c r="M27" s="40"/>
    </row>
    <row r="28" spans="1:13" ht="16.5" x14ac:dyDescent="0.2">
      <c r="A28" s="43">
        <f>Normalisation!A28</f>
        <v>0</v>
      </c>
      <c r="B28" s="33">
        <f>Normalisation!B28</f>
        <v>0</v>
      </c>
      <c r="C28" s="139" t="s">
        <v>100</v>
      </c>
      <c r="D28" s="144"/>
      <c r="E28" s="156">
        <f>Normalisation!E28</f>
        <v>0</v>
      </c>
      <c r="F28" s="98">
        <f>E28+Normalisation!F28</f>
        <v>0</v>
      </c>
      <c r="G28" s="98">
        <f>F28+Normalisation!G28</f>
        <v>0</v>
      </c>
      <c r="H28" s="98">
        <f>G28+Normalisation!H28</f>
        <v>0</v>
      </c>
      <c r="I28" s="98">
        <f>H28+Normalisation!I28</f>
        <v>0</v>
      </c>
      <c r="J28" s="98">
        <f>I28+Normalisation!J28</f>
        <v>0</v>
      </c>
      <c r="K28" s="98">
        <f>J28+Normalisation!K28</f>
        <v>0</v>
      </c>
      <c r="L28" s="99">
        <f>K28+Normalisation!L28</f>
        <v>0</v>
      </c>
      <c r="M28" s="40"/>
    </row>
    <row r="29" spans="1:13" ht="16.5" x14ac:dyDescent="0.2">
      <c r="A29" s="43">
        <f>Normalisation!A29</f>
        <v>0</v>
      </c>
      <c r="B29" s="33">
        <f>Normalisation!B29</f>
        <v>0</v>
      </c>
      <c r="C29" s="139" t="s">
        <v>100</v>
      </c>
      <c r="D29" s="144"/>
      <c r="E29" s="156">
        <f>Normalisation!E29</f>
        <v>0</v>
      </c>
      <c r="F29" s="98">
        <f>E29+Normalisation!F29</f>
        <v>0</v>
      </c>
      <c r="G29" s="98">
        <f>F29+Normalisation!G29</f>
        <v>0</v>
      </c>
      <c r="H29" s="98">
        <f>G29+Normalisation!H29</f>
        <v>0</v>
      </c>
      <c r="I29" s="98">
        <f>H29+Normalisation!I29</f>
        <v>0</v>
      </c>
      <c r="J29" s="98">
        <f>I29+Normalisation!J29</f>
        <v>0</v>
      </c>
      <c r="K29" s="98">
        <f>J29+Normalisation!K29</f>
        <v>0</v>
      </c>
      <c r="L29" s="99">
        <f>K29+Normalisation!L29</f>
        <v>0</v>
      </c>
      <c r="M29" s="40"/>
    </row>
    <row r="30" spans="1:13" ht="16.5" x14ac:dyDescent="0.2">
      <c r="A30" s="43">
        <f>Normalisation!A30</f>
        <v>0</v>
      </c>
      <c r="B30" s="33">
        <f>Normalisation!B30</f>
        <v>0</v>
      </c>
      <c r="C30" s="139" t="s">
        <v>100</v>
      </c>
      <c r="D30" s="145"/>
      <c r="E30" s="156">
        <f>Normalisation!E30</f>
        <v>0</v>
      </c>
      <c r="F30" s="98">
        <f>E30+Normalisation!F30</f>
        <v>0</v>
      </c>
      <c r="G30" s="98">
        <f>F30+Normalisation!G30</f>
        <v>0</v>
      </c>
      <c r="H30" s="98">
        <f>G30+Normalisation!H30</f>
        <v>0</v>
      </c>
      <c r="I30" s="98">
        <f>H30+Normalisation!I30</f>
        <v>0</v>
      </c>
      <c r="J30" s="98">
        <f>I30+Normalisation!J30</f>
        <v>0</v>
      </c>
      <c r="K30" s="98">
        <f>J30+Normalisation!K30</f>
        <v>0</v>
      </c>
      <c r="L30" s="99">
        <f>K30+Normalisation!L30</f>
        <v>0</v>
      </c>
      <c r="M30" s="40"/>
    </row>
    <row r="31" spans="1:13" ht="16.5" x14ac:dyDescent="0.2">
      <c r="A31" s="43">
        <f>Normalisation!A31</f>
        <v>0</v>
      </c>
      <c r="B31" s="33">
        <f>Normalisation!B31</f>
        <v>0</v>
      </c>
      <c r="C31" s="139" t="s">
        <v>100</v>
      </c>
      <c r="D31" s="145"/>
      <c r="E31" s="156">
        <f>Normalisation!E31</f>
        <v>0</v>
      </c>
      <c r="F31" s="98">
        <f>E31+Normalisation!F31</f>
        <v>0</v>
      </c>
      <c r="G31" s="98">
        <f>F31+Normalisation!G31</f>
        <v>0</v>
      </c>
      <c r="H31" s="98">
        <f>G31+Normalisation!H31</f>
        <v>0</v>
      </c>
      <c r="I31" s="98">
        <f>H31+Normalisation!I31</f>
        <v>0</v>
      </c>
      <c r="J31" s="98">
        <f>I31+Normalisation!J31</f>
        <v>0</v>
      </c>
      <c r="K31" s="98">
        <f>J31+Normalisation!K31</f>
        <v>0</v>
      </c>
      <c r="L31" s="99">
        <f>K31+Normalisation!L31</f>
        <v>0</v>
      </c>
      <c r="M31" s="40"/>
    </row>
    <row r="32" spans="1:13" ht="16.5" x14ac:dyDescent="0.2">
      <c r="A32" s="43">
        <f>Normalisation!A32</f>
        <v>0</v>
      </c>
      <c r="B32" s="33">
        <f>Normalisation!B32</f>
        <v>0</v>
      </c>
      <c r="C32" s="139" t="s">
        <v>100</v>
      </c>
      <c r="D32" s="145"/>
      <c r="E32" s="156">
        <f>Normalisation!E32</f>
        <v>0</v>
      </c>
      <c r="F32" s="98">
        <f>E32+Normalisation!F32</f>
        <v>0</v>
      </c>
      <c r="G32" s="98">
        <f>F32+Normalisation!G32</f>
        <v>0</v>
      </c>
      <c r="H32" s="98">
        <f>G32+Normalisation!H32</f>
        <v>0</v>
      </c>
      <c r="I32" s="98">
        <f>H32+Normalisation!I32</f>
        <v>0</v>
      </c>
      <c r="J32" s="98">
        <f>I32+Normalisation!J32</f>
        <v>0</v>
      </c>
      <c r="K32" s="98">
        <f>J32+Normalisation!K32</f>
        <v>0</v>
      </c>
      <c r="L32" s="99">
        <f>K32+Normalisation!L32</f>
        <v>0</v>
      </c>
      <c r="M32" s="40"/>
    </row>
    <row r="33" spans="1:13" ht="16.5" x14ac:dyDescent="0.2">
      <c r="A33" s="43">
        <f>Normalisation!A33</f>
        <v>0</v>
      </c>
      <c r="B33" s="33">
        <f>Normalisation!B33</f>
        <v>0</v>
      </c>
      <c r="C33" s="139" t="s">
        <v>100</v>
      </c>
      <c r="D33" s="145"/>
      <c r="E33" s="156">
        <f>Normalisation!E33</f>
        <v>0</v>
      </c>
      <c r="F33" s="98">
        <f>E33+Normalisation!F33</f>
        <v>0</v>
      </c>
      <c r="G33" s="98">
        <f>F33+Normalisation!G33</f>
        <v>0</v>
      </c>
      <c r="H33" s="98">
        <f>G33+Normalisation!H33</f>
        <v>0</v>
      </c>
      <c r="I33" s="98">
        <f>H33+Normalisation!I33</f>
        <v>0</v>
      </c>
      <c r="J33" s="98">
        <f>I33+Normalisation!J33</f>
        <v>0</v>
      </c>
      <c r="K33" s="98">
        <f>J33+Normalisation!K33</f>
        <v>0</v>
      </c>
      <c r="L33" s="99">
        <f>K33+Normalisation!L33</f>
        <v>0</v>
      </c>
      <c r="M33" s="40"/>
    </row>
    <row r="34" spans="1:13" ht="16.5" x14ac:dyDescent="0.2">
      <c r="A34" s="43">
        <f>Normalisation!A34</f>
        <v>0</v>
      </c>
      <c r="B34" s="33">
        <f>Normalisation!B34</f>
        <v>0</v>
      </c>
      <c r="C34" s="139" t="s">
        <v>100</v>
      </c>
      <c r="D34" s="145"/>
      <c r="E34" s="156">
        <f>Normalisation!E34</f>
        <v>0</v>
      </c>
      <c r="F34" s="98">
        <f>E34+Normalisation!F34</f>
        <v>0</v>
      </c>
      <c r="G34" s="98">
        <f>F34+Normalisation!G34</f>
        <v>0</v>
      </c>
      <c r="H34" s="98">
        <f>G34+Normalisation!H34</f>
        <v>0</v>
      </c>
      <c r="I34" s="98">
        <f>H34+Normalisation!I34</f>
        <v>0</v>
      </c>
      <c r="J34" s="98">
        <f>I34+Normalisation!J34</f>
        <v>0</v>
      </c>
      <c r="K34" s="98">
        <f>J34+Normalisation!K34</f>
        <v>0</v>
      </c>
      <c r="L34" s="99">
        <f>K34+Normalisation!L34</f>
        <v>0</v>
      </c>
      <c r="M34" s="40"/>
    </row>
    <row r="35" spans="1:13" ht="16.5" x14ac:dyDescent="0.2">
      <c r="A35" s="43">
        <f>Normalisation!A35</f>
        <v>0</v>
      </c>
      <c r="B35" s="33">
        <f>Normalisation!B35</f>
        <v>0</v>
      </c>
      <c r="C35" s="139" t="s">
        <v>100</v>
      </c>
      <c r="D35" s="145"/>
      <c r="E35" s="156">
        <f>Normalisation!E35</f>
        <v>0</v>
      </c>
      <c r="F35" s="98">
        <f>E35+Normalisation!F35</f>
        <v>0</v>
      </c>
      <c r="G35" s="98">
        <f>F35+Normalisation!G35</f>
        <v>0</v>
      </c>
      <c r="H35" s="98">
        <f>G35+Normalisation!H35</f>
        <v>0</v>
      </c>
      <c r="I35" s="98">
        <f>H35+Normalisation!I35</f>
        <v>0</v>
      </c>
      <c r="J35" s="98">
        <f>I35+Normalisation!J35</f>
        <v>0</v>
      </c>
      <c r="K35" s="98">
        <f>J35+Normalisation!K35</f>
        <v>0</v>
      </c>
      <c r="L35" s="99">
        <f>K35+Normalisation!L35</f>
        <v>0</v>
      </c>
      <c r="M35" s="40"/>
    </row>
    <row r="36" spans="1:13" ht="16.5" x14ac:dyDescent="0.2">
      <c r="A36" s="43">
        <f>Normalisation!A36</f>
        <v>0</v>
      </c>
      <c r="B36" s="33">
        <f>Normalisation!B36</f>
        <v>0</v>
      </c>
      <c r="C36" s="139" t="s">
        <v>100</v>
      </c>
      <c r="D36" s="145"/>
      <c r="E36" s="156">
        <f>Normalisation!E36</f>
        <v>0</v>
      </c>
      <c r="F36" s="98">
        <f>E36+Normalisation!F36</f>
        <v>0</v>
      </c>
      <c r="G36" s="98">
        <f>F36+Normalisation!G36</f>
        <v>0</v>
      </c>
      <c r="H36" s="98">
        <f>G36+Normalisation!H36</f>
        <v>0</v>
      </c>
      <c r="I36" s="98">
        <f>H36+Normalisation!I36</f>
        <v>0</v>
      </c>
      <c r="J36" s="98">
        <f>I36+Normalisation!J36</f>
        <v>0</v>
      </c>
      <c r="K36" s="98">
        <f>J36+Normalisation!K36</f>
        <v>0</v>
      </c>
      <c r="L36" s="99">
        <f>K36+Normalisation!L36</f>
        <v>0</v>
      </c>
      <c r="M36" s="40"/>
    </row>
    <row r="37" spans="1:13" ht="16.5" x14ac:dyDescent="0.2">
      <c r="A37" s="43">
        <f>Normalisation!A37</f>
        <v>0</v>
      </c>
      <c r="B37" s="33">
        <f>Normalisation!B37</f>
        <v>0</v>
      </c>
      <c r="C37" s="139" t="s">
        <v>100</v>
      </c>
      <c r="D37" s="145"/>
      <c r="E37" s="156">
        <f>Normalisation!E37</f>
        <v>0</v>
      </c>
      <c r="F37" s="98">
        <f>E37+Normalisation!F37</f>
        <v>0</v>
      </c>
      <c r="G37" s="98">
        <f>F37+Normalisation!G37</f>
        <v>0</v>
      </c>
      <c r="H37" s="98">
        <f>G37+Normalisation!H37</f>
        <v>0</v>
      </c>
      <c r="I37" s="98">
        <f>H37+Normalisation!I37</f>
        <v>0</v>
      </c>
      <c r="J37" s="98">
        <f>I37+Normalisation!J37</f>
        <v>0</v>
      </c>
      <c r="K37" s="98">
        <f>J37+Normalisation!K37</f>
        <v>0</v>
      </c>
      <c r="L37" s="99">
        <f>K37+Normalisation!L37</f>
        <v>0</v>
      </c>
      <c r="M37" s="40"/>
    </row>
    <row r="38" spans="1:13" ht="16.5" x14ac:dyDescent="0.2">
      <c r="A38" s="43">
        <f>Normalisation!A38</f>
        <v>0</v>
      </c>
      <c r="B38" s="33">
        <f>Normalisation!B38</f>
        <v>0</v>
      </c>
      <c r="C38" s="139" t="s">
        <v>100</v>
      </c>
      <c r="D38" s="145"/>
      <c r="E38" s="156">
        <f>Normalisation!E38</f>
        <v>0</v>
      </c>
      <c r="F38" s="98">
        <f>E38+Normalisation!F38</f>
        <v>0</v>
      </c>
      <c r="G38" s="98">
        <f>F38+Normalisation!G38</f>
        <v>0</v>
      </c>
      <c r="H38" s="98">
        <f>G38+Normalisation!H38</f>
        <v>0</v>
      </c>
      <c r="I38" s="98">
        <f>H38+Normalisation!I38</f>
        <v>0</v>
      </c>
      <c r="J38" s="98">
        <f>I38+Normalisation!J38</f>
        <v>0</v>
      </c>
      <c r="K38" s="98">
        <f>J38+Normalisation!K38</f>
        <v>0</v>
      </c>
      <c r="L38" s="99">
        <f>K38+Normalisation!L38</f>
        <v>0</v>
      </c>
      <c r="M38" s="40"/>
    </row>
    <row r="39" spans="1:13" ht="16.5" x14ac:dyDescent="0.2">
      <c r="A39" s="43">
        <f>Normalisation!A39</f>
        <v>0</v>
      </c>
      <c r="B39" s="33">
        <f>Normalisation!B39</f>
        <v>0</v>
      </c>
      <c r="C39" s="139" t="s">
        <v>100</v>
      </c>
      <c r="D39" s="145"/>
      <c r="E39" s="156">
        <f>Normalisation!E39</f>
        <v>0</v>
      </c>
      <c r="F39" s="98">
        <f>E39+Normalisation!F39</f>
        <v>0</v>
      </c>
      <c r="G39" s="98">
        <f>F39+Normalisation!G39</f>
        <v>0</v>
      </c>
      <c r="H39" s="98">
        <f>G39+Normalisation!H39</f>
        <v>0</v>
      </c>
      <c r="I39" s="98">
        <f>H39+Normalisation!I39</f>
        <v>0</v>
      </c>
      <c r="J39" s="98">
        <f>I39+Normalisation!J39</f>
        <v>0</v>
      </c>
      <c r="K39" s="98">
        <f>J39+Normalisation!K39</f>
        <v>0</v>
      </c>
      <c r="L39" s="99">
        <f>K39+Normalisation!L39</f>
        <v>0</v>
      </c>
      <c r="M39" s="40"/>
    </row>
    <row r="40" spans="1:13" ht="16.5" x14ac:dyDescent="0.2">
      <c r="A40" s="43">
        <f>Normalisation!A40</f>
        <v>0</v>
      </c>
      <c r="B40" s="33">
        <f>Normalisation!B40</f>
        <v>0</v>
      </c>
      <c r="C40" s="139" t="s">
        <v>100</v>
      </c>
      <c r="D40" s="145"/>
      <c r="E40" s="156">
        <f>Normalisation!E40</f>
        <v>0</v>
      </c>
      <c r="F40" s="98">
        <f>E40+Normalisation!F40</f>
        <v>0</v>
      </c>
      <c r="G40" s="98">
        <f>F40+Normalisation!G40</f>
        <v>0</v>
      </c>
      <c r="H40" s="98">
        <f>G40+Normalisation!H40</f>
        <v>0</v>
      </c>
      <c r="I40" s="98">
        <f>H40+Normalisation!I40</f>
        <v>0</v>
      </c>
      <c r="J40" s="98">
        <f>I40+Normalisation!J40</f>
        <v>0</v>
      </c>
      <c r="K40" s="98">
        <f>J40+Normalisation!K40</f>
        <v>0</v>
      </c>
      <c r="L40" s="99">
        <f>K40+Normalisation!L40</f>
        <v>0</v>
      </c>
      <c r="M40" s="40"/>
    </row>
    <row r="41" spans="1:13" ht="16.5" x14ac:dyDescent="0.2">
      <c r="A41" s="43">
        <f>Normalisation!A41</f>
        <v>0</v>
      </c>
      <c r="B41" s="33">
        <f>Normalisation!B41</f>
        <v>0</v>
      </c>
      <c r="C41" s="139" t="s">
        <v>100</v>
      </c>
      <c r="D41" s="145"/>
      <c r="E41" s="156">
        <f>Normalisation!E41</f>
        <v>0</v>
      </c>
      <c r="F41" s="98">
        <f>E41+Normalisation!F41</f>
        <v>0</v>
      </c>
      <c r="G41" s="98">
        <f>F41+Normalisation!G41</f>
        <v>0</v>
      </c>
      <c r="H41" s="98">
        <f>G41+Normalisation!H41</f>
        <v>0</v>
      </c>
      <c r="I41" s="98">
        <f>H41+Normalisation!I41</f>
        <v>0</v>
      </c>
      <c r="J41" s="98">
        <f>I41+Normalisation!J41</f>
        <v>0</v>
      </c>
      <c r="K41" s="98">
        <f>J41+Normalisation!K41</f>
        <v>0</v>
      </c>
      <c r="L41" s="99">
        <f>K41+Normalisation!L41</f>
        <v>0</v>
      </c>
      <c r="M41" s="40"/>
    </row>
    <row r="42" spans="1:13" ht="16.5" x14ac:dyDescent="0.2">
      <c r="A42" s="43">
        <f>Normalisation!A42</f>
        <v>0</v>
      </c>
      <c r="B42" s="33">
        <f>Normalisation!B42</f>
        <v>0</v>
      </c>
      <c r="C42" s="139" t="s">
        <v>100</v>
      </c>
      <c r="D42" s="145"/>
      <c r="E42" s="156">
        <f>Normalisation!E42</f>
        <v>0</v>
      </c>
      <c r="F42" s="98">
        <f>E42+Normalisation!F42</f>
        <v>0</v>
      </c>
      <c r="G42" s="98">
        <f>F42+Normalisation!G42</f>
        <v>0</v>
      </c>
      <c r="H42" s="98">
        <f>G42+Normalisation!H42</f>
        <v>0</v>
      </c>
      <c r="I42" s="98">
        <f>H42+Normalisation!I42</f>
        <v>0</v>
      </c>
      <c r="J42" s="98">
        <f>I42+Normalisation!J42</f>
        <v>0</v>
      </c>
      <c r="K42" s="98">
        <f>J42+Normalisation!K42</f>
        <v>0</v>
      </c>
      <c r="L42" s="99">
        <f>K42+Normalisation!L42</f>
        <v>0</v>
      </c>
      <c r="M42" s="40"/>
    </row>
    <row r="43" spans="1:13" ht="16.5" x14ac:dyDescent="0.2">
      <c r="A43" s="43">
        <f>Normalisation!A43</f>
        <v>0</v>
      </c>
      <c r="B43" s="33">
        <f>Normalisation!B43</f>
        <v>0</v>
      </c>
      <c r="C43" s="139" t="s">
        <v>100</v>
      </c>
      <c r="D43" s="145"/>
      <c r="E43" s="156">
        <f>Normalisation!E43</f>
        <v>0</v>
      </c>
      <c r="F43" s="98">
        <f>E43+Normalisation!F43</f>
        <v>0</v>
      </c>
      <c r="G43" s="98">
        <f>F43+Normalisation!G43</f>
        <v>0</v>
      </c>
      <c r="H43" s="98">
        <f>G43+Normalisation!H43</f>
        <v>0</v>
      </c>
      <c r="I43" s="98">
        <f>H43+Normalisation!I43</f>
        <v>0</v>
      </c>
      <c r="J43" s="98">
        <f>I43+Normalisation!J43</f>
        <v>0</v>
      </c>
      <c r="K43" s="98">
        <f>J43+Normalisation!K43</f>
        <v>0</v>
      </c>
      <c r="L43" s="99">
        <f>K43+Normalisation!L43</f>
        <v>0</v>
      </c>
      <c r="M43" s="40"/>
    </row>
    <row r="44" spans="1:13" ht="16.5" x14ac:dyDescent="0.2">
      <c r="A44" s="43">
        <f>Normalisation!A44</f>
        <v>0</v>
      </c>
      <c r="B44" s="33">
        <f>Normalisation!B44</f>
        <v>0</v>
      </c>
      <c r="C44" s="139" t="s">
        <v>100</v>
      </c>
      <c r="D44" s="145"/>
      <c r="E44" s="156">
        <f>Normalisation!E44</f>
        <v>0</v>
      </c>
      <c r="F44" s="98">
        <f>E44+Normalisation!F44</f>
        <v>0</v>
      </c>
      <c r="G44" s="98">
        <f>F44+Normalisation!G44</f>
        <v>0</v>
      </c>
      <c r="H44" s="98">
        <f>G44+Normalisation!H44</f>
        <v>0</v>
      </c>
      <c r="I44" s="98">
        <f>H44+Normalisation!I44</f>
        <v>0</v>
      </c>
      <c r="J44" s="98">
        <f>I44+Normalisation!J44</f>
        <v>0</v>
      </c>
      <c r="K44" s="98">
        <f>J44+Normalisation!K44</f>
        <v>0</v>
      </c>
      <c r="L44" s="99">
        <f>K44+Normalisation!L44</f>
        <v>0</v>
      </c>
      <c r="M44" s="40"/>
    </row>
    <row r="45" spans="1:13" ht="16.5" x14ac:dyDescent="0.2">
      <c r="A45" s="43">
        <f>Normalisation!A45</f>
        <v>0</v>
      </c>
      <c r="B45" s="33">
        <f>Normalisation!B45</f>
        <v>0</v>
      </c>
      <c r="C45" s="139" t="s">
        <v>100</v>
      </c>
      <c r="D45" s="145"/>
      <c r="E45" s="156">
        <f>Normalisation!E45</f>
        <v>0</v>
      </c>
      <c r="F45" s="98">
        <f>E45+Normalisation!F45</f>
        <v>0</v>
      </c>
      <c r="G45" s="98">
        <f>F45+Normalisation!G45</f>
        <v>0</v>
      </c>
      <c r="H45" s="98">
        <f>G45+Normalisation!H45</f>
        <v>0</v>
      </c>
      <c r="I45" s="98">
        <f>H45+Normalisation!I45</f>
        <v>0</v>
      </c>
      <c r="J45" s="98">
        <f>I45+Normalisation!J45</f>
        <v>0</v>
      </c>
      <c r="K45" s="98">
        <f>J45+Normalisation!K45</f>
        <v>0</v>
      </c>
      <c r="L45" s="99">
        <f>K45+Normalisation!L45</f>
        <v>0</v>
      </c>
      <c r="M45" s="40"/>
    </row>
    <row r="46" spans="1:13" ht="16.5" x14ac:dyDescent="0.2">
      <c r="A46" s="43">
        <f>Normalisation!A46</f>
        <v>0</v>
      </c>
      <c r="B46" s="33">
        <f>Normalisation!B46</f>
        <v>0</v>
      </c>
      <c r="C46" s="139" t="s">
        <v>100</v>
      </c>
      <c r="D46" s="145"/>
      <c r="E46" s="156">
        <f>Normalisation!E46</f>
        <v>0</v>
      </c>
      <c r="F46" s="98">
        <f>E46+Normalisation!F46</f>
        <v>0</v>
      </c>
      <c r="G46" s="98">
        <f>F46+Normalisation!G46</f>
        <v>0</v>
      </c>
      <c r="H46" s="98">
        <f>G46+Normalisation!H46</f>
        <v>0</v>
      </c>
      <c r="I46" s="98">
        <f>H46+Normalisation!I46</f>
        <v>0</v>
      </c>
      <c r="J46" s="98">
        <f>I46+Normalisation!J46</f>
        <v>0</v>
      </c>
      <c r="K46" s="98">
        <f>J46+Normalisation!K46</f>
        <v>0</v>
      </c>
      <c r="L46" s="99">
        <f>K46+Normalisation!L46</f>
        <v>0</v>
      </c>
      <c r="M46" s="40"/>
    </row>
    <row r="47" spans="1:13" ht="16.5" x14ac:dyDescent="0.2">
      <c r="A47" s="43">
        <f>Normalisation!A47</f>
        <v>0</v>
      </c>
      <c r="B47" s="33">
        <f>Normalisation!B47</f>
        <v>0</v>
      </c>
      <c r="C47" s="139" t="s">
        <v>100</v>
      </c>
      <c r="D47" s="145"/>
      <c r="E47" s="156">
        <f>Normalisation!E47</f>
        <v>0</v>
      </c>
      <c r="F47" s="98">
        <f>E47+Normalisation!F47</f>
        <v>0</v>
      </c>
      <c r="G47" s="98">
        <f>F47+Normalisation!G47</f>
        <v>0</v>
      </c>
      <c r="H47" s="98">
        <f>G47+Normalisation!H47</f>
        <v>0</v>
      </c>
      <c r="I47" s="98">
        <f>H47+Normalisation!I47</f>
        <v>0</v>
      </c>
      <c r="J47" s="98">
        <f>I47+Normalisation!J47</f>
        <v>0</v>
      </c>
      <c r="K47" s="98">
        <f>J47+Normalisation!K47</f>
        <v>0</v>
      </c>
      <c r="L47" s="99">
        <f>K47+Normalisation!L47</f>
        <v>0</v>
      </c>
      <c r="M47" s="40"/>
    </row>
    <row r="48" spans="1:13" ht="16.5" x14ac:dyDescent="0.2">
      <c r="A48" s="43">
        <f>Normalisation!A48</f>
        <v>0</v>
      </c>
      <c r="B48" s="33">
        <f>Normalisation!B48</f>
        <v>0</v>
      </c>
      <c r="C48" s="139" t="s">
        <v>100</v>
      </c>
      <c r="D48" s="145"/>
      <c r="E48" s="156">
        <f>Normalisation!E48</f>
        <v>0</v>
      </c>
      <c r="F48" s="98">
        <f>E48+Normalisation!F48</f>
        <v>0</v>
      </c>
      <c r="G48" s="98">
        <f>F48+Normalisation!G48</f>
        <v>0</v>
      </c>
      <c r="H48" s="98">
        <f>G48+Normalisation!H48</f>
        <v>0</v>
      </c>
      <c r="I48" s="98">
        <f>H48+Normalisation!I48</f>
        <v>0</v>
      </c>
      <c r="J48" s="98">
        <f>I48+Normalisation!J48</f>
        <v>0</v>
      </c>
      <c r="K48" s="98">
        <f>J48+Normalisation!K48</f>
        <v>0</v>
      </c>
      <c r="L48" s="99">
        <f>K48+Normalisation!L48</f>
        <v>0</v>
      </c>
      <c r="M48" s="40"/>
    </row>
    <row r="49" spans="1:14" ht="16.5" x14ac:dyDescent="0.2">
      <c r="A49" s="43">
        <f>Normalisation!A49</f>
        <v>0</v>
      </c>
      <c r="B49" s="33">
        <f>Normalisation!B49</f>
        <v>0</v>
      </c>
      <c r="C49" s="139" t="s">
        <v>100</v>
      </c>
      <c r="D49" s="145"/>
      <c r="E49" s="156">
        <f>Normalisation!E49</f>
        <v>0</v>
      </c>
      <c r="F49" s="98">
        <f>E49+Normalisation!F49</f>
        <v>0</v>
      </c>
      <c r="G49" s="98">
        <f>F49+Normalisation!G49</f>
        <v>0</v>
      </c>
      <c r="H49" s="98">
        <f>G49+Normalisation!H49</f>
        <v>0</v>
      </c>
      <c r="I49" s="98">
        <f>H49+Normalisation!I49</f>
        <v>0</v>
      </c>
      <c r="J49" s="98">
        <f>I49+Normalisation!J49</f>
        <v>0</v>
      </c>
      <c r="K49" s="98">
        <f>J49+Normalisation!K49</f>
        <v>0</v>
      </c>
      <c r="L49" s="99">
        <f>K49+Normalisation!L49</f>
        <v>0</v>
      </c>
      <c r="M49" s="40"/>
    </row>
    <row r="50" spans="1:14" ht="16.5" x14ac:dyDescent="0.2">
      <c r="A50" s="43">
        <f>Normalisation!A50</f>
        <v>0</v>
      </c>
      <c r="B50" s="33">
        <f>Normalisation!B50</f>
        <v>0</v>
      </c>
      <c r="C50" s="139" t="s">
        <v>100</v>
      </c>
      <c r="D50" s="145"/>
      <c r="E50" s="156">
        <f>Normalisation!E50</f>
        <v>0</v>
      </c>
      <c r="F50" s="98">
        <f>E50+Normalisation!F50</f>
        <v>0</v>
      </c>
      <c r="G50" s="98">
        <f>F50+Normalisation!G50</f>
        <v>0</v>
      </c>
      <c r="H50" s="98">
        <f>G50+Normalisation!H50</f>
        <v>0</v>
      </c>
      <c r="I50" s="98">
        <f>H50+Normalisation!I50</f>
        <v>0</v>
      </c>
      <c r="J50" s="98">
        <f>I50+Normalisation!J50</f>
        <v>0</v>
      </c>
      <c r="K50" s="98">
        <f>J50+Normalisation!K50</f>
        <v>0</v>
      </c>
      <c r="L50" s="99">
        <f>K50+Normalisation!L50</f>
        <v>0</v>
      </c>
      <c r="M50" s="40"/>
    </row>
    <row r="51" spans="1:14" ht="16.5" x14ac:dyDescent="0.2">
      <c r="A51" s="43">
        <f>Normalisation!A51</f>
        <v>0</v>
      </c>
      <c r="B51" s="33">
        <f>Normalisation!B51</f>
        <v>0</v>
      </c>
      <c r="C51" s="139" t="s">
        <v>100</v>
      </c>
      <c r="D51" s="145"/>
      <c r="E51" s="156">
        <f>Normalisation!E51</f>
        <v>0</v>
      </c>
      <c r="F51" s="98">
        <f>E51+Normalisation!F51</f>
        <v>0</v>
      </c>
      <c r="G51" s="98">
        <f>F51+Normalisation!G51</f>
        <v>0</v>
      </c>
      <c r="H51" s="98">
        <f>G51+Normalisation!H51</f>
        <v>0</v>
      </c>
      <c r="I51" s="98">
        <f>H51+Normalisation!I51</f>
        <v>0</v>
      </c>
      <c r="J51" s="98">
        <f>I51+Normalisation!J51</f>
        <v>0</v>
      </c>
      <c r="K51" s="98">
        <f>J51+Normalisation!K51</f>
        <v>0</v>
      </c>
      <c r="L51" s="99">
        <f>K51+Normalisation!L51</f>
        <v>0</v>
      </c>
      <c r="M51" s="40"/>
    </row>
    <row r="52" spans="1:14" ht="16.5" x14ac:dyDescent="0.2">
      <c r="A52" s="43">
        <f>Normalisation!A52</f>
        <v>0</v>
      </c>
      <c r="B52" s="33">
        <f>Normalisation!B52</f>
        <v>0</v>
      </c>
      <c r="C52" s="139" t="s">
        <v>100</v>
      </c>
      <c r="D52" s="145"/>
      <c r="E52" s="156">
        <f>Normalisation!E52</f>
        <v>0</v>
      </c>
      <c r="F52" s="98">
        <f>E52+Normalisation!F52</f>
        <v>0</v>
      </c>
      <c r="G52" s="98">
        <f>F52+Normalisation!G52</f>
        <v>0</v>
      </c>
      <c r="H52" s="98">
        <f>G52+Normalisation!H52</f>
        <v>0</v>
      </c>
      <c r="I52" s="98">
        <f>H52+Normalisation!I52</f>
        <v>0</v>
      </c>
      <c r="J52" s="98">
        <f>I52+Normalisation!J52</f>
        <v>0</v>
      </c>
      <c r="K52" s="98">
        <f>J52+Normalisation!K52</f>
        <v>0</v>
      </c>
      <c r="L52" s="99">
        <f>K52+Normalisation!L52</f>
        <v>0</v>
      </c>
      <c r="M52" s="40"/>
      <c r="N52" s="148"/>
    </row>
    <row r="53" spans="1:14" ht="16.5" x14ac:dyDescent="0.2">
      <c r="A53" s="43">
        <f>Normalisation!A53</f>
        <v>0</v>
      </c>
      <c r="B53" s="33">
        <f>Normalisation!B53</f>
        <v>0</v>
      </c>
      <c r="C53" s="139" t="s">
        <v>100</v>
      </c>
      <c r="D53" s="145"/>
      <c r="E53" s="156">
        <f>Normalisation!E53</f>
        <v>0</v>
      </c>
      <c r="F53" s="98">
        <f>E53+Normalisation!F53</f>
        <v>0</v>
      </c>
      <c r="G53" s="98">
        <f>F53+Normalisation!G53</f>
        <v>0</v>
      </c>
      <c r="H53" s="98">
        <f>G53+Normalisation!H53</f>
        <v>0</v>
      </c>
      <c r="I53" s="98">
        <f>H53+Normalisation!I53</f>
        <v>0</v>
      </c>
      <c r="J53" s="98">
        <f>I53+Normalisation!J53</f>
        <v>0</v>
      </c>
      <c r="K53" s="98">
        <f>J53+Normalisation!K53</f>
        <v>0</v>
      </c>
      <c r="L53" s="99">
        <f>K53+Normalisation!L53</f>
        <v>0</v>
      </c>
      <c r="N53" s="148"/>
    </row>
    <row r="54" spans="1:14" ht="16.5" x14ac:dyDescent="0.2">
      <c r="A54" s="43">
        <f>Normalisation!A54</f>
        <v>0</v>
      </c>
      <c r="B54" s="33">
        <f>Normalisation!B54</f>
        <v>0</v>
      </c>
      <c r="C54" s="139" t="s">
        <v>100</v>
      </c>
      <c r="D54" s="145"/>
      <c r="E54" s="156">
        <f>Normalisation!E54</f>
        <v>0</v>
      </c>
      <c r="F54" s="98">
        <f>E54+Normalisation!F54</f>
        <v>0</v>
      </c>
      <c r="G54" s="98">
        <f>F54+Normalisation!G54</f>
        <v>0</v>
      </c>
      <c r="H54" s="98">
        <f>G54+Normalisation!H54</f>
        <v>0</v>
      </c>
      <c r="I54" s="98">
        <f>H54+Normalisation!I54</f>
        <v>0</v>
      </c>
      <c r="J54" s="98">
        <f>I54+Normalisation!J54</f>
        <v>0</v>
      </c>
      <c r="K54" s="98">
        <f>J54+Normalisation!K54</f>
        <v>0</v>
      </c>
      <c r="L54" s="99">
        <f>K54+Normalisation!L54</f>
        <v>0</v>
      </c>
    </row>
    <row r="55" spans="1:14" ht="16.5" x14ac:dyDescent="0.2">
      <c r="A55" s="43">
        <f>Normalisation!A55</f>
        <v>0</v>
      </c>
      <c r="B55" s="33">
        <f>Normalisation!B55</f>
        <v>0</v>
      </c>
      <c r="C55" s="139" t="s">
        <v>100</v>
      </c>
      <c r="D55" s="145"/>
      <c r="E55" s="156">
        <f>Normalisation!E55</f>
        <v>0</v>
      </c>
      <c r="F55" s="98">
        <f>E55+Normalisation!F55</f>
        <v>0</v>
      </c>
      <c r="G55" s="98">
        <f>F55+Normalisation!G55</f>
        <v>0</v>
      </c>
      <c r="H55" s="98">
        <f>G55+Normalisation!H55</f>
        <v>0</v>
      </c>
      <c r="I55" s="98">
        <f>H55+Normalisation!I55</f>
        <v>0</v>
      </c>
      <c r="J55" s="98">
        <f>I55+Normalisation!J55</f>
        <v>0</v>
      </c>
      <c r="K55" s="98">
        <f>J55+Normalisation!K55</f>
        <v>0</v>
      </c>
      <c r="L55" s="99">
        <f>K55+Normalisation!L55</f>
        <v>0</v>
      </c>
    </row>
    <row r="56" spans="1:14" ht="16.5" x14ac:dyDescent="0.2">
      <c r="A56" s="43">
        <f>Normalisation!A56</f>
        <v>0</v>
      </c>
      <c r="B56" s="33">
        <f>Normalisation!B56</f>
        <v>0</v>
      </c>
      <c r="C56" s="139" t="s">
        <v>100</v>
      </c>
      <c r="D56" s="145"/>
      <c r="E56" s="156">
        <f>Normalisation!E56</f>
        <v>0</v>
      </c>
      <c r="F56" s="98">
        <f>E56+Normalisation!F56</f>
        <v>0</v>
      </c>
      <c r="G56" s="98">
        <f>F56+Normalisation!G56</f>
        <v>0</v>
      </c>
      <c r="H56" s="98">
        <f>G56+Normalisation!H56</f>
        <v>0</v>
      </c>
      <c r="I56" s="98">
        <f>H56+Normalisation!I56</f>
        <v>0</v>
      </c>
      <c r="J56" s="98">
        <f>I56+Normalisation!J56</f>
        <v>0</v>
      </c>
      <c r="K56" s="98">
        <f>J56+Normalisation!K56</f>
        <v>0</v>
      </c>
      <c r="L56" s="99">
        <f>K56+Normalisation!L56</f>
        <v>0</v>
      </c>
    </row>
    <row r="57" spans="1:14" ht="16.5" x14ac:dyDescent="0.2">
      <c r="A57" s="43">
        <f>Normalisation!A57</f>
        <v>0</v>
      </c>
      <c r="B57" s="33">
        <f>Normalisation!B57</f>
        <v>0</v>
      </c>
      <c r="C57" s="139" t="s">
        <v>100</v>
      </c>
      <c r="D57" s="145"/>
      <c r="E57" s="156">
        <f>Normalisation!E57</f>
        <v>0</v>
      </c>
      <c r="F57" s="98">
        <f>E57+Normalisation!F57</f>
        <v>0</v>
      </c>
      <c r="G57" s="98">
        <f>F57+Normalisation!G57</f>
        <v>0</v>
      </c>
      <c r="H57" s="98">
        <f>G57+Normalisation!H57</f>
        <v>0</v>
      </c>
      <c r="I57" s="98">
        <f>H57+Normalisation!I57</f>
        <v>0</v>
      </c>
      <c r="J57" s="98">
        <f>I57+Normalisation!J57</f>
        <v>0</v>
      </c>
      <c r="K57" s="98">
        <f>J57+Normalisation!K57</f>
        <v>0</v>
      </c>
      <c r="L57" s="99">
        <f>K57+Normalisation!L57</f>
        <v>0</v>
      </c>
    </row>
    <row r="58" spans="1:14" ht="16.5" x14ac:dyDescent="0.2">
      <c r="A58" s="43">
        <f>Normalisation!A58</f>
        <v>0</v>
      </c>
      <c r="B58" s="33">
        <f>Normalisation!B58</f>
        <v>0</v>
      </c>
      <c r="C58" s="139" t="s">
        <v>100</v>
      </c>
      <c r="D58" s="145"/>
      <c r="E58" s="156">
        <f>Normalisation!E58</f>
        <v>0</v>
      </c>
      <c r="F58" s="98">
        <f>E58+Normalisation!F58</f>
        <v>0</v>
      </c>
      <c r="G58" s="98">
        <f>F58+Normalisation!G58</f>
        <v>0</v>
      </c>
      <c r="H58" s="98">
        <f>G58+Normalisation!H58</f>
        <v>0</v>
      </c>
      <c r="I58" s="98">
        <f>H58+Normalisation!I58</f>
        <v>0</v>
      </c>
      <c r="J58" s="98">
        <f>I58+Normalisation!J58</f>
        <v>0</v>
      </c>
      <c r="K58" s="98">
        <f>J58+Normalisation!K58</f>
        <v>0</v>
      </c>
      <c r="L58" s="99">
        <f>K58+Normalisation!L58</f>
        <v>0</v>
      </c>
    </row>
    <row r="59" spans="1:14" ht="16.5" x14ac:dyDescent="0.2">
      <c r="A59" s="43">
        <f>Normalisation!A59</f>
        <v>0</v>
      </c>
      <c r="B59" s="33">
        <f>Normalisation!B59</f>
        <v>0</v>
      </c>
      <c r="C59" s="139" t="s">
        <v>100</v>
      </c>
      <c r="D59" s="145"/>
      <c r="E59" s="156">
        <f>Normalisation!E59</f>
        <v>0</v>
      </c>
      <c r="F59" s="98">
        <f>E59+Normalisation!F59</f>
        <v>0</v>
      </c>
      <c r="G59" s="98">
        <f>F59+Normalisation!G59</f>
        <v>0</v>
      </c>
      <c r="H59" s="98">
        <f>G59+Normalisation!H59</f>
        <v>0</v>
      </c>
      <c r="I59" s="98">
        <f>H59+Normalisation!I59</f>
        <v>0</v>
      </c>
      <c r="J59" s="98">
        <f>I59+Normalisation!J59</f>
        <v>0</v>
      </c>
      <c r="K59" s="98">
        <f>J59+Normalisation!K59</f>
        <v>0</v>
      </c>
      <c r="L59" s="99">
        <f>K59+Normalisation!L59</f>
        <v>0</v>
      </c>
    </row>
    <row r="60" spans="1:14" ht="16.5" x14ac:dyDescent="0.2">
      <c r="A60" s="43">
        <f>Normalisation!A60</f>
        <v>0</v>
      </c>
      <c r="B60" s="33">
        <f>Normalisation!B60</f>
        <v>0</v>
      </c>
      <c r="C60" s="139" t="s">
        <v>100</v>
      </c>
      <c r="D60" s="145"/>
      <c r="E60" s="156">
        <f>Normalisation!E60</f>
        <v>0</v>
      </c>
      <c r="F60" s="98">
        <f>E60+Normalisation!F60</f>
        <v>0</v>
      </c>
      <c r="G60" s="98">
        <f>F60+Normalisation!G60</f>
        <v>0</v>
      </c>
      <c r="H60" s="98">
        <f>G60+Normalisation!H60</f>
        <v>0</v>
      </c>
      <c r="I60" s="98">
        <f>H60+Normalisation!I60</f>
        <v>0</v>
      </c>
      <c r="J60" s="98">
        <f>I60+Normalisation!J60</f>
        <v>0</v>
      </c>
      <c r="K60" s="98">
        <f>J60+Normalisation!K60</f>
        <v>0</v>
      </c>
      <c r="L60" s="99">
        <f>K60+Normalisation!L60</f>
        <v>0</v>
      </c>
    </row>
    <row r="61" spans="1:14" ht="16.5" x14ac:dyDescent="0.2">
      <c r="A61" s="43">
        <f>Normalisation!A61</f>
        <v>0</v>
      </c>
      <c r="B61" s="33">
        <f>Normalisation!B61</f>
        <v>0</v>
      </c>
      <c r="C61" s="139" t="s">
        <v>100</v>
      </c>
      <c r="D61" s="145"/>
      <c r="E61" s="156">
        <f>Normalisation!E61</f>
        <v>0</v>
      </c>
      <c r="F61" s="98">
        <f>E61+Normalisation!F61</f>
        <v>0</v>
      </c>
      <c r="G61" s="98">
        <f>F61+Normalisation!G61</f>
        <v>0</v>
      </c>
      <c r="H61" s="98">
        <f>G61+Normalisation!H61</f>
        <v>0</v>
      </c>
      <c r="I61" s="98">
        <f>H61+Normalisation!I61</f>
        <v>0</v>
      </c>
      <c r="J61" s="98">
        <f>I61+Normalisation!J61</f>
        <v>0</v>
      </c>
      <c r="K61" s="98">
        <f>J61+Normalisation!K61</f>
        <v>0</v>
      </c>
      <c r="L61" s="99">
        <f>K61+Normalisation!L61</f>
        <v>0</v>
      </c>
    </row>
    <row r="62" spans="1:14" ht="16.5" x14ac:dyDescent="0.2">
      <c r="A62" s="43">
        <f>Normalisation!A62</f>
        <v>0</v>
      </c>
      <c r="B62" s="33">
        <f>Normalisation!B62</f>
        <v>0</v>
      </c>
      <c r="C62" s="139" t="s">
        <v>100</v>
      </c>
      <c r="D62" s="145"/>
      <c r="E62" s="156">
        <f>Normalisation!E62</f>
        <v>0</v>
      </c>
      <c r="F62" s="98">
        <f>E62+Normalisation!F62</f>
        <v>0</v>
      </c>
      <c r="G62" s="98">
        <f>F62+Normalisation!G62</f>
        <v>0</v>
      </c>
      <c r="H62" s="98">
        <f>G62+Normalisation!H62</f>
        <v>0</v>
      </c>
      <c r="I62" s="98">
        <f>H62+Normalisation!I62</f>
        <v>0</v>
      </c>
      <c r="J62" s="98">
        <f>I62+Normalisation!J62</f>
        <v>0</v>
      </c>
      <c r="K62" s="98">
        <f>J62+Normalisation!K62</f>
        <v>0</v>
      </c>
      <c r="L62" s="99">
        <f>K62+Normalisation!L62</f>
        <v>0</v>
      </c>
    </row>
    <row r="63" spans="1:14" ht="16.5" x14ac:dyDescent="0.2">
      <c r="A63" s="43">
        <f>Normalisation!A63</f>
        <v>0</v>
      </c>
      <c r="B63" s="33">
        <f>Normalisation!B63</f>
        <v>0</v>
      </c>
      <c r="C63" s="139" t="s">
        <v>100</v>
      </c>
      <c r="D63" s="145"/>
      <c r="E63" s="156">
        <f>Normalisation!E63</f>
        <v>0</v>
      </c>
      <c r="F63" s="98">
        <f>E63+Normalisation!F63</f>
        <v>0</v>
      </c>
      <c r="G63" s="98">
        <f>F63+Normalisation!G63</f>
        <v>0</v>
      </c>
      <c r="H63" s="98">
        <f>G63+Normalisation!H63</f>
        <v>0</v>
      </c>
      <c r="I63" s="98">
        <f>H63+Normalisation!I63</f>
        <v>0</v>
      </c>
      <c r="J63" s="98">
        <f>I63+Normalisation!J63</f>
        <v>0</v>
      </c>
      <c r="K63" s="98">
        <f>J63+Normalisation!K63</f>
        <v>0</v>
      </c>
      <c r="L63" s="99">
        <f>K63+Normalisation!L63</f>
        <v>0</v>
      </c>
    </row>
    <row r="64" spans="1:14" ht="16.5" x14ac:dyDescent="0.2">
      <c r="A64" s="43">
        <f>Normalisation!A64</f>
        <v>0</v>
      </c>
      <c r="B64" s="33">
        <f>Normalisation!B64</f>
        <v>0</v>
      </c>
      <c r="C64" s="139" t="s">
        <v>100</v>
      </c>
      <c r="D64" s="145"/>
      <c r="E64" s="156">
        <f>Normalisation!E64</f>
        <v>0</v>
      </c>
      <c r="F64" s="98">
        <f>E64+Normalisation!F64</f>
        <v>0</v>
      </c>
      <c r="G64" s="98">
        <f>F64+Normalisation!G64</f>
        <v>0</v>
      </c>
      <c r="H64" s="98">
        <f>G64+Normalisation!H64</f>
        <v>0</v>
      </c>
      <c r="I64" s="98">
        <f>H64+Normalisation!I64</f>
        <v>0</v>
      </c>
      <c r="J64" s="98">
        <f>I64+Normalisation!J64</f>
        <v>0</v>
      </c>
      <c r="K64" s="98">
        <f>J64+Normalisation!K64</f>
        <v>0</v>
      </c>
      <c r="L64" s="99">
        <f>K64+Normalisation!L64</f>
        <v>0</v>
      </c>
    </row>
    <row r="65" spans="1:12" ht="16.5" x14ac:dyDescent="0.2">
      <c r="A65" s="43">
        <f>Normalisation!A65</f>
        <v>0</v>
      </c>
      <c r="B65" s="33">
        <f>Normalisation!B65</f>
        <v>0</v>
      </c>
      <c r="C65" s="139" t="s">
        <v>100</v>
      </c>
      <c r="D65" s="145"/>
      <c r="E65" s="156">
        <f>Normalisation!E65</f>
        <v>0</v>
      </c>
      <c r="F65" s="98">
        <f>E65+Normalisation!F65</f>
        <v>0</v>
      </c>
      <c r="G65" s="98">
        <f>F65+Normalisation!G65</f>
        <v>0</v>
      </c>
      <c r="H65" s="98">
        <f>G65+Normalisation!H65</f>
        <v>0</v>
      </c>
      <c r="I65" s="98">
        <f>H65+Normalisation!I65</f>
        <v>0</v>
      </c>
      <c r="J65" s="98">
        <f>I65+Normalisation!J65</f>
        <v>0</v>
      </c>
      <c r="K65" s="98">
        <f>J65+Normalisation!K65</f>
        <v>0</v>
      </c>
      <c r="L65" s="99">
        <f>K65+Normalisation!L65</f>
        <v>0</v>
      </c>
    </row>
    <row r="66" spans="1:12" ht="16.5" x14ac:dyDescent="0.2">
      <c r="A66" s="43">
        <f>Normalisation!A66</f>
        <v>0</v>
      </c>
      <c r="B66" s="33">
        <f>Normalisation!B66</f>
        <v>0</v>
      </c>
      <c r="C66" s="139" t="s">
        <v>100</v>
      </c>
      <c r="D66" s="145"/>
      <c r="E66" s="156">
        <f>Normalisation!E66</f>
        <v>0</v>
      </c>
      <c r="F66" s="98">
        <f>E66+Normalisation!F66</f>
        <v>0</v>
      </c>
      <c r="G66" s="98">
        <f>F66+Normalisation!G66</f>
        <v>0</v>
      </c>
      <c r="H66" s="98">
        <f>G66+Normalisation!H66</f>
        <v>0</v>
      </c>
      <c r="I66" s="98">
        <f>H66+Normalisation!I66</f>
        <v>0</v>
      </c>
      <c r="J66" s="98">
        <f>I66+Normalisation!J66</f>
        <v>0</v>
      </c>
      <c r="K66" s="98">
        <f>J66+Normalisation!K66</f>
        <v>0</v>
      </c>
      <c r="L66" s="99">
        <f>K66+Normalisation!L66</f>
        <v>0</v>
      </c>
    </row>
    <row r="67" spans="1:12" ht="16.5" x14ac:dyDescent="0.2">
      <c r="A67" s="43">
        <f>Normalisation!A67</f>
        <v>0</v>
      </c>
      <c r="B67" s="33">
        <f>Normalisation!B67</f>
        <v>0</v>
      </c>
      <c r="C67" s="139" t="s">
        <v>100</v>
      </c>
      <c r="D67" s="145"/>
      <c r="E67" s="156">
        <f>Normalisation!E67</f>
        <v>0</v>
      </c>
      <c r="F67" s="98">
        <f>E67+Normalisation!F67</f>
        <v>0</v>
      </c>
      <c r="G67" s="98">
        <f>F67+Normalisation!G67</f>
        <v>0</v>
      </c>
      <c r="H67" s="98">
        <f>G67+Normalisation!H67</f>
        <v>0</v>
      </c>
      <c r="I67" s="98">
        <f>H67+Normalisation!I67</f>
        <v>0</v>
      </c>
      <c r="J67" s="98">
        <f>I67+Normalisation!J67</f>
        <v>0</v>
      </c>
      <c r="K67" s="98">
        <f>J67+Normalisation!K67</f>
        <v>0</v>
      </c>
      <c r="L67" s="99">
        <f>K67+Normalisation!L67</f>
        <v>0</v>
      </c>
    </row>
    <row r="68" spans="1:12" ht="16.5" x14ac:dyDescent="0.2">
      <c r="A68" s="43">
        <f>Normalisation!A68</f>
        <v>0</v>
      </c>
      <c r="B68" s="33">
        <f>Normalisation!B68</f>
        <v>0</v>
      </c>
      <c r="C68" s="139" t="s">
        <v>100</v>
      </c>
      <c r="D68" s="145"/>
      <c r="E68" s="156">
        <f>Normalisation!E68</f>
        <v>0</v>
      </c>
      <c r="F68" s="98">
        <f>E68+Normalisation!F68</f>
        <v>0</v>
      </c>
      <c r="G68" s="98">
        <f>F68+Normalisation!G68</f>
        <v>0</v>
      </c>
      <c r="H68" s="98">
        <f>G68+Normalisation!H68</f>
        <v>0</v>
      </c>
      <c r="I68" s="98">
        <f>H68+Normalisation!I68</f>
        <v>0</v>
      </c>
      <c r="J68" s="98">
        <f>I68+Normalisation!J68</f>
        <v>0</v>
      </c>
      <c r="K68" s="98">
        <f>J68+Normalisation!K68</f>
        <v>0</v>
      </c>
      <c r="L68" s="99">
        <f>K68+Normalisation!L68</f>
        <v>0</v>
      </c>
    </row>
    <row r="69" spans="1:12" ht="16.5" x14ac:dyDescent="0.2">
      <c r="A69" s="43">
        <f>Normalisation!A69</f>
        <v>0</v>
      </c>
      <c r="B69" s="33">
        <f>Normalisation!B69</f>
        <v>0</v>
      </c>
      <c r="C69" s="139" t="s">
        <v>100</v>
      </c>
      <c r="D69" s="145"/>
      <c r="E69" s="156">
        <f>Normalisation!E69</f>
        <v>0</v>
      </c>
      <c r="F69" s="98">
        <f>E69+Normalisation!F69</f>
        <v>0</v>
      </c>
      <c r="G69" s="98">
        <f>F69+Normalisation!G69</f>
        <v>0</v>
      </c>
      <c r="H69" s="98">
        <f>G69+Normalisation!H69</f>
        <v>0</v>
      </c>
      <c r="I69" s="98">
        <f>H69+Normalisation!I69</f>
        <v>0</v>
      </c>
      <c r="J69" s="98">
        <f>I69+Normalisation!J69</f>
        <v>0</v>
      </c>
      <c r="K69" s="98">
        <f>J69+Normalisation!K69</f>
        <v>0</v>
      </c>
      <c r="L69" s="99">
        <f>K69+Normalisation!L69</f>
        <v>0</v>
      </c>
    </row>
    <row r="70" spans="1:12" ht="16.5" x14ac:dyDescent="0.2">
      <c r="A70" s="43">
        <f>Normalisation!A70</f>
        <v>0</v>
      </c>
      <c r="B70" s="33">
        <f>Normalisation!B70</f>
        <v>0</v>
      </c>
      <c r="C70" s="139" t="s">
        <v>100</v>
      </c>
      <c r="D70" s="145"/>
      <c r="E70" s="156">
        <f>Normalisation!E70</f>
        <v>0</v>
      </c>
      <c r="F70" s="98">
        <f>E70+Normalisation!F70</f>
        <v>0</v>
      </c>
      <c r="G70" s="98">
        <f>F70+Normalisation!G70</f>
        <v>0</v>
      </c>
      <c r="H70" s="98">
        <f>G70+Normalisation!H70</f>
        <v>0</v>
      </c>
      <c r="I70" s="98">
        <f>H70+Normalisation!I70</f>
        <v>0</v>
      </c>
      <c r="J70" s="98">
        <f>I70+Normalisation!J70</f>
        <v>0</v>
      </c>
      <c r="K70" s="98">
        <f>J70+Normalisation!K70</f>
        <v>0</v>
      </c>
      <c r="L70" s="99">
        <f>K70+Normalisation!L70</f>
        <v>0</v>
      </c>
    </row>
    <row r="71" spans="1:12" ht="16.5" x14ac:dyDescent="0.2">
      <c r="A71" s="43">
        <f>Normalisation!A71</f>
        <v>0</v>
      </c>
      <c r="B71" s="33">
        <f>Normalisation!B71</f>
        <v>0</v>
      </c>
      <c r="C71" s="139" t="s">
        <v>100</v>
      </c>
      <c r="D71" s="145"/>
      <c r="E71" s="156">
        <f>Normalisation!E71</f>
        <v>0</v>
      </c>
      <c r="F71" s="98">
        <f>E71+Normalisation!F71</f>
        <v>0</v>
      </c>
      <c r="G71" s="98">
        <f>F71+Normalisation!G71</f>
        <v>0</v>
      </c>
      <c r="H71" s="98">
        <f>G71+Normalisation!H71</f>
        <v>0</v>
      </c>
      <c r="I71" s="98">
        <f>H71+Normalisation!I71</f>
        <v>0</v>
      </c>
      <c r="J71" s="98">
        <f>I71+Normalisation!J71</f>
        <v>0</v>
      </c>
      <c r="K71" s="98">
        <f>J71+Normalisation!K71</f>
        <v>0</v>
      </c>
      <c r="L71" s="99">
        <f>K71+Normalisation!L71</f>
        <v>0</v>
      </c>
    </row>
    <row r="72" spans="1:12" ht="16.5" x14ac:dyDescent="0.2">
      <c r="A72" s="43">
        <f>Normalisation!A72</f>
        <v>0</v>
      </c>
      <c r="B72" s="33">
        <f>Normalisation!B72</f>
        <v>0</v>
      </c>
      <c r="C72" s="139" t="s">
        <v>100</v>
      </c>
      <c r="D72" s="145"/>
      <c r="E72" s="156">
        <f>Normalisation!E72</f>
        <v>0</v>
      </c>
      <c r="F72" s="98">
        <f>E72+Normalisation!F72</f>
        <v>0</v>
      </c>
      <c r="G72" s="98">
        <f>F72+Normalisation!G72</f>
        <v>0</v>
      </c>
      <c r="H72" s="98">
        <f>G72+Normalisation!H72</f>
        <v>0</v>
      </c>
      <c r="I72" s="98">
        <f>H72+Normalisation!I72</f>
        <v>0</v>
      </c>
      <c r="J72" s="98">
        <f>I72+Normalisation!J72</f>
        <v>0</v>
      </c>
      <c r="K72" s="98">
        <f>J72+Normalisation!K72</f>
        <v>0</v>
      </c>
      <c r="L72" s="99">
        <f>K72+Normalisation!L72</f>
        <v>0</v>
      </c>
    </row>
    <row r="73" spans="1:12" ht="16.5" x14ac:dyDescent="0.2">
      <c r="A73" s="283">
        <f>Normalisation!A73</f>
        <v>0</v>
      </c>
      <c r="B73" s="284">
        <f>Normalisation!B73</f>
        <v>0</v>
      </c>
      <c r="C73" s="288" t="s">
        <v>100</v>
      </c>
      <c r="D73" s="424"/>
      <c r="E73" s="289">
        <f>Normalisation!E73</f>
        <v>0</v>
      </c>
      <c r="F73" s="285">
        <f>E73+Normalisation!F73</f>
        <v>0</v>
      </c>
      <c r="G73" s="285">
        <f>F73+Normalisation!G73</f>
        <v>0</v>
      </c>
      <c r="H73" s="285">
        <f>G73+Normalisation!H73</f>
        <v>0</v>
      </c>
      <c r="I73" s="285">
        <f>H73+Normalisation!I73</f>
        <v>0</v>
      </c>
      <c r="J73" s="285">
        <f>I73+Normalisation!J73</f>
        <v>0</v>
      </c>
      <c r="K73" s="285">
        <f>J73+Normalisation!K73</f>
        <v>0</v>
      </c>
      <c r="L73" s="286">
        <f>K73+Normalisation!L73</f>
        <v>0</v>
      </c>
    </row>
    <row r="74" spans="1:12" ht="16.5" x14ac:dyDescent="0.2">
      <c r="A74" s="44">
        <f>Normalisation!A74</f>
        <v>0</v>
      </c>
      <c r="B74" s="33">
        <f>Normalisation!B74</f>
        <v>0</v>
      </c>
      <c r="C74" s="45" t="s">
        <v>100</v>
      </c>
      <c r="D74" s="424"/>
      <c r="E74" s="98">
        <f>Normalisation!E74</f>
        <v>0</v>
      </c>
      <c r="F74" s="98">
        <f>E74+Normalisation!F74</f>
        <v>0</v>
      </c>
      <c r="G74" s="98">
        <f>F74+Normalisation!G74</f>
        <v>0</v>
      </c>
      <c r="H74" s="98">
        <f>G74+Normalisation!H74</f>
        <v>0</v>
      </c>
      <c r="I74" s="98">
        <f>H74+Normalisation!I74</f>
        <v>0</v>
      </c>
      <c r="J74" s="98">
        <f>I74+Normalisation!J74</f>
        <v>0</v>
      </c>
      <c r="K74" s="98">
        <f>J74+Normalisation!K74</f>
        <v>0</v>
      </c>
      <c r="L74" s="98">
        <f>K74+Normalisation!L74</f>
        <v>0</v>
      </c>
    </row>
    <row r="75" spans="1:12" ht="17.25" x14ac:dyDescent="0.25">
      <c r="A75" s="44">
        <f>Normalisation!A75</f>
        <v>0</v>
      </c>
      <c r="B75" s="33">
        <f>Normalisation!B75</f>
        <v>0</v>
      </c>
      <c r="C75" s="45" t="s">
        <v>223</v>
      </c>
      <c r="D75" s="424"/>
      <c r="E75" s="98">
        <f>Normalisation!E75</f>
        <v>0</v>
      </c>
      <c r="F75" s="98">
        <f>E75+Normalisation!F75</f>
        <v>0</v>
      </c>
      <c r="G75" s="98">
        <f>F75+Normalisation!G75</f>
        <v>0</v>
      </c>
      <c r="H75" s="98">
        <f>G75+Normalisation!H75</f>
        <v>0</v>
      </c>
      <c r="I75" s="98">
        <f>H75+Normalisation!I75</f>
        <v>0</v>
      </c>
      <c r="J75" s="98">
        <f>I75+Normalisation!J75</f>
        <v>0</v>
      </c>
      <c r="K75" s="98">
        <f>J75+Normalisation!K75</f>
        <v>0</v>
      </c>
      <c r="L75" s="98">
        <f>K75+Normalisation!L75</f>
        <v>0</v>
      </c>
    </row>
    <row r="76" spans="1:12" ht="17.25" x14ac:dyDescent="0.25">
      <c r="A76" s="44">
        <f>Normalisation!A76</f>
        <v>0</v>
      </c>
      <c r="B76" s="33">
        <f>Normalisation!B76</f>
        <v>0</v>
      </c>
      <c r="C76" s="45" t="s">
        <v>224</v>
      </c>
      <c r="D76" s="425"/>
      <c r="E76" s="98">
        <f>Normalisation!E76</f>
        <v>0</v>
      </c>
      <c r="F76" s="98">
        <f>E76+Normalisation!F76</f>
        <v>0</v>
      </c>
      <c r="G76" s="98">
        <f>F76+Normalisation!G76</f>
        <v>0</v>
      </c>
      <c r="H76" s="98">
        <f>G76+Normalisation!H76</f>
        <v>0</v>
      </c>
      <c r="I76" s="98">
        <f>H76+Normalisation!I76</f>
        <v>0</v>
      </c>
      <c r="J76" s="98">
        <f>I76+Normalisation!J76</f>
        <v>0</v>
      </c>
      <c r="K76" s="98">
        <f>J76+Normalisation!K76</f>
        <v>0</v>
      </c>
      <c r="L76" s="98">
        <f>K76+Normalisation!L76</f>
        <v>0</v>
      </c>
    </row>
    <row r="77" spans="1:12" ht="14.25" x14ac:dyDescent="0.2">
      <c r="A77" s="36"/>
      <c r="B77" s="36"/>
      <c r="C77" s="213"/>
      <c r="D77" s="147"/>
      <c r="E77" s="207"/>
      <c r="F77" s="207"/>
      <c r="G77" s="207"/>
      <c r="H77" s="207"/>
      <c r="I77" s="207"/>
      <c r="J77" s="207"/>
      <c r="K77" s="207"/>
      <c r="L77" s="207"/>
    </row>
  </sheetData>
  <mergeCells count="1">
    <mergeCell ref="D73:D7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">
    <pageSetUpPr fitToPage="1"/>
  </sheetPr>
  <dimension ref="A1:N86"/>
  <sheetViews>
    <sheetView view="pageBreakPreview" zoomScale="60" zoomScaleNormal="100" workbookViewId="0">
      <selection activeCell="S42" sqref="S42"/>
    </sheetView>
  </sheetViews>
  <sheetFormatPr defaultRowHeight="14.25" x14ac:dyDescent="0.2"/>
  <cols>
    <col min="1" max="1" width="39.85546875" style="35" customWidth="1"/>
    <col min="2" max="2" width="19" style="35" customWidth="1"/>
    <col min="3" max="3" width="20.5703125" style="35" customWidth="1"/>
    <col min="4" max="4" width="20.42578125" style="35" customWidth="1"/>
    <col min="5" max="5" width="21.140625" style="35" customWidth="1"/>
    <col min="6" max="6" width="25.42578125" style="35" bestFit="1" customWidth="1"/>
    <col min="7" max="9" width="19" style="35" customWidth="1"/>
    <col min="10" max="10" width="20" style="35" customWidth="1"/>
    <col min="11" max="11" width="20.42578125" style="35" customWidth="1"/>
    <col min="12" max="12" width="25.7109375" style="35" customWidth="1"/>
    <col min="13" max="16384" width="9.140625" style="35"/>
  </cols>
  <sheetData>
    <row r="1" spans="1:12" x14ac:dyDescent="0.2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15" thickBo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15" x14ac:dyDescent="0.25">
      <c r="A3" s="27" t="s">
        <v>45</v>
      </c>
      <c r="B3" s="31"/>
      <c r="C3" s="31"/>
      <c r="D3" s="30" t="s">
        <v>46</v>
      </c>
      <c r="E3" s="37" t="str">
        <f ca="1">'Analytical Data'!F3</f>
        <v>t=0.0625days</v>
      </c>
      <c r="F3" s="37" t="str">
        <f ca="1">'Analytical Data'!G3</f>
        <v>t=0.25days</v>
      </c>
      <c r="G3" s="37" t="str">
        <f ca="1">'Analytical Data'!H3</f>
        <v>t=1days</v>
      </c>
      <c r="H3" s="37" t="str">
        <f ca="1">'Analytical Data'!I3</f>
        <v>t=2.25days</v>
      </c>
      <c r="I3" s="37" t="str">
        <f ca="1">'Analytical Data'!J3</f>
        <v>t=4days</v>
      </c>
      <c r="J3" s="37" t="str">
        <f ca="1">'Analytical Data'!K3</f>
        <v>t=6.25days</v>
      </c>
      <c r="K3" s="37" t="str">
        <f ca="1">'Analytical Data'!L3</f>
        <v>t=9days</v>
      </c>
      <c r="L3" s="49" t="str">
        <f ca="1">'Analytical Data'!M3</f>
        <v>t=16days</v>
      </c>
    </row>
    <row r="4" spans="1:12" ht="15" thickBot="1" x14ac:dyDescent="0.25">
      <c r="A4" s="39"/>
      <c r="B4" s="38"/>
      <c r="C4" s="38"/>
      <c r="D4" s="47" t="s">
        <v>47</v>
      </c>
      <c r="E4" s="40">
        <f ca="1">Cover!K24</f>
        <v>6.25E-2</v>
      </c>
      <c r="F4" s="292">
        <f ca="1">Cover!L24</f>
        <v>0.25</v>
      </c>
      <c r="G4" s="292">
        <f ca="1">Cover!M24</f>
        <v>1</v>
      </c>
      <c r="H4" s="292">
        <f ca="1">Cover!N24</f>
        <v>2.25</v>
      </c>
      <c r="I4" s="292">
        <f ca="1">Cover!O24</f>
        <v>4</v>
      </c>
      <c r="J4" s="292">
        <f ca="1">Cover!P24</f>
        <v>6.25</v>
      </c>
      <c r="K4" s="292">
        <f ca="1">Cover!Q24</f>
        <v>9</v>
      </c>
      <c r="L4" s="292">
        <f ca="1">Cover!R24</f>
        <v>16</v>
      </c>
    </row>
    <row r="5" spans="1:12" x14ac:dyDescent="0.2">
      <c r="A5" s="41" t="str">
        <f>'Analytical Data'!A5</f>
        <v>pH</v>
      </c>
      <c r="B5" s="32">
        <f>'Analytical Data'!B5</f>
        <v>1010</v>
      </c>
      <c r="C5" s="211"/>
      <c r="D5" s="30"/>
      <c r="E5" s="209">
        <f>'Analytical Data'!F5*Cover!$H$11/Cover!$I$11</f>
        <v>625.2492237293676</v>
      </c>
      <c r="F5" s="96">
        <f>'Analytical Data'!G5*Cover!$H$11/Cover!$I$11</f>
        <v>490.08138584736065</v>
      </c>
      <c r="G5" s="96">
        <f>'Analytical Data'!H5*Cover!$H$11/Cover!$I$11</f>
        <v>508.60728877267525</v>
      </c>
      <c r="H5" s="96">
        <f>'Analytical Data'!I5*Cover!$H$11/Cover!$I$11</f>
        <v>492.43275044941976</v>
      </c>
      <c r="I5" s="96">
        <f>'Analytical Data'!J5*Cover!$H$11/Cover!$I$11</f>
        <v>499.62935120117663</v>
      </c>
      <c r="J5" s="96">
        <f>'Analytical Data'!K5*Cover!$H$11/Cover!$I$11</f>
        <v>482.95603856839347</v>
      </c>
      <c r="K5" s="96">
        <f>'Analytical Data'!L5*Cover!$H$11/Cover!$I$11</f>
        <v>482.02974342212775</v>
      </c>
      <c r="L5" s="97">
        <f>'Analytical Data'!M5*Cover!$H$11/Cover!$I$11</f>
        <v>501.76695538486678</v>
      </c>
    </row>
    <row r="6" spans="1:12" x14ac:dyDescent="0.2">
      <c r="A6" s="43" t="str">
        <f>'Analytical Data'!A6</f>
        <v>Electrical Conductivity</v>
      </c>
      <c r="B6" s="33">
        <f>'Analytical Data'!B6</f>
        <v>1020</v>
      </c>
      <c r="C6" s="212"/>
      <c r="D6" s="47"/>
      <c r="E6" s="210">
        <f>'Analytical Data'!F6*Cover!$H$11/Cover!$I$11</f>
        <v>1011.7993136133354</v>
      </c>
      <c r="F6" s="98">
        <f>'Analytical Data'!G6*Cover!$H$11/Cover!$I$11</f>
        <v>2929.2302663833962</v>
      </c>
      <c r="G6" s="98">
        <f>'Analytical Data'!H6*Cover!$H$11/Cover!$I$11</f>
        <v>40835.365255760742</v>
      </c>
      <c r="H6" s="98">
        <f>'Analytical Data'!I6*Cover!$H$11/Cover!$I$11</f>
        <v>186327.83134499102</v>
      </c>
      <c r="I6" s="98">
        <f>'Analytical Data'!J6*Cover!$H$11/Cover!$I$11</f>
        <v>197158.35920902109</v>
      </c>
      <c r="J6" s="98">
        <f>'Analytical Data'!K6*Cover!$H$11/Cover!$I$11</f>
        <v>151484.88315084163</v>
      </c>
      <c r="K6" s="98">
        <f>'Analytical Data'!L6*Cover!$H$11/Cover!$I$11</f>
        <v>169583.26523941819</v>
      </c>
      <c r="L6" s="99">
        <f>'Analytical Data'!M6*Cover!$H$11/Cover!$I$11</f>
        <v>123981.04265402842</v>
      </c>
    </row>
    <row r="7" spans="1:12" ht="16.5" x14ac:dyDescent="0.2">
      <c r="A7" s="43" t="str">
        <f>'Analytical Data'!A7</f>
        <v>Redox potential</v>
      </c>
      <c r="B7" s="33">
        <f>'Analytical Data'!B7</f>
        <v>1170</v>
      </c>
      <c r="C7" s="138" t="s">
        <v>100</v>
      </c>
      <c r="D7" s="47"/>
      <c r="E7" s="210">
        <f>'Analytical Data'!F7*Cover!$H$11/Cover!$I$11</f>
        <v>0</v>
      </c>
      <c r="F7" s="98">
        <f>'Analytical Data'!G7*Cover!$H$11/Cover!$I$11</f>
        <v>0</v>
      </c>
      <c r="G7" s="98">
        <f>'Analytical Data'!H7*Cover!$H$11/Cover!$I$11</f>
        <v>0</v>
      </c>
      <c r="H7" s="98">
        <f>'Analytical Data'!I7*Cover!$H$11/Cover!$I$11</f>
        <v>0</v>
      </c>
      <c r="I7" s="98">
        <f>'Analytical Data'!J7*Cover!$H$11/Cover!$I$11</f>
        <v>0</v>
      </c>
      <c r="J7" s="98">
        <f>'Analytical Data'!K7*Cover!$H$11/Cover!$I$11</f>
        <v>0</v>
      </c>
      <c r="K7" s="98">
        <f>'Analytical Data'!L7*Cover!$H$11/Cover!$I$11</f>
        <v>0</v>
      </c>
      <c r="L7" s="99">
        <f>'Analytical Data'!M7*Cover!$H$11/Cover!$I$11</f>
        <v>0</v>
      </c>
    </row>
    <row r="8" spans="1:12" ht="16.5" x14ac:dyDescent="0.2">
      <c r="A8" s="43" t="str">
        <f>'Analytical Data'!A8</f>
        <v>Chloride</v>
      </c>
      <c r="B8" s="33" t="str">
        <f>'Analytical Data'!B8</f>
        <v>U</v>
      </c>
      <c r="C8" s="138" t="s">
        <v>100</v>
      </c>
      <c r="D8" s="47"/>
      <c r="E8" s="210">
        <f>'Analytical Data'!F8*Cover!$H$11/Cover!$I$11</f>
        <v>71.253472789671505</v>
      </c>
      <c r="F8" s="98">
        <f>'Analytical Data'!G8*Cover!$H$11/Cover!$I$11</f>
        <v>149.63229285831019</v>
      </c>
      <c r="G8" s="98">
        <f>'Analytical Data'!H8*Cover!$H$11/Cover!$I$11</f>
        <v>2137.6041836901454</v>
      </c>
      <c r="H8" s="98">
        <f>'Analytical Data'!I8*Cover!$H$11/Cover!$I$11</f>
        <v>22801.111292694884</v>
      </c>
      <c r="I8" s="98">
        <f>'Analytical Data'!J8*Cover!$H$11/Cover!$I$11</f>
        <v>36339.271122732469</v>
      </c>
      <c r="J8" s="98">
        <f>'Analytical Data'!K8*Cover!$H$11/Cover!$I$11</f>
        <v>27076.319660075176</v>
      </c>
      <c r="K8" s="98">
        <f>'Analytical Data'!L8*Cover!$H$11/Cover!$I$11</f>
        <v>28501.389115868606</v>
      </c>
      <c r="L8" s="99">
        <f>'Analytical Data'!M8*Cover!$H$11/Cover!$I$11</f>
        <v>36339.271122732469</v>
      </c>
    </row>
    <row r="9" spans="1:12" ht="16.5" x14ac:dyDescent="0.2">
      <c r="A9" s="43" t="str">
        <f>'Analytical Data'!A9</f>
        <v>Sodium</v>
      </c>
      <c r="B9" s="33" t="str">
        <f>'Analytical Data'!B9</f>
        <v>U</v>
      </c>
      <c r="C9" s="138" t="s">
        <v>100</v>
      </c>
      <c r="D9" s="47"/>
      <c r="E9" s="210">
        <f>'Analytical Data'!F9*Cover!$H$11/Cover!$I$11</f>
        <v>1425.0694557934303</v>
      </c>
      <c r="F9" s="98">
        <f>'Analytical Data'!G9*Cover!$H$11/Cover!$I$11</f>
        <v>2850.1389115868606</v>
      </c>
      <c r="G9" s="98">
        <f>'Analytical Data'!H9*Cover!$H$11/Cover!$I$11</f>
        <v>3562.6736394835757</v>
      </c>
      <c r="H9" s="98">
        <f>'Analytical Data'!I9*Cover!$H$11/Cover!$I$11</f>
        <v>16388.298741624447</v>
      </c>
      <c r="I9" s="98">
        <f>'Analytical Data'!J9*Cover!$H$11/Cover!$I$11</f>
        <v>24226.180748488314</v>
      </c>
      <c r="J9" s="98">
        <f>'Analytical Data'!K9*Cover!$H$11/Cover!$I$11</f>
        <v>16388.298741624447</v>
      </c>
      <c r="K9" s="98">
        <f>'Analytical Data'!L9*Cover!$H$11/Cover!$I$11</f>
        <v>17813.368197417876</v>
      </c>
      <c r="L9" s="99">
        <f>'Analytical Data'!M9*Cover!$H$11/Cover!$I$11</f>
        <v>24938.715476385027</v>
      </c>
    </row>
    <row r="10" spans="1:12" ht="16.5" x14ac:dyDescent="0.2">
      <c r="A10" s="43">
        <f>'Analytical Data'!A10</f>
        <v>0</v>
      </c>
      <c r="B10" s="33">
        <f>'Analytical Data'!B10</f>
        <v>0</v>
      </c>
      <c r="C10" s="138" t="s">
        <v>100</v>
      </c>
      <c r="D10" s="47"/>
      <c r="E10" s="210">
        <f>'Analytical Data'!F10*Cover!$H$11/Cover!$I$11</f>
        <v>0</v>
      </c>
      <c r="F10" s="98">
        <f>'Analytical Data'!G10*Cover!$H$11/Cover!$I$11</f>
        <v>0</v>
      </c>
      <c r="G10" s="98">
        <f>'Analytical Data'!H10*Cover!$H$11/Cover!$I$11</f>
        <v>0</v>
      </c>
      <c r="H10" s="98">
        <f>'Analytical Data'!I10*Cover!$H$11/Cover!$I$11</f>
        <v>0</v>
      </c>
      <c r="I10" s="98">
        <f>'Analytical Data'!J10*Cover!$H$11/Cover!$I$11</f>
        <v>0</v>
      </c>
      <c r="J10" s="98">
        <f>'Analytical Data'!K10*Cover!$H$11/Cover!$I$11</f>
        <v>0</v>
      </c>
      <c r="K10" s="98">
        <f>'Analytical Data'!L10*Cover!$H$11/Cover!$I$11</f>
        <v>0</v>
      </c>
      <c r="L10" s="99">
        <f>'Analytical Data'!M10*Cover!$H$11/Cover!$I$11</f>
        <v>0</v>
      </c>
    </row>
    <row r="11" spans="1:12" ht="16.5" x14ac:dyDescent="0.2">
      <c r="A11" s="43">
        <f>'Analytical Data'!A11</f>
        <v>0</v>
      </c>
      <c r="B11" s="33">
        <f>'Analytical Data'!B11</f>
        <v>0</v>
      </c>
      <c r="C11" s="138" t="s">
        <v>100</v>
      </c>
      <c r="D11" s="47"/>
      <c r="E11" s="210">
        <f>'Analytical Data'!F11*Cover!$H$11/Cover!$I$11</f>
        <v>0</v>
      </c>
      <c r="F11" s="98">
        <f>'Analytical Data'!G11*Cover!$H$11/Cover!$I$11</f>
        <v>0</v>
      </c>
      <c r="G11" s="98">
        <f>'Analytical Data'!H11*Cover!$H$11/Cover!$I$11</f>
        <v>0</v>
      </c>
      <c r="H11" s="98">
        <f>'Analytical Data'!I11*Cover!$H$11/Cover!$I$11</f>
        <v>0</v>
      </c>
      <c r="I11" s="98">
        <f>'Analytical Data'!J11*Cover!$H$11/Cover!$I$11</f>
        <v>0</v>
      </c>
      <c r="J11" s="98">
        <f>'Analytical Data'!K11*Cover!$H$11/Cover!$I$11</f>
        <v>0</v>
      </c>
      <c r="K11" s="98">
        <f>'Analytical Data'!L11*Cover!$H$11/Cover!$I$11</f>
        <v>0</v>
      </c>
      <c r="L11" s="99">
        <f>'Analytical Data'!M11*Cover!$H$11/Cover!$I$11</f>
        <v>0</v>
      </c>
    </row>
    <row r="12" spans="1:12" ht="16.5" x14ac:dyDescent="0.2">
      <c r="A12" s="43">
        <f>'Analytical Data'!A12</f>
        <v>0</v>
      </c>
      <c r="B12" s="33">
        <f>'Analytical Data'!B12</f>
        <v>0</v>
      </c>
      <c r="C12" s="138" t="s">
        <v>100</v>
      </c>
      <c r="D12" s="47"/>
      <c r="E12" s="210">
        <f>'Analytical Data'!F12*Cover!$H$11/Cover!$I$11</f>
        <v>0</v>
      </c>
      <c r="F12" s="98">
        <f>'Analytical Data'!G12*Cover!$H$11/Cover!$I$11</f>
        <v>0</v>
      </c>
      <c r="G12" s="98">
        <f>'Analytical Data'!H12*Cover!$H$11/Cover!$I$11</f>
        <v>0</v>
      </c>
      <c r="H12" s="98">
        <f>'Analytical Data'!I12*Cover!$H$11/Cover!$I$11</f>
        <v>0</v>
      </c>
      <c r="I12" s="98">
        <f>'Analytical Data'!J12*Cover!$H$11/Cover!$I$11</f>
        <v>0</v>
      </c>
      <c r="J12" s="98">
        <f>'Analytical Data'!K12*Cover!$H$11/Cover!$I$11</f>
        <v>0</v>
      </c>
      <c r="K12" s="98">
        <f>'Analytical Data'!L12*Cover!$H$11/Cover!$I$11</f>
        <v>0</v>
      </c>
      <c r="L12" s="99">
        <f>'Analytical Data'!M12*Cover!$H$11/Cover!$I$11</f>
        <v>0</v>
      </c>
    </row>
    <row r="13" spans="1:12" ht="16.5" x14ac:dyDescent="0.2">
      <c r="A13" s="43">
        <f>'Analytical Data'!A13</f>
        <v>0</v>
      </c>
      <c r="B13" s="33">
        <f>'Analytical Data'!B13</f>
        <v>0</v>
      </c>
      <c r="C13" s="138" t="s">
        <v>100</v>
      </c>
      <c r="D13" s="47"/>
      <c r="E13" s="210">
        <f>'Analytical Data'!F13*Cover!$H$11/Cover!$I$11</f>
        <v>0</v>
      </c>
      <c r="F13" s="98">
        <f>'Analytical Data'!G13*Cover!$H$11/Cover!$I$11</f>
        <v>0</v>
      </c>
      <c r="G13" s="98">
        <f>'Analytical Data'!H13*Cover!$H$11/Cover!$I$11</f>
        <v>0</v>
      </c>
      <c r="H13" s="98">
        <f>'Analytical Data'!I13*Cover!$H$11/Cover!$I$11</f>
        <v>0</v>
      </c>
      <c r="I13" s="98">
        <f>'Analytical Data'!J13*Cover!$H$11/Cover!$I$11</f>
        <v>0</v>
      </c>
      <c r="J13" s="98">
        <f>'Analytical Data'!K13*Cover!$H$11/Cover!$I$11</f>
        <v>0</v>
      </c>
      <c r="K13" s="98">
        <f>'Analytical Data'!L13*Cover!$H$11/Cover!$I$11</f>
        <v>0</v>
      </c>
      <c r="L13" s="99">
        <f>'Analytical Data'!M13*Cover!$H$11/Cover!$I$11</f>
        <v>0</v>
      </c>
    </row>
    <row r="14" spans="1:12" ht="16.5" x14ac:dyDescent="0.2">
      <c r="A14" s="43">
        <f>'Analytical Data'!A14</f>
        <v>0</v>
      </c>
      <c r="B14" s="33">
        <f>'Analytical Data'!B14</f>
        <v>0</v>
      </c>
      <c r="C14" s="138" t="s">
        <v>100</v>
      </c>
      <c r="D14" s="47"/>
      <c r="E14" s="210">
        <f>'Analytical Data'!F14*Cover!$H$11/Cover!$I$11</f>
        <v>0</v>
      </c>
      <c r="F14" s="98">
        <f>'Analytical Data'!G14*Cover!$H$11/Cover!$I$11</f>
        <v>0</v>
      </c>
      <c r="G14" s="98">
        <f>'Analytical Data'!H14*Cover!$H$11/Cover!$I$11</f>
        <v>0</v>
      </c>
      <c r="H14" s="98">
        <f>'Analytical Data'!I14*Cover!$H$11/Cover!$I$11</f>
        <v>0</v>
      </c>
      <c r="I14" s="98">
        <f>'Analytical Data'!J14*Cover!$H$11/Cover!$I$11</f>
        <v>0</v>
      </c>
      <c r="J14" s="98">
        <f>'Analytical Data'!K14*Cover!$H$11/Cover!$I$11</f>
        <v>0</v>
      </c>
      <c r="K14" s="98">
        <f>'Analytical Data'!L14*Cover!$H$11/Cover!$I$11</f>
        <v>0</v>
      </c>
      <c r="L14" s="99">
        <f>'Analytical Data'!M14*Cover!$H$11/Cover!$I$11</f>
        <v>0</v>
      </c>
    </row>
    <row r="15" spans="1:12" ht="16.5" x14ac:dyDescent="0.2">
      <c r="A15" s="43">
        <f>'Analytical Data'!A15</f>
        <v>0</v>
      </c>
      <c r="B15" s="33">
        <f>'Analytical Data'!B15</f>
        <v>0</v>
      </c>
      <c r="C15" s="138" t="s">
        <v>100</v>
      </c>
      <c r="D15" s="47"/>
      <c r="E15" s="210">
        <f>'Analytical Data'!F15*Cover!$H$11/Cover!$I$11</f>
        <v>0</v>
      </c>
      <c r="F15" s="98">
        <f>'Analytical Data'!G15*Cover!$H$11/Cover!$I$11</f>
        <v>0</v>
      </c>
      <c r="G15" s="98">
        <f>'Analytical Data'!H15*Cover!$H$11/Cover!$I$11</f>
        <v>0</v>
      </c>
      <c r="H15" s="98">
        <f>'Analytical Data'!I15*Cover!$H$11/Cover!$I$11</f>
        <v>0</v>
      </c>
      <c r="I15" s="98">
        <f>'Analytical Data'!J15*Cover!$H$11/Cover!$I$11</f>
        <v>0</v>
      </c>
      <c r="J15" s="98">
        <f>'Analytical Data'!K15*Cover!$H$11/Cover!$I$11</f>
        <v>0</v>
      </c>
      <c r="K15" s="98">
        <f>'Analytical Data'!L15*Cover!$H$11/Cover!$I$11</f>
        <v>0</v>
      </c>
      <c r="L15" s="99">
        <f>'Analytical Data'!M15*Cover!$H$11/Cover!$I$11</f>
        <v>0</v>
      </c>
    </row>
    <row r="16" spans="1:12" ht="16.5" x14ac:dyDescent="0.2">
      <c r="A16" s="43">
        <f>'Analytical Data'!A16</f>
        <v>0</v>
      </c>
      <c r="B16" s="33">
        <f>'Analytical Data'!B16</f>
        <v>0</v>
      </c>
      <c r="C16" s="138" t="s">
        <v>100</v>
      </c>
      <c r="D16" s="47"/>
      <c r="E16" s="210">
        <f>'Analytical Data'!F16*Cover!$H$11/Cover!$I$11</f>
        <v>0</v>
      </c>
      <c r="F16" s="98">
        <f>'Analytical Data'!G16*Cover!$H$11/Cover!$I$11</f>
        <v>0</v>
      </c>
      <c r="G16" s="98">
        <f>'Analytical Data'!H16*Cover!$H$11/Cover!$I$11</f>
        <v>0</v>
      </c>
      <c r="H16" s="98">
        <f>'Analytical Data'!I16*Cover!$H$11/Cover!$I$11</f>
        <v>0</v>
      </c>
      <c r="I16" s="98">
        <f>'Analytical Data'!J16*Cover!$H$11/Cover!$I$11</f>
        <v>0</v>
      </c>
      <c r="J16" s="98">
        <f>'Analytical Data'!K16*Cover!$H$11/Cover!$I$11</f>
        <v>0</v>
      </c>
      <c r="K16" s="98">
        <f>'Analytical Data'!L16*Cover!$H$11/Cover!$I$11</f>
        <v>0</v>
      </c>
      <c r="L16" s="99">
        <f>'Analytical Data'!M16*Cover!$H$11/Cover!$I$11</f>
        <v>0</v>
      </c>
    </row>
    <row r="17" spans="1:12" ht="16.5" x14ac:dyDescent="0.2">
      <c r="A17" s="43">
        <f>'Analytical Data'!A17</f>
        <v>0</v>
      </c>
      <c r="B17" s="33">
        <f>'Analytical Data'!B17</f>
        <v>0</v>
      </c>
      <c r="C17" s="138" t="s">
        <v>100</v>
      </c>
      <c r="D17" s="47"/>
      <c r="E17" s="210">
        <f>'Analytical Data'!F17*Cover!$H$11/Cover!$I$11</f>
        <v>0</v>
      </c>
      <c r="F17" s="98">
        <f>'Analytical Data'!G17*Cover!$H$11/Cover!$I$11</f>
        <v>0</v>
      </c>
      <c r="G17" s="98">
        <f>'Analytical Data'!H17*Cover!$H$11/Cover!$I$11</f>
        <v>0</v>
      </c>
      <c r="H17" s="98">
        <f>'Analytical Data'!I17*Cover!$H$11/Cover!$I$11</f>
        <v>0</v>
      </c>
      <c r="I17" s="98">
        <f>'Analytical Data'!J17*Cover!$H$11/Cover!$I$11</f>
        <v>0</v>
      </c>
      <c r="J17" s="98">
        <f>'Analytical Data'!K17*Cover!$H$11/Cover!$I$11</f>
        <v>0</v>
      </c>
      <c r="K17" s="98">
        <f>'Analytical Data'!L17*Cover!$H$11/Cover!$I$11</f>
        <v>0</v>
      </c>
      <c r="L17" s="99">
        <f>'Analytical Data'!M17*Cover!$H$11/Cover!$I$11</f>
        <v>0</v>
      </c>
    </row>
    <row r="18" spans="1:12" ht="16.5" x14ac:dyDescent="0.2">
      <c r="A18" s="43">
        <f>'Analytical Data'!A18</f>
        <v>0</v>
      </c>
      <c r="B18" s="33">
        <f>'Analytical Data'!B18</f>
        <v>0</v>
      </c>
      <c r="C18" s="138" t="s">
        <v>100</v>
      </c>
      <c r="D18" s="47"/>
      <c r="E18" s="210">
        <f>'Analytical Data'!F18*Cover!$H$11/Cover!$I$11</f>
        <v>0</v>
      </c>
      <c r="F18" s="98">
        <f>'Analytical Data'!G18*Cover!$H$11/Cover!$I$11</f>
        <v>0</v>
      </c>
      <c r="G18" s="98">
        <f>'Analytical Data'!H18*Cover!$H$11/Cover!$I$11</f>
        <v>0</v>
      </c>
      <c r="H18" s="98">
        <f>'Analytical Data'!I18*Cover!$H$11/Cover!$I$11</f>
        <v>0</v>
      </c>
      <c r="I18" s="98">
        <f>'Analytical Data'!J18*Cover!$H$11/Cover!$I$11</f>
        <v>0</v>
      </c>
      <c r="J18" s="98">
        <f>'Analytical Data'!K18*Cover!$H$11/Cover!$I$11</f>
        <v>0</v>
      </c>
      <c r="K18" s="98">
        <f>'Analytical Data'!L18*Cover!$H$11/Cover!$I$11</f>
        <v>0</v>
      </c>
      <c r="L18" s="99">
        <f>'Analytical Data'!M18*Cover!$H$11/Cover!$I$11</f>
        <v>0</v>
      </c>
    </row>
    <row r="19" spans="1:12" ht="16.5" x14ac:dyDescent="0.2">
      <c r="A19" s="43">
        <f>'Analytical Data'!A19</f>
        <v>0</v>
      </c>
      <c r="B19" s="33">
        <f>'Analytical Data'!B19</f>
        <v>0</v>
      </c>
      <c r="C19" s="138" t="s">
        <v>100</v>
      </c>
      <c r="D19" s="47"/>
      <c r="E19" s="210">
        <f>'Analytical Data'!F19*Cover!$H$11/Cover!$I$11</f>
        <v>0</v>
      </c>
      <c r="F19" s="98">
        <f>'Analytical Data'!G19*Cover!$H$11/Cover!$I$11</f>
        <v>0</v>
      </c>
      <c r="G19" s="98">
        <f>'Analytical Data'!H19*Cover!$H$11/Cover!$I$11</f>
        <v>0</v>
      </c>
      <c r="H19" s="98">
        <f>'Analytical Data'!I19*Cover!$H$11/Cover!$I$11</f>
        <v>0</v>
      </c>
      <c r="I19" s="98">
        <f>'Analytical Data'!J19*Cover!$H$11/Cover!$I$11</f>
        <v>0</v>
      </c>
      <c r="J19" s="98">
        <f>'Analytical Data'!K19*Cover!$H$11/Cover!$I$11</f>
        <v>0</v>
      </c>
      <c r="K19" s="98">
        <f>'Analytical Data'!L19*Cover!$H$11/Cover!$I$11</f>
        <v>0</v>
      </c>
      <c r="L19" s="99">
        <f>'Analytical Data'!M19*Cover!$H$11/Cover!$I$11</f>
        <v>0</v>
      </c>
    </row>
    <row r="20" spans="1:12" ht="16.5" x14ac:dyDescent="0.2">
      <c r="A20" s="43">
        <f>'Analytical Data'!A20</f>
        <v>0</v>
      </c>
      <c r="B20" s="33">
        <f>'Analytical Data'!B20</f>
        <v>0</v>
      </c>
      <c r="C20" s="138" t="s">
        <v>100</v>
      </c>
      <c r="D20" s="47"/>
      <c r="E20" s="210">
        <f>'Analytical Data'!F20*Cover!$H$11/Cover!$I$11</f>
        <v>0</v>
      </c>
      <c r="F20" s="98">
        <f>'Analytical Data'!G20*Cover!$H$11/Cover!$I$11</f>
        <v>0</v>
      </c>
      <c r="G20" s="98">
        <f>'Analytical Data'!H20*Cover!$H$11/Cover!$I$11</f>
        <v>0</v>
      </c>
      <c r="H20" s="98">
        <f>'Analytical Data'!I20*Cover!$H$11/Cover!$I$11</f>
        <v>0</v>
      </c>
      <c r="I20" s="98">
        <f>'Analytical Data'!J20*Cover!$H$11/Cover!$I$11</f>
        <v>0</v>
      </c>
      <c r="J20" s="98">
        <f>'Analytical Data'!K20*Cover!$H$11/Cover!$I$11</f>
        <v>0</v>
      </c>
      <c r="K20" s="98">
        <f>'Analytical Data'!L20*Cover!$H$11/Cover!$I$11</f>
        <v>0</v>
      </c>
      <c r="L20" s="99">
        <f>'Analytical Data'!M20*Cover!$H$11/Cover!$I$11</f>
        <v>0</v>
      </c>
    </row>
    <row r="21" spans="1:12" ht="16.5" x14ac:dyDescent="0.2">
      <c r="A21" s="43">
        <f>'Analytical Data'!A21</f>
        <v>0</v>
      </c>
      <c r="B21" s="33">
        <f>'Analytical Data'!B21</f>
        <v>0</v>
      </c>
      <c r="C21" s="138" t="s">
        <v>100</v>
      </c>
      <c r="D21" s="47"/>
      <c r="E21" s="210">
        <f>'Analytical Data'!F21*Cover!$H$11/Cover!$I$11</f>
        <v>0</v>
      </c>
      <c r="F21" s="98">
        <f>'Analytical Data'!G21*Cover!$H$11/Cover!$I$11</f>
        <v>0</v>
      </c>
      <c r="G21" s="98">
        <f>'Analytical Data'!H21*Cover!$H$11/Cover!$I$11</f>
        <v>0</v>
      </c>
      <c r="H21" s="98">
        <f>'Analytical Data'!I21*Cover!$H$11/Cover!$I$11</f>
        <v>0</v>
      </c>
      <c r="I21" s="98">
        <f>'Analytical Data'!J21*Cover!$H$11/Cover!$I$11</f>
        <v>0</v>
      </c>
      <c r="J21" s="98">
        <f>'Analytical Data'!K21*Cover!$H$11/Cover!$I$11</f>
        <v>0</v>
      </c>
      <c r="K21" s="98">
        <f>'Analytical Data'!L21*Cover!$H$11/Cover!$I$11</f>
        <v>0</v>
      </c>
      <c r="L21" s="99">
        <f>'Analytical Data'!M21*Cover!$H$11/Cover!$I$11</f>
        <v>0</v>
      </c>
    </row>
    <row r="22" spans="1:12" ht="16.5" x14ac:dyDescent="0.2">
      <c r="A22" s="43">
        <f>'Analytical Data'!A22</f>
        <v>0</v>
      </c>
      <c r="B22" s="33">
        <f>'Analytical Data'!B22</f>
        <v>0</v>
      </c>
      <c r="C22" s="138" t="s">
        <v>100</v>
      </c>
      <c r="D22" s="47"/>
      <c r="E22" s="210">
        <f>'Analytical Data'!F22*Cover!$H$11/Cover!$I$11</f>
        <v>0</v>
      </c>
      <c r="F22" s="98">
        <f>'Analytical Data'!G22*Cover!$H$11/Cover!$I$11</f>
        <v>0</v>
      </c>
      <c r="G22" s="98">
        <f>'Analytical Data'!H22*Cover!$H$11/Cover!$I$11</f>
        <v>0</v>
      </c>
      <c r="H22" s="98">
        <f>'Analytical Data'!I22*Cover!$H$11/Cover!$I$11</f>
        <v>0</v>
      </c>
      <c r="I22" s="98">
        <f>'Analytical Data'!J22*Cover!$H$11/Cover!$I$11</f>
        <v>0</v>
      </c>
      <c r="J22" s="98">
        <f>'Analytical Data'!K22*Cover!$H$11/Cover!$I$11</f>
        <v>0</v>
      </c>
      <c r="K22" s="98">
        <f>'Analytical Data'!L22*Cover!$H$11/Cover!$I$11</f>
        <v>0</v>
      </c>
      <c r="L22" s="99">
        <f>'Analytical Data'!M22*Cover!$H$11/Cover!$I$11</f>
        <v>0</v>
      </c>
    </row>
    <row r="23" spans="1:12" ht="16.5" hidden="1" x14ac:dyDescent="0.2">
      <c r="A23" s="43">
        <f>'Analytical Data'!A23</f>
        <v>0</v>
      </c>
      <c r="B23" s="33">
        <f>'Analytical Data'!B23</f>
        <v>0</v>
      </c>
      <c r="C23" s="138" t="s">
        <v>100</v>
      </c>
      <c r="D23" s="47"/>
      <c r="E23" s="210">
        <f>'Analytical Data'!F23*Cover!$H$11/Cover!$I$11</f>
        <v>0</v>
      </c>
      <c r="F23" s="98">
        <f>'Analytical Data'!G23*Cover!$H$11/Cover!$I$11</f>
        <v>0</v>
      </c>
      <c r="G23" s="98">
        <f>'Analytical Data'!H23*Cover!$H$11/Cover!$I$11</f>
        <v>0</v>
      </c>
      <c r="H23" s="98">
        <f>'Analytical Data'!I23*Cover!$H$11/Cover!$I$11</f>
        <v>0</v>
      </c>
      <c r="I23" s="98">
        <f>'Analytical Data'!J23*Cover!$H$11/Cover!$I$11</f>
        <v>0</v>
      </c>
      <c r="J23" s="98">
        <f>'Analytical Data'!K23*Cover!$H$11/Cover!$I$11</f>
        <v>0</v>
      </c>
      <c r="K23" s="98">
        <f>'Analytical Data'!L23*Cover!$H$11/Cover!$I$11</f>
        <v>0</v>
      </c>
      <c r="L23" s="99">
        <f>'Analytical Data'!M23*Cover!$H$11/Cover!$I$11</f>
        <v>0</v>
      </c>
    </row>
    <row r="24" spans="1:12" ht="16.5" hidden="1" x14ac:dyDescent="0.2">
      <c r="A24" s="43">
        <f>'Analytical Data'!A24</f>
        <v>0</v>
      </c>
      <c r="B24" s="33">
        <f>'Analytical Data'!B24</f>
        <v>0</v>
      </c>
      <c r="C24" s="138" t="s">
        <v>100</v>
      </c>
      <c r="D24" s="47"/>
      <c r="E24" s="210">
        <f>'Analytical Data'!F24*Cover!$H$11/Cover!$I$11</f>
        <v>0</v>
      </c>
      <c r="F24" s="98">
        <f>'Analytical Data'!G24*Cover!$H$11/Cover!$I$11</f>
        <v>0</v>
      </c>
      <c r="G24" s="98">
        <f>'Analytical Data'!H24*Cover!$H$11/Cover!$I$11</f>
        <v>0</v>
      </c>
      <c r="H24" s="98">
        <f>'Analytical Data'!I24*Cover!$H$11/Cover!$I$11</f>
        <v>0</v>
      </c>
      <c r="I24" s="98">
        <f>'Analytical Data'!J24*Cover!$H$11/Cover!$I$11</f>
        <v>0</v>
      </c>
      <c r="J24" s="98">
        <f>'Analytical Data'!K24*Cover!$H$11/Cover!$I$11</f>
        <v>0</v>
      </c>
      <c r="K24" s="98">
        <f>'Analytical Data'!L24*Cover!$H$11/Cover!$I$11</f>
        <v>0</v>
      </c>
      <c r="L24" s="99">
        <f>'Analytical Data'!M24*Cover!$H$11/Cover!$I$11</f>
        <v>0</v>
      </c>
    </row>
    <row r="25" spans="1:12" ht="16.5" x14ac:dyDescent="0.2">
      <c r="A25" s="43">
        <f>'Analytical Data'!A25</f>
        <v>0</v>
      </c>
      <c r="B25" s="33">
        <f>'Analytical Data'!B25</f>
        <v>0</v>
      </c>
      <c r="C25" s="138" t="s">
        <v>100</v>
      </c>
      <c r="D25" s="47"/>
      <c r="E25" s="210">
        <f>'Analytical Data'!F25*Cover!$H$11/Cover!$I$11</f>
        <v>0</v>
      </c>
      <c r="F25" s="98">
        <f>'Analytical Data'!G25*Cover!$H$11/Cover!$I$11</f>
        <v>0</v>
      </c>
      <c r="G25" s="98">
        <f>'Analytical Data'!H25*Cover!$H$11/Cover!$I$11</f>
        <v>0</v>
      </c>
      <c r="H25" s="98">
        <f>'Analytical Data'!I25*Cover!$H$11/Cover!$I$11</f>
        <v>0</v>
      </c>
      <c r="I25" s="98">
        <f>'Analytical Data'!J25*Cover!$H$11/Cover!$I$11</f>
        <v>0</v>
      </c>
      <c r="J25" s="98">
        <f>'Analytical Data'!K25*Cover!$H$11/Cover!$I$11</f>
        <v>0</v>
      </c>
      <c r="K25" s="98">
        <f>'Analytical Data'!L25*Cover!$H$11/Cover!$I$11</f>
        <v>0</v>
      </c>
      <c r="L25" s="99">
        <f>'Analytical Data'!M25*Cover!$H$11/Cover!$I$11</f>
        <v>0</v>
      </c>
    </row>
    <row r="26" spans="1:12" ht="16.5" x14ac:dyDescent="0.2">
      <c r="A26" s="43">
        <f>'Analytical Data'!A26</f>
        <v>0</v>
      </c>
      <c r="B26" s="33">
        <f>'Analytical Data'!B26</f>
        <v>0</v>
      </c>
      <c r="C26" s="138" t="s">
        <v>100</v>
      </c>
      <c r="D26" s="47"/>
      <c r="E26" s="210">
        <f>'Analytical Data'!F26*Cover!$H$11/Cover!$I$11</f>
        <v>0</v>
      </c>
      <c r="F26" s="98">
        <f>'Analytical Data'!G26*Cover!$H$11/Cover!$I$11</f>
        <v>0</v>
      </c>
      <c r="G26" s="98">
        <f>'Analytical Data'!H26*Cover!$H$11/Cover!$I$11</f>
        <v>0</v>
      </c>
      <c r="H26" s="98">
        <f>'Analytical Data'!I26*Cover!$H$11/Cover!$I$11</f>
        <v>0</v>
      </c>
      <c r="I26" s="98">
        <f>'Analytical Data'!J26*Cover!$H$11/Cover!$I$11</f>
        <v>0</v>
      </c>
      <c r="J26" s="98">
        <f>'Analytical Data'!K26*Cover!$H$11/Cover!$I$11</f>
        <v>0</v>
      </c>
      <c r="K26" s="98">
        <f>'Analytical Data'!L26*Cover!$H$11/Cover!$I$11</f>
        <v>0</v>
      </c>
      <c r="L26" s="99">
        <f>'Analytical Data'!M26*Cover!$H$11/Cover!$I$11</f>
        <v>0</v>
      </c>
    </row>
    <row r="27" spans="1:12" ht="16.5" x14ac:dyDescent="0.2">
      <c r="A27" s="43">
        <f>'Analytical Data'!A27</f>
        <v>0</v>
      </c>
      <c r="B27" s="33">
        <f>'Analytical Data'!B27</f>
        <v>0</v>
      </c>
      <c r="C27" s="138" t="s">
        <v>100</v>
      </c>
      <c r="D27" s="47"/>
      <c r="E27" s="210">
        <f>'Analytical Data'!F27*Cover!$H$11/Cover!$I$11</f>
        <v>0</v>
      </c>
      <c r="F27" s="98">
        <f>'Analytical Data'!G27*Cover!$H$11/Cover!$I$11</f>
        <v>0</v>
      </c>
      <c r="G27" s="98">
        <f>'Analytical Data'!H27*Cover!$H$11/Cover!$I$11</f>
        <v>0</v>
      </c>
      <c r="H27" s="98">
        <f>'Analytical Data'!I27*Cover!$H$11/Cover!$I$11</f>
        <v>0</v>
      </c>
      <c r="I27" s="98">
        <f>'Analytical Data'!J27*Cover!$H$11/Cover!$I$11</f>
        <v>0</v>
      </c>
      <c r="J27" s="98">
        <f>'Analytical Data'!K27*Cover!$H$11/Cover!$I$11</f>
        <v>0</v>
      </c>
      <c r="K27" s="98">
        <f>'Analytical Data'!L27*Cover!$H$11/Cover!$I$11</f>
        <v>0</v>
      </c>
      <c r="L27" s="99">
        <f>'Analytical Data'!M27*Cover!$H$11/Cover!$I$11</f>
        <v>0</v>
      </c>
    </row>
    <row r="28" spans="1:12" ht="16.5" x14ac:dyDescent="0.2">
      <c r="A28" s="43">
        <f>'Analytical Data'!A28</f>
        <v>0</v>
      </c>
      <c r="B28" s="33">
        <f>'Analytical Data'!B28</f>
        <v>0</v>
      </c>
      <c r="C28" s="138" t="s">
        <v>100</v>
      </c>
      <c r="D28" s="47"/>
      <c r="E28" s="210">
        <f>'Analytical Data'!F28*Cover!$H$11/Cover!$I$11</f>
        <v>0</v>
      </c>
      <c r="F28" s="98">
        <f>'Analytical Data'!G28*Cover!$H$11/Cover!$I$11</f>
        <v>0</v>
      </c>
      <c r="G28" s="98">
        <f>'Analytical Data'!H28*Cover!$H$11/Cover!$I$11</f>
        <v>0</v>
      </c>
      <c r="H28" s="98">
        <f>'Analytical Data'!I28*Cover!$H$11/Cover!$I$11</f>
        <v>0</v>
      </c>
      <c r="I28" s="98">
        <f>'Analytical Data'!J28*Cover!$H$11/Cover!$I$11</f>
        <v>0</v>
      </c>
      <c r="J28" s="98">
        <f>'Analytical Data'!K28*Cover!$H$11/Cover!$I$11</f>
        <v>0</v>
      </c>
      <c r="K28" s="98">
        <f>'Analytical Data'!L28*Cover!$H$11/Cover!$I$11</f>
        <v>0</v>
      </c>
      <c r="L28" s="99">
        <f>'Analytical Data'!M28*Cover!$H$11/Cover!$I$11</f>
        <v>0</v>
      </c>
    </row>
    <row r="29" spans="1:12" ht="16.5" x14ac:dyDescent="0.2">
      <c r="A29" s="43">
        <f>'Analytical Data'!A29</f>
        <v>0</v>
      </c>
      <c r="B29" s="33">
        <f>'Analytical Data'!B29</f>
        <v>0</v>
      </c>
      <c r="C29" s="138" t="s">
        <v>100</v>
      </c>
      <c r="D29" s="47"/>
      <c r="E29" s="210">
        <f>'Analytical Data'!F29*Cover!$H$11/Cover!$I$11</f>
        <v>0</v>
      </c>
      <c r="F29" s="98">
        <f>'Analytical Data'!G29*Cover!$H$11/Cover!$I$11</f>
        <v>0</v>
      </c>
      <c r="G29" s="98">
        <f>'Analytical Data'!H29*Cover!$H$11/Cover!$I$11</f>
        <v>0</v>
      </c>
      <c r="H29" s="98">
        <f>'Analytical Data'!I29*Cover!$H$11/Cover!$I$11</f>
        <v>0</v>
      </c>
      <c r="I29" s="98">
        <f>'Analytical Data'!J29*Cover!$H$11/Cover!$I$11</f>
        <v>0</v>
      </c>
      <c r="J29" s="98">
        <f>'Analytical Data'!K29*Cover!$H$11/Cover!$I$11</f>
        <v>0</v>
      </c>
      <c r="K29" s="98">
        <f>'Analytical Data'!L29*Cover!$H$11/Cover!$I$11</f>
        <v>0</v>
      </c>
      <c r="L29" s="99">
        <f>'Analytical Data'!M29*Cover!$H$11/Cover!$I$11</f>
        <v>0</v>
      </c>
    </row>
    <row r="30" spans="1:12" ht="16.5" x14ac:dyDescent="0.2">
      <c r="A30" s="43">
        <f>'Analytical Data'!A30</f>
        <v>0</v>
      </c>
      <c r="B30" s="33">
        <f>'Analytical Data'!B30</f>
        <v>0</v>
      </c>
      <c r="C30" s="138" t="s">
        <v>100</v>
      </c>
      <c r="D30" s="47"/>
      <c r="E30" s="210">
        <f>'Analytical Data'!F30*Cover!$H$11/Cover!$I$11</f>
        <v>0</v>
      </c>
      <c r="F30" s="98">
        <f>'Analytical Data'!G30*Cover!$H$11/Cover!$I$11</f>
        <v>0</v>
      </c>
      <c r="G30" s="98">
        <f>'Analytical Data'!H30*Cover!$H$11/Cover!$I$11</f>
        <v>0</v>
      </c>
      <c r="H30" s="98">
        <f>'Analytical Data'!I30*Cover!$H$11/Cover!$I$11</f>
        <v>0</v>
      </c>
      <c r="I30" s="98">
        <f>'Analytical Data'!J30*Cover!$H$11/Cover!$I$11</f>
        <v>0</v>
      </c>
      <c r="J30" s="98">
        <f>'Analytical Data'!K30*Cover!$H$11/Cover!$I$11</f>
        <v>0</v>
      </c>
      <c r="K30" s="98">
        <f>'Analytical Data'!L30*Cover!$H$11/Cover!$I$11</f>
        <v>0</v>
      </c>
      <c r="L30" s="99">
        <f>'Analytical Data'!M30*Cover!$H$11/Cover!$I$11</f>
        <v>0</v>
      </c>
    </row>
    <row r="31" spans="1:12" ht="16.5" x14ac:dyDescent="0.2">
      <c r="A31" s="43">
        <f>'Analytical Data'!A31</f>
        <v>0</v>
      </c>
      <c r="B31" s="33">
        <f>'Analytical Data'!B31</f>
        <v>0</v>
      </c>
      <c r="C31" s="138" t="s">
        <v>100</v>
      </c>
      <c r="D31" s="47"/>
      <c r="E31" s="210">
        <f>'Analytical Data'!F31*Cover!$H$11/Cover!$I$11</f>
        <v>0</v>
      </c>
      <c r="F31" s="98">
        <f>'Analytical Data'!G31*Cover!$H$11/Cover!$I$11</f>
        <v>0</v>
      </c>
      <c r="G31" s="98">
        <f>'Analytical Data'!H31*Cover!$H$11/Cover!$I$11</f>
        <v>0</v>
      </c>
      <c r="H31" s="98">
        <f>'Analytical Data'!I31*Cover!$H$11/Cover!$I$11</f>
        <v>0</v>
      </c>
      <c r="I31" s="98">
        <f>'Analytical Data'!J31*Cover!$H$11/Cover!$I$11</f>
        <v>0</v>
      </c>
      <c r="J31" s="98">
        <f>'Analytical Data'!K31*Cover!$H$11/Cover!$I$11</f>
        <v>0</v>
      </c>
      <c r="K31" s="98">
        <f>'Analytical Data'!L31*Cover!$H$11/Cover!$I$11</f>
        <v>0</v>
      </c>
      <c r="L31" s="99">
        <f>'Analytical Data'!M31*Cover!$H$11/Cover!$I$11</f>
        <v>0</v>
      </c>
    </row>
    <row r="32" spans="1:12" ht="16.5" x14ac:dyDescent="0.2">
      <c r="A32" s="43">
        <f>'Analytical Data'!A32</f>
        <v>0</v>
      </c>
      <c r="B32" s="33">
        <f>'Analytical Data'!B32</f>
        <v>0</v>
      </c>
      <c r="C32" s="138" t="s">
        <v>100</v>
      </c>
      <c r="D32" s="47"/>
      <c r="E32" s="210">
        <f>'Analytical Data'!F32*Cover!$H$11/Cover!$I$11</f>
        <v>0</v>
      </c>
      <c r="F32" s="98">
        <f>'Analytical Data'!G32*Cover!$H$11/Cover!$I$11</f>
        <v>0</v>
      </c>
      <c r="G32" s="98">
        <f>'Analytical Data'!H32*Cover!$H$11/Cover!$I$11</f>
        <v>0</v>
      </c>
      <c r="H32" s="98">
        <f>'Analytical Data'!I32*Cover!$H$11/Cover!$I$11</f>
        <v>0</v>
      </c>
      <c r="I32" s="98">
        <f>'Analytical Data'!J32*Cover!$H$11/Cover!$I$11</f>
        <v>0</v>
      </c>
      <c r="J32" s="98">
        <f>'Analytical Data'!K32*Cover!$H$11/Cover!$I$11</f>
        <v>0</v>
      </c>
      <c r="K32" s="98">
        <f>'Analytical Data'!L32*Cover!$H$11/Cover!$I$11</f>
        <v>0</v>
      </c>
      <c r="L32" s="99">
        <f>'Analytical Data'!M32*Cover!$H$11/Cover!$I$11</f>
        <v>0</v>
      </c>
    </row>
    <row r="33" spans="1:12" ht="16.5" x14ac:dyDescent="0.2">
      <c r="A33" s="43">
        <f>'Analytical Data'!A33</f>
        <v>0</v>
      </c>
      <c r="B33" s="33">
        <f>'Analytical Data'!B33</f>
        <v>0</v>
      </c>
      <c r="C33" s="138" t="s">
        <v>100</v>
      </c>
      <c r="D33" s="47"/>
      <c r="E33" s="210">
        <f>'Analytical Data'!F33*Cover!$H$11/Cover!$I$11</f>
        <v>0</v>
      </c>
      <c r="F33" s="98">
        <f>'Analytical Data'!G33*Cover!$H$11/Cover!$I$11</f>
        <v>0</v>
      </c>
      <c r="G33" s="98">
        <f>'Analytical Data'!H33*Cover!$H$11/Cover!$I$11</f>
        <v>0</v>
      </c>
      <c r="H33" s="98">
        <f>'Analytical Data'!I33*Cover!$H$11/Cover!$I$11</f>
        <v>0</v>
      </c>
      <c r="I33" s="98">
        <f>'Analytical Data'!J33*Cover!$H$11/Cover!$I$11</f>
        <v>0</v>
      </c>
      <c r="J33" s="98">
        <f>'Analytical Data'!K33*Cover!$H$11/Cover!$I$11</f>
        <v>0</v>
      </c>
      <c r="K33" s="98">
        <f>'Analytical Data'!L33*Cover!$H$11/Cover!$I$11</f>
        <v>0</v>
      </c>
      <c r="L33" s="99">
        <f>'Analytical Data'!M33*Cover!$H$11/Cover!$I$11</f>
        <v>0</v>
      </c>
    </row>
    <row r="34" spans="1:12" ht="16.5" x14ac:dyDescent="0.2">
      <c r="A34" s="43">
        <f>'Analytical Data'!A34</f>
        <v>0</v>
      </c>
      <c r="B34" s="33">
        <f>'Analytical Data'!B34</f>
        <v>0</v>
      </c>
      <c r="C34" s="138" t="s">
        <v>100</v>
      </c>
      <c r="D34" s="47"/>
      <c r="E34" s="210">
        <f>'Analytical Data'!F34*Cover!$H$11/Cover!$I$11</f>
        <v>0</v>
      </c>
      <c r="F34" s="98">
        <f>'Analytical Data'!G34*Cover!$H$11/Cover!$I$11</f>
        <v>0</v>
      </c>
      <c r="G34" s="98">
        <f>'Analytical Data'!H34*Cover!$H$11/Cover!$I$11</f>
        <v>0</v>
      </c>
      <c r="H34" s="98">
        <f>'Analytical Data'!I34*Cover!$H$11/Cover!$I$11</f>
        <v>0</v>
      </c>
      <c r="I34" s="98">
        <f>'Analytical Data'!J34*Cover!$H$11/Cover!$I$11</f>
        <v>0</v>
      </c>
      <c r="J34" s="98">
        <f>'Analytical Data'!K34*Cover!$H$11/Cover!$I$11</f>
        <v>0</v>
      </c>
      <c r="K34" s="98">
        <f>'Analytical Data'!L34*Cover!$H$11/Cover!$I$11</f>
        <v>0</v>
      </c>
      <c r="L34" s="99">
        <f>'Analytical Data'!M34*Cover!$H$11/Cover!$I$11</f>
        <v>0</v>
      </c>
    </row>
    <row r="35" spans="1:12" ht="16.5" x14ac:dyDescent="0.2">
      <c r="A35" s="43">
        <f>'Analytical Data'!A35</f>
        <v>0</v>
      </c>
      <c r="B35" s="33">
        <f>'Analytical Data'!B35</f>
        <v>0</v>
      </c>
      <c r="C35" s="138" t="s">
        <v>100</v>
      </c>
      <c r="D35" s="47"/>
      <c r="E35" s="210">
        <f>'Analytical Data'!F35*Cover!$H$11/Cover!$I$11</f>
        <v>0</v>
      </c>
      <c r="F35" s="98">
        <f>'Analytical Data'!G35*Cover!$H$11/Cover!$I$11</f>
        <v>0</v>
      </c>
      <c r="G35" s="98">
        <f>'Analytical Data'!H35*Cover!$H$11/Cover!$I$11</f>
        <v>0</v>
      </c>
      <c r="H35" s="98">
        <f>'Analytical Data'!I35*Cover!$H$11/Cover!$I$11</f>
        <v>0</v>
      </c>
      <c r="I35" s="98">
        <f>'Analytical Data'!J35*Cover!$H$11/Cover!$I$11</f>
        <v>0</v>
      </c>
      <c r="J35" s="98">
        <f>'Analytical Data'!K35*Cover!$H$11/Cover!$I$11</f>
        <v>0</v>
      </c>
      <c r="K35" s="98">
        <f>'Analytical Data'!L35*Cover!$H$11/Cover!$I$11</f>
        <v>0</v>
      </c>
      <c r="L35" s="99">
        <f>'Analytical Data'!M35*Cover!$H$11/Cover!$I$11</f>
        <v>0</v>
      </c>
    </row>
    <row r="36" spans="1:12" ht="16.5" x14ac:dyDescent="0.2">
      <c r="A36" s="43">
        <f>'Analytical Data'!A36</f>
        <v>0</v>
      </c>
      <c r="B36" s="33">
        <f>'Analytical Data'!B36</f>
        <v>0</v>
      </c>
      <c r="C36" s="138" t="s">
        <v>100</v>
      </c>
      <c r="D36" s="47"/>
      <c r="E36" s="210">
        <f>'Analytical Data'!F36*Cover!$H$11/Cover!$I$11</f>
        <v>0</v>
      </c>
      <c r="F36" s="98">
        <f>'Analytical Data'!G36*Cover!$H$11/Cover!$I$11</f>
        <v>0</v>
      </c>
      <c r="G36" s="98">
        <f>'Analytical Data'!H36*Cover!$H$11/Cover!$I$11</f>
        <v>0</v>
      </c>
      <c r="H36" s="98">
        <f>'Analytical Data'!I36*Cover!$H$11/Cover!$I$11</f>
        <v>0</v>
      </c>
      <c r="I36" s="98">
        <f>'Analytical Data'!J36*Cover!$H$11/Cover!$I$11</f>
        <v>0</v>
      </c>
      <c r="J36" s="98">
        <f>'Analytical Data'!K36*Cover!$H$11/Cover!$I$11</f>
        <v>0</v>
      </c>
      <c r="K36" s="98">
        <f>'Analytical Data'!L36*Cover!$H$11/Cover!$I$11</f>
        <v>0</v>
      </c>
      <c r="L36" s="99">
        <f>'Analytical Data'!M36*Cover!$H$11/Cover!$I$11</f>
        <v>0</v>
      </c>
    </row>
    <row r="37" spans="1:12" ht="16.5" x14ac:dyDescent="0.2">
      <c r="A37" s="43">
        <f>'Analytical Data'!A37</f>
        <v>0</v>
      </c>
      <c r="B37" s="33">
        <f>'Analytical Data'!B37</f>
        <v>0</v>
      </c>
      <c r="C37" s="138" t="s">
        <v>100</v>
      </c>
      <c r="D37" s="47"/>
      <c r="E37" s="210">
        <f>'Analytical Data'!F37*Cover!$H$11/Cover!$I$11</f>
        <v>0</v>
      </c>
      <c r="F37" s="98">
        <f>'Analytical Data'!G37*Cover!$H$11/Cover!$I$11</f>
        <v>0</v>
      </c>
      <c r="G37" s="98">
        <f>'Analytical Data'!H37*Cover!$H$11/Cover!$I$11</f>
        <v>0</v>
      </c>
      <c r="H37" s="98">
        <f>'Analytical Data'!I37*Cover!$H$11/Cover!$I$11</f>
        <v>0</v>
      </c>
      <c r="I37" s="98">
        <f>'Analytical Data'!J37*Cover!$H$11/Cover!$I$11</f>
        <v>0</v>
      </c>
      <c r="J37" s="98">
        <f>'Analytical Data'!K37*Cover!$H$11/Cover!$I$11</f>
        <v>0</v>
      </c>
      <c r="K37" s="98">
        <f>'Analytical Data'!L37*Cover!$H$11/Cover!$I$11</f>
        <v>0</v>
      </c>
      <c r="L37" s="99">
        <f>'Analytical Data'!M37*Cover!$H$11/Cover!$I$11</f>
        <v>0</v>
      </c>
    </row>
    <row r="38" spans="1:12" ht="16.5" x14ac:dyDescent="0.2">
      <c r="A38" s="43">
        <f>'Analytical Data'!A38</f>
        <v>0</v>
      </c>
      <c r="B38" s="33">
        <f>'Analytical Data'!B38</f>
        <v>0</v>
      </c>
      <c r="C38" s="138" t="s">
        <v>100</v>
      </c>
      <c r="D38" s="47"/>
      <c r="E38" s="210">
        <f>'Analytical Data'!F38*Cover!$H$11/Cover!$I$11</f>
        <v>0</v>
      </c>
      <c r="F38" s="98">
        <f>'Analytical Data'!G38*Cover!$H$11/Cover!$I$11</f>
        <v>0</v>
      </c>
      <c r="G38" s="98">
        <f>'Analytical Data'!H38*Cover!$H$11/Cover!$I$11</f>
        <v>0</v>
      </c>
      <c r="H38" s="98">
        <f>'Analytical Data'!I38*Cover!$H$11/Cover!$I$11</f>
        <v>0</v>
      </c>
      <c r="I38" s="98">
        <f>'Analytical Data'!J38*Cover!$H$11/Cover!$I$11</f>
        <v>0</v>
      </c>
      <c r="J38" s="98">
        <f>'Analytical Data'!K38*Cover!$H$11/Cover!$I$11</f>
        <v>0</v>
      </c>
      <c r="K38" s="98">
        <f>'Analytical Data'!L38*Cover!$H$11/Cover!$I$11</f>
        <v>0</v>
      </c>
      <c r="L38" s="99">
        <f>'Analytical Data'!M38*Cover!$H$11/Cover!$I$11</f>
        <v>0</v>
      </c>
    </row>
    <row r="39" spans="1:12" ht="16.5" x14ac:dyDescent="0.2">
      <c r="A39" s="43">
        <f>'Analytical Data'!A39</f>
        <v>0</v>
      </c>
      <c r="B39" s="33">
        <f>'Analytical Data'!B39</f>
        <v>0</v>
      </c>
      <c r="C39" s="138" t="s">
        <v>100</v>
      </c>
      <c r="D39" s="47"/>
      <c r="E39" s="210">
        <f>'Analytical Data'!F39*Cover!$H$11/Cover!$I$11</f>
        <v>0</v>
      </c>
      <c r="F39" s="98">
        <f>'Analytical Data'!G39*Cover!$H$11/Cover!$I$11</f>
        <v>0</v>
      </c>
      <c r="G39" s="98">
        <f>'Analytical Data'!H39*Cover!$H$11/Cover!$I$11</f>
        <v>0</v>
      </c>
      <c r="H39" s="98">
        <f>'Analytical Data'!I39*Cover!$H$11/Cover!$I$11</f>
        <v>0</v>
      </c>
      <c r="I39" s="98">
        <f>'Analytical Data'!J39*Cover!$H$11/Cover!$I$11</f>
        <v>0</v>
      </c>
      <c r="J39" s="98">
        <f>'Analytical Data'!K39*Cover!$H$11/Cover!$I$11</f>
        <v>0</v>
      </c>
      <c r="K39" s="98">
        <f>'Analytical Data'!L39*Cover!$H$11/Cover!$I$11</f>
        <v>0</v>
      </c>
      <c r="L39" s="99">
        <f>'Analytical Data'!M39*Cover!$H$11/Cover!$I$11</f>
        <v>0</v>
      </c>
    </row>
    <row r="40" spans="1:12" ht="16.5" x14ac:dyDescent="0.2">
      <c r="A40" s="43">
        <f>'Analytical Data'!A40</f>
        <v>0</v>
      </c>
      <c r="B40" s="33">
        <f>'Analytical Data'!B40</f>
        <v>0</v>
      </c>
      <c r="C40" s="138" t="s">
        <v>100</v>
      </c>
      <c r="D40" s="47"/>
      <c r="E40" s="210">
        <f>'Analytical Data'!F40*Cover!$H$11/Cover!$I$11</f>
        <v>0</v>
      </c>
      <c r="F40" s="98">
        <f>'Analytical Data'!G40*Cover!$H$11/Cover!$I$11</f>
        <v>0</v>
      </c>
      <c r="G40" s="98">
        <f>'Analytical Data'!H40*Cover!$H$11/Cover!$I$11</f>
        <v>0</v>
      </c>
      <c r="H40" s="98">
        <f>'Analytical Data'!I40*Cover!$H$11/Cover!$I$11</f>
        <v>0</v>
      </c>
      <c r="I40" s="98">
        <f>'Analytical Data'!J40*Cover!$H$11/Cover!$I$11</f>
        <v>0</v>
      </c>
      <c r="J40" s="98">
        <f>'Analytical Data'!K40*Cover!$H$11/Cover!$I$11</f>
        <v>0</v>
      </c>
      <c r="K40" s="98">
        <f>'Analytical Data'!L40*Cover!$H$11/Cover!$I$11</f>
        <v>0</v>
      </c>
      <c r="L40" s="99">
        <f>'Analytical Data'!M40*Cover!$H$11/Cover!$I$11</f>
        <v>0</v>
      </c>
    </row>
    <row r="41" spans="1:12" ht="16.5" x14ac:dyDescent="0.2">
      <c r="A41" s="43">
        <f>'Analytical Data'!A41</f>
        <v>0</v>
      </c>
      <c r="B41" s="33">
        <f>'Analytical Data'!B41</f>
        <v>0</v>
      </c>
      <c r="C41" s="138" t="s">
        <v>100</v>
      </c>
      <c r="D41" s="47"/>
      <c r="E41" s="210">
        <f>'Analytical Data'!F41*Cover!$H$11/Cover!$I$11</f>
        <v>0</v>
      </c>
      <c r="F41" s="98">
        <f>'Analytical Data'!G41*Cover!$H$11/Cover!$I$11</f>
        <v>0</v>
      </c>
      <c r="G41" s="98">
        <f>'Analytical Data'!H41*Cover!$H$11/Cover!$I$11</f>
        <v>0</v>
      </c>
      <c r="H41" s="98">
        <f>'Analytical Data'!I41*Cover!$H$11/Cover!$I$11</f>
        <v>0</v>
      </c>
      <c r="I41" s="98">
        <f>'Analytical Data'!J41*Cover!$H$11/Cover!$I$11</f>
        <v>0</v>
      </c>
      <c r="J41" s="98">
        <f>'Analytical Data'!K41*Cover!$H$11/Cover!$I$11</f>
        <v>0</v>
      </c>
      <c r="K41" s="98">
        <f>'Analytical Data'!L41*Cover!$H$11/Cover!$I$11</f>
        <v>0</v>
      </c>
      <c r="L41" s="99">
        <f>'Analytical Data'!M41*Cover!$H$11/Cover!$I$11</f>
        <v>0</v>
      </c>
    </row>
    <row r="42" spans="1:12" ht="16.5" x14ac:dyDescent="0.2">
      <c r="A42" s="43">
        <f>'Analytical Data'!A42</f>
        <v>0</v>
      </c>
      <c r="B42" s="33">
        <f>'Analytical Data'!B42</f>
        <v>0</v>
      </c>
      <c r="C42" s="138" t="s">
        <v>100</v>
      </c>
      <c r="D42" s="47"/>
      <c r="E42" s="210">
        <f>'Analytical Data'!F42*Cover!$H$11/Cover!$I$11</f>
        <v>0</v>
      </c>
      <c r="F42" s="98">
        <f>'Analytical Data'!G42*Cover!$H$11/Cover!$I$11</f>
        <v>0</v>
      </c>
      <c r="G42" s="98">
        <f>'Analytical Data'!H42*Cover!$H$11/Cover!$I$11</f>
        <v>0</v>
      </c>
      <c r="H42" s="98">
        <f>'Analytical Data'!I42*Cover!$H$11/Cover!$I$11</f>
        <v>0</v>
      </c>
      <c r="I42" s="98">
        <f>'Analytical Data'!J42*Cover!$H$11/Cover!$I$11</f>
        <v>0</v>
      </c>
      <c r="J42" s="98">
        <f>'Analytical Data'!K42*Cover!$H$11/Cover!$I$11</f>
        <v>0</v>
      </c>
      <c r="K42" s="98">
        <f>'Analytical Data'!L42*Cover!$H$11/Cover!$I$11</f>
        <v>0</v>
      </c>
      <c r="L42" s="99">
        <f>'Analytical Data'!M42*Cover!$H$11/Cover!$I$11</f>
        <v>0</v>
      </c>
    </row>
    <row r="43" spans="1:12" ht="16.5" x14ac:dyDescent="0.2">
      <c r="A43" s="43">
        <f>'Analytical Data'!A43</f>
        <v>0</v>
      </c>
      <c r="B43" s="33">
        <f>'Analytical Data'!B43</f>
        <v>0</v>
      </c>
      <c r="C43" s="138" t="s">
        <v>100</v>
      </c>
      <c r="D43" s="47"/>
      <c r="E43" s="210">
        <f>'Analytical Data'!F43*Cover!$H$11/Cover!$I$11</f>
        <v>0</v>
      </c>
      <c r="F43" s="98">
        <f>'Analytical Data'!G43*Cover!$H$11/Cover!$I$11</f>
        <v>0</v>
      </c>
      <c r="G43" s="98">
        <f>'Analytical Data'!H43*Cover!$H$11/Cover!$I$11</f>
        <v>0</v>
      </c>
      <c r="H43" s="98">
        <f>'Analytical Data'!I43*Cover!$H$11/Cover!$I$11</f>
        <v>0</v>
      </c>
      <c r="I43" s="98">
        <f>'Analytical Data'!J43*Cover!$H$11/Cover!$I$11</f>
        <v>0</v>
      </c>
      <c r="J43" s="98">
        <f>'Analytical Data'!K43*Cover!$H$11/Cover!$I$11</f>
        <v>0</v>
      </c>
      <c r="K43" s="98">
        <f>'Analytical Data'!L43*Cover!$H$11/Cover!$I$11</f>
        <v>0</v>
      </c>
      <c r="L43" s="99">
        <f>'Analytical Data'!M43*Cover!$H$11/Cover!$I$11</f>
        <v>0</v>
      </c>
    </row>
    <row r="44" spans="1:12" ht="16.5" x14ac:dyDescent="0.2">
      <c r="A44" s="43">
        <f>'Analytical Data'!A44</f>
        <v>0</v>
      </c>
      <c r="B44" s="33">
        <f>'Analytical Data'!B44</f>
        <v>0</v>
      </c>
      <c r="C44" s="138" t="s">
        <v>100</v>
      </c>
      <c r="D44" s="47"/>
      <c r="E44" s="210">
        <f>'Analytical Data'!F44*Cover!$H$11/Cover!$I$11</f>
        <v>0</v>
      </c>
      <c r="F44" s="98">
        <f>'Analytical Data'!G44*Cover!$H$11/Cover!$I$11</f>
        <v>0</v>
      </c>
      <c r="G44" s="98">
        <f>'Analytical Data'!H44*Cover!$H$11/Cover!$I$11</f>
        <v>0</v>
      </c>
      <c r="H44" s="98">
        <f>'Analytical Data'!I44*Cover!$H$11/Cover!$I$11</f>
        <v>0</v>
      </c>
      <c r="I44" s="98">
        <f>'Analytical Data'!J44*Cover!$H$11/Cover!$I$11</f>
        <v>0</v>
      </c>
      <c r="J44" s="98">
        <f>'Analytical Data'!K44*Cover!$H$11/Cover!$I$11</f>
        <v>0</v>
      </c>
      <c r="K44" s="98">
        <f>'Analytical Data'!L44*Cover!$H$11/Cover!$I$11</f>
        <v>0</v>
      </c>
      <c r="L44" s="99">
        <f>'Analytical Data'!M44*Cover!$H$11/Cover!$I$11</f>
        <v>0</v>
      </c>
    </row>
    <row r="45" spans="1:12" ht="16.5" x14ac:dyDescent="0.2">
      <c r="A45" s="43">
        <f>'Analytical Data'!A45</f>
        <v>0</v>
      </c>
      <c r="B45" s="33">
        <f>'Analytical Data'!B45</f>
        <v>0</v>
      </c>
      <c r="C45" s="138" t="s">
        <v>100</v>
      </c>
      <c r="D45" s="47"/>
      <c r="E45" s="210">
        <f>'Analytical Data'!F45*Cover!$H$11/Cover!$I$11</f>
        <v>0</v>
      </c>
      <c r="F45" s="98">
        <f>'Analytical Data'!G45*Cover!$H$11/Cover!$I$11</f>
        <v>0</v>
      </c>
      <c r="G45" s="98">
        <f>'Analytical Data'!H45*Cover!$H$11/Cover!$I$11</f>
        <v>0</v>
      </c>
      <c r="H45" s="98">
        <f>'Analytical Data'!I45*Cover!$H$11/Cover!$I$11</f>
        <v>0</v>
      </c>
      <c r="I45" s="98">
        <f>'Analytical Data'!J45*Cover!$H$11/Cover!$I$11</f>
        <v>0</v>
      </c>
      <c r="J45" s="98">
        <f>'Analytical Data'!K45*Cover!$H$11/Cover!$I$11</f>
        <v>0</v>
      </c>
      <c r="K45" s="98">
        <f>'Analytical Data'!L45*Cover!$H$11/Cover!$I$11</f>
        <v>0</v>
      </c>
      <c r="L45" s="99">
        <f>'Analytical Data'!M45*Cover!$H$11/Cover!$I$11</f>
        <v>0</v>
      </c>
    </row>
    <row r="46" spans="1:12" ht="16.5" x14ac:dyDescent="0.2">
      <c r="A46" s="43">
        <f>'Analytical Data'!A46</f>
        <v>0</v>
      </c>
      <c r="B46" s="33">
        <f>'Analytical Data'!B46</f>
        <v>0</v>
      </c>
      <c r="C46" s="138" t="s">
        <v>100</v>
      </c>
      <c r="D46" s="47"/>
      <c r="E46" s="210">
        <f>'Analytical Data'!F46*Cover!$H$11/Cover!$I$11</f>
        <v>0</v>
      </c>
      <c r="F46" s="98">
        <f>'Analytical Data'!G46*Cover!$H$11/Cover!$I$11</f>
        <v>0</v>
      </c>
      <c r="G46" s="98">
        <f>'Analytical Data'!H46*Cover!$H$11/Cover!$I$11</f>
        <v>0</v>
      </c>
      <c r="H46" s="98">
        <f>'Analytical Data'!I46*Cover!$H$11/Cover!$I$11</f>
        <v>0</v>
      </c>
      <c r="I46" s="98">
        <f>'Analytical Data'!J46*Cover!$H$11/Cover!$I$11</f>
        <v>0</v>
      </c>
      <c r="J46" s="98">
        <f>'Analytical Data'!K46*Cover!$H$11/Cover!$I$11</f>
        <v>0</v>
      </c>
      <c r="K46" s="98">
        <f>'Analytical Data'!L46*Cover!$H$11/Cover!$I$11</f>
        <v>0</v>
      </c>
      <c r="L46" s="99">
        <f>'Analytical Data'!M46*Cover!$H$11/Cover!$I$11</f>
        <v>0</v>
      </c>
    </row>
    <row r="47" spans="1:12" ht="16.5" x14ac:dyDescent="0.2">
      <c r="A47" s="43">
        <f>'Analytical Data'!A47</f>
        <v>0</v>
      </c>
      <c r="B47" s="33">
        <f>'Analytical Data'!B47</f>
        <v>0</v>
      </c>
      <c r="C47" s="138" t="s">
        <v>100</v>
      </c>
      <c r="D47" s="47"/>
      <c r="E47" s="210">
        <f>'Analytical Data'!F47*Cover!$H$11/Cover!$I$11</f>
        <v>0</v>
      </c>
      <c r="F47" s="98">
        <f>'Analytical Data'!G47*Cover!$H$11/Cover!$I$11</f>
        <v>0</v>
      </c>
      <c r="G47" s="98">
        <f>'Analytical Data'!H47*Cover!$H$11/Cover!$I$11</f>
        <v>0</v>
      </c>
      <c r="H47" s="98">
        <f>'Analytical Data'!I47*Cover!$H$11/Cover!$I$11</f>
        <v>0</v>
      </c>
      <c r="I47" s="98">
        <f>'Analytical Data'!J47*Cover!$H$11/Cover!$I$11</f>
        <v>0</v>
      </c>
      <c r="J47" s="98">
        <f>'Analytical Data'!K47*Cover!$H$11/Cover!$I$11</f>
        <v>0</v>
      </c>
      <c r="K47" s="98">
        <f>'Analytical Data'!L47*Cover!$H$11/Cover!$I$11</f>
        <v>0</v>
      </c>
      <c r="L47" s="99">
        <f>'Analytical Data'!M47*Cover!$H$11/Cover!$I$11</f>
        <v>0</v>
      </c>
    </row>
    <row r="48" spans="1:12" ht="16.5" x14ac:dyDescent="0.2">
      <c r="A48" s="43">
        <f>'Analytical Data'!A48</f>
        <v>0</v>
      </c>
      <c r="B48" s="33">
        <f>'Analytical Data'!B48</f>
        <v>0</v>
      </c>
      <c r="C48" s="138" t="s">
        <v>100</v>
      </c>
      <c r="D48" s="47"/>
      <c r="E48" s="210">
        <f>'Analytical Data'!F48*Cover!$H$11/Cover!$I$11</f>
        <v>0</v>
      </c>
      <c r="F48" s="98">
        <f>'Analytical Data'!G48*Cover!$H$11/Cover!$I$11</f>
        <v>0</v>
      </c>
      <c r="G48" s="98">
        <f>'Analytical Data'!H48*Cover!$H$11/Cover!$I$11</f>
        <v>0</v>
      </c>
      <c r="H48" s="98">
        <f>'Analytical Data'!I48*Cover!$H$11/Cover!$I$11</f>
        <v>0</v>
      </c>
      <c r="I48" s="98">
        <f>'Analytical Data'!J48*Cover!$H$11/Cover!$I$11</f>
        <v>0</v>
      </c>
      <c r="J48" s="98">
        <f>'Analytical Data'!K48*Cover!$H$11/Cover!$I$11</f>
        <v>0</v>
      </c>
      <c r="K48" s="98">
        <f>'Analytical Data'!L48*Cover!$H$11/Cover!$I$11</f>
        <v>0</v>
      </c>
      <c r="L48" s="99">
        <f>'Analytical Data'!M48*Cover!$H$11/Cover!$I$11</f>
        <v>0</v>
      </c>
    </row>
    <row r="49" spans="1:12" ht="16.5" x14ac:dyDescent="0.2">
      <c r="A49" s="43">
        <f>'Analytical Data'!A49</f>
        <v>0</v>
      </c>
      <c r="B49" s="33">
        <f>'Analytical Data'!B49</f>
        <v>0</v>
      </c>
      <c r="C49" s="138" t="s">
        <v>100</v>
      </c>
      <c r="D49" s="47"/>
      <c r="E49" s="210">
        <f>'Analytical Data'!F49*Cover!$H$11/Cover!$I$11</f>
        <v>0</v>
      </c>
      <c r="F49" s="98">
        <f>'Analytical Data'!G49*Cover!$H$11/Cover!$I$11</f>
        <v>0</v>
      </c>
      <c r="G49" s="98">
        <f>'Analytical Data'!H49*Cover!$H$11/Cover!$I$11</f>
        <v>0</v>
      </c>
      <c r="H49" s="98">
        <f>'Analytical Data'!I49*Cover!$H$11/Cover!$I$11</f>
        <v>0</v>
      </c>
      <c r="I49" s="98">
        <f>'Analytical Data'!J49*Cover!$H$11/Cover!$I$11</f>
        <v>0</v>
      </c>
      <c r="J49" s="98">
        <f>'Analytical Data'!K49*Cover!$H$11/Cover!$I$11</f>
        <v>0</v>
      </c>
      <c r="K49" s="98">
        <f>'Analytical Data'!L49*Cover!$H$11/Cover!$I$11</f>
        <v>0</v>
      </c>
      <c r="L49" s="99">
        <f>'Analytical Data'!M49*Cover!$H$11/Cover!$I$11</f>
        <v>0</v>
      </c>
    </row>
    <row r="50" spans="1:12" ht="16.5" x14ac:dyDescent="0.2">
      <c r="A50" s="43">
        <f>'Analytical Data'!A50</f>
        <v>0</v>
      </c>
      <c r="B50" s="33">
        <f>'Analytical Data'!B50</f>
        <v>0</v>
      </c>
      <c r="C50" s="138" t="s">
        <v>100</v>
      </c>
      <c r="D50" s="47"/>
      <c r="E50" s="210">
        <f>'Analytical Data'!F50*Cover!$H$11/Cover!$I$11</f>
        <v>0</v>
      </c>
      <c r="F50" s="98">
        <f>'Analytical Data'!G50*Cover!$H$11/Cover!$I$11</f>
        <v>0</v>
      </c>
      <c r="G50" s="98">
        <f>'Analytical Data'!H50*Cover!$H$11/Cover!$I$11</f>
        <v>0</v>
      </c>
      <c r="H50" s="98">
        <f>'Analytical Data'!I50*Cover!$H$11/Cover!$I$11</f>
        <v>0</v>
      </c>
      <c r="I50" s="98">
        <f>'Analytical Data'!J50*Cover!$H$11/Cover!$I$11</f>
        <v>0</v>
      </c>
      <c r="J50" s="98">
        <f>'Analytical Data'!K50*Cover!$H$11/Cover!$I$11</f>
        <v>0</v>
      </c>
      <c r="K50" s="98">
        <f>'Analytical Data'!L50*Cover!$H$11/Cover!$I$11</f>
        <v>0</v>
      </c>
      <c r="L50" s="99">
        <f>'Analytical Data'!M50*Cover!$H$11/Cover!$I$11</f>
        <v>0</v>
      </c>
    </row>
    <row r="51" spans="1:12" ht="16.5" x14ac:dyDescent="0.2">
      <c r="A51" s="43">
        <f>'Analytical Data'!A51</f>
        <v>0</v>
      </c>
      <c r="B51" s="33">
        <f>'Analytical Data'!B51</f>
        <v>0</v>
      </c>
      <c r="C51" s="138" t="s">
        <v>100</v>
      </c>
      <c r="D51" s="47"/>
      <c r="E51" s="210">
        <f>'Analytical Data'!F51*Cover!$H$11/Cover!$I$11</f>
        <v>0</v>
      </c>
      <c r="F51" s="98">
        <f>'Analytical Data'!G51*Cover!$H$11/Cover!$I$11</f>
        <v>0</v>
      </c>
      <c r="G51" s="98">
        <f>'Analytical Data'!H51*Cover!$H$11/Cover!$I$11</f>
        <v>0</v>
      </c>
      <c r="H51" s="98">
        <f>'Analytical Data'!I51*Cover!$H$11/Cover!$I$11</f>
        <v>0</v>
      </c>
      <c r="I51" s="98">
        <f>'Analytical Data'!J51*Cover!$H$11/Cover!$I$11</f>
        <v>0</v>
      </c>
      <c r="J51" s="98">
        <f>'Analytical Data'!K51*Cover!$H$11/Cover!$I$11</f>
        <v>0</v>
      </c>
      <c r="K51" s="98">
        <f>'Analytical Data'!L51*Cover!$H$11/Cover!$I$11</f>
        <v>0</v>
      </c>
      <c r="L51" s="99">
        <f>'Analytical Data'!M51*Cover!$H$11/Cover!$I$11</f>
        <v>0</v>
      </c>
    </row>
    <row r="52" spans="1:12" ht="16.5" x14ac:dyDescent="0.2">
      <c r="A52" s="43">
        <f>'Analytical Data'!A52</f>
        <v>0</v>
      </c>
      <c r="B52" s="33">
        <f>'Analytical Data'!B52</f>
        <v>0</v>
      </c>
      <c r="C52" s="138" t="s">
        <v>100</v>
      </c>
      <c r="D52" s="47"/>
      <c r="E52" s="210">
        <f>'Analytical Data'!F52*Cover!$H$11/Cover!$I$11</f>
        <v>0</v>
      </c>
      <c r="F52" s="98">
        <f>'Analytical Data'!G52*Cover!$H$11/Cover!$I$11</f>
        <v>0</v>
      </c>
      <c r="G52" s="98">
        <f>'Analytical Data'!H52*Cover!$H$11/Cover!$I$11</f>
        <v>0</v>
      </c>
      <c r="H52" s="98">
        <f>'Analytical Data'!I52*Cover!$H$11/Cover!$I$11</f>
        <v>0</v>
      </c>
      <c r="I52" s="98">
        <f>'Analytical Data'!J52*Cover!$H$11/Cover!$I$11</f>
        <v>0</v>
      </c>
      <c r="J52" s="98">
        <f>'Analytical Data'!K52*Cover!$H$11/Cover!$I$11</f>
        <v>0</v>
      </c>
      <c r="K52" s="98">
        <f>'Analytical Data'!L52*Cover!$H$11/Cover!$I$11</f>
        <v>0</v>
      </c>
      <c r="L52" s="99">
        <f>'Analytical Data'!M52*Cover!$H$11/Cover!$I$11</f>
        <v>0</v>
      </c>
    </row>
    <row r="53" spans="1:12" ht="16.5" x14ac:dyDescent="0.2">
      <c r="A53" s="43">
        <f>'Analytical Data'!A53</f>
        <v>0</v>
      </c>
      <c r="B53" s="33">
        <f>'Analytical Data'!B53</f>
        <v>0</v>
      </c>
      <c r="C53" s="138" t="s">
        <v>100</v>
      </c>
      <c r="D53" s="47"/>
      <c r="E53" s="210">
        <f>'Analytical Data'!F53*Cover!$H$11/Cover!$I$11</f>
        <v>0</v>
      </c>
      <c r="F53" s="98">
        <f>'Analytical Data'!G53*Cover!$H$11/Cover!$I$11</f>
        <v>0</v>
      </c>
      <c r="G53" s="98">
        <f>'Analytical Data'!H53*Cover!$H$11/Cover!$I$11</f>
        <v>0</v>
      </c>
      <c r="H53" s="98">
        <f>'Analytical Data'!I53*Cover!$H$11/Cover!$I$11</f>
        <v>0</v>
      </c>
      <c r="I53" s="98">
        <f>'Analytical Data'!J53*Cover!$H$11/Cover!$I$11</f>
        <v>0</v>
      </c>
      <c r="J53" s="98">
        <f>'Analytical Data'!K53*Cover!$H$11/Cover!$I$11</f>
        <v>0</v>
      </c>
      <c r="K53" s="98">
        <f>'Analytical Data'!L53*Cover!$H$11/Cover!$I$11</f>
        <v>0</v>
      </c>
      <c r="L53" s="99">
        <f>'Analytical Data'!M53*Cover!$H$11/Cover!$I$11</f>
        <v>0</v>
      </c>
    </row>
    <row r="54" spans="1:12" ht="16.5" x14ac:dyDescent="0.2">
      <c r="A54" s="43">
        <f>'Analytical Data'!A54</f>
        <v>0</v>
      </c>
      <c r="B54" s="33">
        <f>'Analytical Data'!B54</f>
        <v>0</v>
      </c>
      <c r="C54" s="138" t="s">
        <v>100</v>
      </c>
      <c r="D54" s="47"/>
      <c r="E54" s="210">
        <f>'Analytical Data'!F54*Cover!$H$11/Cover!$I$11</f>
        <v>0</v>
      </c>
      <c r="F54" s="98">
        <f>'Analytical Data'!G54*Cover!$H$11/Cover!$I$11</f>
        <v>0</v>
      </c>
      <c r="G54" s="98">
        <f>'Analytical Data'!H54*Cover!$H$11/Cover!$I$11</f>
        <v>0</v>
      </c>
      <c r="H54" s="98">
        <f>'Analytical Data'!I54*Cover!$H$11/Cover!$I$11</f>
        <v>0</v>
      </c>
      <c r="I54" s="98">
        <f>'Analytical Data'!J54*Cover!$H$11/Cover!$I$11</f>
        <v>0</v>
      </c>
      <c r="J54" s="98">
        <f>'Analytical Data'!K54*Cover!$H$11/Cover!$I$11</f>
        <v>0</v>
      </c>
      <c r="K54" s="98">
        <f>'Analytical Data'!L54*Cover!$H$11/Cover!$I$11</f>
        <v>0</v>
      </c>
      <c r="L54" s="99">
        <f>'Analytical Data'!M54*Cover!$H$11/Cover!$I$11</f>
        <v>0</v>
      </c>
    </row>
    <row r="55" spans="1:12" ht="16.5" x14ac:dyDescent="0.2">
      <c r="A55" s="43">
        <f>'Analytical Data'!A55</f>
        <v>0</v>
      </c>
      <c r="B55" s="33">
        <f>'Analytical Data'!B55</f>
        <v>0</v>
      </c>
      <c r="C55" s="138" t="s">
        <v>100</v>
      </c>
      <c r="D55" s="47"/>
      <c r="E55" s="210">
        <f>'Analytical Data'!F55*Cover!$H$11/Cover!$I$11</f>
        <v>0</v>
      </c>
      <c r="F55" s="98">
        <f>'Analytical Data'!G55*Cover!$H$11/Cover!$I$11</f>
        <v>0</v>
      </c>
      <c r="G55" s="98">
        <f>'Analytical Data'!H55*Cover!$H$11/Cover!$I$11</f>
        <v>0</v>
      </c>
      <c r="H55" s="98">
        <f>'Analytical Data'!I55*Cover!$H$11/Cover!$I$11</f>
        <v>0</v>
      </c>
      <c r="I55" s="98">
        <f>'Analytical Data'!J55*Cover!$H$11/Cover!$I$11</f>
        <v>0</v>
      </c>
      <c r="J55" s="98">
        <f>'Analytical Data'!K55*Cover!$H$11/Cover!$I$11</f>
        <v>0</v>
      </c>
      <c r="K55" s="98">
        <f>'Analytical Data'!L55*Cover!$H$11/Cover!$I$11</f>
        <v>0</v>
      </c>
      <c r="L55" s="99">
        <f>'Analytical Data'!M55*Cover!$H$11/Cover!$I$11</f>
        <v>0</v>
      </c>
    </row>
    <row r="56" spans="1:12" ht="16.5" x14ac:dyDescent="0.2">
      <c r="A56" s="43">
        <f>'Analytical Data'!A56</f>
        <v>0</v>
      </c>
      <c r="B56" s="33">
        <f>'Analytical Data'!B56</f>
        <v>0</v>
      </c>
      <c r="C56" s="138" t="s">
        <v>100</v>
      </c>
      <c r="D56" s="47"/>
      <c r="E56" s="210">
        <f>'Analytical Data'!F56*Cover!$H$11/Cover!$I$11</f>
        <v>0</v>
      </c>
      <c r="F56" s="98">
        <f>'Analytical Data'!G56*Cover!$H$11/Cover!$I$11</f>
        <v>0</v>
      </c>
      <c r="G56" s="98">
        <f>'Analytical Data'!H56*Cover!$H$11/Cover!$I$11</f>
        <v>0</v>
      </c>
      <c r="H56" s="98">
        <f>'Analytical Data'!I56*Cover!$H$11/Cover!$I$11</f>
        <v>0</v>
      </c>
      <c r="I56" s="98">
        <f>'Analytical Data'!J56*Cover!$H$11/Cover!$I$11</f>
        <v>0</v>
      </c>
      <c r="J56" s="98">
        <f>'Analytical Data'!K56*Cover!$H$11/Cover!$I$11</f>
        <v>0</v>
      </c>
      <c r="K56" s="98">
        <f>'Analytical Data'!L56*Cover!$H$11/Cover!$I$11</f>
        <v>0</v>
      </c>
      <c r="L56" s="99">
        <f>'Analytical Data'!M56*Cover!$H$11/Cover!$I$11</f>
        <v>0</v>
      </c>
    </row>
    <row r="57" spans="1:12" ht="16.5" x14ac:dyDescent="0.2">
      <c r="A57" s="43">
        <f>'Analytical Data'!A57</f>
        <v>0</v>
      </c>
      <c r="B57" s="33">
        <f>'Analytical Data'!B57</f>
        <v>0</v>
      </c>
      <c r="C57" s="138" t="s">
        <v>100</v>
      </c>
      <c r="D57" s="47"/>
      <c r="E57" s="210">
        <f>'Analytical Data'!F57*Cover!$H$11/Cover!$I$11</f>
        <v>0</v>
      </c>
      <c r="F57" s="98">
        <f>'Analytical Data'!G57*Cover!$H$11/Cover!$I$11</f>
        <v>0</v>
      </c>
      <c r="G57" s="98">
        <f>'Analytical Data'!H57*Cover!$H$11/Cover!$I$11</f>
        <v>0</v>
      </c>
      <c r="H57" s="98">
        <f>'Analytical Data'!I57*Cover!$H$11/Cover!$I$11</f>
        <v>0</v>
      </c>
      <c r="I57" s="98">
        <f>'Analytical Data'!J57*Cover!$H$11/Cover!$I$11</f>
        <v>0</v>
      </c>
      <c r="J57" s="98">
        <f>'Analytical Data'!K57*Cover!$H$11/Cover!$I$11</f>
        <v>0</v>
      </c>
      <c r="K57" s="98">
        <f>'Analytical Data'!L57*Cover!$H$11/Cover!$I$11</f>
        <v>0</v>
      </c>
      <c r="L57" s="99">
        <f>'Analytical Data'!M57*Cover!$H$11/Cover!$I$11</f>
        <v>0</v>
      </c>
    </row>
    <row r="58" spans="1:12" ht="16.5" x14ac:dyDescent="0.2">
      <c r="A58" s="43">
        <f>'Analytical Data'!A58</f>
        <v>0</v>
      </c>
      <c r="B58" s="33">
        <f>'Analytical Data'!B58</f>
        <v>0</v>
      </c>
      <c r="C58" s="138" t="s">
        <v>100</v>
      </c>
      <c r="D58" s="47"/>
      <c r="E58" s="210">
        <f>'Analytical Data'!F58*Cover!$H$11/Cover!$I$11</f>
        <v>0</v>
      </c>
      <c r="F58" s="98">
        <f>'Analytical Data'!G58*Cover!$H$11/Cover!$I$11</f>
        <v>0</v>
      </c>
      <c r="G58" s="98">
        <f>'Analytical Data'!H58*Cover!$H$11/Cover!$I$11</f>
        <v>0</v>
      </c>
      <c r="H58" s="98">
        <f>'Analytical Data'!I58*Cover!$H$11/Cover!$I$11</f>
        <v>0</v>
      </c>
      <c r="I58" s="98">
        <f>'Analytical Data'!J58*Cover!$H$11/Cover!$I$11</f>
        <v>0</v>
      </c>
      <c r="J58" s="98">
        <f>'Analytical Data'!K58*Cover!$H$11/Cover!$I$11</f>
        <v>0</v>
      </c>
      <c r="K58" s="98">
        <f>'Analytical Data'!L58*Cover!$H$11/Cover!$I$11</f>
        <v>0</v>
      </c>
      <c r="L58" s="99">
        <f>'Analytical Data'!M58*Cover!$H$11/Cover!$I$11</f>
        <v>0</v>
      </c>
    </row>
    <row r="59" spans="1:12" ht="16.5" x14ac:dyDescent="0.2">
      <c r="A59" s="43">
        <f>'Analytical Data'!A59</f>
        <v>0</v>
      </c>
      <c r="B59" s="33">
        <f>'Analytical Data'!B59</f>
        <v>0</v>
      </c>
      <c r="C59" s="138" t="s">
        <v>100</v>
      </c>
      <c r="D59" s="47"/>
      <c r="E59" s="210">
        <f>'Analytical Data'!F59*Cover!$H$11/Cover!$I$11</f>
        <v>0</v>
      </c>
      <c r="F59" s="98">
        <f>'Analytical Data'!G59*Cover!$H$11/Cover!$I$11</f>
        <v>0</v>
      </c>
      <c r="G59" s="98">
        <f>'Analytical Data'!H59*Cover!$H$11/Cover!$I$11</f>
        <v>0</v>
      </c>
      <c r="H59" s="98">
        <f>'Analytical Data'!I59*Cover!$H$11/Cover!$I$11</f>
        <v>0</v>
      </c>
      <c r="I59" s="98">
        <f>'Analytical Data'!J59*Cover!$H$11/Cover!$I$11</f>
        <v>0</v>
      </c>
      <c r="J59" s="98">
        <f>'Analytical Data'!K59*Cover!$H$11/Cover!$I$11</f>
        <v>0</v>
      </c>
      <c r="K59" s="98">
        <f>'Analytical Data'!L59*Cover!$H$11/Cover!$I$11</f>
        <v>0</v>
      </c>
      <c r="L59" s="99">
        <f>'Analytical Data'!M59*Cover!$H$11/Cover!$I$11</f>
        <v>0</v>
      </c>
    </row>
    <row r="60" spans="1:12" ht="16.5" x14ac:dyDescent="0.2">
      <c r="A60" s="43">
        <f>'Analytical Data'!A60</f>
        <v>0</v>
      </c>
      <c r="B60" s="33">
        <f>'Analytical Data'!B60</f>
        <v>0</v>
      </c>
      <c r="C60" s="138" t="s">
        <v>100</v>
      </c>
      <c r="D60" s="47"/>
      <c r="E60" s="210">
        <f>'Analytical Data'!F60*Cover!$H$11/Cover!$I$11</f>
        <v>0</v>
      </c>
      <c r="F60" s="98">
        <f>'Analytical Data'!G60*Cover!$H$11/Cover!$I$11</f>
        <v>0</v>
      </c>
      <c r="G60" s="98">
        <f>'Analytical Data'!H60*Cover!$H$11/Cover!$I$11</f>
        <v>0</v>
      </c>
      <c r="H60" s="98">
        <f>'Analytical Data'!I60*Cover!$H$11/Cover!$I$11</f>
        <v>0</v>
      </c>
      <c r="I60" s="98">
        <f>'Analytical Data'!J60*Cover!$H$11/Cover!$I$11</f>
        <v>0</v>
      </c>
      <c r="J60" s="98">
        <f>'Analytical Data'!K60*Cover!$H$11/Cover!$I$11</f>
        <v>0</v>
      </c>
      <c r="K60" s="98">
        <f>'Analytical Data'!L60*Cover!$H$11/Cover!$I$11</f>
        <v>0</v>
      </c>
      <c r="L60" s="99">
        <f>'Analytical Data'!M60*Cover!$H$11/Cover!$I$11</f>
        <v>0</v>
      </c>
    </row>
    <row r="61" spans="1:12" ht="16.5" x14ac:dyDescent="0.2">
      <c r="A61" s="43">
        <f>'Analytical Data'!A61</f>
        <v>0</v>
      </c>
      <c r="B61" s="33">
        <f>'Analytical Data'!B61</f>
        <v>0</v>
      </c>
      <c r="C61" s="138" t="s">
        <v>100</v>
      </c>
      <c r="D61" s="47"/>
      <c r="E61" s="210">
        <f>'Analytical Data'!F61*Cover!$H$11/Cover!$I$11</f>
        <v>0</v>
      </c>
      <c r="F61" s="98">
        <f>'Analytical Data'!G61*Cover!$H$11/Cover!$I$11</f>
        <v>0</v>
      </c>
      <c r="G61" s="98">
        <f>'Analytical Data'!H61*Cover!$H$11/Cover!$I$11</f>
        <v>0</v>
      </c>
      <c r="H61" s="98">
        <f>'Analytical Data'!I61*Cover!$H$11/Cover!$I$11</f>
        <v>0</v>
      </c>
      <c r="I61" s="98">
        <f>'Analytical Data'!J61*Cover!$H$11/Cover!$I$11</f>
        <v>0</v>
      </c>
      <c r="J61" s="98">
        <f>'Analytical Data'!K61*Cover!$H$11/Cover!$I$11</f>
        <v>0</v>
      </c>
      <c r="K61" s="98">
        <f>'Analytical Data'!L61*Cover!$H$11/Cover!$I$11</f>
        <v>0</v>
      </c>
      <c r="L61" s="99">
        <f>'Analytical Data'!M61*Cover!$H$11/Cover!$I$11</f>
        <v>0</v>
      </c>
    </row>
    <row r="62" spans="1:12" ht="16.5" x14ac:dyDescent="0.2">
      <c r="A62" s="43">
        <f>'Analytical Data'!A62</f>
        <v>0</v>
      </c>
      <c r="B62" s="33">
        <f>'Analytical Data'!B62</f>
        <v>0</v>
      </c>
      <c r="C62" s="138" t="s">
        <v>100</v>
      </c>
      <c r="D62" s="47"/>
      <c r="E62" s="210">
        <f>'Analytical Data'!F62*Cover!$H$11/Cover!$I$11</f>
        <v>0</v>
      </c>
      <c r="F62" s="98">
        <f>'Analytical Data'!G62*Cover!$H$11/Cover!$I$11</f>
        <v>0</v>
      </c>
      <c r="G62" s="98">
        <f>'Analytical Data'!H62*Cover!$H$11/Cover!$I$11</f>
        <v>0</v>
      </c>
      <c r="H62" s="98">
        <f>'Analytical Data'!I62*Cover!$H$11/Cover!$I$11</f>
        <v>0</v>
      </c>
      <c r="I62" s="98">
        <f>'Analytical Data'!J62*Cover!$H$11/Cover!$I$11</f>
        <v>0</v>
      </c>
      <c r="J62" s="98">
        <f>'Analytical Data'!K62*Cover!$H$11/Cover!$I$11</f>
        <v>0</v>
      </c>
      <c r="K62" s="98">
        <f>'Analytical Data'!L62*Cover!$H$11/Cover!$I$11</f>
        <v>0</v>
      </c>
      <c r="L62" s="99">
        <f>'Analytical Data'!M62*Cover!$H$11/Cover!$I$11</f>
        <v>0</v>
      </c>
    </row>
    <row r="63" spans="1:12" ht="16.5" x14ac:dyDescent="0.2">
      <c r="A63" s="43">
        <f>'Analytical Data'!A63</f>
        <v>0</v>
      </c>
      <c r="B63" s="33">
        <f>'Analytical Data'!B63</f>
        <v>0</v>
      </c>
      <c r="C63" s="138" t="s">
        <v>100</v>
      </c>
      <c r="D63" s="47"/>
      <c r="E63" s="210">
        <f>'Analytical Data'!F63*Cover!$H$11/Cover!$I$11</f>
        <v>0</v>
      </c>
      <c r="F63" s="98">
        <f>'Analytical Data'!G63*Cover!$H$11/Cover!$I$11</f>
        <v>0</v>
      </c>
      <c r="G63" s="98">
        <f>'Analytical Data'!H63*Cover!$H$11/Cover!$I$11</f>
        <v>0</v>
      </c>
      <c r="H63" s="98">
        <f>'Analytical Data'!I63*Cover!$H$11/Cover!$I$11</f>
        <v>0</v>
      </c>
      <c r="I63" s="98">
        <f>'Analytical Data'!J63*Cover!$H$11/Cover!$I$11</f>
        <v>0</v>
      </c>
      <c r="J63" s="98">
        <f>'Analytical Data'!K63*Cover!$H$11/Cover!$I$11</f>
        <v>0</v>
      </c>
      <c r="K63" s="98">
        <f>'Analytical Data'!L63*Cover!$H$11/Cover!$I$11</f>
        <v>0</v>
      </c>
      <c r="L63" s="99">
        <f>'Analytical Data'!M63*Cover!$H$11/Cover!$I$11</f>
        <v>0</v>
      </c>
    </row>
    <row r="64" spans="1:12" ht="16.5" x14ac:dyDescent="0.2">
      <c r="A64" s="43">
        <f>'Analytical Data'!A64</f>
        <v>0</v>
      </c>
      <c r="B64" s="33">
        <f>'Analytical Data'!B64</f>
        <v>0</v>
      </c>
      <c r="C64" s="138" t="s">
        <v>100</v>
      </c>
      <c r="D64" s="47"/>
      <c r="E64" s="210">
        <f>'Analytical Data'!F64*Cover!$H$11/Cover!$I$11</f>
        <v>0</v>
      </c>
      <c r="F64" s="98">
        <f>'Analytical Data'!G64*Cover!$H$11/Cover!$I$11</f>
        <v>0</v>
      </c>
      <c r="G64" s="98">
        <f>'Analytical Data'!H64*Cover!$H$11/Cover!$I$11</f>
        <v>0</v>
      </c>
      <c r="H64" s="98">
        <f>'Analytical Data'!I64*Cover!$H$11/Cover!$I$11</f>
        <v>0</v>
      </c>
      <c r="I64" s="98">
        <f>'Analytical Data'!J64*Cover!$H$11/Cover!$I$11</f>
        <v>0</v>
      </c>
      <c r="J64" s="98">
        <f>'Analytical Data'!K64*Cover!$H$11/Cover!$I$11</f>
        <v>0</v>
      </c>
      <c r="K64" s="98">
        <f>'Analytical Data'!L64*Cover!$H$11/Cover!$I$11</f>
        <v>0</v>
      </c>
      <c r="L64" s="99">
        <f>'Analytical Data'!M64*Cover!$H$11/Cover!$I$11</f>
        <v>0</v>
      </c>
    </row>
    <row r="65" spans="1:14" ht="16.5" x14ac:dyDescent="0.2">
      <c r="A65" s="43">
        <f>'Analytical Data'!A65</f>
        <v>0</v>
      </c>
      <c r="B65" s="33">
        <f>'Analytical Data'!B65</f>
        <v>0</v>
      </c>
      <c r="C65" s="138" t="s">
        <v>100</v>
      </c>
      <c r="D65" s="47"/>
      <c r="E65" s="210">
        <f>'Analytical Data'!F65*Cover!$H$11/Cover!$I$11</f>
        <v>0</v>
      </c>
      <c r="F65" s="98">
        <f>'Analytical Data'!G65*Cover!$H$11/Cover!$I$11</f>
        <v>0</v>
      </c>
      <c r="G65" s="98">
        <f>'Analytical Data'!H65*Cover!$H$11/Cover!$I$11</f>
        <v>0</v>
      </c>
      <c r="H65" s="98">
        <f>'Analytical Data'!I65*Cover!$H$11/Cover!$I$11</f>
        <v>0</v>
      </c>
      <c r="I65" s="98">
        <f>'Analytical Data'!J65*Cover!$H$11/Cover!$I$11</f>
        <v>0</v>
      </c>
      <c r="J65" s="98">
        <f>'Analytical Data'!K65*Cover!$H$11/Cover!$I$11</f>
        <v>0</v>
      </c>
      <c r="K65" s="98">
        <f>'Analytical Data'!L65*Cover!$H$11/Cover!$I$11</f>
        <v>0</v>
      </c>
      <c r="L65" s="99">
        <f>'Analytical Data'!M65*Cover!$H$11/Cover!$I$11</f>
        <v>0</v>
      </c>
    </row>
    <row r="66" spans="1:14" ht="16.5" x14ac:dyDescent="0.2">
      <c r="A66" s="43">
        <f>'Analytical Data'!A66</f>
        <v>0</v>
      </c>
      <c r="B66" s="33">
        <f>'Analytical Data'!B66</f>
        <v>0</v>
      </c>
      <c r="C66" s="138" t="s">
        <v>100</v>
      </c>
      <c r="D66" s="47"/>
      <c r="E66" s="210">
        <f>'Analytical Data'!F66*Cover!$H$11/Cover!$I$11</f>
        <v>0</v>
      </c>
      <c r="F66" s="98">
        <f>'Analytical Data'!G66*Cover!$H$11/Cover!$I$11</f>
        <v>0</v>
      </c>
      <c r="G66" s="98">
        <f>'Analytical Data'!H66*Cover!$H$11/Cover!$I$11</f>
        <v>0</v>
      </c>
      <c r="H66" s="98">
        <f>'Analytical Data'!I66*Cover!$H$11/Cover!$I$11</f>
        <v>0</v>
      </c>
      <c r="I66" s="98">
        <f>'Analytical Data'!J66*Cover!$H$11/Cover!$I$11</f>
        <v>0</v>
      </c>
      <c r="J66" s="98">
        <f>'Analytical Data'!K66*Cover!$H$11/Cover!$I$11</f>
        <v>0</v>
      </c>
      <c r="K66" s="98">
        <f>'Analytical Data'!L66*Cover!$H$11/Cover!$I$11</f>
        <v>0</v>
      </c>
      <c r="L66" s="99">
        <f>'Analytical Data'!M66*Cover!$H$11/Cover!$I$11</f>
        <v>0</v>
      </c>
    </row>
    <row r="67" spans="1:14" ht="16.5" x14ac:dyDescent="0.2">
      <c r="A67" s="43">
        <f>'Analytical Data'!A67</f>
        <v>0</v>
      </c>
      <c r="B67" s="33">
        <f>'Analytical Data'!B67</f>
        <v>0</v>
      </c>
      <c r="C67" s="138" t="s">
        <v>100</v>
      </c>
      <c r="D67" s="208"/>
      <c r="E67" s="210">
        <f>'Analytical Data'!F67*Cover!$H$11/Cover!$I$11</f>
        <v>0</v>
      </c>
      <c r="F67" s="98">
        <f>'Analytical Data'!G67*Cover!$H$11/Cover!$I$11</f>
        <v>0</v>
      </c>
      <c r="G67" s="98">
        <f>'Analytical Data'!H67*Cover!$H$11/Cover!$I$11</f>
        <v>0</v>
      </c>
      <c r="H67" s="98">
        <f>'Analytical Data'!I67*Cover!$H$11/Cover!$I$11</f>
        <v>0</v>
      </c>
      <c r="I67" s="98">
        <f>'Analytical Data'!J67*Cover!$H$11/Cover!$I$11</f>
        <v>0</v>
      </c>
      <c r="J67" s="98">
        <f>'Analytical Data'!K67*Cover!$H$11/Cover!$I$11</f>
        <v>0</v>
      </c>
      <c r="K67" s="98">
        <f>'Analytical Data'!L67*Cover!$H$11/Cover!$I$11</f>
        <v>0</v>
      </c>
      <c r="L67" s="99">
        <f>'Analytical Data'!M67*Cover!$H$11/Cover!$I$11</f>
        <v>0</v>
      </c>
    </row>
    <row r="68" spans="1:14" ht="16.5" x14ac:dyDescent="0.2">
      <c r="A68" s="43">
        <f>'Analytical Data'!A68</f>
        <v>0</v>
      </c>
      <c r="B68" s="33">
        <f>'Analytical Data'!B68</f>
        <v>0</v>
      </c>
      <c r="C68" s="138" t="s">
        <v>100</v>
      </c>
      <c r="D68" s="47"/>
      <c r="E68" s="210">
        <f>'Analytical Data'!F68*Cover!$H$11/Cover!$I$11</f>
        <v>0</v>
      </c>
      <c r="F68" s="98">
        <f>'Analytical Data'!G68*Cover!$H$11/Cover!$I$11</f>
        <v>0</v>
      </c>
      <c r="G68" s="98">
        <f>'Analytical Data'!H68*Cover!$H$11/Cover!$I$11</f>
        <v>0</v>
      </c>
      <c r="H68" s="98">
        <f>'Analytical Data'!I68*Cover!$H$11/Cover!$I$11</f>
        <v>0</v>
      </c>
      <c r="I68" s="98">
        <f>'Analytical Data'!J68*Cover!$H$11/Cover!$I$11</f>
        <v>0</v>
      </c>
      <c r="J68" s="98">
        <f>'Analytical Data'!K68*Cover!$H$11/Cover!$I$11</f>
        <v>0</v>
      </c>
      <c r="K68" s="98">
        <f>'Analytical Data'!L68*Cover!$H$11/Cover!$I$11</f>
        <v>0</v>
      </c>
      <c r="L68" s="99">
        <f>'Analytical Data'!M68*Cover!$H$11/Cover!$I$11</f>
        <v>0</v>
      </c>
    </row>
    <row r="69" spans="1:14" ht="16.5" x14ac:dyDescent="0.2">
      <c r="A69" s="43">
        <f>'Analytical Data'!A69</f>
        <v>0</v>
      </c>
      <c r="B69" s="33">
        <f>'Analytical Data'!B69</f>
        <v>0</v>
      </c>
      <c r="C69" s="138" t="s">
        <v>100</v>
      </c>
      <c r="D69" s="47"/>
      <c r="E69" s="210">
        <f>'Analytical Data'!F69*Cover!$H$11/Cover!$I$11</f>
        <v>0</v>
      </c>
      <c r="F69" s="98">
        <f>'Analytical Data'!G69*Cover!$H$11/Cover!$I$11</f>
        <v>0</v>
      </c>
      <c r="G69" s="98">
        <f>'Analytical Data'!H69*Cover!$H$11/Cover!$I$11</f>
        <v>0</v>
      </c>
      <c r="H69" s="98">
        <f>'Analytical Data'!I69*Cover!$H$11/Cover!$I$11</f>
        <v>0</v>
      </c>
      <c r="I69" s="98">
        <f>'Analytical Data'!J69*Cover!$H$11/Cover!$I$11</f>
        <v>0</v>
      </c>
      <c r="J69" s="98">
        <f>'Analytical Data'!K69*Cover!$H$11/Cover!$I$11</f>
        <v>0</v>
      </c>
      <c r="K69" s="98">
        <f>'Analytical Data'!L69*Cover!$H$11/Cover!$I$11</f>
        <v>0</v>
      </c>
      <c r="L69" s="99">
        <f>'Analytical Data'!M69*Cover!$H$11/Cover!$I$11</f>
        <v>0</v>
      </c>
    </row>
    <row r="70" spans="1:14" ht="16.5" x14ac:dyDescent="0.2">
      <c r="A70" s="43">
        <f>'Analytical Data'!A70</f>
        <v>0</v>
      </c>
      <c r="B70" s="33">
        <f>'Analytical Data'!B70</f>
        <v>0</v>
      </c>
      <c r="C70" s="138" t="s">
        <v>100</v>
      </c>
      <c r="D70" s="47"/>
      <c r="E70" s="210">
        <f>'Analytical Data'!F70*Cover!$H$11/Cover!$I$11</f>
        <v>0</v>
      </c>
      <c r="F70" s="98">
        <f>'Analytical Data'!G70*Cover!$H$11/Cover!$I$11</f>
        <v>0</v>
      </c>
      <c r="G70" s="98">
        <f>'Analytical Data'!H70*Cover!$H$11/Cover!$I$11</f>
        <v>0</v>
      </c>
      <c r="H70" s="98">
        <f>'Analytical Data'!I70*Cover!$H$11/Cover!$I$11</f>
        <v>0</v>
      </c>
      <c r="I70" s="98">
        <f>'Analytical Data'!J70*Cover!$H$11/Cover!$I$11</f>
        <v>0</v>
      </c>
      <c r="J70" s="98">
        <f>'Analytical Data'!K70*Cover!$H$11/Cover!$I$11</f>
        <v>0</v>
      </c>
      <c r="K70" s="98">
        <f>'Analytical Data'!L70*Cover!$H$11/Cover!$I$11</f>
        <v>0</v>
      </c>
      <c r="L70" s="99">
        <f>'Analytical Data'!M70*Cover!$H$11/Cover!$I$11</f>
        <v>0</v>
      </c>
    </row>
    <row r="71" spans="1:14" ht="16.5" x14ac:dyDescent="0.2">
      <c r="A71" s="43">
        <f>'Analytical Data'!A71</f>
        <v>0</v>
      </c>
      <c r="B71" s="33">
        <f>'Analytical Data'!B71</f>
        <v>0</v>
      </c>
      <c r="C71" s="138" t="s">
        <v>100</v>
      </c>
      <c r="D71" s="47"/>
      <c r="E71" s="210">
        <f>'Analytical Data'!F71*Cover!$H$11/Cover!$I$11</f>
        <v>0</v>
      </c>
      <c r="F71" s="98">
        <f>'Analytical Data'!G71*Cover!$H$11/Cover!$I$11</f>
        <v>0</v>
      </c>
      <c r="G71" s="98">
        <f>'Analytical Data'!H71*Cover!$H$11/Cover!$I$11</f>
        <v>0</v>
      </c>
      <c r="H71" s="98">
        <f>'Analytical Data'!I71*Cover!$H$11/Cover!$I$11</f>
        <v>0</v>
      </c>
      <c r="I71" s="98">
        <f>'Analytical Data'!J71*Cover!$H$11/Cover!$I$11</f>
        <v>0</v>
      </c>
      <c r="J71" s="98">
        <f>'Analytical Data'!K71*Cover!$H$11/Cover!$I$11</f>
        <v>0</v>
      </c>
      <c r="K71" s="98">
        <f>'Analytical Data'!L71*Cover!$H$11/Cover!$I$11</f>
        <v>0</v>
      </c>
      <c r="L71" s="99">
        <f>'Analytical Data'!M71*Cover!$H$11/Cover!$I$11</f>
        <v>0</v>
      </c>
    </row>
    <row r="72" spans="1:14" ht="16.5" x14ac:dyDescent="0.2">
      <c r="A72" s="43">
        <f>'Analytical Data'!A72</f>
        <v>0</v>
      </c>
      <c r="B72" s="33">
        <f>'Analytical Data'!B72</f>
        <v>0</v>
      </c>
      <c r="C72" s="138" t="s">
        <v>100</v>
      </c>
      <c r="D72" s="47"/>
      <c r="E72" s="210">
        <f>'Analytical Data'!F72*Cover!$H$11/Cover!$I$11</f>
        <v>0</v>
      </c>
      <c r="F72" s="98">
        <f>'Analytical Data'!G72*Cover!$H$11/Cover!$I$11</f>
        <v>0</v>
      </c>
      <c r="G72" s="98">
        <f>'Analytical Data'!H72*Cover!$H$11/Cover!$I$11</f>
        <v>0</v>
      </c>
      <c r="H72" s="98">
        <f>'Analytical Data'!I72*Cover!$H$11/Cover!$I$11</f>
        <v>0</v>
      </c>
      <c r="I72" s="98">
        <f>'Analytical Data'!J72*Cover!$H$11/Cover!$I$11</f>
        <v>0</v>
      </c>
      <c r="J72" s="98">
        <f>'Analytical Data'!K72*Cover!$H$11/Cover!$I$11</f>
        <v>0</v>
      </c>
      <c r="K72" s="98">
        <f>'Analytical Data'!L72*Cover!$H$11/Cover!$I$11</f>
        <v>0</v>
      </c>
      <c r="L72" s="99">
        <f>'Analytical Data'!M72*Cover!$H$11/Cover!$I$11</f>
        <v>0</v>
      </c>
    </row>
    <row r="73" spans="1:14" ht="16.5" x14ac:dyDescent="0.2">
      <c r="A73" s="43">
        <f>'Analytical Data'!A73</f>
        <v>0</v>
      </c>
      <c r="B73" s="33">
        <f>'Analytical Data'!B73</f>
        <v>0</v>
      </c>
      <c r="C73" s="138" t="s">
        <v>100</v>
      </c>
      <c r="D73" s="47"/>
      <c r="E73" s="210">
        <f>'Analytical Data'!F73*Cover!$H$11/Cover!$I$11</f>
        <v>0</v>
      </c>
      <c r="F73" s="98">
        <f>'Analytical Data'!G73*Cover!$H$11/Cover!$I$11</f>
        <v>0</v>
      </c>
      <c r="G73" s="98">
        <f>'Analytical Data'!H73*Cover!$H$11/Cover!$I$11</f>
        <v>0</v>
      </c>
      <c r="H73" s="98">
        <f>'Analytical Data'!I73*Cover!$H$11/Cover!$I$11</f>
        <v>0</v>
      </c>
      <c r="I73" s="98">
        <f>'Analytical Data'!J73*Cover!$H$11/Cover!$I$11</f>
        <v>0</v>
      </c>
      <c r="J73" s="98">
        <f>'Analytical Data'!K73*Cover!$H$11/Cover!$I$11</f>
        <v>0</v>
      </c>
      <c r="K73" s="98">
        <f>'Analytical Data'!L73*Cover!$H$11/Cover!$I$11</f>
        <v>0</v>
      </c>
      <c r="L73" s="99">
        <f>'Analytical Data'!M73*Cover!$H$11/Cover!$I$11</f>
        <v>0</v>
      </c>
    </row>
    <row r="74" spans="1:14" ht="16.5" x14ac:dyDescent="0.2">
      <c r="A74" s="44">
        <f>'Analytical Data'!A74</f>
        <v>0</v>
      </c>
      <c r="B74" s="33">
        <f>'Analytical Data'!B74</f>
        <v>0</v>
      </c>
      <c r="C74" s="45" t="s">
        <v>100</v>
      </c>
      <c r="D74" s="36"/>
      <c r="E74" s="98">
        <f>'Analytical Data'!F74*Cover!$H$11/Cover!$I$11</f>
        <v>0</v>
      </c>
      <c r="F74" s="98">
        <f>'Analytical Data'!G74*Cover!$H$11/Cover!$I$11</f>
        <v>0</v>
      </c>
      <c r="G74" s="98">
        <f>'Analytical Data'!H74*Cover!$H$11/Cover!$I$11</f>
        <v>0</v>
      </c>
      <c r="H74" s="98">
        <f>'Analytical Data'!I74*Cover!$H$11/Cover!$I$11</f>
        <v>0</v>
      </c>
      <c r="I74" s="98">
        <f>'Analytical Data'!J74*Cover!$H$11/Cover!$I$11</f>
        <v>0</v>
      </c>
      <c r="J74" s="98">
        <f>'Analytical Data'!K74*Cover!$H$11/Cover!$I$11</f>
        <v>0</v>
      </c>
      <c r="K74" s="98">
        <f>'Analytical Data'!L74*Cover!$H$11/Cover!$I$11</f>
        <v>0</v>
      </c>
      <c r="L74" s="98">
        <f>'Analytical Data'!M74*Cover!$H$11/Cover!$I$11</f>
        <v>0</v>
      </c>
    </row>
    <row r="75" spans="1:14" ht="17.25" x14ac:dyDescent="0.25">
      <c r="A75" s="44">
        <f>'Analytical Data'!A75</f>
        <v>0</v>
      </c>
      <c r="B75" s="33">
        <f>'Analytical Data'!B75</f>
        <v>0</v>
      </c>
      <c r="C75" s="45" t="s">
        <v>223</v>
      </c>
      <c r="D75" s="36"/>
      <c r="E75" s="98">
        <f>'Analytical Data'!F75*Cover!$H$11/Cover!$I$11</f>
        <v>0</v>
      </c>
      <c r="F75" s="98">
        <f>'Analytical Data'!G75*Cover!$H$11/Cover!$I$11</f>
        <v>0</v>
      </c>
      <c r="G75" s="98">
        <f>'Analytical Data'!H75*Cover!$H$11/Cover!$I$11</f>
        <v>0</v>
      </c>
      <c r="H75" s="98">
        <f>'Analytical Data'!I75*Cover!$H$11/Cover!$I$11</f>
        <v>0</v>
      </c>
      <c r="I75" s="98">
        <f>'Analytical Data'!J75*Cover!$H$11/Cover!$I$11</f>
        <v>0</v>
      </c>
      <c r="J75" s="98">
        <f>'Analytical Data'!K75*Cover!$H$11/Cover!$I$11</f>
        <v>0</v>
      </c>
      <c r="K75" s="98">
        <f>'Analytical Data'!L75*Cover!$H$11/Cover!$I$11</f>
        <v>0</v>
      </c>
      <c r="L75" s="98">
        <f>'Analytical Data'!M75*Cover!$H$11/Cover!$I$11</f>
        <v>0</v>
      </c>
    </row>
    <row r="76" spans="1:14" ht="17.25" x14ac:dyDescent="0.25">
      <c r="A76" s="44">
        <f>'Analytical Data'!A76</f>
        <v>0</v>
      </c>
      <c r="B76" s="33">
        <f>'Analytical Data'!B76</f>
        <v>0</v>
      </c>
      <c r="C76" s="45" t="s">
        <v>224</v>
      </c>
      <c r="D76" s="36"/>
      <c r="E76" s="98">
        <f>'Analytical Data'!F76*Cover!$H$11/Cover!$I$11</f>
        <v>0</v>
      </c>
      <c r="F76" s="98">
        <f>'Analytical Data'!G76*Cover!$H$11/Cover!$I$11</f>
        <v>0</v>
      </c>
      <c r="G76" s="98">
        <f>'Analytical Data'!H76*Cover!$H$11/Cover!$I$11</f>
        <v>0</v>
      </c>
      <c r="H76" s="98">
        <f>'Analytical Data'!I76*Cover!$H$11/Cover!$I$11</f>
        <v>0</v>
      </c>
      <c r="I76" s="98">
        <f>'Analytical Data'!J76*Cover!$H$11/Cover!$I$11</f>
        <v>0</v>
      </c>
      <c r="J76" s="98">
        <f>'Analytical Data'!K76*Cover!$H$11/Cover!$I$11</f>
        <v>0</v>
      </c>
      <c r="K76" s="98">
        <f>'Analytical Data'!L76*Cover!$H$11/Cover!$I$11</f>
        <v>0</v>
      </c>
      <c r="L76" s="98">
        <f>'Analytical Data'!M76*Cover!$H$11/Cover!$I$11</f>
        <v>0</v>
      </c>
    </row>
    <row r="77" spans="1:14" x14ac:dyDescent="0.2">
      <c r="A77" s="36"/>
      <c r="B77" s="260"/>
      <c r="C77" s="213"/>
      <c r="D77" s="36"/>
      <c r="E77" s="207"/>
      <c r="F77" s="207"/>
      <c r="G77" s="207"/>
      <c r="H77" s="207"/>
      <c r="I77" s="207"/>
      <c r="J77" s="207"/>
      <c r="K77" s="207"/>
      <c r="L77" s="207"/>
      <c r="M77" s="287"/>
      <c r="N77" s="287"/>
    </row>
    <row r="78" spans="1:14" x14ac:dyDescent="0.2">
      <c r="A78" s="36"/>
      <c r="B78" s="260"/>
      <c r="C78" s="213"/>
      <c r="D78" s="36"/>
      <c r="E78" s="207"/>
      <c r="F78" s="207"/>
      <c r="G78" s="207"/>
      <c r="H78" s="207"/>
      <c r="I78" s="207"/>
      <c r="J78" s="207"/>
      <c r="K78" s="207"/>
      <c r="L78" s="207"/>
      <c r="M78" s="287"/>
      <c r="N78" s="287"/>
    </row>
    <row r="79" spans="1:14" x14ac:dyDescent="0.2">
      <c r="A79" s="36"/>
      <c r="B79" s="260"/>
      <c r="C79" s="213"/>
      <c r="D79" s="36"/>
      <c r="E79" s="207"/>
      <c r="F79" s="207"/>
      <c r="G79" s="207"/>
      <c r="H79" s="207"/>
      <c r="I79" s="207"/>
      <c r="J79" s="207"/>
      <c r="K79" s="207"/>
      <c r="L79" s="207"/>
      <c r="M79" s="287"/>
      <c r="N79" s="287"/>
    </row>
    <row r="80" spans="1:14" x14ac:dyDescent="0.2">
      <c r="A80" s="36"/>
      <c r="B80" s="260"/>
      <c r="C80" s="213"/>
      <c r="D80" s="36"/>
      <c r="E80" s="207"/>
      <c r="F80" s="207"/>
      <c r="G80" s="207"/>
      <c r="H80" s="207"/>
      <c r="I80" s="207"/>
      <c r="J80" s="207"/>
      <c r="K80" s="207"/>
      <c r="L80" s="207"/>
      <c r="M80" s="287"/>
      <c r="N80" s="287"/>
    </row>
    <row r="81" spans="1:14" x14ac:dyDescent="0.2">
      <c r="A81" s="36"/>
      <c r="B81" s="260"/>
      <c r="C81" s="213"/>
      <c r="D81" s="36"/>
      <c r="E81" s="207"/>
      <c r="F81" s="207"/>
      <c r="G81" s="207"/>
      <c r="H81" s="207"/>
      <c r="I81" s="207"/>
      <c r="J81" s="207"/>
      <c r="K81" s="207"/>
      <c r="L81" s="207"/>
      <c r="M81" s="287"/>
      <c r="N81" s="287"/>
    </row>
    <row r="82" spans="1:14" x14ac:dyDescent="0.2">
      <c r="A82" s="36"/>
      <c r="B82" s="260"/>
      <c r="C82" s="213"/>
      <c r="D82" s="36"/>
      <c r="E82" s="207"/>
      <c r="F82" s="207"/>
      <c r="G82" s="207"/>
      <c r="H82" s="207"/>
      <c r="I82" s="207"/>
      <c r="J82" s="207"/>
      <c r="K82" s="207"/>
      <c r="L82" s="207"/>
      <c r="M82" s="287"/>
      <c r="N82" s="287"/>
    </row>
    <row r="83" spans="1:14" x14ac:dyDescent="0.2">
      <c r="A83" s="36"/>
      <c r="B83" s="260"/>
      <c r="C83" s="213"/>
      <c r="D83" s="36"/>
      <c r="E83" s="207"/>
      <c r="F83" s="207"/>
      <c r="G83" s="207"/>
      <c r="H83" s="207"/>
      <c r="I83" s="207"/>
      <c r="J83" s="207"/>
      <c r="K83" s="207"/>
      <c r="L83" s="207"/>
      <c r="M83" s="287"/>
      <c r="N83" s="287"/>
    </row>
    <row r="84" spans="1:14" x14ac:dyDescent="0.2">
      <c r="A84" s="36"/>
      <c r="B84" s="260"/>
      <c r="C84" s="213"/>
      <c r="D84" s="36"/>
      <c r="E84" s="207"/>
      <c r="F84" s="207"/>
      <c r="G84" s="207"/>
      <c r="H84" s="207"/>
      <c r="I84" s="207"/>
      <c r="J84" s="207"/>
      <c r="K84" s="207"/>
      <c r="L84" s="207"/>
      <c r="M84" s="287"/>
      <c r="N84" s="287"/>
    </row>
    <row r="85" spans="1:14" x14ac:dyDescent="0.2">
      <c r="A85" s="36"/>
      <c r="B85" s="260"/>
      <c r="C85" s="213"/>
      <c r="D85" s="36"/>
      <c r="E85" s="207"/>
      <c r="F85" s="207"/>
      <c r="G85" s="207"/>
      <c r="H85" s="207"/>
      <c r="I85" s="207"/>
      <c r="J85" s="207"/>
      <c r="K85" s="207"/>
      <c r="L85" s="207"/>
      <c r="M85" s="287"/>
      <c r="N85" s="287"/>
    </row>
    <row r="86" spans="1:14" x14ac:dyDescent="0.2">
      <c r="A86" s="36"/>
      <c r="B86" s="260"/>
      <c r="C86" s="213"/>
      <c r="D86" s="36"/>
      <c r="E86" s="207"/>
      <c r="F86" s="207"/>
      <c r="G86" s="207"/>
      <c r="H86" s="207"/>
      <c r="I86" s="207"/>
      <c r="J86" s="207"/>
      <c r="K86" s="207"/>
      <c r="L86" s="207"/>
      <c r="M86" s="287"/>
      <c r="N86" s="287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">
    <pageSetUpPr fitToPage="1"/>
  </sheetPr>
  <dimension ref="A1:M76"/>
  <sheetViews>
    <sheetView view="pageBreakPreview" zoomScale="75" zoomScaleNormal="100" workbookViewId="0">
      <selection activeCell="G11" sqref="G11"/>
    </sheetView>
  </sheetViews>
  <sheetFormatPr defaultRowHeight="12.75" x14ac:dyDescent="0.2"/>
  <cols>
    <col min="1" max="1" width="39.85546875" customWidth="1"/>
    <col min="2" max="2" width="19" customWidth="1"/>
    <col min="3" max="3" width="20.5703125" customWidth="1"/>
    <col min="4" max="5" width="20.42578125" customWidth="1"/>
    <col min="6" max="6" width="21.140625" customWidth="1"/>
    <col min="7" max="7" width="25.42578125" bestFit="1" customWidth="1"/>
    <col min="8" max="10" width="19" customWidth="1"/>
    <col min="11" max="11" width="20" customWidth="1"/>
    <col min="12" max="12" width="20.42578125" customWidth="1"/>
    <col min="13" max="13" width="25.7109375" customWidth="1"/>
  </cols>
  <sheetData>
    <row r="1" spans="1:13" ht="15.75" thickBot="1" x14ac:dyDescent="0.3">
      <c r="A1" s="22"/>
      <c r="B1" s="23"/>
      <c r="C1" s="23"/>
      <c r="D1" s="24"/>
      <c r="E1" s="24"/>
      <c r="F1" s="24"/>
      <c r="G1" s="25"/>
      <c r="H1" s="25"/>
      <c r="I1" s="25"/>
      <c r="J1" s="25"/>
      <c r="K1" s="25"/>
      <c r="L1" s="25"/>
    </row>
    <row r="2" spans="1:13" ht="15" x14ac:dyDescent="0.25">
      <c r="A2" s="26" t="s">
        <v>34</v>
      </c>
      <c r="B2" s="22"/>
      <c r="C2" s="22"/>
      <c r="D2" s="27" t="s">
        <v>35</v>
      </c>
      <c r="E2" s="116"/>
      <c r="F2" s="120" t="str">
        <f>'Raw Data'!F19</f>
        <v>38899</v>
      </c>
      <c r="G2" s="120" t="str">
        <f>'Raw Data'!G19</f>
        <v>38900</v>
      </c>
      <c r="H2" s="120" t="str">
        <f>'Raw Data'!H19</f>
        <v>38901</v>
      </c>
      <c r="I2" s="120" t="str">
        <f>'Raw Data'!I19</f>
        <v>40238</v>
      </c>
      <c r="J2" s="120" t="str">
        <f>'Raw Data'!J19</f>
        <v>41450</v>
      </c>
      <c r="K2" s="120" t="str">
        <f>'Raw Data'!K19</f>
        <v>41451</v>
      </c>
      <c r="L2" s="120" t="str">
        <f>'Raw Data'!L19</f>
        <v>41779</v>
      </c>
      <c r="M2" s="120" t="str">
        <f>'Raw Data'!M19</f>
        <v>44087</v>
      </c>
    </row>
    <row r="3" spans="1:13" ht="15.75" thickBot="1" x14ac:dyDescent="0.3">
      <c r="A3" s="22"/>
      <c r="B3" s="22"/>
      <c r="C3" s="22"/>
      <c r="D3" s="28" t="s">
        <v>36</v>
      </c>
      <c r="E3" s="117"/>
      <c r="F3" s="137" t="str">
        <f ca="1">"t=" &amp;Cover!K24 &amp;"days"</f>
        <v>t=0.0625days</v>
      </c>
      <c r="G3" s="137" t="str">
        <f ca="1">"t=" &amp;Cover!L24 &amp;"days"</f>
        <v>t=0.25days</v>
      </c>
      <c r="H3" s="137" t="str">
        <f ca="1">"t=" &amp;Cover!M24 &amp;"days"</f>
        <v>t=1days</v>
      </c>
      <c r="I3" s="137" t="str">
        <f ca="1">"t=" &amp;Cover!N24 &amp;"days"</f>
        <v>t=2.25days</v>
      </c>
      <c r="J3" s="137" t="str">
        <f ca="1">"t=" &amp;Cover!O24 &amp;"days"</f>
        <v>t=4days</v>
      </c>
      <c r="K3" s="137" t="str">
        <f ca="1">"t=" &amp;Cover!P24 &amp;"days"</f>
        <v>t=6.25days</v>
      </c>
      <c r="L3" s="137" t="str">
        <f ca="1">"t=" &amp;Cover!Q24 &amp;"days"</f>
        <v>t=9days</v>
      </c>
      <c r="M3" s="137" t="str">
        <f ca="1">"t=" &amp;Cover!R24 &amp;"days"</f>
        <v>t=16days</v>
      </c>
    </row>
    <row r="4" spans="1:13" ht="15" x14ac:dyDescent="0.25">
      <c r="A4" s="29" t="s">
        <v>37</v>
      </c>
      <c r="B4" s="29" t="s">
        <v>108</v>
      </c>
      <c r="C4" s="118" t="s">
        <v>109</v>
      </c>
      <c r="D4" s="29" t="s">
        <v>38</v>
      </c>
      <c r="E4" s="87" t="s">
        <v>39</v>
      </c>
      <c r="F4" s="47"/>
      <c r="G4" s="36"/>
      <c r="H4" s="36"/>
      <c r="I4" s="36"/>
      <c r="J4" s="36"/>
      <c r="K4" s="36"/>
      <c r="L4" s="36"/>
      <c r="M4" s="89"/>
    </row>
    <row r="5" spans="1:13" x14ac:dyDescent="0.2">
      <c r="A5" s="253" t="s">
        <v>40</v>
      </c>
      <c r="B5" s="119">
        <v>1010</v>
      </c>
      <c r="C5" s="119" t="s">
        <v>106</v>
      </c>
      <c r="D5" s="302" t="s">
        <v>260</v>
      </c>
      <c r="E5" s="119">
        <v>0.1</v>
      </c>
      <c r="F5" s="119">
        <v>8.7750000000000004</v>
      </c>
      <c r="G5" s="119">
        <v>6.8780000000000001</v>
      </c>
      <c r="H5" s="119">
        <v>7.1379999999999999</v>
      </c>
      <c r="I5" s="119">
        <v>6.9109999999999996</v>
      </c>
      <c r="J5" s="119">
        <v>7.0119999999999996</v>
      </c>
      <c r="K5" s="119">
        <v>6.7779999999999996</v>
      </c>
      <c r="L5" s="119">
        <v>6.7649999999999997</v>
      </c>
      <c r="M5" s="119">
        <v>7.0419999999999998</v>
      </c>
    </row>
    <row r="6" spans="1:13" x14ac:dyDescent="0.2">
      <c r="A6" s="253" t="s">
        <v>41</v>
      </c>
      <c r="B6" s="119">
        <v>1020</v>
      </c>
      <c r="C6" s="119" t="s">
        <v>106</v>
      </c>
      <c r="D6" s="119" t="s">
        <v>42</v>
      </c>
      <c r="E6" s="119">
        <v>10</v>
      </c>
      <c r="F6" s="119">
        <v>14.2</v>
      </c>
      <c r="G6" s="119">
        <v>41.11</v>
      </c>
      <c r="H6" s="119">
        <v>573.1</v>
      </c>
      <c r="I6" s="119">
        <v>2615</v>
      </c>
      <c r="J6" s="119">
        <v>2767</v>
      </c>
      <c r="K6" s="119">
        <v>2126</v>
      </c>
      <c r="L6" s="119">
        <v>2380</v>
      </c>
      <c r="M6" s="119">
        <v>1740</v>
      </c>
    </row>
    <row r="7" spans="1:13" x14ac:dyDescent="0.2">
      <c r="A7" s="253" t="s">
        <v>221</v>
      </c>
      <c r="B7" s="119">
        <v>1170</v>
      </c>
      <c r="C7" s="119" t="s">
        <v>107</v>
      </c>
      <c r="D7" s="119" t="s">
        <v>222</v>
      </c>
      <c r="E7" s="119">
        <v>0.1</v>
      </c>
      <c r="F7" s="315"/>
      <c r="G7" s="315"/>
      <c r="H7" s="315"/>
      <c r="I7" s="315"/>
      <c r="J7" s="315"/>
      <c r="K7" s="315"/>
      <c r="L7" s="315"/>
      <c r="M7" s="315"/>
    </row>
    <row r="8" spans="1:13" x14ac:dyDescent="0.2">
      <c r="A8" s="253" t="str">
        <f>'Raw Data'!A22</f>
        <v>Chloride</v>
      </c>
      <c r="B8" s="119" t="str">
        <f>'Raw Data'!B22</f>
        <v>U</v>
      </c>
      <c r="C8" s="119" t="str">
        <f>'Raw Data'!C22</f>
        <v>1220</v>
      </c>
      <c r="D8" s="119" t="str">
        <f>'Raw Data'!D22</f>
        <v>mg/l</v>
      </c>
      <c r="E8" s="119" t="str">
        <f>IF($D8="mg/l",'Raw Data'!E22,'Raw Data'!E22/1000)</f>
        <v>1</v>
      </c>
      <c r="F8" s="119">
        <f>IF($D8="mg/l",'Raw Data'!F22,'Raw Data'!F22/1000)</f>
        <v>1</v>
      </c>
      <c r="G8" s="119">
        <v>2.1</v>
      </c>
      <c r="H8" s="119">
        <v>30</v>
      </c>
      <c r="I8" s="119">
        <f>IF($D8="mg/l",'Raw Data'!I22,'Raw Data'!I22/1000)</f>
        <v>320</v>
      </c>
      <c r="J8" s="119">
        <v>510</v>
      </c>
      <c r="K8" s="119">
        <v>380</v>
      </c>
      <c r="L8" s="119">
        <v>400</v>
      </c>
      <c r="M8" s="119">
        <v>510</v>
      </c>
    </row>
    <row r="9" spans="1:13" x14ac:dyDescent="0.2">
      <c r="A9" s="253" t="str">
        <f>'Raw Data'!A23</f>
        <v>Sodium</v>
      </c>
      <c r="B9" s="119" t="str">
        <f>'Raw Data'!B23</f>
        <v>U</v>
      </c>
      <c r="C9" s="119" t="str">
        <f>'Raw Data'!C23</f>
        <v>1220</v>
      </c>
      <c r="D9" s="119" t="str">
        <f>'Raw Data'!D23</f>
        <v>mg/l</v>
      </c>
      <c r="E9" s="119" t="str">
        <f>IF($D9="mg/l",'Raw Data'!E23,'Raw Data'!E23/1000)</f>
        <v>1</v>
      </c>
      <c r="F9" s="119">
        <v>20</v>
      </c>
      <c r="G9" s="119">
        <v>40</v>
      </c>
      <c r="H9" s="119">
        <v>50</v>
      </c>
      <c r="I9" s="119">
        <v>230</v>
      </c>
      <c r="J9" s="119">
        <v>340</v>
      </c>
      <c r="K9" s="119">
        <f>IF($D9="mg/l",'Raw Data'!K23,'Raw Data'!K23/1000)</f>
        <v>230</v>
      </c>
      <c r="L9" s="119">
        <v>250</v>
      </c>
      <c r="M9" s="119">
        <v>350</v>
      </c>
    </row>
    <row r="10" spans="1:13" x14ac:dyDescent="0.2">
      <c r="A10" s="253">
        <f>'Raw Data'!A24</f>
        <v>0</v>
      </c>
      <c r="B10" s="119">
        <f>'Raw Data'!B24</f>
        <v>0</v>
      </c>
      <c r="C10" s="119">
        <f>'Raw Data'!C24</f>
        <v>0</v>
      </c>
      <c r="D10" s="119">
        <f>'Raw Data'!D24</f>
        <v>0</v>
      </c>
      <c r="E10" s="119">
        <f>IF($D10="mg/l",'Raw Data'!E24,'Raw Data'!E24/1000)</f>
        <v>0</v>
      </c>
      <c r="F10" s="119">
        <f>IF($D10="mg/l",'Raw Data'!F24,'Raw Data'!F24/1000)</f>
        <v>0</v>
      </c>
      <c r="G10" s="119">
        <f>IF($D10="mg/l",'Raw Data'!G24,'Raw Data'!G24/1000)</f>
        <v>0</v>
      </c>
      <c r="H10" s="119">
        <f>IF($D10="mg/l",'Raw Data'!H24,'Raw Data'!H24/1000)</f>
        <v>0</v>
      </c>
      <c r="I10" s="119">
        <f>IF($D10="mg/l",'Raw Data'!I24,'Raw Data'!I24/1000)</f>
        <v>0</v>
      </c>
      <c r="J10" s="119">
        <f>IF($D10="mg/l",'Raw Data'!J24,'Raw Data'!J24/1000)</f>
        <v>0</v>
      </c>
      <c r="K10" s="119">
        <f>IF($D10="mg/l",'Raw Data'!K24,'Raw Data'!K24/1000)</f>
        <v>0</v>
      </c>
      <c r="L10" s="119">
        <f>IF($D10="mg/l",'Raw Data'!L24,'Raw Data'!L24/1000)</f>
        <v>0</v>
      </c>
      <c r="M10" s="119">
        <f>IF($D10="mg/l",'Raw Data'!M24,'Raw Data'!M24/1000)</f>
        <v>0</v>
      </c>
    </row>
    <row r="11" spans="1:13" x14ac:dyDescent="0.2">
      <c r="A11" s="253">
        <f>'Raw Data'!A25</f>
        <v>0</v>
      </c>
      <c r="B11" s="119">
        <f>'Raw Data'!B25</f>
        <v>0</v>
      </c>
      <c r="C11" s="119">
        <f>'Raw Data'!C25</f>
        <v>0</v>
      </c>
      <c r="D11" s="119">
        <f>'Raw Data'!D25</f>
        <v>0</v>
      </c>
      <c r="E11" s="119">
        <f>IF($D11="mg/l",'Raw Data'!E25,'Raw Data'!E25/1000)</f>
        <v>0</v>
      </c>
      <c r="F11" s="119">
        <f>IF($D11="mg/l",'Raw Data'!F25,'Raw Data'!F25/1000)</f>
        <v>0</v>
      </c>
      <c r="G11" s="119">
        <f>IF($D11="mg/l",'Raw Data'!G25,'Raw Data'!G25/1000)</f>
        <v>0</v>
      </c>
      <c r="H11" s="119">
        <f>IF($D11="mg/l",'Raw Data'!H25,'Raw Data'!H25/1000)</f>
        <v>0</v>
      </c>
      <c r="I11" s="119">
        <f>IF($D11="mg/l",'Raw Data'!I25,'Raw Data'!I25/1000)</f>
        <v>0</v>
      </c>
      <c r="J11" s="119">
        <f>IF($D11="mg/l",'Raw Data'!J25,'Raw Data'!J25/1000)</f>
        <v>0</v>
      </c>
      <c r="K11" s="119">
        <f>IF($D11="mg/l",'Raw Data'!K25,'Raw Data'!K25/1000)</f>
        <v>0</v>
      </c>
      <c r="L11" s="119">
        <f>IF($D11="mg/l",'Raw Data'!L25,'Raw Data'!L25/1000)</f>
        <v>0</v>
      </c>
      <c r="M11" s="119">
        <f>IF($D11="mg/l",'Raw Data'!M25,'Raw Data'!M25/1000)</f>
        <v>0</v>
      </c>
    </row>
    <row r="12" spans="1:13" x14ac:dyDescent="0.2">
      <c r="A12" s="253">
        <f>'Raw Data'!A26</f>
        <v>0</v>
      </c>
      <c r="B12" s="119">
        <f>'Raw Data'!B26</f>
        <v>0</v>
      </c>
      <c r="C12" s="119">
        <f>'Raw Data'!C26</f>
        <v>0</v>
      </c>
      <c r="D12" s="119">
        <f>'Raw Data'!D26</f>
        <v>0</v>
      </c>
      <c r="E12" s="119">
        <f>IF($D12="mg/l",'Raw Data'!E26,'Raw Data'!E26/1000)</f>
        <v>0</v>
      </c>
      <c r="F12" s="119">
        <f>IF($D12="mg/l",'Raw Data'!F26,'Raw Data'!F26/1000)</f>
        <v>0</v>
      </c>
      <c r="G12" s="119">
        <f>IF($D12="mg/l",'Raw Data'!G26,'Raw Data'!G26/1000)</f>
        <v>0</v>
      </c>
      <c r="H12" s="119">
        <f>IF($D12="mg/l",'Raw Data'!H26,'Raw Data'!H26/1000)</f>
        <v>0</v>
      </c>
      <c r="I12" s="119">
        <f>IF($D12="mg/l",'Raw Data'!I26,'Raw Data'!I26/1000)</f>
        <v>0</v>
      </c>
      <c r="J12" s="119">
        <f>IF($D12="mg/l",'Raw Data'!J26,'Raw Data'!J26/1000)</f>
        <v>0</v>
      </c>
      <c r="K12" s="119">
        <f>IF($D12="mg/l",'Raw Data'!K26,'Raw Data'!K26/1000)</f>
        <v>0</v>
      </c>
      <c r="L12" s="119">
        <f>IF($D12="mg/l",'Raw Data'!L26,'Raw Data'!L26/1000)</f>
        <v>0</v>
      </c>
      <c r="M12" s="119">
        <f>IF($D12="mg/l",'Raw Data'!M26,'Raw Data'!M26/1000)</f>
        <v>0</v>
      </c>
    </row>
    <row r="13" spans="1:13" x14ac:dyDescent="0.2">
      <c r="A13" s="253">
        <f>'Raw Data'!A27</f>
        <v>0</v>
      </c>
      <c r="B13" s="119">
        <f>'Raw Data'!B27</f>
        <v>0</v>
      </c>
      <c r="C13" s="119">
        <f>'Raw Data'!C27</f>
        <v>0</v>
      </c>
      <c r="D13" s="119">
        <f>'Raw Data'!D27</f>
        <v>0</v>
      </c>
      <c r="E13" s="119">
        <f>IF($D13="mg/l",'Raw Data'!E27,'Raw Data'!E27/1000)</f>
        <v>0</v>
      </c>
      <c r="F13" s="119">
        <f>IF($D13="mg/l",'Raw Data'!F27,'Raw Data'!F27/1000)</f>
        <v>0</v>
      </c>
      <c r="G13" s="119">
        <f>IF($D13="mg/l",'Raw Data'!G27,'Raw Data'!G27/1000)</f>
        <v>0</v>
      </c>
      <c r="H13" s="119">
        <f>IF($D13="mg/l",'Raw Data'!H27,'Raw Data'!H27/1000)</f>
        <v>0</v>
      </c>
      <c r="I13" s="119">
        <f>IF($D13="mg/l",'Raw Data'!I27,'Raw Data'!I27/1000)</f>
        <v>0</v>
      </c>
      <c r="J13" s="119">
        <f>IF($D13="mg/l",'Raw Data'!J27,'Raw Data'!J27/1000)</f>
        <v>0</v>
      </c>
      <c r="K13" s="119">
        <f>IF($D13="mg/l",'Raw Data'!K27,'Raw Data'!K27/1000)</f>
        <v>0</v>
      </c>
      <c r="L13" s="119">
        <f>IF($D13="mg/l",'Raw Data'!L27,'Raw Data'!L27/1000)</f>
        <v>0</v>
      </c>
      <c r="M13" s="119">
        <f>IF($D13="mg/l",'Raw Data'!M27,'Raw Data'!M27/1000)</f>
        <v>0</v>
      </c>
    </row>
    <row r="14" spans="1:13" x14ac:dyDescent="0.2">
      <c r="A14" s="253">
        <f>'Raw Data'!A28</f>
        <v>0</v>
      </c>
      <c r="B14" s="119">
        <f>'Raw Data'!B28</f>
        <v>0</v>
      </c>
      <c r="C14" s="119">
        <f>'Raw Data'!C28</f>
        <v>0</v>
      </c>
      <c r="D14" s="119">
        <f>'Raw Data'!D28</f>
        <v>0</v>
      </c>
      <c r="E14" s="119">
        <f>IF($D14="mg/l",'Raw Data'!E28,'Raw Data'!E28/1000)</f>
        <v>0</v>
      </c>
      <c r="F14" s="119">
        <f>IF($D14="mg/l",'Raw Data'!F28,'Raw Data'!F28/1000)</f>
        <v>0</v>
      </c>
      <c r="G14" s="119">
        <f>IF($D14="mg/l",'Raw Data'!G28,'Raw Data'!G28/1000)</f>
        <v>0</v>
      </c>
      <c r="H14" s="119">
        <f>IF($D14="mg/l",'Raw Data'!H28,'Raw Data'!H28/1000)</f>
        <v>0</v>
      </c>
      <c r="I14" s="119">
        <f>IF($D14="mg/l",'Raw Data'!I28,'Raw Data'!I28/1000)</f>
        <v>0</v>
      </c>
      <c r="J14" s="119">
        <f>IF($D14="mg/l",'Raw Data'!J28,'Raw Data'!J28/1000)</f>
        <v>0</v>
      </c>
      <c r="K14" s="119">
        <f>IF($D14="mg/l",'Raw Data'!K28,'Raw Data'!K28/1000)</f>
        <v>0</v>
      </c>
      <c r="L14" s="119">
        <f>IF($D14="mg/l",'Raw Data'!L28,'Raw Data'!L28/1000)</f>
        <v>0</v>
      </c>
      <c r="M14" s="119">
        <f>IF($D14="mg/l",'Raw Data'!M28,'Raw Data'!M28/1000)</f>
        <v>0</v>
      </c>
    </row>
    <row r="15" spans="1:13" x14ac:dyDescent="0.2">
      <c r="A15" s="253">
        <f>'Raw Data'!A29</f>
        <v>0</v>
      </c>
      <c r="B15" s="119">
        <f>'Raw Data'!B29</f>
        <v>0</v>
      </c>
      <c r="C15" s="119">
        <f>'Raw Data'!C29</f>
        <v>0</v>
      </c>
      <c r="D15" s="119">
        <f>'Raw Data'!D29</f>
        <v>0</v>
      </c>
      <c r="E15" s="119">
        <f>IF($D15="mg/l",'Raw Data'!E29,'Raw Data'!E29/1000)</f>
        <v>0</v>
      </c>
      <c r="F15" s="119">
        <f>IF($D15="mg/l",'Raw Data'!F29,'Raw Data'!F29/1000)</f>
        <v>0</v>
      </c>
      <c r="G15" s="119">
        <f>IF($D15="mg/l",'Raw Data'!G29,'Raw Data'!G29/1000)</f>
        <v>0</v>
      </c>
      <c r="H15" s="119">
        <f>IF($D15="mg/l",'Raw Data'!H29,'Raw Data'!H29/1000)</f>
        <v>0</v>
      </c>
      <c r="I15" s="119">
        <f>IF($D15="mg/l",'Raw Data'!I29,'Raw Data'!I29/1000)</f>
        <v>0</v>
      </c>
      <c r="J15" s="119">
        <f>IF($D15="mg/l",'Raw Data'!J29,'Raw Data'!J29/1000)</f>
        <v>0</v>
      </c>
      <c r="K15" s="119">
        <f>IF($D15="mg/l",'Raw Data'!K29,'Raw Data'!K29/1000)</f>
        <v>0</v>
      </c>
      <c r="L15" s="119">
        <f>IF($D15="mg/l",'Raw Data'!L29,'Raw Data'!L29/1000)</f>
        <v>0</v>
      </c>
      <c r="M15" s="119">
        <f>IF($D15="mg/l",'Raw Data'!M29,'Raw Data'!M29/1000)</f>
        <v>0</v>
      </c>
    </row>
    <row r="16" spans="1:13" x14ac:dyDescent="0.2">
      <c r="A16" s="253">
        <f>'Raw Data'!A30</f>
        <v>0</v>
      </c>
      <c r="B16" s="119">
        <f>'Raw Data'!B30</f>
        <v>0</v>
      </c>
      <c r="C16" s="119">
        <f>'Raw Data'!C30</f>
        <v>0</v>
      </c>
      <c r="D16" s="119">
        <f>'Raw Data'!D30</f>
        <v>0</v>
      </c>
      <c r="E16" s="119">
        <f>IF($D16="mg/l",'Raw Data'!E30,'Raw Data'!E30/1000)</f>
        <v>0</v>
      </c>
      <c r="F16" s="119">
        <f>IF($D16="mg/l",'Raw Data'!F30,'Raw Data'!F30/1000)</f>
        <v>0</v>
      </c>
      <c r="G16" s="119">
        <f>IF($D16="mg/l",'Raw Data'!G30,'Raw Data'!G30/1000)</f>
        <v>0</v>
      </c>
      <c r="H16" s="119">
        <f>IF($D16="mg/l",'Raw Data'!H30,'Raw Data'!H30/1000)</f>
        <v>0</v>
      </c>
      <c r="I16" s="119">
        <f>IF($D16="mg/l",'Raw Data'!I30,'Raw Data'!I30/1000)</f>
        <v>0</v>
      </c>
      <c r="J16" s="119">
        <f>IF($D16="mg/l",'Raw Data'!J30,'Raw Data'!J30/1000)</f>
        <v>0</v>
      </c>
      <c r="K16" s="119">
        <f>IF($D16="mg/l",'Raw Data'!K30,'Raw Data'!K30/1000)</f>
        <v>0</v>
      </c>
      <c r="L16" s="119">
        <f>IF($D16="mg/l",'Raw Data'!L30,'Raw Data'!L30/1000)</f>
        <v>0</v>
      </c>
      <c r="M16" s="119">
        <f>IF($D16="mg/l",'Raw Data'!M30,'Raw Data'!M30/1000)</f>
        <v>0</v>
      </c>
    </row>
    <row r="17" spans="1:13" x14ac:dyDescent="0.2">
      <c r="A17" s="253">
        <f>'Raw Data'!A31</f>
        <v>0</v>
      </c>
      <c r="B17" s="119">
        <f>'Raw Data'!B31</f>
        <v>0</v>
      </c>
      <c r="C17" s="119">
        <f>'Raw Data'!C31</f>
        <v>0</v>
      </c>
      <c r="D17" s="119">
        <f>'Raw Data'!D31</f>
        <v>0</v>
      </c>
      <c r="E17" s="119">
        <f>IF($D17="mg/l",'Raw Data'!E31,'Raw Data'!E31/1000)</f>
        <v>0</v>
      </c>
      <c r="F17" s="119">
        <f>IF($D17="mg/l",'Raw Data'!F31,'Raw Data'!F31/1000)</f>
        <v>0</v>
      </c>
      <c r="G17" s="119">
        <f>IF($D17="mg/l",'Raw Data'!G31,'Raw Data'!G31/1000)</f>
        <v>0</v>
      </c>
      <c r="H17" s="119">
        <f>IF($D17="mg/l",'Raw Data'!H31,'Raw Data'!H31/1000)</f>
        <v>0</v>
      </c>
      <c r="I17" s="119">
        <f>IF($D17="mg/l",'Raw Data'!I31,'Raw Data'!I31/1000)</f>
        <v>0</v>
      </c>
      <c r="J17" s="119">
        <f>IF($D17="mg/l",'Raw Data'!J31,'Raw Data'!J31/1000)</f>
        <v>0</v>
      </c>
      <c r="K17" s="119">
        <f>IF($D17="mg/l",'Raw Data'!K31,'Raw Data'!K31/1000)</f>
        <v>0</v>
      </c>
      <c r="L17" s="119">
        <f>IF($D17="mg/l",'Raw Data'!L31,'Raw Data'!L31/1000)</f>
        <v>0</v>
      </c>
      <c r="M17" s="119">
        <f>IF($D17="mg/l",'Raw Data'!M31,'Raw Data'!M31/1000)</f>
        <v>0</v>
      </c>
    </row>
    <row r="18" spans="1:13" x14ac:dyDescent="0.2">
      <c r="A18" s="253">
        <f>'Raw Data'!A32</f>
        <v>0</v>
      </c>
      <c r="B18" s="119">
        <f>'Raw Data'!B32</f>
        <v>0</v>
      </c>
      <c r="C18" s="119">
        <f>'Raw Data'!C32</f>
        <v>0</v>
      </c>
      <c r="D18" s="119">
        <f>'Raw Data'!D32</f>
        <v>0</v>
      </c>
      <c r="E18" s="119">
        <f>IF($D18="mg/l",'Raw Data'!E32,'Raw Data'!E32/1000)</f>
        <v>0</v>
      </c>
      <c r="F18" s="119">
        <f>IF($D18="mg/l",'Raw Data'!F32,'Raw Data'!F32/1000)</f>
        <v>0</v>
      </c>
      <c r="G18" s="119">
        <f>IF($D18="mg/l",'Raw Data'!G32,'Raw Data'!G32/1000)</f>
        <v>0</v>
      </c>
      <c r="H18" s="119">
        <f>IF($D18="mg/l",'Raw Data'!H32,'Raw Data'!H32/1000)</f>
        <v>0</v>
      </c>
      <c r="I18" s="119">
        <f>IF($D18="mg/l",'Raw Data'!I32,'Raw Data'!I32/1000)</f>
        <v>0</v>
      </c>
      <c r="J18" s="119">
        <f>IF($D18="mg/l",'Raw Data'!J32,'Raw Data'!J32/1000)</f>
        <v>0</v>
      </c>
      <c r="K18" s="119">
        <f>IF($D18="mg/l",'Raw Data'!K32,'Raw Data'!K32/1000)</f>
        <v>0</v>
      </c>
      <c r="L18" s="119">
        <f>IF($D18="mg/l",'Raw Data'!L32,'Raw Data'!L32/1000)</f>
        <v>0</v>
      </c>
      <c r="M18" s="119">
        <f>IF($D18="mg/l",'Raw Data'!M32,'Raw Data'!M32/1000)</f>
        <v>0</v>
      </c>
    </row>
    <row r="19" spans="1:13" x14ac:dyDescent="0.2">
      <c r="A19" s="253">
        <f>'Raw Data'!A33</f>
        <v>0</v>
      </c>
      <c r="B19" s="119">
        <f>'Raw Data'!B33</f>
        <v>0</v>
      </c>
      <c r="C19" s="119">
        <f>'Raw Data'!C33</f>
        <v>0</v>
      </c>
      <c r="D19" s="119">
        <f>'Raw Data'!D33</f>
        <v>0</v>
      </c>
      <c r="E19" s="119">
        <f>IF($D19="mg/l",'Raw Data'!E33,'Raw Data'!E33/1000)</f>
        <v>0</v>
      </c>
      <c r="F19" s="119">
        <f>IF($D19="mg/l",'Raw Data'!F33,'Raw Data'!F33/1000)</f>
        <v>0</v>
      </c>
      <c r="G19" s="119">
        <f>IF($D19="mg/l",'Raw Data'!G33,'Raw Data'!G33/1000)</f>
        <v>0</v>
      </c>
      <c r="H19" s="119">
        <f>IF($D19="mg/l",'Raw Data'!H33,'Raw Data'!H33/1000)</f>
        <v>0</v>
      </c>
      <c r="I19" s="119">
        <f>IF($D19="mg/l",'Raw Data'!I33,'Raw Data'!I33/1000)</f>
        <v>0</v>
      </c>
      <c r="J19" s="119">
        <f>IF($D19="mg/l",'Raw Data'!J33,'Raw Data'!J33/1000)</f>
        <v>0</v>
      </c>
      <c r="K19" s="119">
        <f>IF($D19="mg/l",'Raw Data'!K33,'Raw Data'!K33/1000)</f>
        <v>0</v>
      </c>
      <c r="L19" s="119">
        <f>IF($D19="mg/l",'Raw Data'!L33,'Raw Data'!L33/1000)</f>
        <v>0</v>
      </c>
      <c r="M19" s="119">
        <f>IF($D19="mg/l",'Raw Data'!M33,'Raw Data'!M33/1000)</f>
        <v>0</v>
      </c>
    </row>
    <row r="20" spans="1:13" x14ac:dyDescent="0.2">
      <c r="A20" s="253">
        <f>'Raw Data'!A34</f>
        <v>0</v>
      </c>
      <c r="B20" s="119">
        <f>'Raw Data'!B34</f>
        <v>0</v>
      </c>
      <c r="C20" s="119">
        <f>'Raw Data'!C34</f>
        <v>0</v>
      </c>
      <c r="D20" s="119">
        <f>'Raw Data'!D34</f>
        <v>0</v>
      </c>
      <c r="E20" s="119">
        <f>IF($D20="mg/l",'Raw Data'!E34,'Raw Data'!E34/1000)</f>
        <v>0</v>
      </c>
      <c r="F20" s="119">
        <f>IF($D20="mg/l",'Raw Data'!F34,'Raw Data'!F34/1000)</f>
        <v>0</v>
      </c>
      <c r="G20" s="119">
        <f>IF($D20="mg/l",'Raw Data'!G34,'Raw Data'!G34/1000)</f>
        <v>0</v>
      </c>
      <c r="H20" s="119">
        <f>IF($D20="mg/l",'Raw Data'!H34,'Raw Data'!H34/1000)</f>
        <v>0</v>
      </c>
      <c r="I20" s="119">
        <f>IF($D20="mg/l",'Raw Data'!I34,'Raw Data'!I34/1000)</f>
        <v>0</v>
      </c>
      <c r="J20" s="119">
        <f>IF($D20="mg/l",'Raw Data'!J34,'Raw Data'!J34/1000)</f>
        <v>0</v>
      </c>
      <c r="K20" s="119">
        <f>IF($D20="mg/l",'Raw Data'!K34,'Raw Data'!K34/1000)</f>
        <v>0</v>
      </c>
      <c r="L20" s="119">
        <f>IF($D20="mg/l",'Raw Data'!L34,'Raw Data'!L34/1000)</f>
        <v>0</v>
      </c>
      <c r="M20" s="119">
        <f>IF($D20="mg/l",'Raw Data'!M34,'Raw Data'!M34/1000)</f>
        <v>0</v>
      </c>
    </row>
    <row r="21" spans="1:13" x14ac:dyDescent="0.2">
      <c r="A21" s="253">
        <f>'Raw Data'!A35</f>
        <v>0</v>
      </c>
      <c r="B21" s="119">
        <f>'Raw Data'!B35</f>
        <v>0</v>
      </c>
      <c r="C21" s="119">
        <f>'Raw Data'!C35</f>
        <v>0</v>
      </c>
      <c r="D21" s="119">
        <f>'Raw Data'!D35</f>
        <v>0</v>
      </c>
      <c r="E21" s="119">
        <f>IF($D21="mg/l",'Raw Data'!E35,'Raw Data'!E35/1000)</f>
        <v>0</v>
      </c>
      <c r="F21" s="119">
        <f>IF($D21="mg/l",'Raw Data'!F35,'Raw Data'!F35/1000)</f>
        <v>0</v>
      </c>
      <c r="G21" s="119">
        <f>IF($D21="mg/l",'Raw Data'!G35,'Raw Data'!G35/1000)</f>
        <v>0</v>
      </c>
      <c r="H21" s="119">
        <f>IF($D21="mg/l",'Raw Data'!H35,'Raw Data'!H35/1000)</f>
        <v>0</v>
      </c>
      <c r="I21" s="119">
        <f>IF($D21="mg/l",'Raw Data'!I35,'Raw Data'!I35/1000)</f>
        <v>0</v>
      </c>
      <c r="J21" s="119">
        <f>IF($D21="mg/l",'Raw Data'!J35,'Raw Data'!J35/1000)</f>
        <v>0</v>
      </c>
      <c r="K21" s="119">
        <f>IF($D21="mg/l",'Raw Data'!K35,'Raw Data'!K35/1000)</f>
        <v>0</v>
      </c>
      <c r="L21" s="119">
        <f>IF($D21="mg/l",'Raw Data'!L35,'Raw Data'!L35/1000)</f>
        <v>0</v>
      </c>
      <c r="M21" s="119">
        <f>IF($D21="mg/l",'Raw Data'!M35,'Raw Data'!M35/1000)</f>
        <v>0</v>
      </c>
    </row>
    <row r="22" spans="1:13" x14ac:dyDescent="0.2">
      <c r="A22" s="253">
        <f>'Raw Data'!A36</f>
        <v>0</v>
      </c>
      <c r="B22" s="119">
        <f>'Raw Data'!B36</f>
        <v>0</v>
      </c>
      <c r="C22" s="119">
        <f>'Raw Data'!C36</f>
        <v>0</v>
      </c>
      <c r="D22" s="119">
        <f>'Raw Data'!D36</f>
        <v>0</v>
      </c>
      <c r="E22" s="119">
        <f>IF($D22="mg/l",'Raw Data'!E36,'Raw Data'!E36/1000)</f>
        <v>0</v>
      </c>
      <c r="F22" s="119">
        <f>IF($D22="mg/l",'Raw Data'!F36,'Raw Data'!F36/1000)</f>
        <v>0</v>
      </c>
      <c r="G22" s="119">
        <f>IF($D22="mg/l",'Raw Data'!G36,'Raw Data'!G36/1000)</f>
        <v>0</v>
      </c>
      <c r="H22" s="119">
        <f>IF($D22="mg/l",'Raw Data'!H36,'Raw Data'!H36/1000)</f>
        <v>0</v>
      </c>
      <c r="I22" s="119">
        <f>IF($D22="mg/l",'Raw Data'!I36,'Raw Data'!I36/1000)</f>
        <v>0</v>
      </c>
      <c r="J22" s="119">
        <f>IF($D22="mg/l",'Raw Data'!J36,'Raw Data'!J36/1000)</f>
        <v>0</v>
      </c>
      <c r="K22" s="119">
        <f>IF($D22="mg/l",'Raw Data'!K36,'Raw Data'!K36/1000)</f>
        <v>0</v>
      </c>
      <c r="L22" s="119">
        <f>IF($D22="mg/l",'Raw Data'!L36,'Raw Data'!L36/1000)</f>
        <v>0</v>
      </c>
      <c r="M22" s="119">
        <f>IF($D22="mg/l",'Raw Data'!M36,'Raw Data'!M36/1000)</f>
        <v>0</v>
      </c>
    </row>
    <row r="23" spans="1:13" x14ac:dyDescent="0.2">
      <c r="A23" s="253">
        <f>'Raw Data'!A37</f>
        <v>0</v>
      </c>
      <c r="B23" s="119">
        <f>'Raw Data'!B37</f>
        <v>0</v>
      </c>
      <c r="C23" s="119">
        <f>'Raw Data'!C37</f>
        <v>0</v>
      </c>
      <c r="D23" s="119">
        <f>'Raw Data'!D37</f>
        <v>0</v>
      </c>
      <c r="E23" s="119">
        <f>IF($D23="mg/l",'Raw Data'!E37,'Raw Data'!E37/1000)</f>
        <v>0</v>
      </c>
      <c r="F23" s="119">
        <f>IF($D23="mg/l",'Raw Data'!F37,'Raw Data'!F37/1000)</f>
        <v>0</v>
      </c>
      <c r="G23" s="119">
        <f>IF($D23="mg/l",'Raw Data'!G37,'Raw Data'!G37/1000)</f>
        <v>0</v>
      </c>
      <c r="H23" s="119">
        <f>IF($D23="mg/l",'Raw Data'!H37,'Raw Data'!H37/1000)</f>
        <v>0</v>
      </c>
      <c r="I23" s="119">
        <f>IF($D23="mg/l",'Raw Data'!I37,'Raw Data'!I37/1000)</f>
        <v>0</v>
      </c>
      <c r="J23" s="119">
        <f>IF($D23="mg/l",'Raw Data'!J37,'Raw Data'!J37/1000)</f>
        <v>0</v>
      </c>
      <c r="K23" s="119">
        <f>IF($D23="mg/l",'Raw Data'!K37,'Raw Data'!K37/1000)</f>
        <v>0</v>
      </c>
      <c r="L23" s="119">
        <f>IF($D23="mg/l",'Raw Data'!L37,'Raw Data'!L37/1000)</f>
        <v>0</v>
      </c>
      <c r="M23" s="119">
        <f>IF($D23="mg/l",'Raw Data'!M37,'Raw Data'!M37/1000)</f>
        <v>0</v>
      </c>
    </row>
    <row r="24" spans="1:13" x14ac:dyDescent="0.2">
      <c r="A24" s="253">
        <f>'Raw Data'!A38</f>
        <v>0</v>
      </c>
      <c r="B24" s="119">
        <f>'Raw Data'!B38</f>
        <v>0</v>
      </c>
      <c r="C24" s="119">
        <f>'Raw Data'!C38</f>
        <v>0</v>
      </c>
      <c r="D24" s="119">
        <f>'Raw Data'!D38</f>
        <v>0</v>
      </c>
      <c r="E24" s="119">
        <f>IF($D24="mg/l",'Raw Data'!E38,'Raw Data'!E38/1000)</f>
        <v>0</v>
      </c>
      <c r="F24" s="119">
        <f>IF($D24="mg/l",'Raw Data'!F38,'Raw Data'!F38/1000)</f>
        <v>0</v>
      </c>
      <c r="G24" s="119">
        <f>IF($D24="mg/l",'Raw Data'!G38,'Raw Data'!G38/1000)</f>
        <v>0</v>
      </c>
      <c r="H24" s="119">
        <f>IF($D24="mg/l",'Raw Data'!H38,'Raw Data'!H38/1000)</f>
        <v>0</v>
      </c>
      <c r="I24" s="119">
        <f>IF($D24="mg/l",'Raw Data'!I38,'Raw Data'!I38/1000)</f>
        <v>0</v>
      </c>
      <c r="J24" s="119">
        <f>IF($D24="mg/l",'Raw Data'!J38,'Raw Data'!J38/1000)</f>
        <v>0</v>
      </c>
      <c r="K24" s="119">
        <f>IF($D24="mg/l",'Raw Data'!K38,'Raw Data'!K38/1000)</f>
        <v>0</v>
      </c>
      <c r="L24" s="119">
        <f>IF($D24="mg/l",'Raw Data'!L38,'Raw Data'!L38/1000)</f>
        <v>0</v>
      </c>
      <c r="M24" s="119">
        <f>IF($D24="mg/l",'Raw Data'!M38,'Raw Data'!M38/1000)</f>
        <v>0</v>
      </c>
    </row>
    <row r="25" spans="1:13" x14ac:dyDescent="0.2">
      <c r="A25" s="253">
        <f>'Raw Data'!A39</f>
        <v>0</v>
      </c>
      <c r="B25" s="119">
        <f>'Raw Data'!B39</f>
        <v>0</v>
      </c>
      <c r="C25" s="119">
        <f>'Raw Data'!C39</f>
        <v>0</v>
      </c>
      <c r="D25" s="119">
        <f>'Raw Data'!D39</f>
        <v>0</v>
      </c>
      <c r="E25" s="119">
        <f>IF($D25="mg/l",'Raw Data'!E39,'Raw Data'!E39/1000)</f>
        <v>0</v>
      </c>
      <c r="F25" s="119">
        <f>IF($D25="mg/l",'Raw Data'!F39,'Raw Data'!F39/1000)</f>
        <v>0</v>
      </c>
      <c r="G25" s="119">
        <f>IF($D25="mg/l",'Raw Data'!G39,'Raw Data'!G39/1000)</f>
        <v>0</v>
      </c>
      <c r="H25" s="119">
        <f>IF($D25="mg/l",'Raw Data'!H39,'Raw Data'!H39/1000)</f>
        <v>0</v>
      </c>
      <c r="I25" s="119">
        <f>IF($D25="mg/l",'Raw Data'!I39,'Raw Data'!I39/1000)</f>
        <v>0</v>
      </c>
      <c r="J25" s="119">
        <f>IF($D25="mg/l",'Raw Data'!J39,'Raw Data'!J39/1000)</f>
        <v>0</v>
      </c>
      <c r="K25" s="119">
        <f>IF($D25="mg/l",'Raw Data'!K39,'Raw Data'!K39/1000)</f>
        <v>0</v>
      </c>
      <c r="L25" s="119">
        <f>IF($D25="mg/l",'Raw Data'!L39,'Raw Data'!L39/1000)</f>
        <v>0</v>
      </c>
      <c r="M25" s="119">
        <f>IF($D25="mg/l",'Raw Data'!M39,'Raw Data'!M39/1000)</f>
        <v>0</v>
      </c>
    </row>
    <row r="26" spans="1:13" x14ac:dyDescent="0.2">
      <c r="A26" s="253">
        <f>'Raw Data'!A40</f>
        <v>0</v>
      </c>
      <c r="B26" s="119">
        <f>'Raw Data'!B40</f>
        <v>0</v>
      </c>
      <c r="C26" s="119">
        <f>'Raw Data'!C40</f>
        <v>0</v>
      </c>
      <c r="D26" s="119">
        <f>'Raw Data'!D40</f>
        <v>0</v>
      </c>
      <c r="E26" s="119">
        <f>IF($D26="mg/l",'Raw Data'!E40,'Raw Data'!E40/1000)</f>
        <v>0</v>
      </c>
      <c r="F26" s="119">
        <f>IF($D26="mg/l",'Raw Data'!F40,'Raw Data'!F40/1000)</f>
        <v>0</v>
      </c>
      <c r="G26" s="119">
        <f>IF($D26="mg/l",'Raw Data'!G40,'Raw Data'!G40/1000)</f>
        <v>0</v>
      </c>
      <c r="H26" s="119">
        <f>IF($D26="mg/l",'Raw Data'!H40,'Raw Data'!H40/1000)</f>
        <v>0</v>
      </c>
      <c r="I26" s="119">
        <f>IF($D26="mg/l",'Raw Data'!I40,'Raw Data'!I40/1000)</f>
        <v>0</v>
      </c>
      <c r="J26" s="119">
        <f>IF($D26="mg/l",'Raw Data'!J40,'Raw Data'!J40/1000)</f>
        <v>0</v>
      </c>
      <c r="K26" s="119">
        <f>IF($D26="mg/l",'Raw Data'!K40,'Raw Data'!K40/1000)</f>
        <v>0</v>
      </c>
      <c r="L26" s="119">
        <f>IF($D26="mg/l",'Raw Data'!L40,'Raw Data'!L40/1000)</f>
        <v>0</v>
      </c>
      <c r="M26" s="119">
        <f>IF($D26="mg/l",'Raw Data'!M40,'Raw Data'!M40/1000)</f>
        <v>0</v>
      </c>
    </row>
    <row r="27" spans="1:13" x14ac:dyDescent="0.2">
      <c r="A27" s="253">
        <f>'Raw Data'!A41</f>
        <v>0</v>
      </c>
      <c r="B27" s="119">
        <f>'Raw Data'!B41</f>
        <v>0</v>
      </c>
      <c r="C27" s="119">
        <f>'Raw Data'!C41</f>
        <v>0</v>
      </c>
      <c r="D27" s="119">
        <f>'Raw Data'!D41</f>
        <v>0</v>
      </c>
      <c r="E27" s="119">
        <f>IF($D27="mg/l",'Raw Data'!E41,'Raw Data'!E41/1000)</f>
        <v>0</v>
      </c>
      <c r="F27" s="119">
        <f>IF($D27="mg/l",'Raw Data'!F41,'Raw Data'!F41/1000)</f>
        <v>0</v>
      </c>
      <c r="G27" s="119">
        <f>IF($D27="mg/l",'Raw Data'!G41,'Raw Data'!G41/1000)</f>
        <v>0</v>
      </c>
      <c r="H27" s="119">
        <f>IF($D27="mg/l",'Raw Data'!H41,'Raw Data'!H41/1000)</f>
        <v>0</v>
      </c>
      <c r="I27" s="119">
        <f>IF($D27="mg/l",'Raw Data'!I41,'Raw Data'!I41/1000)</f>
        <v>0</v>
      </c>
      <c r="J27" s="119">
        <f>IF($D27="mg/l",'Raw Data'!J41,'Raw Data'!J41/1000)</f>
        <v>0</v>
      </c>
      <c r="K27" s="119">
        <f>IF($D27="mg/l",'Raw Data'!K41,'Raw Data'!K41/1000)</f>
        <v>0</v>
      </c>
      <c r="L27" s="119">
        <f>IF($D27="mg/l",'Raw Data'!L41,'Raw Data'!L41/1000)</f>
        <v>0</v>
      </c>
      <c r="M27" s="119">
        <f>IF($D27="mg/l",'Raw Data'!M41,'Raw Data'!M41/1000)</f>
        <v>0</v>
      </c>
    </row>
    <row r="28" spans="1:13" x14ac:dyDescent="0.2">
      <c r="A28" s="253">
        <f>'Raw Data'!A42</f>
        <v>0</v>
      </c>
      <c r="B28" s="119">
        <f>'Raw Data'!B42</f>
        <v>0</v>
      </c>
      <c r="C28" s="119">
        <f>'Raw Data'!C42</f>
        <v>0</v>
      </c>
      <c r="D28" s="119">
        <f>'Raw Data'!D42</f>
        <v>0</v>
      </c>
      <c r="E28" s="119">
        <f>IF($D28="mg/l",'Raw Data'!E42,'Raw Data'!E42/1000)</f>
        <v>0</v>
      </c>
      <c r="F28" s="119">
        <f>IF($D28="mg/l",'Raw Data'!F42,'Raw Data'!F42/1000)</f>
        <v>0</v>
      </c>
      <c r="G28" s="119">
        <f>IF($D28="mg/l",'Raw Data'!G42,'Raw Data'!G42/1000)</f>
        <v>0</v>
      </c>
      <c r="H28" s="119">
        <f>IF($D28="mg/l",'Raw Data'!H42,'Raw Data'!H42/1000)</f>
        <v>0</v>
      </c>
      <c r="I28" s="119">
        <f>IF($D28="mg/l",'Raw Data'!I42,'Raw Data'!I42/1000)</f>
        <v>0</v>
      </c>
      <c r="J28" s="119">
        <f>IF($D28="mg/l",'Raw Data'!J42,'Raw Data'!J42/1000)</f>
        <v>0</v>
      </c>
      <c r="K28" s="119">
        <f>IF($D28="mg/l",'Raw Data'!K42,'Raw Data'!K42/1000)</f>
        <v>0</v>
      </c>
      <c r="L28" s="119">
        <f>IF($D28="mg/l",'Raw Data'!L42,'Raw Data'!L42/1000)</f>
        <v>0</v>
      </c>
      <c r="M28" s="119">
        <f>IF($D28="mg/l",'Raw Data'!M42,'Raw Data'!M42/1000)</f>
        <v>0</v>
      </c>
    </row>
    <row r="29" spans="1:13" x14ac:dyDescent="0.2">
      <c r="A29" s="253">
        <f>'Raw Data'!A43</f>
        <v>0</v>
      </c>
      <c r="B29" s="119">
        <f>'Raw Data'!B43</f>
        <v>0</v>
      </c>
      <c r="C29" s="119">
        <f>'Raw Data'!C43</f>
        <v>0</v>
      </c>
      <c r="D29" s="119">
        <f>'Raw Data'!D43</f>
        <v>0</v>
      </c>
      <c r="E29" s="119">
        <f>IF($D29="mg/l",'Raw Data'!E43,'Raw Data'!E43/1000)</f>
        <v>0</v>
      </c>
      <c r="F29" s="119">
        <f>IF($D29="mg/l",'Raw Data'!F43,'Raw Data'!F43/1000)</f>
        <v>0</v>
      </c>
      <c r="G29" s="119">
        <f>IF($D29="mg/l",'Raw Data'!G43,'Raw Data'!G43/1000)</f>
        <v>0</v>
      </c>
      <c r="H29" s="119">
        <f>IF($D29="mg/l",'Raw Data'!H43,'Raw Data'!H43/1000)</f>
        <v>0</v>
      </c>
      <c r="I29" s="119">
        <f>IF($D29="mg/l",'Raw Data'!I43,'Raw Data'!I43/1000)</f>
        <v>0</v>
      </c>
      <c r="J29" s="119">
        <f>IF($D29="mg/l",'Raw Data'!J43,'Raw Data'!J43/1000)</f>
        <v>0</v>
      </c>
      <c r="K29" s="119">
        <f>IF($D29="mg/l",'Raw Data'!K43,'Raw Data'!K43/1000)</f>
        <v>0</v>
      </c>
      <c r="L29" s="119">
        <f>IF($D29="mg/l",'Raw Data'!L43,'Raw Data'!L43/1000)</f>
        <v>0</v>
      </c>
      <c r="M29" s="119">
        <f>IF($D29="mg/l",'Raw Data'!M43,'Raw Data'!M43/1000)</f>
        <v>0</v>
      </c>
    </row>
    <row r="30" spans="1:13" x14ac:dyDescent="0.2">
      <c r="A30" s="253">
        <f>'Raw Data'!A44</f>
        <v>0</v>
      </c>
      <c r="B30" s="119">
        <f>'Raw Data'!B44</f>
        <v>0</v>
      </c>
      <c r="C30" s="119">
        <f>'Raw Data'!C44</f>
        <v>0</v>
      </c>
      <c r="D30" s="119">
        <f>'Raw Data'!D44</f>
        <v>0</v>
      </c>
      <c r="E30" s="119">
        <f>IF($D30="mg/l",'Raw Data'!E44,'Raw Data'!E44/1000)</f>
        <v>0</v>
      </c>
      <c r="F30" s="119">
        <f>IF($D30="mg/l",'Raw Data'!F44,'Raw Data'!F44/1000)</f>
        <v>0</v>
      </c>
      <c r="G30" s="119">
        <f>IF($D30="mg/l",'Raw Data'!G44,'Raw Data'!G44/1000)</f>
        <v>0</v>
      </c>
      <c r="H30" s="119">
        <f>IF($D30="mg/l",'Raw Data'!H44,'Raw Data'!H44/1000)</f>
        <v>0</v>
      </c>
      <c r="I30" s="119">
        <f>IF($D30="mg/l",'Raw Data'!I44,'Raw Data'!I44/1000)</f>
        <v>0</v>
      </c>
      <c r="J30" s="119">
        <f>IF($D30="mg/l",'Raw Data'!J44,'Raw Data'!J44/1000)</f>
        <v>0</v>
      </c>
      <c r="K30" s="119">
        <f>IF($D30="mg/l",'Raw Data'!K44,'Raw Data'!K44/1000)</f>
        <v>0</v>
      </c>
      <c r="L30" s="119">
        <f>IF($D30="mg/l",'Raw Data'!L44,'Raw Data'!L44/1000)</f>
        <v>0</v>
      </c>
      <c r="M30" s="119">
        <f>IF($D30="mg/l",'Raw Data'!M44,'Raw Data'!M44/1000)</f>
        <v>0</v>
      </c>
    </row>
    <row r="31" spans="1:13" x14ac:dyDescent="0.2">
      <c r="A31" s="253">
        <f>'Raw Data'!A45</f>
        <v>0</v>
      </c>
      <c r="B31" s="119">
        <f>'Raw Data'!B45</f>
        <v>0</v>
      </c>
      <c r="C31" s="119">
        <f>'Raw Data'!C45</f>
        <v>0</v>
      </c>
      <c r="D31" s="119">
        <f>'Raw Data'!D45</f>
        <v>0</v>
      </c>
      <c r="E31" s="119">
        <f>IF($D31="mg/l",'Raw Data'!E45,'Raw Data'!E45/1000)</f>
        <v>0</v>
      </c>
      <c r="F31" s="119">
        <f>IF($D31="mg/l",'Raw Data'!F45,'Raw Data'!F45/1000)</f>
        <v>0</v>
      </c>
      <c r="G31" s="119">
        <f>IF($D31="mg/l",'Raw Data'!G45,'Raw Data'!G45/1000)</f>
        <v>0</v>
      </c>
      <c r="H31" s="119">
        <f>IF($D31="mg/l",'Raw Data'!H45,'Raw Data'!H45/1000)</f>
        <v>0</v>
      </c>
      <c r="I31" s="119">
        <f>IF($D31="mg/l",'Raw Data'!I45,'Raw Data'!I45/1000)</f>
        <v>0</v>
      </c>
      <c r="J31" s="119">
        <f>IF($D31="mg/l",'Raw Data'!J45,'Raw Data'!J45/1000)</f>
        <v>0</v>
      </c>
      <c r="K31" s="119">
        <f>IF($D31="mg/l",'Raw Data'!K45,'Raw Data'!K45/1000)</f>
        <v>0</v>
      </c>
      <c r="L31" s="119">
        <f>IF($D31="mg/l",'Raw Data'!L45,'Raw Data'!L45/1000)</f>
        <v>0</v>
      </c>
      <c r="M31" s="119">
        <f>IF($D31="mg/l",'Raw Data'!M45,'Raw Data'!M45/1000)</f>
        <v>0</v>
      </c>
    </row>
    <row r="32" spans="1:13" x14ac:dyDescent="0.2">
      <c r="A32" s="253">
        <f>'Raw Data'!A46</f>
        <v>0</v>
      </c>
      <c r="B32" s="119">
        <f>'Raw Data'!B46</f>
        <v>0</v>
      </c>
      <c r="C32" s="119">
        <f>'Raw Data'!C46</f>
        <v>0</v>
      </c>
      <c r="D32" s="119">
        <f>'Raw Data'!D46</f>
        <v>0</v>
      </c>
      <c r="E32" s="119">
        <f>IF($D32="mg/l",'Raw Data'!E46,'Raw Data'!E46/1000)</f>
        <v>0</v>
      </c>
      <c r="F32" s="119">
        <f>IF($D32="mg/l",'Raw Data'!F46,'Raw Data'!F46/1000)</f>
        <v>0</v>
      </c>
      <c r="G32" s="119">
        <f>IF($D32="mg/l",'Raw Data'!G46,'Raw Data'!G46/1000)</f>
        <v>0</v>
      </c>
      <c r="H32" s="119">
        <f>IF($D32="mg/l",'Raw Data'!H46,'Raw Data'!H46/1000)</f>
        <v>0</v>
      </c>
      <c r="I32" s="119">
        <f>IF($D32="mg/l",'Raw Data'!I46,'Raw Data'!I46/1000)</f>
        <v>0</v>
      </c>
      <c r="J32" s="119">
        <f>IF($D32="mg/l",'Raw Data'!J46,'Raw Data'!J46/1000)</f>
        <v>0</v>
      </c>
      <c r="K32" s="119">
        <f>IF($D32="mg/l",'Raw Data'!K46,'Raw Data'!K46/1000)</f>
        <v>0</v>
      </c>
      <c r="L32" s="119">
        <f>IF($D32="mg/l",'Raw Data'!L46,'Raw Data'!L46/1000)</f>
        <v>0</v>
      </c>
      <c r="M32" s="119">
        <f>IF($D32="mg/l",'Raw Data'!M46,'Raw Data'!M46/1000)</f>
        <v>0</v>
      </c>
    </row>
    <row r="33" spans="1:13" x14ac:dyDescent="0.2">
      <c r="A33" s="253">
        <f>'Raw Data'!A47</f>
        <v>0</v>
      </c>
      <c r="B33" s="119">
        <f>'Raw Data'!B47</f>
        <v>0</v>
      </c>
      <c r="C33" s="119">
        <f>'Raw Data'!C47</f>
        <v>0</v>
      </c>
      <c r="D33" s="119">
        <f>'Raw Data'!D47</f>
        <v>0</v>
      </c>
      <c r="E33" s="119">
        <f>IF($D33="mg/l",'Raw Data'!E47,'Raw Data'!E47/1000)</f>
        <v>0</v>
      </c>
      <c r="F33" s="119">
        <f>IF($D33="mg/l",'Raw Data'!F47,'Raw Data'!F47/1000)</f>
        <v>0</v>
      </c>
      <c r="G33" s="119">
        <f>IF($D33="mg/l",'Raw Data'!G47,'Raw Data'!G47/1000)</f>
        <v>0</v>
      </c>
      <c r="H33" s="119">
        <f>IF($D33="mg/l",'Raw Data'!H47,'Raw Data'!H47/1000)</f>
        <v>0</v>
      </c>
      <c r="I33" s="119">
        <f>IF($D33="mg/l",'Raw Data'!I47,'Raw Data'!I47/1000)</f>
        <v>0</v>
      </c>
      <c r="J33" s="119">
        <f>IF($D33="mg/l",'Raw Data'!J47,'Raw Data'!J47/1000)</f>
        <v>0</v>
      </c>
      <c r="K33" s="119">
        <f>IF($D33="mg/l",'Raw Data'!K47,'Raw Data'!K47/1000)</f>
        <v>0</v>
      </c>
      <c r="L33" s="119">
        <f>IF($D33="mg/l",'Raw Data'!L47,'Raw Data'!L47/1000)</f>
        <v>0</v>
      </c>
      <c r="M33" s="119">
        <f>IF($D33="mg/l",'Raw Data'!M47,'Raw Data'!M47/1000)</f>
        <v>0</v>
      </c>
    </row>
    <row r="34" spans="1:13" x14ac:dyDescent="0.2">
      <c r="A34" s="253">
        <f>'Raw Data'!A48</f>
        <v>0</v>
      </c>
      <c r="B34" s="119">
        <f>'Raw Data'!B48</f>
        <v>0</v>
      </c>
      <c r="C34" s="119">
        <f>'Raw Data'!C48</f>
        <v>0</v>
      </c>
      <c r="D34" s="119">
        <f>'Raw Data'!D48</f>
        <v>0</v>
      </c>
      <c r="E34" s="119">
        <f>IF($D34="mg/l",'Raw Data'!E48,'Raw Data'!E48/1000)</f>
        <v>0</v>
      </c>
      <c r="F34" s="119">
        <f>IF($D34="mg/l",'Raw Data'!F48,'Raw Data'!F48/1000)</f>
        <v>0</v>
      </c>
      <c r="G34" s="119">
        <f>IF($D34="mg/l",'Raw Data'!G48,'Raw Data'!G48/1000)</f>
        <v>0</v>
      </c>
      <c r="H34" s="119">
        <f>IF($D34="mg/l",'Raw Data'!H48,'Raw Data'!H48/1000)</f>
        <v>0</v>
      </c>
      <c r="I34" s="119">
        <f>IF($D34="mg/l",'Raw Data'!I48,'Raw Data'!I48/1000)</f>
        <v>0</v>
      </c>
      <c r="J34" s="119">
        <f>IF($D34="mg/l",'Raw Data'!J48,'Raw Data'!J48/1000)</f>
        <v>0</v>
      </c>
      <c r="K34" s="119">
        <f>IF($D34="mg/l",'Raw Data'!K48,'Raw Data'!K48/1000)</f>
        <v>0</v>
      </c>
      <c r="L34" s="119">
        <f>IF($D34="mg/l",'Raw Data'!L48,'Raw Data'!L48/1000)</f>
        <v>0</v>
      </c>
      <c r="M34" s="119">
        <f>IF($D34="mg/l",'Raw Data'!M48,'Raw Data'!M48/1000)</f>
        <v>0</v>
      </c>
    </row>
    <row r="35" spans="1:13" x14ac:dyDescent="0.2">
      <c r="A35" s="253">
        <f>'Raw Data'!A49</f>
        <v>0</v>
      </c>
      <c r="B35" s="119">
        <f>'Raw Data'!B49</f>
        <v>0</v>
      </c>
      <c r="C35" s="119">
        <f>'Raw Data'!C49</f>
        <v>0</v>
      </c>
      <c r="D35" s="119">
        <f>'Raw Data'!D49</f>
        <v>0</v>
      </c>
      <c r="E35" s="119">
        <f>IF($D35="mg/l",'Raw Data'!E49,'Raw Data'!E49/1000)</f>
        <v>0</v>
      </c>
      <c r="F35" s="119">
        <f>IF($D35="mg/l",'Raw Data'!F49,'Raw Data'!F49/1000)</f>
        <v>0</v>
      </c>
      <c r="G35" s="119">
        <f>IF($D35="mg/l",'Raw Data'!G49,'Raw Data'!G49/1000)</f>
        <v>0</v>
      </c>
      <c r="H35" s="119">
        <f>IF($D35="mg/l",'Raw Data'!H49,'Raw Data'!H49/1000)</f>
        <v>0</v>
      </c>
      <c r="I35" s="119">
        <f>IF($D35="mg/l",'Raw Data'!I49,'Raw Data'!I49/1000)</f>
        <v>0</v>
      </c>
      <c r="J35" s="119">
        <f>IF($D35="mg/l",'Raw Data'!J49,'Raw Data'!J49/1000)</f>
        <v>0</v>
      </c>
      <c r="K35" s="119">
        <f>IF($D35="mg/l",'Raw Data'!K49,'Raw Data'!K49/1000)</f>
        <v>0</v>
      </c>
      <c r="L35" s="119">
        <f>IF($D35="mg/l",'Raw Data'!L49,'Raw Data'!L49/1000)</f>
        <v>0</v>
      </c>
      <c r="M35" s="119">
        <f>IF($D35="mg/l",'Raw Data'!M49,'Raw Data'!M49/1000)</f>
        <v>0</v>
      </c>
    </row>
    <row r="36" spans="1:13" x14ac:dyDescent="0.2">
      <c r="A36" s="253">
        <f>'Raw Data'!A50</f>
        <v>0</v>
      </c>
      <c r="B36" s="119">
        <f>'Raw Data'!B50</f>
        <v>0</v>
      </c>
      <c r="C36" s="119">
        <f>'Raw Data'!C50</f>
        <v>0</v>
      </c>
      <c r="D36" s="119">
        <f>'Raw Data'!D50</f>
        <v>0</v>
      </c>
      <c r="E36" s="119">
        <f>IF($D36="mg/l",'Raw Data'!E50,'Raw Data'!E50/1000)</f>
        <v>0</v>
      </c>
      <c r="F36" s="119">
        <f>IF($D36="mg/l",'Raw Data'!F50,'Raw Data'!F50/1000)</f>
        <v>0</v>
      </c>
      <c r="G36" s="119">
        <f>IF($D36="mg/l",'Raw Data'!G50,'Raw Data'!G50/1000)</f>
        <v>0</v>
      </c>
      <c r="H36" s="119">
        <f>IF($D36="mg/l",'Raw Data'!H50,'Raw Data'!H50/1000)</f>
        <v>0</v>
      </c>
      <c r="I36" s="119">
        <f>IF($D36="mg/l",'Raw Data'!I50,'Raw Data'!I50/1000)</f>
        <v>0</v>
      </c>
      <c r="J36" s="119">
        <f>IF($D36="mg/l",'Raw Data'!J50,'Raw Data'!J50/1000)</f>
        <v>0</v>
      </c>
      <c r="K36" s="119">
        <f>IF($D36="mg/l",'Raw Data'!K50,'Raw Data'!K50/1000)</f>
        <v>0</v>
      </c>
      <c r="L36" s="119">
        <f>IF($D36="mg/l",'Raw Data'!L50,'Raw Data'!L50/1000)</f>
        <v>0</v>
      </c>
      <c r="M36" s="119">
        <f>IF($D36="mg/l",'Raw Data'!M50,'Raw Data'!M50/1000)</f>
        <v>0</v>
      </c>
    </row>
    <row r="37" spans="1:13" x14ac:dyDescent="0.2">
      <c r="A37" s="253">
        <f>'Raw Data'!A51</f>
        <v>0</v>
      </c>
      <c r="B37" s="119">
        <f>'Raw Data'!B51</f>
        <v>0</v>
      </c>
      <c r="C37" s="119">
        <f>'Raw Data'!C51</f>
        <v>0</v>
      </c>
      <c r="D37" s="119">
        <f>'Raw Data'!D51</f>
        <v>0</v>
      </c>
      <c r="E37" s="119">
        <f>IF($D37="mg/l",'Raw Data'!E51,'Raw Data'!E51/1000)</f>
        <v>0</v>
      </c>
      <c r="F37" s="119">
        <f>IF($D37="mg/l",'Raw Data'!F51,'Raw Data'!F51/1000)</f>
        <v>0</v>
      </c>
      <c r="G37" s="119">
        <f>IF($D37="mg/l",'Raw Data'!G51,'Raw Data'!G51/1000)</f>
        <v>0</v>
      </c>
      <c r="H37" s="119">
        <f>IF($D37="mg/l",'Raw Data'!H51,'Raw Data'!H51/1000)</f>
        <v>0</v>
      </c>
      <c r="I37" s="119">
        <f>IF($D37="mg/l",'Raw Data'!I51,'Raw Data'!I51/1000)</f>
        <v>0</v>
      </c>
      <c r="J37" s="119">
        <f>IF($D37="mg/l",'Raw Data'!J51,'Raw Data'!J51/1000)</f>
        <v>0</v>
      </c>
      <c r="K37" s="119">
        <f>IF($D37="mg/l",'Raw Data'!K51,'Raw Data'!K51/1000)</f>
        <v>0</v>
      </c>
      <c r="L37" s="119">
        <f>IF($D37="mg/l",'Raw Data'!L51,'Raw Data'!L51/1000)</f>
        <v>0</v>
      </c>
      <c r="M37" s="119">
        <f>IF($D37="mg/l",'Raw Data'!M51,'Raw Data'!M51/1000)</f>
        <v>0</v>
      </c>
    </row>
    <row r="38" spans="1:13" x14ac:dyDescent="0.2">
      <c r="A38" s="253">
        <f>'Raw Data'!A52</f>
        <v>0</v>
      </c>
      <c r="B38" s="119">
        <f>'Raw Data'!B52</f>
        <v>0</v>
      </c>
      <c r="C38" s="119">
        <f>'Raw Data'!C52</f>
        <v>0</v>
      </c>
      <c r="D38" s="119">
        <f>'Raw Data'!D52</f>
        <v>0</v>
      </c>
      <c r="E38" s="119">
        <f>IF($D38="mg/l",'Raw Data'!E52,'Raw Data'!E52/1000)</f>
        <v>0</v>
      </c>
      <c r="F38" s="119">
        <f>IF($D38="mg/l",'Raw Data'!F52,'Raw Data'!F52/1000)</f>
        <v>0</v>
      </c>
      <c r="G38" s="119">
        <f>IF($D38="mg/l",'Raw Data'!G52,'Raw Data'!G52/1000)</f>
        <v>0</v>
      </c>
      <c r="H38" s="119">
        <f>IF($D38="mg/l",'Raw Data'!H52,'Raw Data'!H52/1000)</f>
        <v>0</v>
      </c>
      <c r="I38" s="119">
        <f>IF($D38="mg/l",'Raw Data'!I52,'Raw Data'!I52/1000)</f>
        <v>0</v>
      </c>
      <c r="J38" s="119">
        <f>IF($D38="mg/l",'Raw Data'!J52,'Raw Data'!J52/1000)</f>
        <v>0</v>
      </c>
      <c r="K38" s="119">
        <f>IF($D38="mg/l",'Raw Data'!K52,'Raw Data'!K52/1000)</f>
        <v>0</v>
      </c>
      <c r="L38" s="119">
        <f>IF($D38="mg/l",'Raw Data'!L52,'Raw Data'!L52/1000)</f>
        <v>0</v>
      </c>
      <c r="M38" s="119">
        <f>IF($D38="mg/l",'Raw Data'!M52,'Raw Data'!M52/1000)</f>
        <v>0</v>
      </c>
    </row>
    <row r="39" spans="1:13" x14ac:dyDescent="0.2">
      <c r="A39" s="253">
        <f>'Raw Data'!A53</f>
        <v>0</v>
      </c>
      <c r="B39" s="119">
        <f>'Raw Data'!B53</f>
        <v>0</v>
      </c>
      <c r="C39" s="119">
        <f>'Raw Data'!C53</f>
        <v>0</v>
      </c>
      <c r="D39" s="119">
        <f>'Raw Data'!D53</f>
        <v>0</v>
      </c>
      <c r="E39" s="119">
        <f>IF($D39="mg/l",'Raw Data'!E53,'Raw Data'!E53/1000)</f>
        <v>0</v>
      </c>
      <c r="F39" s="119">
        <f>IF($D39="mg/l",'Raw Data'!F53,'Raw Data'!F53/1000)</f>
        <v>0</v>
      </c>
      <c r="G39" s="119">
        <f>IF($D39="mg/l",'Raw Data'!G53,'Raw Data'!G53/1000)</f>
        <v>0</v>
      </c>
      <c r="H39" s="119">
        <f>IF($D39="mg/l",'Raw Data'!H53,'Raw Data'!H53/1000)</f>
        <v>0</v>
      </c>
      <c r="I39" s="119">
        <f>IF($D39="mg/l",'Raw Data'!I53,'Raw Data'!I53/1000)</f>
        <v>0</v>
      </c>
      <c r="J39" s="119">
        <f>IF($D39="mg/l",'Raw Data'!J53,'Raw Data'!J53/1000)</f>
        <v>0</v>
      </c>
      <c r="K39" s="119">
        <f>IF($D39="mg/l",'Raw Data'!K53,'Raw Data'!K53/1000)</f>
        <v>0</v>
      </c>
      <c r="L39" s="119">
        <f>IF($D39="mg/l",'Raw Data'!L53,'Raw Data'!L53/1000)</f>
        <v>0</v>
      </c>
      <c r="M39" s="119">
        <f>IF($D39="mg/l",'Raw Data'!M53,'Raw Data'!M53/1000)</f>
        <v>0</v>
      </c>
    </row>
    <row r="40" spans="1:13" x14ac:dyDescent="0.2">
      <c r="A40" s="253">
        <f>'Raw Data'!A54</f>
        <v>0</v>
      </c>
      <c r="B40" s="119">
        <f>'Raw Data'!B54</f>
        <v>0</v>
      </c>
      <c r="C40" s="119">
        <f>'Raw Data'!C54</f>
        <v>0</v>
      </c>
      <c r="D40" s="119">
        <f>'Raw Data'!D54</f>
        <v>0</v>
      </c>
      <c r="E40" s="119">
        <f>IF($D40="mg/l",'Raw Data'!E54,'Raw Data'!E54/1000)</f>
        <v>0</v>
      </c>
      <c r="F40" s="119">
        <f>IF($D40="mg/l",'Raw Data'!F54,'Raw Data'!F54/1000)</f>
        <v>0</v>
      </c>
      <c r="G40" s="119">
        <f>IF($D40="mg/l",'Raw Data'!G54,'Raw Data'!G54/1000)</f>
        <v>0</v>
      </c>
      <c r="H40" s="119">
        <f>IF($D40="mg/l",'Raw Data'!H54,'Raw Data'!H54/1000)</f>
        <v>0</v>
      </c>
      <c r="I40" s="119">
        <f>IF($D40="mg/l",'Raw Data'!I54,'Raw Data'!I54/1000)</f>
        <v>0</v>
      </c>
      <c r="J40" s="119">
        <f>IF($D40="mg/l",'Raw Data'!J54,'Raw Data'!J54/1000)</f>
        <v>0</v>
      </c>
      <c r="K40" s="119">
        <f>IF($D40="mg/l",'Raw Data'!K54,'Raw Data'!K54/1000)</f>
        <v>0</v>
      </c>
      <c r="L40" s="119">
        <f>IF($D40="mg/l",'Raw Data'!L54,'Raw Data'!L54/1000)</f>
        <v>0</v>
      </c>
      <c r="M40" s="119">
        <f>IF($D40="mg/l",'Raw Data'!M54,'Raw Data'!M54/1000)</f>
        <v>0</v>
      </c>
    </row>
    <row r="41" spans="1:13" x14ac:dyDescent="0.2">
      <c r="A41" s="253">
        <f>'Raw Data'!A55</f>
        <v>0</v>
      </c>
      <c r="B41" s="119">
        <f>'Raw Data'!B55</f>
        <v>0</v>
      </c>
      <c r="C41" s="119">
        <f>'Raw Data'!C55</f>
        <v>0</v>
      </c>
      <c r="D41" s="119">
        <f>'Raw Data'!D55</f>
        <v>0</v>
      </c>
      <c r="E41" s="119">
        <f>IF($D41="mg/l",'Raw Data'!E55,'Raw Data'!E55/1000)</f>
        <v>0</v>
      </c>
      <c r="F41" s="119">
        <f>IF($D41="mg/l",'Raw Data'!F55,'Raw Data'!F55/1000)</f>
        <v>0</v>
      </c>
      <c r="G41" s="119">
        <f>IF($D41="mg/l",'Raw Data'!G55,'Raw Data'!G55/1000)</f>
        <v>0</v>
      </c>
      <c r="H41" s="119">
        <f>IF($D41="mg/l",'Raw Data'!H55,'Raw Data'!H55/1000)</f>
        <v>0</v>
      </c>
      <c r="I41" s="119">
        <f>IF($D41="mg/l",'Raw Data'!I55,'Raw Data'!I55/1000)</f>
        <v>0</v>
      </c>
      <c r="J41" s="119">
        <f>IF($D41="mg/l",'Raw Data'!J55,'Raw Data'!J55/1000)</f>
        <v>0</v>
      </c>
      <c r="K41" s="119">
        <f>IF($D41="mg/l",'Raw Data'!K55,'Raw Data'!K55/1000)</f>
        <v>0</v>
      </c>
      <c r="L41" s="119">
        <f>IF($D41="mg/l",'Raw Data'!L55,'Raw Data'!L55/1000)</f>
        <v>0</v>
      </c>
      <c r="M41" s="119">
        <f>IF($D41="mg/l",'Raw Data'!M55,'Raw Data'!M55/1000)</f>
        <v>0</v>
      </c>
    </row>
    <row r="42" spans="1:13" x14ac:dyDescent="0.2">
      <c r="A42" s="253">
        <f>'Raw Data'!A56</f>
        <v>0</v>
      </c>
      <c r="B42" s="119">
        <f>'Raw Data'!B56</f>
        <v>0</v>
      </c>
      <c r="C42" s="119">
        <f>'Raw Data'!C56</f>
        <v>0</v>
      </c>
      <c r="D42" s="119">
        <f>'Raw Data'!D56</f>
        <v>0</v>
      </c>
      <c r="E42" s="119">
        <f>IF($D42="mg/l",'Raw Data'!E56,'Raw Data'!E56/1000)</f>
        <v>0</v>
      </c>
      <c r="F42" s="119">
        <f>IF($D42="mg/l",'Raw Data'!F56,'Raw Data'!F56/1000)</f>
        <v>0</v>
      </c>
      <c r="G42" s="119">
        <f>IF($D42="mg/l",'Raw Data'!G56,'Raw Data'!G56/1000)</f>
        <v>0</v>
      </c>
      <c r="H42" s="119">
        <f>IF($D42="mg/l",'Raw Data'!H56,'Raw Data'!H56/1000)</f>
        <v>0</v>
      </c>
      <c r="I42" s="119">
        <f>IF($D42="mg/l",'Raw Data'!I56,'Raw Data'!I56/1000)</f>
        <v>0</v>
      </c>
      <c r="J42" s="119">
        <f>IF($D42="mg/l",'Raw Data'!J56,'Raw Data'!J56/1000)</f>
        <v>0</v>
      </c>
      <c r="K42" s="119">
        <f>IF($D42="mg/l",'Raw Data'!K56,'Raw Data'!K56/1000)</f>
        <v>0</v>
      </c>
      <c r="L42" s="119">
        <f>IF($D42="mg/l",'Raw Data'!L56,'Raw Data'!L56/1000)</f>
        <v>0</v>
      </c>
      <c r="M42" s="119">
        <f>IF($D42="mg/l",'Raw Data'!M56,'Raw Data'!M56/1000)</f>
        <v>0</v>
      </c>
    </row>
    <row r="43" spans="1:13" x14ac:dyDescent="0.2">
      <c r="A43" s="253">
        <f>'Raw Data'!A57</f>
        <v>0</v>
      </c>
      <c r="B43" s="119">
        <f>'Raw Data'!B57</f>
        <v>0</v>
      </c>
      <c r="C43" s="119">
        <f>'Raw Data'!C57</f>
        <v>0</v>
      </c>
      <c r="D43" s="119">
        <f>'Raw Data'!D57</f>
        <v>0</v>
      </c>
      <c r="E43" s="119">
        <f>IF($D43="mg/l",'Raw Data'!E57,'Raw Data'!E57/1000)</f>
        <v>0</v>
      </c>
      <c r="F43" s="119">
        <f>IF($D43="mg/l",'Raw Data'!F57,'Raw Data'!F57/1000)</f>
        <v>0</v>
      </c>
      <c r="G43" s="119">
        <f>IF($D43="mg/l",'Raw Data'!G57,'Raw Data'!G57/1000)</f>
        <v>0</v>
      </c>
      <c r="H43" s="119">
        <f>IF($D43="mg/l",'Raw Data'!H57,'Raw Data'!H57/1000)</f>
        <v>0</v>
      </c>
      <c r="I43" s="119">
        <f>IF($D43="mg/l",'Raw Data'!I57,'Raw Data'!I57/1000)</f>
        <v>0</v>
      </c>
      <c r="J43" s="119">
        <f>IF($D43="mg/l",'Raw Data'!J57,'Raw Data'!J57/1000)</f>
        <v>0</v>
      </c>
      <c r="K43" s="119">
        <f>IF($D43="mg/l",'Raw Data'!K57,'Raw Data'!K57/1000)</f>
        <v>0</v>
      </c>
      <c r="L43" s="119">
        <f>IF($D43="mg/l",'Raw Data'!L57,'Raw Data'!L57/1000)</f>
        <v>0</v>
      </c>
      <c r="M43" s="119">
        <f>IF($D43="mg/l",'Raw Data'!M57,'Raw Data'!M57/1000)</f>
        <v>0</v>
      </c>
    </row>
    <row r="44" spans="1:13" x14ac:dyDescent="0.2">
      <c r="A44" s="253">
        <f>'Raw Data'!A58</f>
        <v>0</v>
      </c>
      <c r="B44" s="119">
        <f>'Raw Data'!B58</f>
        <v>0</v>
      </c>
      <c r="C44" s="119">
        <f>'Raw Data'!C58</f>
        <v>0</v>
      </c>
      <c r="D44" s="119">
        <f>'Raw Data'!D58</f>
        <v>0</v>
      </c>
      <c r="E44" s="119">
        <f>IF($D44="mg/l",'Raw Data'!E58,'Raw Data'!E58/1000)</f>
        <v>0</v>
      </c>
      <c r="F44" s="119">
        <f>IF($D44="mg/l",'Raw Data'!F58,'Raw Data'!F58/1000)</f>
        <v>0</v>
      </c>
      <c r="G44" s="119">
        <f>IF($D44="mg/l",'Raw Data'!G58,'Raw Data'!G58/1000)</f>
        <v>0</v>
      </c>
      <c r="H44" s="119">
        <f>IF($D44="mg/l",'Raw Data'!H58,'Raw Data'!H58/1000)</f>
        <v>0</v>
      </c>
      <c r="I44" s="119">
        <f>IF($D44="mg/l",'Raw Data'!I58,'Raw Data'!I58/1000)</f>
        <v>0</v>
      </c>
      <c r="J44" s="119">
        <f>IF($D44="mg/l",'Raw Data'!J58,'Raw Data'!J58/1000)</f>
        <v>0</v>
      </c>
      <c r="K44" s="119">
        <f>IF($D44="mg/l",'Raw Data'!K58,'Raw Data'!K58/1000)</f>
        <v>0</v>
      </c>
      <c r="L44" s="119">
        <f>IF($D44="mg/l",'Raw Data'!L58,'Raw Data'!L58/1000)</f>
        <v>0</v>
      </c>
      <c r="M44" s="119">
        <f>IF($D44="mg/l",'Raw Data'!M58,'Raw Data'!M58/1000)</f>
        <v>0</v>
      </c>
    </row>
    <row r="45" spans="1:13" x14ac:dyDescent="0.2">
      <c r="A45" s="253">
        <f>'Raw Data'!A59</f>
        <v>0</v>
      </c>
      <c r="B45" s="119">
        <f>'Raw Data'!B59</f>
        <v>0</v>
      </c>
      <c r="C45" s="119">
        <f>'Raw Data'!C59</f>
        <v>0</v>
      </c>
      <c r="D45" s="119">
        <f>'Raw Data'!D59</f>
        <v>0</v>
      </c>
      <c r="E45" s="119">
        <f>IF($D45="mg/l",'Raw Data'!E59,'Raw Data'!E59/1000)</f>
        <v>0</v>
      </c>
      <c r="F45" s="119">
        <f>IF($D45="mg/l",'Raw Data'!F59,'Raw Data'!F59/1000)</f>
        <v>0</v>
      </c>
      <c r="G45" s="119">
        <f>IF($D45="mg/l",'Raw Data'!G59,'Raw Data'!G59/1000)</f>
        <v>0</v>
      </c>
      <c r="H45" s="119">
        <f>IF($D45="mg/l",'Raw Data'!H59,'Raw Data'!H59/1000)</f>
        <v>0</v>
      </c>
      <c r="I45" s="119">
        <f>IF($D45="mg/l",'Raw Data'!I59,'Raw Data'!I59/1000)</f>
        <v>0</v>
      </c>
      <c r="J45" s="119">
        <f>IF($D45="mg/l",'Raw Data'!J59,'Raw Data'!J59/1000)</f>
        <v>0</v>
      </c>
      <c r="K45" s="119">
        <f>IF($D45="mg/l",'Raw Data'!K59,'Raw Data'!K59/1000)</f>
        <v>0</v>
      </c>
      <c r="L45" s="119">
        <f>IF($D45="mg/l",'Raw Data'!L59,'Raw Data'!L59/1000)</f>
        <v>0</v>
      </c>
      <c r="M45" s="119">
        <f>IF($D45="mg/l",'Raw Data'!M59,'Raw Data'!M59/1000)</f>
        <v>0</v>
      </c>
    </row>
    <row r="46" spans="1:13" x14ac:dyDescent="0.2">
      <c r="A46" s="253">
        <f>'Raw Data'!A60</f>
        <v>0</v>
      </c>
      <c r="B46" s="119">
        <f>'Raw Data'!B60</f>
        <v>0</v>
      </c>
      <c r="C46" s="119">
        <f>'Raw Data'!C60</f>
        <v>0</v>
      </c>
      <c r="D46" s="119">
        <f>'Raw Data'!D60</f>
        <v>0</v>
      </c>
      <c r="E46" s="119">
        <f>IF($D46="mg/l",'Raw Data'!E60,'Raw Data'!E60/1000)</f>
        <v>0</v>
      </c>
      <c r="F46" s="119">
        <f>IF($D46="mg l-¹",'Raw Data'!F60,'Raw Data'!F60/1000)</f>
        <v>0</v>
      </c>
      <c r="G46" s="119">
        <f>IF($D46="mg l-¹",'Raw Data'!G60,'Raw Data'!G60/1000)</f>
        <v>0</v>
      </c>
      <c r="H46" s="119">
        <f>IF($D46="mg l-¹",'Raw Data'!H60,'Raw Data'!H60/1000)</f>
        <v>0</v>
      </c>
      <c r="I46" s="119">
        <f>IF($D46="mg l-¹",'Raw Data'!I60,'Raw Data'!I60/1000)</f>
        <v>0</v>
      </c>
      <c r="J46" s="119">
        <f>IF($D46="mg l-¹",'Raw Data'!J60,'Raw Data'!J60/1000)</f>
        <v>0</v>
      </c>
      <c r="K46" s="119">
        <f>IF($D46="mg l-¹",'Raw Data'!K60,'Raw Data'!K60/1000)</f>
        <v>0</v>
      </c>
      <c r="L46" s="119">
        <f>IF($D46="mg l-¹",'Raw Data'!L60,'Raw Data'!L60/1000)</f>
        <v>0</v>
      </c>
      <c r="M46" s="119">
        <f>IF($D46="mg l-¹",'Raw Data'!M60,'Raw Data'!M60/1000)</f>
        <v>0</v>
      </c>
    </row>
    <row r="47" spans="1:13" x14ac:dyDescent="0.2">
      <c r="A47" s="253">
        <f>'Raw Data'!A61</f>
        <v>0</v>
      </c>
      <c r="B47" s="119">
        <f>'Raw Data'!B61</f>
        <v>0</v>
      </c>
      <c r="C47" s="119">
        <f>'Raw Data'!C61</f>
        <v>0</v>
      </c>
      <c r="D47" s="119">
        <f>'Raw Data'!D61</f>
        <v>0</v>
      </c>
      <c r="E47" s="119">
        <f>IF($D47="mg/l",'Raw Data'!E61,'Raw Data'!E61/1000)</f>
        <v>0</v>
      </c>
      <c r="F47" s="119">
        <f>IF($D47="mg l-¹",'Raw Data'!F61,'Raw Data'!F61/1000)</f>
        <v>0</v>
      </c>
      <c r="G47" s="119">
        <f>IF($D47="mg l-¹",'Raw Data'!G61,'Raw Data'!G61/1000)</f>
        <v>0</v>
      </c>
      <c r="H47" s="119">
        <f>IF($D47="mg l-¹",'Raw Data'!H61,'Raw Data'!H61/1000)</f>
        <v>0</v>
      </c>
      <c r="I47" s="119">
        <f>IF($D47="mg l-¹",'Raw Data'!I61,'Raw Data'!I61/1000)</f>
        <v>0</v>
      </c>
      <c r="J47" s="119">
        <f>IF($D47="mg l-¹",'Raw Data'!J61,'Raw Data'!J61/1000)</f>
        <v>0</v>
      </c>
      <c r="K47" s="119">
        <f>IF($D47="mg l-¹",'Raw Data'!K61,'Raw Data'!K61/1000)</f>
        <v>0</v>
      </c>
      <c r="L47" s="119">
        <f>IF($D47="mg l-¹",'Raw Data'!L61,'Raw Data'!L61/1000)</f>
        <v>0</v>
      </c>
      <c r="M47" s="119">
        <f>IF($D47="mg l-¹",'Raw Data'!M61,'Raw Data'!M61/1000)</f>
        <v>0</v>
      </c>
    </row>
    <row r="48" spans="1:13" x14ac:dyDescent="0.2">
      <c r="A48" s="253">
        <f>'Raw Data'!A62</f>
        <v>0</v>
      </c>
      <c r="B48" s="119">
        <f>'Raw Data'!B62</f>
        <v>0</v>
      </c>
      <c r="C48" s="119">
        <f>'Raw Data'!C62</f>
        <v>0</v>
      </c>
      <c r="D48" s="119">
        <f>'Raw Data'!D62</f>
        <v>0</v>
      </c>
      <c r="E48" s="119">
        <f>IF($D48="mg/l",'Raw Data'!E62,'Raw Data'!E62/1000)</f>
        <v>0</v>
      </c>
      <c r="F48" s="119">
        <f>IF($D48="mg l-¹",'Raw Data'!F62,'Raw Data'!F62/1000)</f>
        <v>0</v>
      </c>
      <c r="G48" s="119">
        <f>IF($D48="mg l-¹",'Raw Data'!G62,'Raw Data'!G62/1000)</f>
        <v>0</v>
      </c>
      <c r="H48" s="119">
        <f>IF($D48="mg l-¹",'Raw Data'!H62,'Raw Data'!H62/1000)</f>
        <v>0</v>
      </c>
      <c r="I48" s="119">
        <f>IF($D48="mg l-¹",'Raw Data'!I62,'Raw Data'!I62/1000)</f>
        <v>0</v>
      </c>
      <c r="J48" s="119">
        <f>IF($D48="mg l-¹",'Raw Data'!J62,'Raw Data'!J62/1000)</f>
        <v>0</v>
      </c>
      <c r="K48" s="119">
        <f>IF($D48="mg l-¹",'Raw Data'!K62,'Raw Data'!K62/1000)</f>
        <v>0</v>
      </c>
      <c r="L48" s="119">
        <f>IF($D48="mg l-¹",'Raw Data'!L62,'Raw Data'!L62/1000)</f>
        <v>0</v>
      </c>
      <c r="M48" s="119">
        <f>IF($D48="mg l-¹",'Raw Data'!M62,'Raw Data'!M62/1000)</f>
        <v>0</v>
      </c>
    </row>
    <row r="49" spans="1:13" x14ac:dyDescent="0.2">
      <c r="A49" s="253">
        <f>'Raw Data'!A63</f>
        <v>0</v>
      </c>
      <c r="B49" s="119">
        <f>'Raw Data'!B63</f>
        <v>0</v>
      </c>
      <c r="C49" s="119">
        <f>'Raw Data'!C63</f>
        <v>0</v>
      </c>
      <c r="D49" s="119">
        <f>'Raw Data'!D63</f>
        <v>0</v>
      </c>
      <c r="E49" s="119">
        <f>IF($D49="mg/l",'Raw Data'!E63,'Raw Data'!E63/1000)</f>
        <v>0</v>
      </c>
      <c r="F49" s="119">
        <f>IF($D49="mg l-¹",'Raw Data'!F63,'Raw Data'!F63/1000)</f>
        <v>0</v>
      </c>
      <c r="G49" s="119">
        <f>IF($D49="mg l-¹",'Raw Data'!G63,'Raw Data'!G63/1000)</f>
        <v>0</v>
      </c>
      <c r="H49" s="119">
        <f>IF($D49="mg l-¹",'Raw Data'!H63,'Raw Data'!H63/1000)</f>
        <v>0</v>
      </c>
      <c r="I49" s="119">
        <f>IF($D49="mg l-¹",'Raw Data'!I63,'Raw Data'!I63/1000)</f>
        <v>0</v>
      </c>
      <c r="J49" s="119">
        <f>IF($D49="mg l-¹",'Raw Data'!J63,'Raw Data'!J63/1000)</f>
        <v>0</v>
      </c>
      <c r="K49" s="119">
        <f>IF($D49="mg l-¹",'Raw Data'!K63,'Raw Data'!K63/1000)</f>
        <v>0</v>
      </c>
      <c r="L49" s="119">
        <f>IF($D49="mg l-¹",'Raw Data'!L63,'Raw Data'!L63/1000)</f>
        <v>0</v>
      </c>
      <c r="M49" s="119">
        <f>IF($D49="mg l-¹",'Raw Data'!M63,'Raw Data'!M63/1000)</f>
        <v>0</v>
      </c>
    </row>
    <row r="50" spans="1:13" x14ac:dyDescent="0.2">
      <c r="A50" s="253">
        <f>'Raw Data'!A64</f>
        <v>0</v>
      </c>
      <c r="B50" s="253">
        <f>'Raw Data'!B64</f>
        <v>0</v>
      </c>
      <c r="C50" s="253">
        <f>'Raw Data'!C64</f>
        <v>0</v>
      </c>
      <c r="D50" s="253">
        <f>'Raw Data'!D64</f>
        <v>0</v>
      </c>
      <c r="E50" s="119">
        <f>IF($D50="mg/l",'Raw Data'!E64,'Raw Data'!E64/1000)</f>
        <v>0</v>
      </c>
      <c r="F50" s="253">
        <f>IF($D50="mg l-¹",'Raw Data'!F64,'Raw Data'!F64/1000)</f>
        <v>0</v>
      </c>
      <c r="G50" s="253">
        <f>IF($D50="mg l-¹",'Raw Data'!G64,'Raw Data'!G64/1000)</f>
        <v>0</v>
      </c>
      <c r="H50" s="253">
        <f>IF($D50="mg l-¹",'Raw Data'!H64,'Raw Data'!H64/1000)</f>
        <v>0</v>
      </c>
      <c r="I50" s="253">
        <f>IF($D50="mg l-¹",'Raw Data'!I64,'Raw Data'!I64/1000)</f>
        <v>0</v>
      </c>
      <c r="J50" s="253">
        <f>IF($D50="mg l-¹",'Raw Data'!J64,'Raw Data'!J64/1000)</f>
        <v>0</v>
      </c>
      <c r="K50" s="253">
        <f>IF($D50="mg l-¹",'Raw Data'!K64,'Raw Data'!K64/1000)</f>
        <v>0</v>
      </c>
      <c r="L50" s="253">
        <f>IF($D50="mg l-¹",'Raw Data'!L64,'Raw Data'!L64/1000)</f>
        <v>0</v>
      </c>
      <c r="M50" s="253">
        <f>IF($D50="mg l-¹",'Raw Data'!M64,'Raw Data'!M64/1000)</f>
        <v>0</v>
      </c>
    </row>
    <row r="51" spans="1:13" x14ac:dyDescent="0.2">
      <c r="A51" s="253">
        <f>'Raw Data'!A65</f>
        <v>0</v>
      </c>
      <c r="B51" s="253">
        <f>'Raw Data'!B65</f>
        <v>0</v>
      </c>
      <c r="C51" s="253">
        <f>'Raw Data'!C65</f>
        <v>0</v>
      </c>
      <c r="D51" s="253">
        <f>'Raw Data'!D65</f>
        <v>0</v>
      </c>
      <c r="E51" s="119">
        <f>IF($D51="mg/l",'Raw Data'!E65,'Raw Data'!E65/1000)</f>
        <v>0</v>
      </c>
      <c r="F51" s="253">
        <f>IF($D51="mg l-¹",'Raw Data'!F65,'Raw Data'!F65/1000)</f>
        <v>0</v>
      </c>
      <c r="G51" s="253">
        <f>IF($D51="mg l-¹",'Raw Data'!G65,'Raw Data'!G65/1000)</f>
        <v>0</v>
      </c>
      <c r="H51" s="253">
        <f>IF($D51="mg l-¹",'Raw Data'!H65,'Raw Data'!H65/1000)</f>
        <v>0</v>
      </c>
      <c r="I51" s="253">
        <f>IF($D51="mg l-¹",'Raw Data'!I65,'Raw Data'!I65/1000)</f>
        <v>0</v>
      </c>
      <c r="J51" s="253">
        <f>IF($D51="mg l-¹",'Raw Data'!J65,'Raw Data'!J65/1000)</f>
        <v>0</v>
      </c>
      <c r="K51" s="253">
        <f>IF($D51="mg l-¹",'Raw Data'!K65,'Raw Data'!K65/1000)</f>
        <v>0</v>
      </c>
      <c r="L51" s="253">
        <f>IF($D51="mg l-¹",'Raw Data'!L65,'Raw Data'!L65/1000)</f>
        <v>0</v>
      </c>
      <c r="M51" s="253">
        <f>IF($D51="mg l-¹",'Raw Data'!M65,'Raw Data'!M65/1000)</f>
        <v>0</v>
      </c>
    </row>
    <row r="52" spans="1:13" x14ac:dyDescent="0.2">
      <c r="A52" s="253">
        <f>'Raw Data'!A66</f>
        <v>0</v>
      </c>
      <c r="B52" s="253">
        <f>'Raw Data'!B66</f>
        <v>0</v>
      </c>
      <c r="C52" s="253">
        <f>'Raw Data'!C66</f>
        <v>0</v>
      </c>
      <c r="D52" s="253">
        <f>'Raw Data'!D66</f>
        <v>0</v>
      </c>
      <c r="E52" s="119">
        <f>IF($D52="mg/l",'Raw Data'!E66,'Raw Data'!E66/1000)</f>
        <v>0</v>
      </c>
      <c r="F52" s="253">
        <f>IF($D52="mg l-¹",'Raw Data'!F66,'Raw Data'!F66/1000)</f>
        <v>0</v>
      </c>
      <c r="G52" s="253">
        <f>IF($D52="mg l-¹",'Raw Data'!G66,'Raw Data'!G66/1000)</f>
        <v>0</v>
      </c>
      <c r="H52" s="253">
        <f>IF($D52="mg l-¹",'Raw Data'!H66,'Raw Data'!H66/1000)</f>
        <v>0</v>
      </c>
      <c r="I52" s="253">
        <f>IF($D52="mg l-¹",'Raw Data'!I66,'Raw Data'!I66/1000)</f>
        <v>0</v>
      </c>
      <c r="J52" s="253">
        <f>IF($D52="mg l-¹",'Raw Data'!J66,'Raw Data'!J66/1000)</f>
        <v>0</v>
      </c>
      <c r="K52" s="253">
        <f>IF($D52="mg l-¹",'Raw Data'!K66,'Raw Data'!K66/1000)</f>
        <v>0</v>
      </c>
      <c r="L52" s="253">
        <f>IF($D52="mg l-¹",'Raw Data'!L66,'Raw Data'!L66/1000)</f>
        <v>0</v>
      </c>
      <c r="M52" s="253">
        <f>IF($D52="mg l-¹",'Raw Data'!M66,'Raw Data'!M66/1000)</f>
        <v>0</v>
      </c>
    </row>
    <row r="53" spans="1:13" x14ac:dyDescent="0.2">
      <c r="A53" s="253">
        <f>'Raw Data'!A67</f>
        <v>0</v>
      </c>
      <c r="B53" s="253">
        <f>'Raw Data'!B67</f>
        <v>0</v>
      </c>
      <c r="C53" s="253">
        <f>'Raw Data'!C67</f>
        <v>0</v>
      </c>
      <c r="D53" s="253">
        <f>'Raw Data'!D67</f>
        <v>0</v>
      </c>
      <c r="E53" s="119">
        <f>IF($D53="mg/l",'Raw Data'!E67,'Raw Data'!E67/1000)</f>
        <v>0</v>
      </c>
      <c r="F53" s="253">
        <f>IF($D53="mg l-¹",'Raw Data'!F67,'Raw Data'!F67/1000)</f>
        <v>0</v>
      </c>
      <c r="G53" s="253">
        <f>IF($D53="mg l-¹",'Raw Data'!G67,'Raw Data'!G67/1000)</f>
        <v>0</v>
      </c>
      <c r="H53" s="253">
        <f>IF($D53="mg l-¹",'Raw Data'!H67,'Raw Data'!H67/1000)</f>
        <v>0</v>
      </c>
      <c r="I53" s="253">
        <f>IF($D53="mg l-¹",'Raw Data'!I67,'Raw Data'!I67/1000)</f>
        <v>0</v>
      </c>
      <c r="J53" s="253">
        <f>IF($D53="mg l-¹",'Raw Data'!J67,'Raw Data'!J67/1000)</f>
        <v>0</v>
      </c>
      <c r="K53" s="253">
        <f>IF($D53="mg l-¹",'Raw Data'!K67,'Raw Data'!K67/1000)</f>
        <v>0</v>
      </c>
      <c r="L53" s="253">
        <f>IF($D53="mg l-¹",'Raw Data'!L67,'Raw Data'!L67/1000)</f>
        <v>0</v>
      </c>
      <c r="M53" s="253">
        <f>IF($D53="mg l-¹",'Raw Data'!M67,'Raw Data'!M67/1000)</f>
        <v>0</v>
      </c>
    </row>
    <row r="54" spans="1:13" x14ac:dyDescent="0.2">
      <c r="A54" s="253">
        <f>'Raw Data'!A68</f>
        <v>0</v>
      </c>
      <c r="B54" s="253">
        <f>'Raw Data'!B68</f>
        <v>0</v>
      </c>
      <c r="C54" s="253">
        <f>'Raw Data'!C68</f>
        <v>0</v>
      </c>
      <c r="D54" s="253">
        <f>'Raw Data'!D68</f>
        <v>0</v>
      </c>
      <c r="E54" s="119">
        <f>IF($D54="mg/l",'Raw Data'!E68,'Raw Data'!E68/1000)</f>
        <v>0</v>
      </c>
      <c r="F54" s="253">
        <f>IF($D54="mg l-¹",'Raw Data'!F68,'Raw Data'!F68/1000)</f>
        <v>0</v>
      </c>
      <c r="G54" s="253">
        <f>IF($D54="mg l-¹",'Raw Data'!G68,'Raw Data'!G68/1000)</f>
        <v>0</v>
      </c>
      <c r="H54" s="253">
        <f>IF($D54="mg l-¹",'Raw Data'!H68,'Raw Data'!H68/1000)</f>
        <v>0</v>
      </c>
      <c r="I54" s="253">
        <f>IF($D54="mg l-¹",'Raw Data'!I68,'Raw Data'!I68/1000)</f>
        <v>0</v>
      </c>
      <c r="J54" s="253">
        <f>IF($D54="mg l-¹",'Raw Data'!J68,'Raw Data'!J68/1000)</f>
        <v>0</v>
      </c>
      <c r="K54" s="253">
        <f>IF($D54="mg l-¹",'Raw Data'!K68,'Raw Data'!K68/1000)</f>
        <v>0</v>
      </c>
      <c r="L54" s="253">
        <f>IF($D54="mg l-¹",'Raw Data'!L68,'Raw Data'!L68/1000)</f>
        <v>0</v>
      </c>
      <c r="M54" s="253">
        <f>IF($D54="mg l-¹",'Raw Data'!M68,'Raw Data'!M68/1000)</f>
        <v>0</v>
      </c>
    </row>
    <row r="55" spans="1:13" x14ac:dyDescent="0.2">
      <c r="A55" s="253">
        <f>'Raw Data'!A69</f>
        <v>0</v>
      </c>
      <c r="B55" s="253">
        <f>'Raw Data'!B69</f>
        <v>0</v>
      </c>
      <c r="C55" s="253">
        <f>'Raw Data'!C69</f>
        <v>0</v>
      </c>
      <c r="D55" s="253">
        <f>'Raw Data'!D69</f>
        <v>0</v>
      </c>
      <c r="E55" s="119">
        <f>IF($D55="mg/l",'Raw Data'!E69,'Raw Data'!E69/1000)</f>
        <v>0</v>
      </c>
      <c r="F55" s="253">
        <f>IF($D55="mg l-¹",'Raw Data'!F69,'Raw Data'!F69/1000)</f>
        <v>0</v>
      </c>
      <c r="G55" s="253">
        <f>IF($D55="mg l-¹",'Raw Data'!G69,'Raw Data'!G69/1000)</f>
        <v>0</v>
      </c>
      <c r="H55" s="253">
        <f>IF($D55="mg l-¹",'Raw Data'!H69,'Raw Data'!H69/1000)</f>
        <v>0</v>
      </c>
      <c r="I55" s="253">
        <f>IF($D55="mg l-¹",'Raw Data'!I69,'Raw Data'!I69/1000)</f>
        <v>0</v>
      </c>
      <c r="J55" s="253">
        <f>IF($D55="mg l-¹",'Raw Data'!J69,'Raw Data'!J69/1000)</f>
        <v>0</v>
      </c>
      <c r="K55" s="253">
        <f>IF($D55="mg l-¹",'Raw Data'!K69,'Raw Data'!K69/1000)</f>
        <v>0</v>
      </c>
      <c r="L55" s="253">
        <f>IF($D55="mg l-¹",'Raw Data'!L69,'Raw Data'!L69/1000)</f>
        <v>0</v>
      </c>
      <c r="M55" s="253">
        <f>IF($D55="mg l-¹",'Raw Data'!M69,'Raw Data'!M69/1000)</f>
        <v>0</v>
      </c>
    </row>
    <row r="56" spans="1:13" x14ac:dyDescent="0.2">
      <c r="A56" s="253">
        <f>'Raw Data'!A70</f>
        <v>0</v>
      </c>
      <c r="B56" s="253">
        <f>'Raw Data'!B70</f>
        <v>0</v>
      </c>
      <c r="C56" s="253">
        <f>'Raw Data'!C70</f>
        <v>0</v>
      </c>
      <c r="D56" s="253">
        <f>'Raw Data'!D70</f>
        <v>0</v>
      </c>
      <c r="E56" s="119">
        <f>IF($D56="mg/l",'Raw Data'!E70,'Raw Data'!E70/1000)</f>
        <v>0</v>
      </c>
      <c r="F56" s="253">
        <f>IF($D56="mg l-¹",'Raw Data'!F70,'Raw Data'!F70/1000)</f>
        <v>0</v>
      </c>
      <c r="G56" s="253">
        <f>IF($D56="mg l-¹",'Raw Data'!G70,'Raw Data'!G70/1000)</f>
        <v>0</v>
      </c>
      <c r="H56" s="253">
        <f>IF($D56="mg l-¹",'Raw Data'!H70,'Raw Data'!H70/1000)</f>
        <v>0</v>
      </c>
      <c r="I56" s="253">
        <f>IF($D56="mg l-¹",'Raw Data'!I70,'Raw Data'!I70/1000)</f>
        <v>0</v>
      </c>
      <c r="J56" s="253">
        <f>IF($D56="mg l-¹",'Raw Data'!J70,'Raw Data'!J70/1000)</f>
        <v>0</v>
      </c>
      <c r="K56" s="253">
        <f>IF($D56="mg l-¹",'Raw Data'!K70,'Raw Data'!K70/1000)</f>
        <v>0</v>
      </c>
      <c r="L56" s="253">
        <f>IF($D56="mg l-¹",'Raw Data'!L70,'Raw Data'!L70/1000)</f>
        <v>0</v>
      </c>
      <c r="M56" s="253">
        <f>IF($D56="mg l-¹",'Raw Data'!M70,'Raw Data'!M70/1000)</f>
        <v>0</v>
      </c>
    </row>
    <row r="57" spans="1:13" x14ac:dyDescent="0.2">
      <c r="A57" s="253">
        <f>'Raw Data'!A71</f>
        <v>0</v>
      </c>
      <c r="B57" s="253">
        <f>'Raw Data'!B71</f>
        <v>0</v>
      </c>
      <c r="C57" s="253">
        <f>'Raw Data'!C71</f>
        <v>0</v>
      </c>
      <c r="D57" s="253">
        <f>'Raw Data'!D71</f>
        <v>0</v>
      </c>
      <c r="E57" s="119">
        <f>IF($D57="mg/l",'Raw Data'!E71,'Raw Data'!E71/1000)</f>
        <v>0</v>
      </c>
      <c r="F57" s="253">
        <f>IF($D57="mg l-¹",'Raw Data'!F71,'Raw Data'!F71/1000)</f>
        <v>0</v>
      </c>
      <c r="G57" s="253">
        <f>IF($D57="mg l-¹",'Raw Data'!G71,'Raw Data'!G71/1000)</f>
        <v>0</v>
      </c>
      <c r="H57" s="253">
        <f>IF($D57="mg l-¹",'Raw Data'!H71,'Raw Data'!H71/1000)</f>
        <v>0</v>
      </c>
      <c r="I57" s="253">
        <f>IF($D57="mg l-¹",'Raw Data'!I71,'Raw Data'!I71/1000)</f>
        <v>0</v>
      </c>
      <c r="J57" s="253">
        <f>IF($D57="mg l-¹",'Raw Data'!J71,'Raw Data'!J71/1000)</f>
        <v>0</v>
      </c>
      <c r="K57" s="253">
        <f>IF($D57="mg l-¹",'Raw Data'!K71,'Raw Data'!K71/1000)</f>
        <v>0</v>
      </c>
      <c r="L57" s="253">
        <f>IF($D57="mg l-¹",'Raw Data'!L71,'Raw Data'!L71/1000)</f>
        <v>0</v>
      </c>
      <c r="M57" s="253">
        <f>IF($D57="mg l-¹",'Raw Data'!M71,'Raw Data'!M71/1000)</f>
        <v>0</v>
      </c>
    </row>
    <row r="58" spans="1:13" x14ac:dyDescent="0.2">
      <c r="A58" s="253">
        <f>'Raw Data'!A72</f>
        <v>0</v>
      </c>
      <c r="B58" s="253">
        <f>'Raw Data'!B72</f>
        <v>0</v>
      </c>
      <c r="C58" s="253">
        <f>'Raw Data'!C72</f>
        <v>0</v>
      </c>
      <c r="D58" s="253">
        <f>'Raw Data'!D72</f>
        <v>0</v>
      </c>
      <c r="E58" s="119">
        <f>IF($D58="mg/l",'Raw Data'!E72,'Raw Data'!E72/1000)</f>
        <v>0</v>
      </c>
      <c r="F58" s="253">
        <f>IF($D58="mg l-¹",'Raw Data'!F72,'Raw Data'!F72/1000)</f>
        <v>0</v>
      </c>
      <c r="G58" s="253">
        <f>IF($D58="mg l-¹",'Raw Data'!G72,'Raw Data'!G72/1000)</f>
        <v>0</v>
      </c>
      <c r="H58" s="253">
        <f>IF($D58="mg l-¹",'Raw Data'!H72,'Raw Data'!H72/1000)</f>
        <v>0</v>
      </c>
      <c r="I58" s="253">
        <f>IF($D58="mg l-¹",'Raw Data'!I72,'Raw Data'!I72/1000)</f>
        <v>0</v>
      </c>
      <c r="J58" s="253">
        <f>IF($D58="mg l-¹",'Raw Data'!J72,'Raw Data'!J72/1000)</f>
        <v>0</v>
      </c>
      <c r="K58" s="253">
        <f>IF($D58="mg l-¹",'Raw Data'!K72,'Raw Data'!K72/1000)</f>
        <v>0</v>
      </c>
      <c r="L58" s="253">
        <f>IF($D58="mg l-¹",'Raw Data'!L72,'Raw Data'!L72/1000)</f>
        <v>0</v>
      </c>
      <c r="M58" s="253">
        <f>IF($D58="mg l-¹",'Raw Data'!M72,'Raw Data'!M72/1000)</f>
        <v>0</v>
      </c>
    </row>
    <row r="59" spans="1:13" x14ac:dyDescent="0.2">
      <c r="A59" s="253">
        <f>'Raw Data'!A73</f>
        <v>0</v>
      </c>
      <c r="B59" s="253">
        <f>'Raw Data'!B73</f>
        <v>0</v>
      </c>
      <c r="C59" s="253">
        <f>'Raw Data'!C73</f>
        <v>0</v>
      </c>
      <c r="D59" s="253">
        <f>'Raw Data'!D73</f>
        <v>0</v>
      </c>
      <c r="E59" s="119">
        <f>IF($D59="mg/l",'Raw Data'!E73,'Raw Data'!E73/1000)</f>
        <v>0</v>
      </c>
      <c r="F59" s="253">
        <f>IF($D59="mg l-¹",'Raw Data'!F73,'Raw Data'!F73/1000)</f>
        <v>0</v>
      </c>
      <c r="G59" s="253">
        <f>IF($D59="mg l-¹",'Raw Data'!G73,'Raw Data'!G73/1000)</f>
        <v>0</v>
      </c>
      <c r="H59" s="253">
        <f>IF($D59="mg l-¹",'Raw Data'!H73,'Raw Data'!H73/1000)</f>
        <v>0</v>
      </c>
      <c r="I59" s="253">
        <f>IF($D59="mg l-¹",'Raw Data'!I73,'Raw Data'!I73/1000)</f>
        <v>0</v>
      </c>
      <c r="J59" s="253">
        <f>IF($D59="mg l-¹",'Raw Data'!J73,'Raw Data'!J73/1000)</f>
        <v>0</v>
      </c>
      <c r="K59" s="253">
        <f>IF($D59="mg l-¹",'Raw Data'!K73,'Raw Data'!K73/1000)</f>
        <v>0</v>
      </c>
      <c r="L59" s="253">
        <f>IF($D59="mg l-¹",'Raw Data'!L73,'Raw Data'!L73/1000)</f>
        <v>0</v>
      </c>
      <c r="M59" s="253">
        <f>IF($D59="mg l-¹",'Raw Data'!M73,'Raw Data'!M73/1000)</f>
        <v>0</v>
      </c>
    </row>
    <row r="60" spans="1:13" x14ac:dyDescent="0.2">
      <c r="A60" s="253">
        <f>'Raw Data'!A74</f>
        <v>0</v>
      </c>
      <c r="B60" s="253">
        <f>'Raw Data'!B74</f>
        <v>0</v>
      </c>
      <c r="C60" s="253">
        <f>'Raw Data'!C74</f>
        <v>0</v>
      </c>
      <c r="D60" s="253">
        <f>'Raw Data'!D74</f>
        <v>0</v>
      </c>
      <c r="E60" s="119">
        <f>IF($D60="mg/l",'Raw Data'!E74,'Raw Data'!E74/1000)</f>
        <v>0</v>
      </c>
      <c r="F60" s="253">
        <f>IF($D60="mg l-¹",'Raw Data'!F74,'Raw Data'!F74/1000)</f>
        <v>0</v>
      </c>
      <c r="G60" s="253">
        <f>IF($D60="mg l-¹",'Raw Data'!G74,'Raw Data'!G74/1000)</f>
        <v>0</v>
      </c>
      <c r="H60" s="253">
        <f>IF($D60="mg l-¹",'Raw Data'!H74,'Raw Data'!H74/1000)</f>
        <v>0</v>
      </c>
      <c r="I60" s="253">
        <f>IF($D60="mg l-¹",'Raw Data'!I74,'Raw Data'!I74/1000)</f>
        <v>0</v>
      </c>
      <c r="J60" s="253">
        <f>IF($D60="mg l-¹",'Raw Data'!J74,'Raw Data'!J74/1000)</f>
        <v>0</v>
      </c>
      <c r="K60" s="253">
        <f>IF($D60="mg l-¹",'Raw Data'!K74,'Raw Data'!K74/1000)</f>
        <v>0</v>
      </c>
      <c r="L60" s="253">
        <f>IF($D60="mg l-¹",'Raw Data'!L74,'Raw Data'!L74/1000)</f>
        <v>0</v>
      </c>
      <c r="M60" s="253">
        <f>IF($D60="mg l-¹",'Raw Data'!M74,'Raw Data'!M74/1000)</f>
        <v>0</v>
      </c>
    </row>
    <row r="61" spans="1:13" x14ac:dyDescent="0.2">
      <c r="A61" s="253">
        <f>'Raw Data'!A75</f>
        <v>0</v>
      </c>
      <c r="B61" s="253">
        <f>'Raw Data'!B75</f>
        <v>0</v>
      </c>
      <c r="C61" s="253">
        <f>'Raw Data'!C75</f>
        <v>0</v>
      </c>
      <c r="D61" s="253">
        <f>'Raw Data'!D75</f>
        <v>0</v>
      </c>
      <c r="E61" s="119">
        <f>IF($D61="mg/l",'Raw Data'!E75,'Raw Data'!E75/1000)</f>
        <v>0</v>
      </c>
      <c r="F61" s="253">
        <f>IF($D61="mg l-¹",'Raw Data'!F75,'Raw Data'!F75/1000)</f>
        <v>0</v>
      </c>
      <c r="G61" s="253">
        <f>IF($D61="mg l-¹",'Raw Data'!G75,'Raw Data'!G75/1000)</f>
        <v>0</v>
      </c>
      <c r="H61" s="253">
        <f>IF($D61="mg l-¹",'Raw Data'!H75,'Raw Data'!H75/1000)</f>
        <v>0</v>
      </c>
      <c r="I61" s="253">
        <f>IF($D61="mg l-¹",'Raw Data'!I75,'Raw Data'!I75/1000)</f>
        <v>0</v>
      </c>
      <c r="J61" s="253">
        <f>IF($D61="mg l-¹",'Raw Data'!J75,'Raw Data'!J75/1000)</f>
        <v>0</v>
      </c>
      <c r="K61" s="253">
        <f>IF($D61="mg l-¹",'Raw Data'!K75,'Raw Data'!K75/1000)</f>
        <v>0</v>
      </c>
      <c r="L61" s="253">
        <f>IF($D61="mg l-¹",'Raw Data'!L75,'Raw Data'!L75/1000)</f>
        <v>0</v>
      </c>
      <c r="M61" s="253">
        <f>IF($D61="mg l-¹",'Raw Data'!M75,'Raw Data'!M75/1000)</f>
        <v>0</v>
      </c>
    </row>
    <row r="62" spans="1:13" x14ac:dyDescent="0.2">
      <c r="A62" s="253">
        <f>'Raw Data'!A76</f>
        <v>0</v>
      </c>
      <c r="B62" s="253">
        <f>'Raw Data'!B76</f>
        <v>0</v>
      </c>
      <c r="C62" s="253">
        <f>'Raw Data'!C76</f>
        <v>0</v>
      </c>
      <c r="D62" s="253">
        <f>'Raw Data'!D76</f>
        <v>0</v>
      </c>
      <c r="E62" s="119">
        <f>IF($D62="mg/l",'Raw Data'!E76,'Raw Data'!E76/1000)</f>
        <v>0</v>
      </c>
      <c r="F62" s="253">
        <f>IF($D62="mg l-¹",'Raw Data'!F76,'Raw Data'!F76/1000)</f>
        <v>0</v>
      </c>
      <c r="G62" s="253">
        <f>IF($D62="mg l-¹",'Raw Data'!G76,'Raw Data'!G76/1000)</f>
        <v>0</v>
      </c>
      <c r="H62" s="253">
        <f>IF($D62="mg l-¹",'Raw Data'!H76,'Raw Data'!H76/1000)</f>
        <v>0</v>
      </c>
      <c r="I62" s="253">
        <f>IF($D62="mg l-¹",'Raw Data'!I76,'Raw Data'!I76/1000)</f>
        <v>0</v>
      </c>
      <c r="J62" s="253">
        <f>IF($D62="mg l-¹",'Raw Data'!J76,'Raw Data'!J76/1000)</f>
        <v>0</v>
      </c>
      <c r="K62" s="253">
        <f>IF($D62="mg l-¹",'Raw Data'!K76,'Raw Data'!K76/1000)</f>
        <v>0</v>
      </c>
      <c r="L62" s="253">
        <f>IF($D62="mg l-¹",'Raw Data'!L76,'Raw Data'!L76/1000)</f>
        <v>0</v>
      </c>
      <c r="M62" s="253">
        <f>IF($D62="mg l-¹",'Raw Data'!M76,'Raw Data'!M76/1000)</f>
        <v>0</v>
      </c>
    </row>
    <row r="63" spans="1:13" x14ac:dyDescent="0.2">
      <c r="A63" s="253">
        <f>'Raw Data'!A77</f>
        <v>0</v>
      </c>
      <c r="B63" s="253">
        <f>'Raw Data'!B77</f>
        <v>0</v>
      </c>
      <c r="C63" s="253">
        <f>'Raw Data'!C77</f>
        <v>0</v>
      </c>
      <c r="D63" s="253">
        <f>'Raw Data'!D77</f>
        <v>0</v>
      </c>
      <c r="E63" s="119">
        <f>IF($D63="mg/l",'Raw Data'!E77,'Raw Data'!E77/1000)</f>
        <v>0</v>
      </c>
      <c r="F63" s="253">
        <f>IF($D63="mg l-¹",'Raw Data'!F77,'Raw Data'!F77/1000)</f>
        <v>0</v>
      </c>
      <c r="G63" s="253">
        <f>IF($D63="mg l-¹",'Raw Data'!G77,'Raw Data'!G77/1000)</f>
        <v>0</v>
      </c>
      <c r="H63" s="253">
        <f>IF($D63="mg l-¹",'Raw Data'!H77,'Raw Data'!H77/1000)</f>
        <v>0</v>
      </c>
      <c r="I63" s="253">
        <f>IF($D63="mg l-¹",'Raw Data'!I77,'Raw Data'!I77/1000)</f>
        <v>0</v>
      </c>
      <c r="J63" s="253">
        <f>IF($D63="mg l-¹",'Raw Data'!J77,'Raw Data'!J77/1000)</f>
        <v>0</v>
      </c>
      <c r="K63" s="253">
        <f>IF($D63="mg l-¹",'Raw Data'!K77,'Raw Data'!K77/1000)</f>
        <v>0</v>
      </c>
      <c r="L63" s="253">
        <f>IF($D63="mg l-¹",'Raw Data'!L77,'Raw Data'!L77/1000)</f>
        <v>0</v>
      </c>
      <c r="M63" s="253">
        <f>IF($D63="mg l-¹",'Raw Data'!M77,'Raw Data'!M77/1000)</f>
        <v>0</v>
      </c>
    </row>
    <row r="64" spans="1:13" x14ac:dyDescent="0.2">
      <c r="A64" s="253">
        <f>'Raw Data'!A78</f>
        <v>0</v>
      </c>
      <c r="B64" s="253">
        <f>'Raw Data'!B78</f>
        <v>0</v>
      </c>
      <c r="C64" s="253">
        <f>'Raw Data'!C78</f>
        <v>0</v>
      </c>
      <c r="D64" s="253">
        <f>'Raw Data'!D78</f>
        <v>0</v>
      </c>
      <c r="E64" s="119">
        <f>IF($D64="mg/l",'Raw Data'!E78,'Raw Data'!E78/1000)</f>
        <v>0</v>
      </c>
      <c r="F64" s="253">
        <f>IF($D64="mg l-¹",'Raw Data'!F78,'Raw Data'!F78/1000)</f>
        <v>0</v>
      </c>
      <c r="G64" s="253">
        <f>IF($D64="mg l-¹",'Raw Data'!G78,'Raw Data'!G78/1000)</f>
        <v>0</v>
      </c>
      <c r="H64" s="253">
        <f>IF($D64="mg l-¹",'Raw Data'!H78,'Raw Data'!H78/1000)</f>
        <v>0</v>
      </c>
      <c r="I64" s="253">
        <f>IF($D64="mg l-¹",'Raw Data'!I78,'Raw Data'!I78/1000)</f>
        <v>0</v>
      </c>
      <c r="J64" s="253">
        <f>IF($D64="mg l-¹",'Raw Data'!J78,'Raw Data'!J78/1000)</f>
        <v>0</v>
      </c>
      <c r="K64" s="253">
        <f>IF($D64="mg l-¹",'Raw Data'!K78,'Raw Data'!K78/1000)</f>
        <v>0</v>
      </c>
      <c r="L64" s="253">
        <f>IF($D64="mg l-¹",'Raw Data'!L78,'Raw Data'!L78/1000)</f>
        <v>0</v>
      </c>
      <c r="M64" s="253">
        <f>IF($D64="mg l-¹",'Raw Data'!M78,'Raw Data'!M78/1000)</f>
        <v>0</v>
      </c>
    </row>
    <row r="65" spans="1:13" x14ac:dyDescent="0.2">
      <c r="A65" s="253">
        <f>'Raw Data'!A79</f>
        <v>0</v>
      </c>
      <c r="B65" s="253">
        <f>'Raw Data'!B79</f>
        <v>0</v>
      </c>
      <c r="C65" s="253">
        <f>'Raw Data'!C79</f>
        <v>0</v>
      </c>
      <c r="D65" s="253">
        <f>'Raw Data'!D79</f>
        <v>0</v>
      </c>
      <c r="E65" s="119">
        <f>IF($D65="mg/l",'Raw Data'!E79,'Raw Data'!E79/1000)</f>
        <v>0</v>
      </c>
      <c r="F65" s="253">
        <f>IF($D65="mg l-¹",'Raw Data'!F79,'Raw Data'!F79/1000)</f>
        <v>0</v>
      </c>
      <c r="G65" s="253">
        <f>IF($D65="mg l-¹",'Raw Data'!G79,'Raw Data'!G79/1000)</f>
        <v>0</v>
      </c>
      <c r="H65" s="253">
        <f>IF($D65="mg l-¹",'Raw Data'!H79,'Raw Data'!H79/1000)</f>
        <v>0</v>
      </c>
      <c r="I65" s="253">
        <f>IF($D65="mg l-¹",'Raw Data'!I79,'Raw Data'!I79/1000)</f>
        <v>0</v>
      </c>
      <c r="J65" s="253">
        <f>IF($D65="mg l-¹",'Raw Data'!J79,'Raw Data'!J79/1000)</f>
        <v>0</v>
      </c>
      <c r="K65" s="253">
        <f>IF($D65="mg l-¹",'Raw Data'!K79,'Raw Data'!K79/1000)</f>
        <v>0</v>
      </c>
      <c r="L65" s="253">
        <f>IF($D65="mg l-¹",'Raw Data'!L79,'Raw Data'!L79/1000)</f>
        <v>0</v>
      </c>
      <c r="M65" s="253">
        <f>IF($D65="mg l-¹",'Raw Data'!M79,'Raw Data'!M79/1000)</f>
        <v>0</v>
      </c>
    </row>
    <row r="66" spans="1:13" x14ac:dyDescent="0.2">
      <c r="A66" s="253">
        <f>'Raw Data'!A80</f>
        <v>0</v>
      </c>
      <c r="B66" s="253">
        <f>'Raw Data'!B80</f>
        <v>0</v>
      </c>
      <c r="C66" s="253">
        <f>'Raw Data'!C80</f>
        <v>0</v>
      </c>
      <c r="D66" s="253">
        <f>'Raw Data'!D80</f>
        <v>0</v>
      </c>
      <c r="E66" s="119">
        <f>IF($D66="mg/l",'Raw Data'!E80,'Raw Data'!E80/1000)</f>
        <v>0</v>
      </c>
      <c r="F66" s="253">
        <f>IF($D66="mg l-¹",'Raw Data'!F80,'Raw Data'!F80/1000)</f>
        <v>0</v>
      </c>
      <c r="G66" s="253">
        <f>IF($D66="mg l-¹",'Raw Data'!G80,'Raw Data'!G80/1000)</f>
        <v>0</v>
      </c>
      <c r="H66" s="253">
        <f>IF($D66="mg l-¹",'Raw Data'!H80,'Raw Data'!H80/1000)</f>
        <v>0</v>
      </c>
      <c r="I66" s="253">
        <f>IF($D66="mg l-¹",'Raw Data'!I80,'Raw Data'!I80/1000)</f>
        <v>0</v>
      </c>
      <c r="J66" s="253">
        <f>IF($D66="mg l-¹",'Raw Data'!J80,'Raw Data'!J80/1000)</f>
        <v>0</v>
      </c>
      <c r="K66" s="253">
        <f>IF($D66="mg l-¹",'Raw Data'!K80,'Raw Data'!K80/1000)</f>
        <v>0</v>
      </c>
      <c r="L66" s="253">
        <f>IF($D66="mg l-¹",'Raw Data'!L80,'Raw Data'!L80/1000)</f>
        <v>0</v>
      </c>
      <c r="M66" s="253">
        <f>IF($D66="mg l-¹",'Raw Data'!M80,'Raw Data'!M80/1000)</f>
        <v>0</v>
      </c>
    </row>
    <row r="67" spans="1:13" x14ac:dyDescent="0.2">
      <c r="A67" s="253">
        <f>'Raw Data'!A81</f>
        <v>0</v>
      </c>
      <c r="B67" s="253">
        <f>'Raw Data'!B81</f>
        <v>0</v>
      </c>
      <c r="C67" s="253">
        <f>'Raw Data'!C81</f>
        <v>0</v>
      </c>
      <c r="D67" s="253">
        <f>'Raw Data'!D81</f>
        <v>0</v>
      </c>
      <c r="E67" s="119">
        <f>IF($D67="mg/l",'Raw Data'!E81,'Raw Data'!E81/1000)</f>
        <v>0</v>
      </c>
      <c r="F67" s="253">
        <f>IF($D67="mg l-¹",'Raw Data'!F81,'Raw Data'!F81/1000)</f>
        <v>0</v>
      </c>
      <c r="G67" s="253">
        <f>IF($D67="mg l-¹",'Raw Data'!G81,'Raw Data'!G81/1000)</f>
        <v>0</v>
      </c>
      <c r="H67" s="253">
        <f>IF($D67="mg l-¹",'Raw Data'!H81,'Raw Data'!H81/1000)</f>
        <v>0</v>
      </c>
      <c r="I67" s="253">
        <f>IF($D67="mg l-¹",'Raw Data'!I81,'Raw Data'!I81/1000)</f>
        <v>0</v>
      </c>
      <c r="J67" s="253">
        <f>IF($D67="mg l-¹",'Raw Data'!J81,'Raw Data'!J81/1000)</f>
        <v>0</v>
      </c>
      <c r="K67" s="253">
        <f>IF($D67="mg l-¹",'Raw Data'!K81,'Raw Data'!K81/1000)</f>
        <v>0</v>
      </c>
      <c r="L67" s="253">
        <f>IF($D67="mg l-¹",'Raw Data'!L81,'Raw Data'!L81/1000)</f>
        <v>0</v>
      </c>
      <c r="M67" s="253">
        <f>IF($D67="mg l-¹",'Raw Data'!M81,'Raw Data'!M81/1000)</f>
        <v>0</v>
      </c>
    </row>
    <row r="68" spans="1:13" x14ac:dyDescent="0.2">
      <c r="A68" s="253">
        <f>'Raw Data'!A82</f>
        <v>0</v>
      </c>
      <c r="B68" s="253">
        <f>'Raw Data'!B82</f>
        <v>0</v>
      </c>
      <c r="C68" s="253">
        <f>'Raw Data'!C82</f>
        <v>0</v>
      </c>
      <c r="D68" s="253">
        <f>'Raw Data'!D82</f>
        <v>0</v>
      </c>
      <c r="E68" s="119">
        <f>IF($D68="mg/l",'Raw Data'!E82,'Raw Data'!E82/1000)</f>
        <v>0</v>
      </c>
      <c r="F68" s="253">
        <f>IF($D68="mg l-¹",'Raw Data'!F82,'Raw Data'!F82/1000)</f>
        <v>0</v>
      </c>
      <c r="G68" s="253">
        <f>IF($D68="mg l-¹",'Raw Data'!G82,'Raw Data'!G82/1000)</f>
        <v>0</v>
      </c>
      <c r="H68" s="253">
        <f>IF($D68="mg l-¹",'Raw Data'!H82,'Raw Data'!H82/1000)</f>
        <v>0</v>
      </c>
      <c r="I68" s="253">
        <f>IF($D68="mg l-¹",'Raw Data'!I82,'Raw Data'!I82/1000)</f>
        <v>0</v>
      </c>
      <c r="J68" s="253">
        <f>IF($D68="mg l-¹",'Raw Data'!J82,'Raw Data'!J82/1000)</f>
        <v>0</v>
      </c>
      <c r="K68" s="253">
        <f>IF($D68="mg l-¹",'Raw Data'!K82,'Raw Data'!K82/1000)</f>
        <v>0</v>
      </c>
      <c r="L68" s="253">
        <f>IF($D68="mg l-¹",'Raw Data'!L82,'Raw Data'!L82/1000)</f>
        <v>0</v>
      </c>
      <c r="M68" s="253">
        <f>IF($D68="mg l-¹",'Raw Data'!M82,'Raw Data'!M82/1000)</f>
        <v>0</v>
      </c>
    </row>
    <row r="69" spans="1:13" x14ac:dyDescent="0.2">
      <c r="A69" s="253">
        <f>'Raw Data'!A83</f>
        <v>0</v>
      </c>
      <c r="B69" s="253">
        <f>'Raw Data'!B83</f>
        <v>0</v>
      </c>
      <c r="C69" s="253">
        <f>'Raw Data'!C83</f>
        <v>0</v>
      </c>
      <c r="D69" s="253">
        <f>'Raw Data'!D83</f>
        <v>0</v>
      </c>
      <c r="E69" s="119">
        <f>IF($D69="mg/l",'Raw Data'!E83,'Raw Data'!E83/1000)</f>
        <v>0</v>
      </c>
      <c r="F69" s="253">
        <f>IF($D69="mg l-¹",'Raw Data'!F83,'Raw Data'!F83/1000)</f>
        <v>0</v>
      </c>
      <c r="G69" s="253">
        <f>IF($D69="mg l-¹",'Raw Data'!G83,'Raw Data'!G83/1000)</f>
        <v>0</v>
      </c>
      <c r="H69" s="253">
        <f>IF($D69="mg l-¹",'Raw Data'!H83,'Raw Data'!H83/1000)</f>
        <v>0</v>
      </c>
      <c r="I69" s="253">
        <f>IF($D69="mg l-¹",'Raw Data'!I83,'Raw Data'!I83/1000)</f>
        <v>0</v>
      </c>
      <c r="J69" s="253">
        <f>IF($D69="mg l-¹",'Raw Data'!J83,'Raw Data'!J83/1000)</f>
        <v>0</v>
      </c>
      <c r="K69" s="253">
        <f>IF($D69="mg l-¹",'Raw Data'!K83,'Raw Data'!K83/1000)</f>
        <v>0</v>
      </c>
      <c r="L69" s="253">
        <f>IF($D69="mg l-¹",'Raw Data'!L83,'Raw Data'!L83/1000)</f>
        <v>0</v>
      </c>
      <c r="M69" s="253">
        <f>IF($D69="mg l-¹",'Raw Data'!M83,'Raw Data'!M83/1000)</f>
        <v>0</v>
      </c>
    </row>
    <row r="70" spans="1:13" x14ac:dyDescent="0.2">
      <c r="A70" s="253">
        <f>'Raw Data'!A84</f>
        <v>0</v>
      </c>
      <c r="B70" s="253">
        <f>'Raw Data'!B84</f>
        <v>0</v>
      </c>
      <c r="C70" s="253">
        <f>'Raw Data'!C84</f>
        <v>0</v>
      </c>
      <c r="D70" s="253">
        <f>'Raw Data'!D84</f>
        <v>0</v>
      </c>
      <c r="E70" s="119">
        <f>IF($D70="mg/l",'Raw Data'!E84,'Raw Data'!E84/1000)</f>
        <v>0</v>
      </c>
      <c r="F70" s="253">
        <f>IF($D70="mg l-¹",'Raw Data'!F84,'Raw Data'!F84/1000)</f>
        <v>0</v>
      </c>
      <c r="G70" s="253">
        <f>IF($D70="mg l-¹",'Raw Data'!G84,'Raw Data'!G84/1000)</f>
        <v>0</v>
      </c>
      <c r="H70" s="253">
        <f>IF($D70="mg l-¹",'Raw Data'!H84,'Raw Data'!H84/1000)</f>
        <v>0</v>
      </c>
      <c r="I70" s="253">
        <f>IF($D70="mg l-¹",'Raw Data'!I84,'Raw Data'!I84/1000)</f>
        <v>0</v>
      </c>
      <c r="J70" s="253">
        <f>IF($D70="mg l-¹",'Raw Data'!J84,'Raw Data'!J84/1000)</f>
        <v>0</v>
      </c>
      <c r="K70" s="253">
        <f>IF($D70="mg l-¹",'Raw Data'!K84,'Raw Data'!K84/1000)</f>
        <v>0</v>
      </c>
      <c r="L70" s="253">
        <f>IF($D70="mg l-¹",'Raw Data'!L84,'Raw Data'!L84/1000)</f>
        <v>0</v>
      </c>
      <c r="M70" s="253">
        <f>IF($D70="mg l-¹",'Raw Data'!M84,'Raw Data'!M84/1000)</f>
        <v>0</v>
      </c>
    </row>
    <row r="71" spans="1:13" x14ac:dyDescent="0.2">
      <c r="A71" s="253">
        <f>'Raw Data'!A85</f>
        <v>0</v>
      </c>
      <c r="B71" s="253">
        <f>'Raw Data'!B85</f>
        <v>0</v>
      </c>
      <c r="C71" s="253">
        <f>'Raw Data'!C85</f>
        <v>0</v>
      </c>
      <c r="D71" s="253">
        <f>'Raw Data'!D85</f>
        <v>0</v>
      </c>
      <c r="E71" s="119">
        <f>IF($D71="mg/l",'Raw Data'!E85,'Raw Data'!E85/1000)</f>
        <v>0</v>
      </c>
      <c r="F71" s="253">
        <f>IF($D71="mg l-¹",'Raw Data'!F85,'Raw Data'!F85/1000)</f>
        <v>0</v>
      </c>
      <c r="G71" s="253">
        <f>IF($D71="mg l-¹",'Raw Data'!G85,'Raw Data'!G85/1000)</f>
        <v>0</v>
      </c>
      <c r="H71" s="253">
        <f>IF($D71="mg l-¹",'Raw Data'!H85,'Raw Data'!H85/1000)</f>
        <v>0</v>
      </c>
      <c r="I71" s="253">
        <f>IF($D71="mg l-¹",'Raw Data'!I85,'Raw Data'!I85/1000)</f>
        <v>0</v>
      </c>
      <c r="J71" s="253">
        <f>IF($D71="mg l-¹",'Raw Data'!J85,'Raw Data'!J85/1000)</f>
        <v>0</v>
      </c>
      <c r="K71" s="253">
        <f>IF($D71="mg l-¹",'Raw Data'!K85,'Raw Data'!K85/1000)</f>
        <v>0</v>
      </c>
      <c r="L71" s="253">
        <f>IF($D71="mg l-¹",'Raw Data'!L85,'Raw Data'!L85/1000)</f>
        <v>0</v>
      </c>
      <c r="M71" s="253">
        <f>IF($D71="mg l-¹",'Raw Data'!M85,'Raw Data'!M85/1000)</f>
        <v>0</v>
      </c>
    </row>
    <row r="72" spans="1:13" x14ac:dyDescent="0.2">
      <c r="A72" s="253">
        <f>'Raw Data'!A86</f>
        <v>0</v>
      </c>
      <c r="B72" s="253">
        <f>'Raw Data'!B86</f>
        <v>0</v>
      </c>
      <c r="C72" s="253">
        <f>'Raw Data'!C86</f>
        <v>0</v>
      </c>
      <c r="D72" s="253">
        <f>'Raw Data'!D86</f>
        <v>0</v>
      </c>
      <c r="E72" s="119">
        <f>IF($D72="mg/l",'Raw Data'!E86,'Raw Data'!E86/1000)</f>
        <v>0</v>
      </c>
      <c r="F72" s="253">
        <f>IF($D72="mg l-¹",'Raw Data'!F86,'Raw Data'!F86/1000)</f>
        <v>0</v>
      </c>
      <c r="G72" s="253">
        <f>IF($D72="mg l-¹",'Raw Data'!G86,'Raw Data'!G86/1000)</f>
        <v>0</v>
      </c>
      <c r="H72" s="253">
        <f>IF($D72="mg l-¹",'Raw Data'!H86,'Raw Data'!H86/1000)</f>
        <v>0</v>
      </c>
      <c r="I72" s="253">
        <f>IF($D72="mg l-¹",'Raw Data'!I86,'Raw Data'!I86/1000)</f>
        <v>0</v>
      </c>
      <c r="J72" s="253">
        <f>IF($D72="mg l-¹",'Raw Data'!J86,'Raw Data'!J86/1000)</f>
        <v>0</v>
      </c>
      <c r="K72" s="253">
        <f>IF($D72="mg l-¹",'Raw Data'!K86,'Raw Data'!K86/1000)</f>
        <v>0</v>
      </c>
      <c r="L72" s="253">
        <f>IF($D72="mg l-¹",'Raw Data'!L86,'Raw Data'!L86/1000)</f>
        <v>0</v>
      </c>
      <c r="M72" s="253">
        <f>IF($D72="mg l-¹",'Raw Data'!M86,'Raw Data'!M86/1000)</f>
        <v>0</v>
      </c>
    </row>
    <row r="73" spans="1:13" x14ac:dyDescent="0.2">
      <c r="A73" s="253">
        <f>'Raw Data'!A87</f>
        <v>0</v>
      </c>
      <c r="B73" s="253">
        <f>'Raw Data'!B87</f>
        <v>0</v>
      </c>
      <c r="C73" s="253">
        <f>'Raw Data'!C87</f>
        <v>0</v>
      </c>
      <c r="D73" s="253">
        <f>'Raw Data'!D87</f>
        <v>0</v>
      </c>
      <c r="E73" s="119">
        <f>IF($D73="mg/l",'Raw Data'!E87,'Raw Data'!E87/1000)</f>
        <v>0</v>
      </c>
      <c r="F73" s="253">
        <f>IF($D73="mg l-¹",'Raw Data'!F87,'Raw Data'!F87/1000)</f>
        <v>0</v>
      </c>
      <c r="G73" s="253">
        <f>IF($D73="mg l-¹",'Raw Data'!G87,'Raw Data'!G87/1000)</f>
        <v>0</v>
      </c>
      <c r="H73" s="253">
        <f>IF($D73="mg l-¹",'Raw Data'!H87,'Raw Data'!H87/1000)</f>
        <v>0</v>
      </c>
      <c r="I73" s="253">
        <f>IF($D73="mg l-¹",'Raw Data'!I87,'Raw Data'!I87/1000)</f>
        <v>0</v>
      </c>
      <c r="J73" s="253">
        <f>IF($D73="mg l-¹",'Raw Data'!J87,'Raw Data'!J87/1000)</f>
        <v>0</v>
      </c>
      <c r="K73" s="253">
        <f>IF($D73="mg l-¹",'Raw Data'!K87,'Raw Data'!K87/1000)</f>
        <v>0</v>
      </c>
      <c r="L73" s="253">
        <f>IF($D73="mg l-¹",'Raw Data'!L87,'Raw Data'!L87/1000)</f>
        <v>0</v>
      </c>
      <c r="M73" s="253">
        <f>IF($D73="mg l-¹",'Raw Data'!M87,'Raw Data'!M87/1000)</f>
        <v>0</v>
      </c>
    </row>
    <row r="74" spans="1:13" x14ac:dyDescent="0.2">
      <c r="A74" s="253">
        <f>'Raw Data'!A88</f>
        <v>0</v>
      </c>
      <c r="B74" s="253">
        <f>'Raw Data'!B88</f>
        <v>0</v>
      </c>
      <c r="C74" s="253">
        <f>'Raw Data'!C88</f>
        <v>0</v>
      </c>
      <c r="D74" s="253">
        <f>'Raw Data'!D88</f>
        <v>0</v>
      </c>
      <c r="E74" s="119">
        <f>IF($D74="mg/l",'Raw Data'!E88,'Raw Data'!E88/1000)</f>
        <v>0</v>
      </c>
      <c r="F74" s="253">
        <f>IF($D74="mg l-¹",'Raw Data'!F88,'Raw Data'!F88/1000)</f>
        <v>0</v>
      </c>
      <c r="G74" s="253">
        <f>IF($D74="mg l-¹",'Raw Data'!G88,'Raw Data'!G88/1000)</f>
        <v>0</v>
      </c>
      <c r="H74" s="253">
        <f>IF($D74="mg l-¹",'Raw Data'!H88,'Raw Data'!H88/1000)</f>
        <v>0</v>
      </c>
      <c r="I74" s="253">
        <f>IF($D74="mg l-¹",'Raw Data'!I88,'Raw Data'!I88/1000)</f>
        <v>0</v>
      </c>
      <c r="J74" s="253">
        <f>IF($D74="mg l-¹",'Raw Data'!J88,'Raw Data'!J88/1000)</f>
        <v>0</v>
      </c>
      <c r="K74" s="253">
        <f>IF($D74="mg l-¹",'Raw Data'!K88,'Raw Data'!K88/1000)</f>
        <v>0</v>
      </c>
      <c r="L74" s="253">
        <f>IF($D74="mg l-¹",'Raw Data'!L88,'Raw Data'!L88/1000)</f>
        <v>0</v>
      </c>
      <c r="M74" s="253">
        <f>IF($D74="mg l-¹",'Raw Data'!M88,'Raw Data'!M88/1000)</f>
        <v>0</v>
      </c>
    </row>
    <row r="75" spans="1:13" x14ac:dyDescent="0.2">
      <c r="A75" s="253">
        <f>'Raw Data'!A89</f>
        <v>0</v>
      </c>
      <c r="B75" s="253">
        <f>'Raw Data'!B89</f>
        <v>0</v>
      </c>
      <c r="C75" s="253">
        <f>'Raw Data'!C89</f>
        <v>0</v>
      </c>
      <c r="D75" s="253">
        <f>'Raw Data'!D89</f>
        <v>0</v>
      </c>
      <c r="E75" s="119">
        <f>IF($D75="mg/l",'Raw Data'!E89,'Raw Data'!E89/1000)</f>
        <v>0</v>
      </c>
      <c r="F75" s="253">
        <f>IF($D75="mg l-¹",'Raw Data'!F89,'Raw Data'!F89/1000)</f>
        <v>0</v>
      </c>
      <c r="G75" s="253">
        <f>IF($D75="mg l-¹",'Raw Data'!G89,'Raw Data'!G89/1000)</f>
        <v>0</v>
      </c>
      <c r="H75" s="253">
        <f>IF($D75="mg l-¹",'Raw Data'!H89,'Raw Data'!H89/1000)</f>
        <v>0</v>
      </c>
      <c r="I75" s="253">
        <f>IF($D75="mg l-¹",'Raw Data'!I89,'Raw Data'!I89/1000)</f>
        <v>0</v>
      </c>
      <c r="J75" s="253">
        <f>IF($D75="mg l-¹",'Raw Data'!J89,'Raw Data'!J89/1000)</f>
        <v>0</v>
      </c>
      <c r="K75" s="253">
        <f>IF($D75="mg l-¹",'Raw Data'!K89,'Raw Data'!K89/1000)</f>
        <v>0</v>
      </c>
      <c r="L75" s="253">
        <f>IF($D75="mg l-¹",'Raw Data'!L89,'Raw Data'!L89/1000)</f>
        <v>0</v>
      </c>
      <c r="M75" s="253">
        <f>IF($D75="mg l-¹",'Raw Data'!M89,'Raw Data'!M89/1000)</f>
        <v>0</v>
      </c>
    </row>
    <row r="76" spans="1:13" x14ac:dyDescent="0.2">
      <c r="A76" s="253">
        <f>'Raw Data'!A90</f>
        <v>0</v>
      </c>
      <c r="B76" s="253">
        <f>'Raw Data'!B90</f>
        <v>0</v>
      </c>
      <c r="C76" s="253">
        <f>'Raw Data'!C90</f>
        <v>0</v>
      </c>
      <c r="D76" s="253">
        <f>'Raw Data'!D90</f>
        <v>0</v>
      </c>
      <c r="E76" s="119">
        <f>IF($D76="mg/l",'Raw Data'!E90,'Raw Data'!E90/1000)</f>
        <v>0</v>
      </c>
      <c r="F76" s="253">
        <f>IF($D76="mg l-¹",'Raw Data'!F90,'Raw Data'!F90/1000)</f>
        <v>0</v>
      </c>
      <c r="G76" s="253">
        <f>IF($D76="mg l-¹",'Raw Data'!G90,'Raw Data'!G90/1000)</f>
        <v>0</v>
      </c>
      <c r="H76" s="253">
        <f>IF($D76="mg l-¹",'Raw Data'!H90,'Raw Data'!H90/1000)</f>
        <v>0</v>
      </c>
      <c r="I76" s="253">
        <f>IF($D76="mg l-¹",'Raw Data'!I90,'Raw Data'!I90/1000)</f>
        <v>0</v>
      </c>
      <c r="J76" s="253">
        <f>IF($D76="mg l-¹",'Raw Data'!J90,'Raw Data'!J90/1000)</f>
        <v>0</v>
      </c>
      <c r="K76" s="253">
        <f>IF($D76="mg l-¹",'Raw Data'!K90,'Raw Data'!K90/1000)</f>
        <v>0</v>
      </c>
      <c r="L76" s="253">
        <f>IF($D76="mg l-¹",'Raw Data'!L90,'Raw Data'!L90/1000)</f>
        <v>0</v>
      </c>
      <c r="M76" s="253">
        <f>IF($D76="mg l-¹",'Raw Data'!M90,'Raw Data'!M90/1000)</f>
        <v>0</v>
      </c>
    </row>
  </sheetData>
  <phoneticPr fontId="0" type="noConversion"/>
  <conditionalFormatting sqref="F5:M6">
    <cfRule type="cellIs" dxfId="2" priority="4" stopIfTrue="1" operator="lessThanOrEqual">
      <formula>$E5</formula>
    </cfRule>
  </conditionalFormatting>
  <conditionalFormatting sqref="A5:M6 A7:E7 A8:M76">
    <cfRule type="cellIs" dxfId="1" priority="1" operator="equal">
      <formula>0</formula>
    </cfRule>
  </conditionalFormatting>
  <conditionalFormatting sqref="F8:M76">
    <cfRule type="cellIs" dxfId="0" priority="2" operator="equal">
      <formula>$E8</formula>
    </cfRule>
  </conditionalFormatting>
  <pageMargins left="0.74803149606299213" right="0.74803149606299213" top="0.98425196850393704" bottom="0.98425196850393704" header="0.51181102362204722" footer="0.51181102362204722"/>
  <pageSetup paperSize="9" scale="46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">
    <pageSetUpPr fitToPage="1"/>
  </sheetPr>
  <dimension ref="A1:R70"/>
  <sheetViews>
    <sheetView view="pageBreakPreview" topLeftCell="A7" zoomScale="75" zoomScaleNormal="100" zoomScaleSheetLayoutView="75" workbookViewId="0">
      <selection activeCell="C18" sqref="C18:C21"/>
    </sheetView>
  </sheetViews>
  <sheetFormatPr defaultRowHeight="12.75" x14ac:dyDescent="0.2"/>
  <cols>
    <col min="1" max="1" width="39.85546875" style="2" customWidth="1"/>
    <col min="2" max="2" width="19" style="2" customWidth="1"/>
    <col min="3" max="3" width="20.5703125" style="2" customWidth="1"/>
    <col min="4" max="4" width="20.42578125" style="2" customWidth="1"/>
    <col min="5" max="5" width="25.7109375" style="2" customWidth="1"/>
    <col min="6" max="6" width="25.42578125" style="2" bestFit="1" customWidth="1"/>
    <col min="7" max="9" width="19" style="2" customWidth="1"/>
    <col min="10" max="10" width="20" style="2" customWidth="1"/>
    <col min="11" max="11" width="20.42578125" style="2" customWidth="1"/>
    <col min="12" max="12" width="25.7109375" style="2" customWidth="1"/>
    <col min="13" max="13" width="14.5703125" style="2" customWidth="1"/>
    <col min="14" max="14" width="9.140625" style="2"/>
    <col min="15" max="16" width="13.42578125" style="2" bestFit="1" customWidth="1"/>
    <col min="17" max="17" width="16.85546875" style="2" bestFit="1" customWidth="1"/>
    <col min="18" max="20" width="13.42578125" style="2" bestFit="1" customWidth="1"/>
    <col min="21" max="21" width="9.140625" style="2"/>
    <col min="22" max="22" width="20.85546875" style="2" bestFit="1" customWidth="1"/>
    <col min="23" max="23" width="9.140625" style="2"/>
    <col min="24" max="24" width="12.28515625" style="2" bestFit="1" customWidth="1"/>
    <col min="25" max="25" width="13.28515625" style="2" bestFit="1" customWidth="1"/>
    <col min="26" max="26" width="16.140625" style="2" bestFit="1" customWidth="1"/>
    <col min="27" max="29" width="13.28515625" style="2" bestFit="1" customWidth="1"/>
    <col min="30" max="30" width="12.5703125" style="2" bestFit="1" customWidth="1"/>
    <col min="31" max="31" width="12.5703125" style="2" customWidth="1"/>
    <col min="32" max="32" width="9.140625" style="2"/>
    <col min="33" max="33" width="12.5703125" style="2" bestFit="1" customWidth="1"/>
    <col min="34" max="34" width="12.42578125" style="2" bestFit="1" customWidth="1"/>
    <col min="35" max="38" width="12.5703125" style="2" bestFit="1" customWidth="1"/>
    <col min="39" max="39" width="20.85546875" style="2" bestFit="1" customWidth="1"/>
    <col min="40" max="40" width="17" style="2" bestFit="1" customWidth="1"/>
    <col min="41" max="45" width="12.28515625" style="2" bestFit="1" customWidth="1"/>
    <col min="46" max="16384" width="9.140625" style="2"/>
  </cols>
  <sheetData>
    <row r="1" spans="1:18" ht="23.25" x14ac:dyDescent="0.35">
      <c r="A1" s="1" t="str">
        <f>"EA NEN 7375: Monolithic Tank Test "&amp; "for " &amp;A11</f>
        <v>EA NEN 7375: Monolithic Tank Test for Na-Tort</v>
      </c>
      <c r="J1" s="293"/>
      <c r="K1" s="293" t="s">
        <v>231</v>
      </c>
      <c r="L1" s="293"/>
      <c r="M1" s="293" t="s">
        <v>226</v>
      </c>
      <c r="N1" s="293"/>
      <c r="O1" s="293"/>
      <c r="P1" s="293"/>
      <c r="Q1" s="293"/>
      <c r="R1" s="293"/>
    </row>
    <row r="2" spans="1:18" x14ac:dyDescent="0.2">
      <c r="J2" s="293"/>
      <c r="K2" s="294">
        <v>41496</v>
      </c>
      <c r="L2" s="293"/>
      <c r="M2" s="293" t="s">
        <v>227</v>
      </c>
      <c r="N2" s="293"/>
      <c r="O2" s="293"/>
      <c r="P2" s="293"/>
      <c r="Q2" s="293"/>
      <c r="R2" s="293"/>
    </row>
    <row r="3" spans="1:18" s="4" customFormat="1" ht="18" x14ac:dyDescent="0.25">
      <c r="A3" s="3" t="s">
        <v>0</v>
      </c>
      <c r="B3" s="4" t="s">
        <v>310</v>
      </c>
      <c r="E3" s="3" t="s">
        <v>230</v>
      </c>
      <c r="J3" s="296"/>
      <c r="K3" s="295">
        <v>0.58333333333333337</v>
      </c>
      <c r="L3" s="296"/>
      <c r="M3" s="296" t="s">
        <v>228</v>
      </c>
      <c r="N3" s="296"/>
      <c r="O3" s="296"/>
      <c r="P3" s="296"/>
      <c r="Q3" s="296"/>
      <c r="R3" s="296"/>
    </row>
    <row r="4" spans="1:18" s="4" customFormat="1" ht="18" x14ac:dyDescent="0.25">
      <c r="A4" s="3" t="s">
        <v>1</v>
      </c>
      <c r="B4" s="4" t="s">
        <v>308</v>
      </c>
      <c r="J4" s="296"/>
      <c r="K4" s="296"/>
      <c r="L4" s="296"/>
      <c r="M4" s="296" t="s">
        <v>229</v>
      </c>
      <c r="N4" s="296"/>
      <c r="O4" s="296"/>
      <c r="P4" s="296"/>
      <c r="Q4" s="296"/>
      <c r="R4" s="296"/>
    </row>
    <row r="5" spans="1:18" s="4" customFormat="1" ht="18" x14ac:dyDescent="0.25">
      <c r="A5" s="3" t="s">
        <v>2</v>
      </c>
      <c r="B5" s="4" t="s">
        <v>309</v>
      </c>
      <c r="J5" s="296"/>
      <c r="K5" s="312">
        <v>4</v>
      </c>
      <c r="L5" s="296"/>
      <c r="M5" s="296"/>
      <c r="N5" s="296"/>
      <c r="O5" s="296"/>
      <c r="P5" s="296"/>
      <c r="Q5" s="296"/>
      <c r="R5" s="296"/>
    </row>
    <row r="6" spans="1:18" s="4" customFormat="1" ht="18" x14ac:dyDescent="0.25">
      <c r="A6" s="3" t="s">
        <v>3</v>
      </c>
      <c r="B6" s="4" t="s">
        <v>306</v>
      </c>
      <c r="J6" s="296"/>
      <c r="K6" s="296"/>
      <c r="L6" s="296"/>
      <c r="M6" s="296"/>
      <c r="N6" s="296"/>
      <c r="O6" s="296"/>
      <c r="P6" s="296"/>
      <c r="Q6" s="296"/>
      <c r="R6" s="296"/>
    </row>
    <row r="7" spans="1:18" s="4" customFormat="1" ht="18" x14ac:dyDescent="0.25">
      <c r="A7" s="3" t="s">
        <v>269</v>
      </c>
      <c r="B7" s="303">
        <v>1</v>
      </c>
      <c r="J7" s="296"/>
      <c r="K7" s="296" t="s">
        <v>226</v>
      </c>
      <c r="L7" s="296" t="s">
        <v>227</v>
      </c>
      <c r="M7" s="297" t="s">
        <v>228</v>
      </c>
      <c r="N7" s="297" t="s">
        <v>229</v>
      </c>
      <c r="O7" s="296"/>
      <c r="P7" s="296"/>
      <c r="Q7" s="296"/>
      <c r="R7" s="296"/>
    </row>
    <row r="8" spans="1:18" s="4" customFormat="1" ht="16.5" customHeight="1" thickBot="1" x14ac:dyDescent="0.3">
      <c r="J8" s="296">
        <v>0</v>
      </c>
      <c r="K8" s="296">
        <v>0</v>
      </c>
      <c r="L8" s="296">
        <v>0</v>
      </c>
      <c r="M8" s="296">
        <v>0</v>
      </c>
      <c r="N8" s="296">
        <v>0</v>
      </c>
      <c r="O8" s="296"/>
      <c r="P8" s="296"/>
      <c r="Q8" s="296"/>
      <c r="R8" s="296"/>
    </row>
    <row r="9" spans="1:18" s="5" customFormat="1" ht="34.5" customHeight="1" thickBot="1" x14ac:dyDescent="0.3">
      <c r="A9" s="3" t="s">
        <v>4</v>
      </c>
      <c r="B9" s="463" t="s">
        <v>200</v>
      </c>
      <c r="C9" s="464"/>
      <c r="D9" s="464"/>
      <c r="E9" s="465"/>
      <c r="F9" s="126" t="s">
        <v>125</v>
      </c>
      <c r="G9" s="126" t="s">
        <v>5</v>
      </c>
      <c r="H9" s="126" t="s">
        <v>126</v>
      </c>
      <c r="I9" s="126" t="s">
        <v>127</v>
      </c>
      <c r="J9" s="297">
        <v>1</v>
      </c>
      <c r="K9" s="297">
        <v>0.25</v>
      </c>
      <c r="L9" s="297">
        <v>8.3000000000000004E-2</v>
      </c>
      <c r="M9" s="297">
        <v>8.3000000000000004E-2</v>
      </c>
      <c r="N9" s="297">
        <v>6.25E-2</v>
      </c>
      <c r="O9" s="297"/>
      <c r="P9" s="297"/>
      <c r="Q9" s="297"/>
      <c r="R9" s="297"/>
    </row>
    <row r="10" spans="1:18" s="5" customFormat="1" ht="16.5" thickBot="1" x14ac:dyDescent="0.3">
      <c r="A10" s="130" t="s">
        <v>6</v>
      </c>
      <c r="B10" s="131" t="s">
        <v>7</v>
      </c>
      <c r="C10" s="124" t="s">
        <v>8</v>
      </c>
      <c r="D10" s="124" t="s">
        <v>9</v>
      </c>
      <c r="E10" s="125" t="s">
        <v>10</v>
      </c>
      <c r="F10" s="127"/>
      <c r="G10" s="6"/>
      <c r="H10" s="6"/>
      <c r="I10" s="7"/>
      <c r="J10" s="297">
        <v>2</v>
      </c>
      <c r="K10" s="297">
        <v>1</v>
      </c>
      <c r="L10" s="297">
        <v>1.04</v>
      </c>
      <c r="M10" s="297">
        <v>1</v>
      </c>
      <c r="N10" s="297">
        <v>0.25</v>
      </c>
      <c r="O10" s="297"/>
      <c r="P10" s="297"/>
      <c r="Q10" s="297"/>
      <c r="R10" s="297"/>
    </row>
    <row r="11" spans="1:18" s="5" customFormat="1" ht="15.75" thickBot="1" x14ac:dyDescent="0.25">
      <c r="A11" s="128" t="s">
        <v>307</v>
      </c>
      <c r="B11" s="129">
        <v>112.64</v>
      </c>
      <c r="C11" s="129"/>
      <c r="D11" s="129"/>
      <c r="E11" s="129" t="s">
        <v>105</v>
      </c>
      <c r="F11" s="359">
        <v>6.7889499999999994E-5</v>
      </c>
      <c r="G11" s="8">
        <f>(B11/1000000/F11)</f>
        <v>1.659166734178334</v>
      </c>
      <c r="H11" s="8">
        <v>0.436</v>
      </c>
      <c r="I11" s="9">
        <v>6.1190000000000003E-3</v>
      </c>
      <c r="J11" s="297">
        <v>3</v>
      </c>
      <c r="K11" s="297">
        <v>2.25</v>
      </c>
      <c r="L11" s="297">
        <v>2</v>
      </c>
      <c r="M11" s="297">
        <v>2.25</v>
      </c>
      <c r="N11" s="297">
        <v>1</v>
      </c>
      <c r="O11" s="297"/>
      <c r="P11" s="297"/>
      <c r="Q11" s="297"/>
      <c r="R11" s="297"/>
    </row>
    <row r="12" spans="1:18" s="5" customFormat="1" ht="15.75" thickBot="1" x14ac:dyDescent="0.25">
      <c r="E12" s="10"/>
      <c r="J12" s="297">
        <v>4</v>
      </c>
      <c r="K12" s="297">
        <v>4</v>
      </c>
      <c r="L12" s="297">
        <v>7</v>
      </c>
      <c r="M12" s="297">
        <v>8</v>
      </c>
      <c r="N12" s="297">
        <v>2.25</v>
      </c>
      <c r="O12" s="297"/>
      <c r="P12" s="297"/>
      <c r="Q12" s="297"/>
      <c r="R12" s="297"/>
    </row>
    <row r="13" spans="1:18" s="5" customFormat="1" ht="16.5" thickBot="1" x14ac:dyDescent="0.3">
      <c r="A13" s="350" t="s">
        <v>11</v>
      </c>
      <c r="B13" s="351" t="s">
        <v>12</v>
      </c>
      <c r="C13" s="351" t="s">
        <v>13</v>
      </c>
      <c r="D13" s="351" t="s">
        <v>14</v>
      </c>
      <c r="E13" s="441" t="s">
        <v>15</v>
      </c>
      <c r="F13" s="442"/>
      <c r="G13" s="442"/>
      <c r="H13" s="442"/>
      <c r="I13" s="443"/>
      <c r="J13" s="297">
        <v>5</v>
      </c>
      <c r="K13" s="297">
        <v>9</v>
      </c>
      <c r="L13" s="297">
        <v>14</v>
      </c>
      <c r="M13" s="297">
        <v>14</v>
      </c>
      <c r="N13" s="297">
        <v>4</v>
      </c>
      <c r="O13" s="297"/>
      <c r="P13" s="297"/>
      <c r="Q13" s="297"/>
      <c r="R13" s="297"/>
    </row>
    <row r="14" spans="1:18" s="5" customFormat="1" ht="12.75" customHeight="1" x14ac:dyDescent="0.2">
      <c r="A14" s="444" t="str">
        <f>K8 &amp;" Days"</f>
        <v>0 Days</v>
      </c>
      <c r="B14" s="445">
        <v>0</v>
      </c>
      <c r="C14" s="447">
        <v>43744</v>
      </c>
      <c r="D14" s="466">
        <v>0.41666666666666669</v>
      </c>
      <c r="E14" s="352" t="s">
        <v>16</v>
      </c>
      <c r="F14" s="445"/>
      <c r="G14" s="445"/>
      <c r="H14" s="445"/>
      <c r="I14" s="446"/>
      <c r="J14" s="297">
        <v>6</v>
      </c>
      <c r="K14" s="297">
        <v>16</v>
      </c>
      <c r="L14" s="297">
        <v>28</v>
      </c>
      <c r="M14" s="297">
        <v>15</v>
      </c>
      <c r="N14" s="297">
        <v>6.25</v>
      </c>
      <c r="O14" s="297"/>
      <c r="P14" s="297"/>
      <c r="Q14" s="297"/>
      <c r="R14" s="297"/>
    </row>
    <row r="15" spans="1:18" s="5" customFormat="1" ht="15" x14ac:dyDescent="0.2">
      <c r="A15" s="437"/>
      <c r="B15" s="432"/>
      <c r="C15" s="432"/>
      <c r="D15" s="432"/>
      <c r="E15" s="11" t="s">
        <v>17</v>
      </c>
      <c r="F15" s="432"/>
      <c r="G15" s="432"/>
      <c r="H15" s="432"/>
      <c r="I15" s="433"/>
      <c r="J15" s="297">
        <v>7</v>
      </c>
      <c r="K15" s="297">
        <v>36</v>
      </c>
      <c r="L15" s="297">
        <v>42</v>
      </c>
      <c r="M15" s="297">
        <v>28</v>
      </c>
      <c r="N15" s="297">
        <v>9</v>
      </c>
      <c r="O15" s="297"/>
      <c r="P15" s="297"/>
      <c r="Q15" s="297"/>
      <c r="R15" s="297"/>
    </row>
    <row r="16" spans="1:18" s="5" customFormat="1" ht="12.75" customHeight="1" x14ac:dyDescent="0.2">
      <c r="A16" s="437"/>
      <c r="B16" s="432"/>
      <c r="C16" s="432"/>
      <c r="D16" s="432"/>
      <c r="E16" s="11" t="s">
        <v>18</v>
      </c>
      <c r="F16" s="432"/>
      <c r="G16" s="432"/>
      <c r="H16" s="432"/>
      <c r="I16" s="433"/>
      <c r="J16" s="297">
        <v>8</v>
      </c>
      <c r="K16" s="297">
        <v>64</v>
      </c>
      <c r="L16" s="297">
        <v>49</v>
      </c>
      <c r="M16" s="297">
        <v>36</v>
      </c>
      <c r="N16" s="297">
        <v>16</v>
      </c>
      <c r="O16" s="297"/>
      <c r="P16" s="297"/>
      <c r="Q16" s="297"/>
      <c r="R16" s="297"/>
    </row>
    <row r="17" spans="1:18" s="5" customFormat="1" ht="15" x14ac:dyDescent="0.2">
      <c r="A17" s="437"/>
      <c r="B17" s="432"/>
      <c r="C17" s="432"/>
      <c r="D17" s="432"/>
      <c r="E17" s="11" t="s">
        <v>19</v>
      </c>
      <c r="F17" s="432"/>
      <c r="G17" s="432"/>
      <c r="H17" s="432"/>
      <c r="I17" s="433"/>
      <c r="J17" s="297"/>
      <c r="K17" s="297"/>
      <c r="L17" s="297">
        <v>63</v>
      </c>
      <c r="M17" s="297"/>
      <c r="N17" s="297">
        <v>25</v>
      </c>
      <c r="O17" s="297"/>
      <c r="P17" s="297"/>
      <c r="Q17" s="297"/>
      <c r="R17" s="297"/>
    </row>
    <row r="18" spans="1:18" s="5" customFormat="1" ht="15" x14ac:dyDescent="0.2">
      <c r="A18" s="436" t="str">
        <f ca="1">OFFSET(J9,,K5) &amp;" Days"</f>
        <v>0.0625 Days</v>
      </c>
      <c r="B18" s="432">
        <v>1</v>
      </c>
      <c r="C18" s="438">
        <f ca="1">C$14+OFFSET(J9,,K$5)</f>
        <v>43744.0625</v>
      </c>
      <c r="D18" s="439">
        <f ca="1">D$14+OFFSET(J9,,K$5)</f>
        <v>0.47916666666666669</v>
      </c>
      <c r="E18" s="11" t="s">
        <v>20</v>
      </c>
      <c r="F18" s="432"/>
      <c r="G18" s="432"/>
      <c r="H18" s="432"/>
      <c r="I18" s="433"/>
      <c r="J18" s="297"/>
      <c r="K18" s="297"/>
      <c r="L18" s="297"/>
      <c r="M18" s="297"/>
      <c r="N18" s="297"/>
      <c r="O18" s="297"/>
      <c r="P18" s="297"/>
      <c r="Q18" s="297"/>
      <c r="R18" s="297"/>
    </row>
    <row r="19" spans="1:18" s="5" customFormat="1" ht="15" x14ac:dyDescent="0.2">
      <c r="A19" s="437"/>
      <c r="B19" s="432"/>
      <c r="C19" s="432"/>
      <c r="D19" s="432"/>
      <c r="E19" s="11" t="s">
        <v>17</v>
      </c>
      <c r="F19" s="432"/>
      <c r="G19" s="432"/>
      <c r="H19" s="432"/>
      <c r="I19" s="433"/>
      <c r="J19" s="297"/>
      <c r="K19" s="297"/>
      <c r="L19" s="297"/>
      <c r="M19" s="297"/>
      <c r="N19" s="297"/>
      <c r="O19" s="297"/>
      <c r="P19" s="297"/>
      <c r="Q19" s="297"/>
      <c r="R19" s="297"/>
    </row>
    <row r="20" spans="1:18" s="5" customFormat="1" ht="12.75" customHeight="1" x14ac:dyDescent="0.2">
      <c r="A20" s="437"/>
      <c r="B20" s="432"/>
      <c r="C20" s="432"/>
      <c r="D20" s="432"/>
      <c r="E20" s="11" t="s">
        <v>18</v>
      </c>
      <c r="F20" s="432"/>
      <c r="G20" s="432"/>
      <c r="H20" s="432"/>
      <c r="I20" s="433"/>
      <c r="J20" s="297"/>
      <c r="K20" s="297"/>
      <c r="L20" s="297"/>
      <c r="M20" s="297"/>
      <c r="N20" s="297"/>
      <c r="O20" s="297"/>
      <c r="P20" s="297"/>
      <c r="Q20" s="297"/>
      <c r="R20" s="297"/>
    </row>
    <row r="21" spans="1:18" s="5" customFormat="1" ht="15" x14ac:dyDescent="0.2">
      <c r="A21" s="437"/>
      <c r="B21" s="432"/>
      <c r="C21" s="432"/>
      <c r="D21" s="432"/>
      <c r="E21" s="11" t="s">
        <v>21</v>
      </c>
      <c r="F21" s="432"/>
      <c r="G21" s="432"/>
      <c r="H21" s="432"/>
      <c r="I21" s="433"/>
      <c r="J21" s="297"/>
      <c r="K21" s="297"/>
      <c r="L21" s="297"/>
      <c r="M21" s="297"/>
      <c r="N21" s="297"/>
      <c r="O21" s="297"/>
      <c r="P21" s="297"/>
      <c r="Q21" s="297"/>
      <c r="R21" s="297"/>
    </row>
    <row r="22" spans="1:18" s="5" customFormat="1" ht="15" x14ac:dyDescent="0.2">
      <c r="A22" s="436" t="str">
        <f ca="1">OFFSET(J10,,K5) &amp;" Days"</f>
        <v>0.25 Days</v>
      </c>
      <c r="B22" s="432">
        <v>2</v>
      </c>
      <c r="C22" s="438">
        <f ca="1">C$14+OFFSET(J10,,K$5)</f>
        <v>43744.25</v>
      </c>
      <c r="D22" s="439">
        <f ca="1">D$14+OFFSET(J10,,K$5)</f>
        <v>0.66666666666666674</v>
      </c>
      <c r="E22" s="11" t="s">
        <v>20</v>
      </c>
      <c r="F22" s="432"/>
      <c r="G22" s="432"/>
      <c r="H22" s="432"/>
      <c r="I22" s="433"/>
      <c r="J22" s="297"/>
      <c r="K22" s="297"/>
      <c r="L22" s="297"/>
      <c r="M22" s="297"/>
      <c r="N22" s="297"/>
      <c r="O22" s="297"/>
      <c r="P22" s="297"/>
      <c r="Q22" s="297"/>
      <c r="R22" s="297"/>
    </row>
    <row r="23" spans="1:18" s="5" customFormat="1" ht="15" customHeight="1" x14ac:dyDescent="0.2">
      <c r="A23" s="437"/>
      <c r="B23" s="432"/>
      <c r="C23" s="432"/>
      <c r="D23" s="432"/>
      <c r="E23" s="11" t="s">
        <v>17</v>
      </c>
      <c r="F23" s="432"/>
      <c r="G23" s="432"/>
      <c r="H23" s="432"/>
      <c r="I23" s="433"/>
      <c r="J23" s="297"/>
      <c r="K23" s="297"/>
      <c r="L23" s="297"/>
      <c r="M23" s="297"/>
      <c r="N23" s="297"/>
      <c r="O23" s="297"/>
      <c r="P23" s="297"/>
      <c r="Q23" s="297"/>
      <c r="R23" s="297"/>
    </row>
    <row r="24" spans="1:18" s="5" customFormat="1" ht="12.75" customHeight="1" x14ac:dyDescent="0.2">
      <c r="A24" s="437"/>
      <c r="B24" s="432"/>
      <c r="C24" s="432"/>
      <c r="D24" s="432"/>
      <c r="E24" s="11" t="s">
        <v>18</v>
      </c>
      <c r="F24" s="432"/>
      <c r="G24" s="432"/>
      <c r="H24" s="432"/>
      <c r="I24" s="433"/>
      <c r="J24" s="297"/>
      <c r="K24" s="297">
        <f ca="1">OFFSET(J9,,K$5)</f>
        <v>6.25E-2</v>
      </c>
      <c r="L24" s="297">
        <f ca="1">OFFSET(J10,,K$5)</f>
        <v>0.25</v>
      </c>
      <c r="M24" s="297">
        <f ca="1">OFFSET(J11,,K$5)</f>
        <v>1</v>
      </c>
      <c r="N24" s="297">
        <f ca="1">OFFSET(J12,,K$5)</f>
        <v>2.25</v>
      </c>
      <c r="O24" s="297">
        <f ca="1">OFFSET(J13,,K$5)</f>
        <v>4</v>
      </c>
      <c r="P24" s="297">
        <f ca="1">OFFSET(J14,,K$5)</f>
        <v>6.25</v>
      </c>
      <c r="Q24" s="297">
        <f ca="1">OFFSET(J15,,K$5)</f>
        <v>9</v>
      </c>
      <c r="R24" s="297">
        <f ca="1">OFFSET(J16,,K$5)</f>
        <v>16</v>
      </c>
    </row>
    <row r="25" spans="1:18" s="5" customFormat="1" ht="15" x14ac:dyDescent="0.2">
      <c r="A25" s="437"/>
      <c r="B25" s="432"/>
      <c r="C25" s="432"/>
      <c r="D25" s="432"/>
      <c r="E25" s="11" t="s">
        <v>21</v>
      </c>
      <c r="F25" s="432"/>
      <c r="G25" s="432"/>
      <c r="H25" s="432"/>
      <c r="I25" s="433"/>
      <c r="P25" s="297"/>
      <c r="Q25" s="297"/>
      <c r="R25" s="297"/>
    </row>
    <row r="26" spans="1:18" s="5" customFormat="1" ht="15" x14ac:dyDescent="0.2">
      <c r="A26" s="436" t="str">
        <f ca="1">OFFSET(J11,,K5) &amp;" Days"</f>
        <v>1 Days</v>
      </c>
      <c r="B26" s="432">
        <v>3</v>
      </c>
      <c r="C26" s="438">
        <f ca="1">C$14+OFFSET(J11,,K$5)</f>
        <v>43745</v>
      </c>
      <c r="D26" s="439">
        <f ca="1">D$14+OFFSET(J11,,K$5)</f>
        <v>1.4166666666666667</v>
      </c>
      <c r="E26" s="11" t="s">
        <v>20</v>
      </c>
      <c r="F26" s="432"/>
      <c r="G26" s="432"/>
      <c r="H26" s="432"/>
      <c r="I26" s="433"/>
      <c r="P26" s="297"/>
      <c r="Q26" s="297"/>
      <c r="R26" s="297"/>
    </row>
    <row r="27" spans="1:18" s="5" customFormat="1" ht="15" customHeight="1" x14ac:dyDescent="0.2">
      <c r="A27" s="437"/>
      <c r="B27" s="432"/>
      <c r="C27" s="432"/>
      <c r="D27" s="432"/>
      <c r="E27" s="11" t="s">
        <v>17</v>
      </c>
      <c r="F27" s="432"/>
      <c r="G27" s="432"/>
      <c r="H27" s="432"/>
      <c r="I27" s="433"/>
      <c r="P27" s="297"/>
      <c r="Q27" s="297"/>
      <c r="R27" s="297"/>
    </row>
    <row r="28" spans="1:18" s="5" customFormat="1" ht="12.75" customHeight="1" x14ac:dyDescent="0.2">
      <c r="A28" s="437"/>
      <c r="B28" s="432"/>
      <c r="C28" s="432"/>
      <c r="D28" s="432"/>
      <c r="E28" s="11" t="s">
        <v>18</v>
      </c>
      <c r="F28" s="432"/>
      <c r="G28" s="432"/>
      <c r="H28" s="432"/>
      <c r="I28" s="433"/>
      <c r="K28" s="297"/>
      <c r="L28" s="297"/>
      <c r="M28" s="297"/>
      <c r="N28" s="297"/>
      <c r="O28" s="297"/>
      <c r="P28" s="297"/>
      <c r="Q28" s="297"/>
      <c r="R28" s="297"/>
    </row>
    <row r="29" spans="1:18" s="5" customFormat="1" ht="15" x14ac:dyDescent="0.2">
      <c r="A29" s="437"/>
      <c r="B29" s="432"/>
      <c r="C29" s="432"/>
      <c r="D29" s="432"/>
      <c r="E29" s="11" t="s">
        <v>21</v>
      </c>
      <c r="F29" s="432"/>
      <c r="G29" s="432"/>
      <c r="H29" s="432"/>
      <c r="I29" s="433"/>
    </row>
    <row r="30" spans="1:18" s="5" customFormat="1" ht="15" x14ac:dyDescent="0.2">
      <c r="A30" s="436" t="str">
        <f ca="1">OFFSET(J12,,K5) &amp;" Days"</f>
        <v>2.25 Days</v>
      </c>
      <c r="B30" s="432">
        <v>4</v>
      </c>
      <c r="C30" s="438">
        <f ca="1">C$14+OFFSET(J12,,K$5)</f>
        <v>43746.25</v>
      </c>
      <c r="D30" s="439">
        <f ca="1">D$14+OFFSET(J12,,K$5)</f>
        <v>2.6666666666666665</v>
      </c>
      <c r="E30" s="11" t="s">
        <v>20</v>
      </c>
      <c r="F30" s="432"/>
      <c r="G30" s="432"/>
      <c r="H30" s="432"/>
      <c r="I30" s="433"/>
    </row>
    <row r="31" spans="1:18" s="5" customFormat="1" ht="15" customHeight="1" x14ac:dyDescent="0.2">
      <c r="A31" s="437"/>
      <c r="B31" s="432"/>
      <c r="C31" s="432"/>
      <c r="D31" s="432"/>
      <c r="E31" s="11" t="s">
        <v>17</v>
      </c>
      <c r="F31" s="432"/>
      <c r="G31" s="432"/>
      <c r="H31" s="432"/>
      <c r="I31" s="433"/>
    </row>
    <row r="32" spans="1:18" s="5" customFormat="1" ht="12.75" customHeight="1" x14ac:dyDescent="0.2">
      <c r="A32" s="437"/>
      <c r="B32" s="432"/>
      <c r="C32" s="432"/>
      <c r="D32" s="432"/>
      <c r="E32" s="11" t="s">
        <v>18</v>
      </c>
      <c r="F32" s="432"/>
      <c r="G32" s="432"/>
      <c r="H32" s="432"/>
      <c r="I32" s="433"/>
    </row>
    <row r="33" spans="1:9" s="5" customFormat="1" ht="12.75" customHeight="1" x14ac:dyDescent="0.2">
      <c r="A33" s="437"/>
      <c r="B33" s="432"/>
      <c r="C33" s="432"/>
      <c r="D33" s="432"/>
      <c r="E33" s="11" t="s">
        <v>21</v>
      </c>
      <c r="F33" s="432"/>
      <c r="G33" s="432"/>
      <c r="H33" s="432"/>
      <c r="I33" s="433"/>
    </row>
    <row r="34" spans="1:9" s="5" customFormat="1" ht="15" x14ac:dyDescent="0.2">
      <c r="A34" s="436" t="str">
        <f ca="1">OFFSET(J13,,K5) &amp;" Days"</f>
        <v>4 Days</v>
      </c>
      <c r="B34" s="432">
        <v>5</v>
      </c>
      <c r="C34" s="438">
        <f ca="1">C$14+OFFSET(J$13,,K$5)</f>
        <v>43748</v>
      </c>
      <c r="D34" s="439">
        <f ca="1">D$14+OFFSET(J13,,K$5)</f>
        <v>4.416666666666667</v>
      </c>
      <c r="E34" s="11" t="s">
        <v>20</v>
      </c>
      <c r="F34" s="432"/>
      <c r="G34" s="432"/>
      <c r="H34" s="432"/>
      <c r="I34" s="433"/>
    </row>
    <row r="35" spans="1:9" s="5" customFormat="1" ht="15" customHeight="1" x14ac:dyDescent="0.2">
      <c r="A35" s="437"/>
      <c r="B35" s="432"/>
      <c r="C35" s="432"/>
      <c r="D35" s="432"/>
      <c r="E35" s="11" t="s">
        <v>17</v>
      </c>
      <c r="F35" s="432"/>
      <c r="G35" s="432"/>
      <c r="H35" s="432"/>
      <c r="I35" s="433"/>
    </row>
    <row r="36" spans="1:9" s="5" customFormat="1" ht="12.75" customHeight="1" x14ac:dyDescent="0.2">
      <c r="A36" s="437"/>
      <c r="B36" s="432"/>
      <c r="C36" s="432"/>
      <c r="D36" s="432"/>
      <c r="E36" s="11" t="s">
        <v>18</v>
      </c>
      <c r="F36" s="432"/>
      <c r="G36" s="432"/>
      <c r="H36" s="432"/>
      <c r="I36" s="433"/>
    </row>
    <row r="37" spans="1:9" s="5" customFormat="1" ht="12.75" customHeight="1" x14ac:dyDescent="0.2">
      <c r="A37" s="437"/>
      <c r="B37" s="432"/>
      <c r="C37" s="432"/>
      <c r="D37" s="432"/>
      <c r="E37" s="11" t="s">
        <v>21</v>
      </c>
      <c r="F37" s="432"/>
      <c r="G37" s="432"/>
      <c r="H37" s="432"/>
      <c r="I37" s="433"/>
    </row>
    <row r="38" spans="1:9" s="5" customFormat="1" ht="15" x14ac:dyDescent="0.2">
      <c r="A38" s="436" t="str">
        <f ca="1">OFFSET(J14,,K5) &amp;" Days"</f>
        <v>6.25 Days</v>
      </c>
      <c r="B38" s="432">
        <v>6</v>
      </c>
      <c r="C38" s="438">
        <f ca="1">C$14+OFFSET(J$14,,K$5)</f>
        <v>43750.25</v>
      </c>
      <c r="D38" s="439">
        <f ca="1">D$14+OFFSET(J14,,K$5)</f>
        <v>6.666666666666667</v>
      </c>
      <c r="E38" s="11" t="s">
        <v>20</v>
      </c>
      <c r="F38" s="432"/>
      <c r="G38" s="432"/>
      <c r="H38" s="432"/>
      <c r="I38" s="433"/>
    </row>
    <row r="39" spans="1:9" s="5" customFormat="1" ht="15" customHeight="1" x14ac:dyDescent="0.2">
      <c r="A39" s="437"/>
      <c r="B39" s="432"/>
      <c r="C39" s="432"/>
      <c r="D39" s="432"/>
      <c r="E39" s="11" t="s">
        <v>17</v>
      </c>
      <c r="F39" s="432"/>
      <c r="G39" s="432"/>
      <c r="H39" s="432"/>
      <c r="I39" s="433"/>
    </row>
    <row r="40" spans="1:9" s="5" customFormat="1" ht="12.75" customHeight="1" x14ac:dyDescent="0.2">
      <c r="A40" s="437"/>
      <c r="B40" s="432"/>
      <c r="C40" s="432"/>
      <c r="D40" s="432"/>
      <c r="E40" s="11" t="s">
        <v>18</v>
      </c>
      <c r="F40" s="432"/>
      <c r="G40" s="432"/>
      <c r="H40" s="432"/>
      <c r="I40" s="433"/>
    </row>
    <row r="41" spans="1:9" s="5" customFormat="1" ht="12.75" customHeight="1" x14ac:dyDescent="0.2">
      <c r="A41" s="437"/>
      <c r="B41" s="432"/>
      <c r="C41" s="432"/>
      <c r="D41" s="432"/>
      <c r="E41" s="11" t="s">
        <v>21</v>
      </c>
      <c r="F41" s="432"/>
      <c r="G41" s="432"/>
      <c r="H41" s="432"/>
      <c r="I41" s="433"/>
    </row>
    <row r="42" spans="1:9" s="5" customFormat="1" ht="15" x14ac:dyDescent="0.2">
      <c r="A42" s="436" t="str">
        <f ca="1">OFFSET(J15,,K5) &amp;" Days"</f>
        <v>9 Days</v>
      </c>
      <c r="B42" s="432">
        <v>7</v>
      </c>
      <c r="C42" s="438">
        <f ca="1">C$14+OFFSET(J$15,,K$5)</f>
        <v>43753</v>
      </c>
      <c r="D42" s="439">
        <f ca="1">D$14+OFFSET(J15,,K$5)</f>
        <v>9.4166666666666661</v>
      </c>
      <c r="E42" s="11" t="s">
        <v>20</v>
      </c>
      <c r="F42" s="432"/>
      <c r="G42" s="432"/>
      <c r="H42" s="432"/>
      <c r="I42" s="433"/>
    </row>
    <row r="43" spans="1:9" s="5" customFormat="1" ht="15" customHeight="1" x14ac:dyDescent="0.2">
      <c r="A43" s="437"/>
      <c r="B43" s="432"/>
      <c r="C43" s="432"/>
      <c r="D43" s="432"/>
      <c r="E43" s="11" t="s">
        <v>17</v>
      </c>
      <c r="F43" s="432"/>
      <c r="G43" s="432"/>
      <c r="H43" s="432"/>
      <c r="I43" s="433"/>
    </row>
    <row r="44" spans="1:9" s="5" customFormat="1" ht="12.75" customHeight="1" x14ac:dyDescent="0.2">
      <c r="A44" s="437"/>
      <c r="B44" s="432"/>
      <c r="C44" s="432"/>
      <c r="D44" s="432"/>
      <c r="E44" s="11" t="s">
        <v>18</v>
      </c>
      <c r="F44" s="432"/>
      <c r="G44" s="432"/>
      <c r="H44" s="432"/>
      <c r="I44" s="433"/>
    </row>
    <row r="45" spans="1:9" s="5" customFormat="1" ht="12.75" customHeight="1" x14ac:dyDescent="0.2">
      <c r="A45" s="437"/>
      <c r="B45" s="432"/>
      <c r="C45" s="432"/>
      <c r="D45" s="432"/>
      <c r="E45" s="11" t="s">
        <v>21</v>
      </c>
      <c r="F45" s="432"/>
      <c r="G45" s="432"/>
      <c r="H45" s="432"/>
      <c r="I45" s="433"/>
    </row>
    <row r="46" spans="1:9" s="5" customFormat="1" ht="15" x14ac:dyDescent="0.2">
      <c r="A46" s="436" t="str">
        <f ca="1">OFFSET(J16,,K5) &amp;" Days"</f>
        <v>16 Days</v>
      </c>
      <c r="B46" s="432">
        <v>8</v>
      </c>
      <c r="C46" s="438">
        <f ca="1">C$14+OFFSET(J$16,,K$5)</f>
        <v>43760</v>
      </c>
      <c r="D46" s="439">
        <f ca="1">D$14+OFFSET(J16,,K$5)</f>
        <v>16.416666666666668</v>
      </c>
      <c r="E46" s="11" t="s">
        <v>20</v>
      </c>
      <c r="F46" s="432"/>
      <c r="G46" s="432"/>
      <c r="H46" s="432"/>
      <c r="I46" s="433"/>
    </row>
    <row r="47" spans="1:9" s="5" customFormat="1" ht="15" customHeight="1" x14ac:dyDescent="0.2">
      <c r="A47" s="437"/>
      <c r="B47" s="432"/>
      <c r="C47" s="432"/>
      <c r="D47" s="432"/>
      <c r="E47" s="11" t="s">
        <v>17</v>
      </c>
      <c r="F47" s="432"/>
      <c r="G47" s="432"/>
      <c r="H47" s="432"/>
      <c r="I47" s="433"/>
    </row>
    <row r="48" spans="1:9" s="5" customFormat="1" ht="12.75" customHeight="1" x14ac:dyDescent="0.2">
      <c r="A48" s="437"/>
      <c r="B48" s="432"/>
      <c r="C48" s="432"/>
      <c r="D48" s="432"/>
      <c r="E48" s="11" t="s">
        <v>18</v>
      </c>
      <c r="F48" s="432"/>
      <c r="G48" s="432"/>
      <c r="H48" s="432"/>
      <c r="I48" s="433"/>
    </row>
    <row r="49" spans="1:12" s="5" customFormat="1" ht="15.75" customHeight="1" thickBot="1" x14ac:dyDescent="0.25">
      <c r="A49" s="440"/>
      <c r="B49" s="434"/>
      <c r="C49" s="434"/>
      <c r="D49" s="434"/>
      <c r="E49" s="12" t="s">
        <v>21</v>
      </c>
      <c r="F49" s="434"/>
      <c r="G49" s="434"/>
      <c r="H49" s="434"/>
      <c r="I49" s="435"/>
    </row>
    <row r="50" spans="1:12" s="4" customFormat="1" ht="18" x14ac:dyDescent="0.25"/>
    <row r="51" spans="1:12" s="4" customFormat="1" ht="18" x14ac:dyDescent="0.25"/>
    <row r="52" spans="1:12" s="4" customFormat="1" ht="18" x14ac:dyDescent="0.25"/>
    <row r="53" spans="1:12" s="4" customFormat="1" ht="18" x14ac:dyDescent="0.25">
      <c r="D53" s="3"/>
      <c r="E53" s="3"/>
      <c r="F53" s="3"/>
      <c r="G53" s="3"/>
      <c r="H53" s="3"/>
      <c r="I53" s="3"/>
      <c r="J53" s="3"/>
      <c r="K53" s="3"/>
      <c r="L53" s="3"/>
    </row>
    <row r="54" spans="1:12" s="4" customFormat="1" ht="18" x14ac:dyDescent="0.25">
      <c r="D54" s="3"/>
      <c r="E54" s="3"/>
      <c r="F54" s="3"/>
      <c r="G54" s="3"/>
      <c r="H54" s="3"/>
      <c r="I54" s="3"/>
      <c r="J54" s="3"/>
      <c r="K54" s="3"/>
      <c r="L54" s="3"/>
    </row>
    <row r="55" spans="1:12" s="4" customFormat="1" ht="18" x14ac:dyDescent="0.25">
      <c r="D55" s="3"/>
      <c r="E55" s="3"/>
      <c r="F55" s="3"/>
      <c r="G55" s="3"/>
      <c r="H55" s="3"/>
      <c r="I55" s="3"/>
      <c r="J55" s="3"/>
      <c r="K55" s="3"/>
      <c r="L55" s="3"/>
    </row>
    <row r="56" spans="1:12" s="4" customFormat="1" ht="15.75" customHeight="1" thickBot="1" x14ac:dyDescent="0.3">
      <c r="A56" s="3" t="s">
        <v>22</v>
      </c>
      <c r="D56" s="3"/>
      <c r="E56" s="3"/>
      <c r="F56" s="3"/>
      <c r="G56" s="3"/>
      <c r="H56" s="3"/>
      <c r="I56" s="3"/>
      <c r="J56" s="3"/>
      <c r="K56" s="3"/>
      <c r="L56" s="3"/>
    </row>
    <row r="57" spans="1:12" s="4" customFormat="1" ht="18" hidden="1" x14ac:dyDescent="0.25">
      <c r="B57" s="3" t="s">
        <v>23</v>
      </c>
      <c r="C57" s="3" t="s">
        <v>24</v>
      </c>
      <c r="D57" s="3" t="s">
        <v>25</v>
      </c>
      <c r="E57" s="3"/>
      <c r="F57" s="3"/>
      <c r="G57" s="3"/>
      <c r="H57" s="3"/>
      <c r="I57" s="3"/>
      <c r="J57" s="3"/>
      <c r="K57" s="3"/>
      <c r="L57" s="3"/>
    </row>
    <row r="58" spans="1:12" s="4" customFormat="1" ht="18.75" hidden="1" thickBot="1" x14ac:dyDescent="0.3">
      <c r="B58" s="4">
        <f>AVERAGE('Analytical Data'!J6:K6)</f>
        <v>2446.5</v>
      </c>
      <c r="C58" s="4">
        <f>AVERAGE('Analytical Data'!L6:M6)</f>
        <v>2060</v>
      </c>
      <c r="D58" s="4">
        <f>AVERAGE('Analytical Data'!L5:M5)</f>
        <v>6.9034999999999993</v>
      </c>
      <c r="F58" s="3"/>
      <c r="G58" s="3"/>
      <c r="H58" s="3"/>
      <c r="I58" s="3"/>
      <c r="J58" s="3"/>
      <c r="K58" s="3"/>
      <c r="L58" s="3"/>
    </row>
    <row r="59" spans="1:12" s="4" customFormat="1" ht="18.75" thickBot="1" x14ac:dyDescent="0.3">
      <c r="A59" s="132" t="s">
        <v>26</v>
      </c>
      <c r="B59" s="133"/>
      <c r="C59" s="134"/>
      <c r="D59" s="135" t="s">
        <v>27</v>
      </c>
      <c r="E59" s="136"/>
      <c r="F59" s="3"/>
      <c r="G59" s="3"/>
      <c r="H59" s="3"/>
      <c r="I59" s="3"/>
      <c r="J59" s="3"/>
      <c r="K59" s="3"/>
      <c r="L59" s="3"/>
    </row>
    <row r="60" spans="1:12" s="4" customFormat="1" ht="18" customHeight="1" x14ac:dyDescent="0.25">
      <c r="A60" s="13" t="s">
        <v>28</v>
      </c>
      <c r="B60" s="448" t="str">
        <f>IF(C58&gt;(1.5*H11/F11)+(10^(D58-11.78))+(10^(2.5-D58)), "Assess Criterion 2","Matrix is insoluble")</f>
        <v>Matrix is insoluble</v>
      </c>
      <c r="C60" s="449"/>
      <c r="D60" s="449"/>
      <c r="E60" s="450"/>
      <c r="F60" s="3"/>
      <c r="G60" s="3"/>
      <c r="H60" s="3"/>
      <c r="I60" s="3"/>
      <c r="J60" s="3"/>
      <c r="K60" s="3"/>
      <c r="L60" s="3"/>
    </row>
    <row r="61" spans="1:12" s="4" customFormat="1" ht="18" customHeight="1" x14ac:dyDescent="0.25">
      <c r="A61" s="14" t="s">
        <v>29</v>
      </c>
      <c r="B61" s="451" t="str">
        <f>IF(C58&gt;3.5*B58,"Matrix is soluble","Matrix is insoluble")</f>
        <v>Matrix is insoluble</v>
      </c>
      <c r="C61" s="452"/>
      <c r="D61" s="452"/>
      <c r="E61" s="453"/>
      <c r="F61" s="3"/>
      <c r="G61" s="3"/>
      <c r="H61" s="3"/>
      <c r="I61" s="3"/>
      <c r="J61" s="3"/>
      <c r="K61" s="3"/>
      <c r="L61" s="3"/>
    </row>
    <row r="62" spans="1:12" s="4" customFormat="1" ht="36" customHeight="1" x14ac:dyDescent="0.25">
      <c r="A62" s="454" t="s">
        <v>30</v>
      </c>
      <c r="B62" s="15" t="s">
        <v>31</v>
      </c>
      <c r="C62" s="15" t="e">
        <f ca="1">IF(AND(LOD!F13&gt;3, 'rc'!E13&gt;0.8), "Criterion 3 Satisfied", "Criterion 3 NOT Satisfied")</f>
        <v>#DIV/0!</v>
      </c>
      <c r="D62" s="457" t="e">
        <f ca="1">IF(OR(AND(C62="Criterion 3 NOT Satisfied",C63="Criterion 3 NOT Satisfied"),(AND(C64="Criterion 3 NOT Satisfied",C63="Criterion 3 NOT Satisfied"))), "Matrix Does NOT Dissolve - EA NEN 7375 Tank Test Methodology is appropriate for this sample", "Matrix Dissolution Occurs, Can Not use EA NEN 7375")</f>
        <v>#DIV/0!</v>
      </c>
      <c r="E62" s="458"/>
      <c r="F62" s="3"/>
      <c r="G62" s="3"/>
      <c r="H62" s="3"/>
      <c r="I62" s="3"/>
      <c r="J62" s="3"/>
      <c r="K62" s="3"/>
      <c r="L62" s="3"/>
    </row>
    <row r="63" spans="1:12" s="4" customFormat="1" ht="36" x14ac:dyDescent="0.25">
      <c r="A63" s="455"/>
      <c r="B63" s="15" t="s">
        <v>32</v>
      </c>
      <c r="C63" s="15" t="str">
        <f ca="1">IF(AND(LOD!F7&gt;3, 'rc'!E7&gt;0.8), "Criterion 3 Satisfied", "Criterion 3 NOT Satisfied")</f>
        <v>Criterion 3 NOT Satisfied</v>
      </c>
      <c r="D63" s="459"/>
      <c r="E63" s="460"/>
      <c r="F63" s="3"/>
      <c r="G63" s="3"/>
      <c r="H63" s="3"/>
      <c r="I63" s="3"/>
      <c r="J63" s="3"/>
      <c r="K63" s="3"/>
      <c r="L63" s="3"/>
    </row>
    <row r="64" spans="1:12" s="4" customFormat="1" ht="36.75" thickBot="1" x14ac:dyDescent="0.3">
      <c r="A64" s="456"/>
      <c r="B64" s="16" t="s">
        <v>33</v>
      </c>
      <c r="C64" s="16" t="str">
        <f ca="1">IF(AND(LOD!F8&gt;3,'rc'!E8&gt;0.8),"Criterion 3 Satisfied","Criterion 3 NOT Satisfied")</f>
        <v>Criterion 3 NOT Satisfied</v>
      </c>
      <c r="D64" s="461"/>
      <c r="E64" s="462"/>
      <c r="F64" s="3"/>
      <c r="G64" s="3"/>
      <c r="H64" s="3"/>
      <c r="I64" s="3"/>
      <c r="J64" s="3"/>
      <c r="K64" s="3"/>
      <c r="L64" s="3"/>
    </row>
    <row r="65" spans="1:15" s="20" customFormat="1" ht="23.25" x14ac:dyDescent="0.35">
      <c r="A65" s="17"/>
      <c r="B65" s="18"/>
      <c r="C65" s="18"/>
      <c r="D65" s="19"/>
      <c r="E65" s="19"/>
      <c r="F65" s="1"/>
      <c r="G65" s="1"/>
      <c r="H65" s="1"/>
      <c r="I65" s="1"/>
      <c r="J65" s="1"/>
      <c r="K65" s="1"/>
      <c r="L65" s="310"/>
      <c r="M65" s="311"/>
      <c r="N65" s="311"/>
      <c r="O65" s="311"/>
    </row>
    <row r="66" spans="1:15" x14ac:dyDescent="0.2">
      <c r="L66" s="293">
        <v>10</v>
      </c>
      <c r="M66" s="293">
        <v>5</v>
      </c>
      <c r="N66" s="293"/>
      <c r="O66" s="293"/>
    </row>
    <row r="67" spans="1:15" x14ac:dyDescent="0.2">
      <c r="L67" s="293">
        <v>100</v>
      </c>
      <c r="M67" s="293">
        <v>50</v>
      </c>
      <c r="N67" s="293"/>
      <c r="O67" s="293"/>
    </row>
    <row r="68" spans="1:15" x14ac:dyDescent="0.2">
      <c r="L68" s="293"/>
      <c r="M68" s="293"/>
      <c r="N68" s="293"/>
      <c r="O68" s="293"/>
    </row>
    <row r="69" spans="1:15" x14ac:dyDescent="0.2">
      <c r="L69" s="293"/>
      <c r="M69" s="293"/>
      <c r="N69" s="293"/>
      <c r="O69" s="293"/>
    </row>
    <row r="70" spans="1:15" x14ac:dyDescent="0.2">
      <c r="L70" s="293"/>
      <c r="M70" s="293"/>
      <c r="N70" s="293"/>
      <c r="O70" s="293"/>
    </row>
  </sheetData>
  <mergeCells count="78">
    <mergeCell ref="B60:E60"/>
    <mergeCell ref="B61:E61"/>
    <mergeCell ref="A62:A64"/>
    <mergeCell ref="D62:E64"/>
    <mergeCell ref="B9:E9"/>
    <mergeCell ref="D26:D29"/>
    <mergeCell ref="A30:A33"/>
    <mergeCell ref="D14:D17"/>
    <mergeCell ref="B30:B33"/>
    <mergeCell ref="C30:C33"/>
    <mergeCell ref="D30:D33"/>
    <mergeCell ref="A26:A29"/>
    <mergeCell ref="B26:B29"/>
    <mergeCell ref="C26:C29"/>
    <mergeCell ref="F16:I16"/>
    <mergeCell ref="F17:I17"/>
    <mergeCell ref="E13:I13"/>
    <mergeCell ref="F21:I21"/>
    <mergeCell ref="A18:A21"/>
    <mergeCell ref="B18:B21"/>
    <mergeCell ref="C18:C21"/>
    <mergeCell ref="D18:D21"/>
    <mergeCell ref="A14:A17"/>
    <mergeCell ref="B14:B17"/>
    <mergeCell ref="F18:I18"/>
    <mergeCell ref="F19:I19"/>
    <mergeCell ref="F20:I20"/>
    <mergeCell ref="F14:I14"/>
    <mergeCell ref="F15:I15"/>
    <mergeCell ref="C14:C17"/>
    <mergeCell ref="F22:I22"/>
    <mergeCell ref="F23:I23"/>
    <mergeCell ref="F24:I24"/>
    <mergeCell ref="F25:I25"/>
    <mergeCell ref="A22:A25"/>
    <mergeCell ref="B22:B25"/>
    <mergeCell ref="C22:C25"/>
    <mergeCell ref="D22:D25"/>
    <mergeCell ref="F26:I26"/>
    <mergeCell ref="F30:I30"/>
    <mergeCell ref="F31:I31"/>
    <mergeCell ref="F32:I32"/>
    <mergeCell ref="F33:I33"/>
    <mergeCell ref="F27:I27"/>
    <mergeCell ref="F28:I28"/>
    <mergeCell ref="F29:I29"/>
    <mergeCell ref="F38:I38"/>
    <mergeCell ref="F39:I39"/>
    <mergeCell ref="F40:I40"/>
    <mergeCell ref="F41:I41"/>
    <mergeCell ref="A34:A37"/>
    <mergeCell ref="B34:B37"/>
    <mergeCell ref="C34:C37"/>
    <mergeCell ref="D34:D37"/>
    <mergeCell ref="F34:I34"/>
    <mergeCell ref="F35:I35"/>
    <mergeCell ref="F36:I36"/>
    <mergeCell ref="F37:I37"/>
    <mergeCell ref="A38:A41"/>
    <mergeCell ref="B38:B41"/>
    <mergeCell ref="C38:C41"/>
    <mergeCell ref="D38:D41"/>
    <mergeCell ref="F46:I46"/>
    <mergeCell ref="F47:I47"/>
    <mergeCell ref="F48:I48"/>
    <mergeCell ref="F49:I49"/>
    <mergeCell ref="A42:A45"/>
    <mergeCell ref="B42:B45"/>
    <mergeCell ref="C42:C45"/>
    <mergeCell ref="D42:D45"/>
    <mergeCell ref="F42:I42"/>
    <mergeCell ref="F43:I43"/>
    <mergeCell ref="F44:I44"/>
    <mergeCell ref="F45:I45"/>
    <mergeCell ref="A46:A49"/>
    <mergeCell ref="B46:B49"/>
    <mergeCell ref="C46:C49"/>
    <mergeCell ref="D46:D4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41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  <colBreaks count="1" manualBreakCount="1">
    <brk id="12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8" r:id="rId5" name="List Box 4">
              <controlPr defaultSize="0" autoLine="0" autoPict="0">
                <anchor moveWithCells="1">
                  <from>
                    <xdr:col>3</xdr:col>
                    <xdr:colOff>1238250</xdr:colOff>
                    <xdr:row>3</xdr:row>
                    <xdr:rowOff>9525</xdr:rowOff>
                  </from>
                  <to>
                    <xdr:col>5</xdr:col>
                    <xdr:colOff>57150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V59"/>
  <sheetViews>
    <sheetView workbookViewId="0">
      <selection activeCell="A23" sqref="A23"/>
    </sheetView>
  </sheetViews>
  <sheetFormatPr defaultRowHeight="12.75" x14ac:dyDescent="0.2"/>
  <cols>
    <col min="1" max="1" width="28.42578125" style="158" bestFit="1" customWidth="1"/>
    <col min="2" max="2" width="12.28515625" style="115" bestFit="1" customWidth="1"/>
    <col min="3" max="3" width="12.85546875" style="115" bestFit="1" customWidth="1"/>
    <col min="4" max="4" width="6" style="115" bestFit="1" customWidth="1"/>
    <col min="5" max="5" width="23.5703125" style="115" bestFit="1" customWidth="1"/>
    <col min="6" max="8" width="10.7109375" style="115" bestFit="1" customWidth="1"/>
    <col min="9" max="10" width="12.28515625" style="115" bestFit="1" customWidth="1"/>
    <col min="11" max="11" width="13.42578125" style="115" bestFit="1" customWidth="1"/>
    <col min="12" max="13" width="10.7109375" style="115" bestFit="1" customWidth="1"/>
  </cols>
  <sheetData>
    <row r="1" spans="1:22" x14ac:dyDescent="0.2">
      <c r="A1" s="158" t="s">
        <v>232</v>
      </c>
    </row>
    <row r="2" spans="1:22" x14ac:dyDescent="0.2">
      <c r="A2" s="158" t="s">
        <v>233</v>
      </c>
    </row>
    <row r="3" spans="1:22" x14ac:dyDescent="0.2">
      <c r="A3" s="158" t="s">
        <v>234</v>
      </c>
    </row>
    <row r="4" spans="1:22" x14ac:dyDescent="0.2">
      <c r="B4" s="298" t="s">
        <v>235</v>
      </c>
      <c r="C4" s="158">
        <v>254570</v>
      </c>
    </row>
    <row r="5" spans="1:22" x14ac:dyDescent="0.2">
      <c r="B5" s="298" t="s">
        <v>236</v>
      </c>
      <c r="C5" s="158" t="s">
        <v>237</v>
      </c>
    </row>
    <row r="6" spans="1:22" x14ac:dyDescent="0.2">
      <c r="B6" s="298" t="s">
        <v>238</v>
      </c>
      <c r="C6" s="158"/>
    </row>
    <row r="7" spans="1:22" x14ac:dyDescent="0.2">
      <c r="B7" s="298" t="s">
        <v>239</v>
      </c>
      <c r="C7" s="158" t="s">
        <v>240</v>
      </c>
    </row>
    <row r="9" spans="1:22" ht="15" x14ac:dyDescent="0.25">
      <c r="E9" s="299" t="s">
        <v>241</v>
      </c>
      <c r="F9" s="317" t="s">
        <v>277</v>
      </c>
      <c r="G9" s="317" t="s">
        <v>277</v>
      </c>
      <c r="H9" s="317" t="s">
        <v>277</v>
      </c>
      <c r="I9" s="317" t="s">
        <v>277</v>
      </c>
      <c r="J9" s="315" t="s">
        <v>278</v>
      </c>
      <c r="K9" s="315" t="s">
        <v>278</v>
      </c>
      <c r="L9" s="315" t="s">
        <v>278</v>
      </c>
      <c r="M9" s="315" t="s">
        <v>278</v>
      </c>
    </row>
    <row r="10" spans="1:22" ht="15.75" thickBot="1" x14ac:dyDescent="0.3">
      <c r="E10" s="299" t="s">
        <v>247</v>
      </c>
      <c r="F10" s="317"/>
      <c r="G10" s="317"/>
      <c r="H10" s="317"/>
      <c r="I10" s="317"/>
      <c r="J10" s="315"/>
      <c r="K10" s="315"/>
      <c r="L10" s="315"/>
      <c r="M10" s="315"/>
    </row>
    <row r="11" spans="1:22" ht="15" x14ac:dyDescent="0.25">
      <c r="E11" s="299" t="s">
        <v>248</v>
      </c>
      <c r="F11" s="319" t="s">
        <v>242</v>
      </c>
      <c r="G11" s="320" t="s">
        <v>243</v>
      </c>
      <c r="H11" s="320" t="s">
        <v>244</v>
      </c>
      <c r="I11" s="320" t="s">
        <v>273</v>
      </c>
      <c r="J11" s="321" t="s">
        <v>274</v>
      </c>
      <c r="K11" s="321" t="s">
        <v>275</v>
      </c>
      <c r="L11" s="321" t="s">
        <v>245</v>
      </c>
      <c r="M11" s="322" t="s">
        <v>246</v>
      </c>
    </row>
    <row r="12" spans="1:22" ht="15" x14ac:dyDescent="0.25">
      <c r="E12" s="299" t="s">
        <v>249</v>
      </c>
      <c r="F12" s="323" t="s">
        <v>240</v>
      </c>
      <c r="G12" s="318" t="s">
        <v>240</v>
      </c>
      <c r="H12" s="318" t="s">
        <v>240</v>
      </c>
      <c r="I12" s="318" t="s">
        <v>240</v>
      </c>
      <c r="J12" s="324" t="s">
        <v>240</v>
      </c>
      <c r="K12" s="324" t="s">
        <v>240</v>
      </c>
      <c r="L12" s="324" t="s">
        <v>240</v>
      </c>
      <c r="M12" s="325" t="s">
        <v>240</v>
      </c>
      <c r="O12" t="s">
        <v>282</v>
      </c>
      <c r="P12" t="s">
        <v>282</v>
      </c>
      <c r="Q12" t="s">
        <v>282</v>
      </c>
      <c r="R12" t="s">
        <v>282</v>
      </c>
      <c r="S12" t="s">
        <v>282</v>
      </c>
      <c r="T12" t="s">
        <v>282</v>
      </c>
      <c r="U12" t="s">
        <v>282</v>
      </c>
    </row>
    <row r="13" spans="1:22" ht="15" x14ac:dyDescent="0.25">
      <c r="E13" s="299" t="s">
        <v>250</v>
      </c>
      <c r="F13" s="326" t="s">
        <v>283</v>
      </c>
      <c r="G13" s="327" t="s">
        <v>283</v>
      </c>
      <c r="H13" s="327" t="s">
        <v>284</v>
      </c>
      <c r="I13" s="327" t="s">
        <v>285</v>
      </c>
      <c r="J13" s="328" t="s">
        <v>286</v>
      </c>
      <c r="K13" s="328" t="s">
        <v>287</v>
      </c>
      <c r="L13" s="328" t="s">
        <v>288</v>
      </c>
      <c r="M13" t="s">
        <v>291</v>
      </c>
      <c r="O13" t="s">
        <v>242</v>
      </c>
      <c r="P13" t="s">
        <v>243</v>
      </c>
      <c r="Q13" t="s">
        <v>244</v>
      </c>
      <c r="R13" t="s">
        <v>273</v>
      </c>
      <c r="S13" t="s">
        <v>274</v>
      </c>
      <c r="T13" t="s">
        <v>275</v>
      </c>
      <c r="U13" t="s">
        <v>245</v>
      </c>
      <c r="V13" t="s">
        <v>290</v>
      </c>
    </row>
    <row r="14" spans="1:22" ht="15" x14ac:dyDescent="0.25">
      <c r="E14" s="299" t="s">
        <v>251</v>
      </c>
      <c r="F14" s="326"/>
      <c r="G14" s="327"/>
      <c r="H14" s="327"/>
      <c r="I14" s="327"/>
      <c r="J14" s="328"/>
      <c r="K14" s="328"/>
      <c r="L14" s="328"/>
      <c r="M14" s="329"/>
      <c r="O14" t="s">
        <v>240</v>
      </c>
      <c r="P14" t="s">
        <v>240</v>
      </c>
      <c r="Q14" t="s">
        <v>240</v>
      </c>
      <c r="R14" t="s">
        <v>240</v>
      </c>
      <c r="S14" t="s">
        <v>240</v>
      </c>
      <c r="T14" t="s">
        <v>240</v>
      </c>
      <c r="U14" t="s">
        <v>240</v>
      </c>
      <c r="V14" t="s">
        <v>240</v>
      </c>
    </row>
    <row r="15" spans="1:22" ht="15" x14ac:dyDescent="0.25">
      <c r="E15" s="299" t="s">
        <v>252</v>
      </c>
      <c r="F15" s="326"/>
      <c r="G15" s="327"/>
      <c r="H15" s="327"/>
      <c r="I15" s="327"/>
      <c r="J15" s="328"/>
      <c r="K15" s="328"/>
      <c r="L15" s="328"/>
      <c r="M15" s="329"/>
    </row>
    <row r="16" spans="1:22" ht="15" x14ac:dyDescent="0.25">
      <c r="E16" s="299" t="s">
        <v>253</v>
      </c>
      <c r="F16" s="326"/>
      <c r="G16" s="327"/>
      <c r="H16" s="327"/>
      <c r="I16" s="327"/>
      <c r="J16" s="328"/>
      <c r="K16" s="328"/>
      <c r="L16" s="328"/>
      <c r="M16" s="329"/>
    </row>
    <row r="17" spans="1:21" ht="15" x14ac:dyDescent="0.25">
      <c r="E17" s="299" t="s">
        <v>254</v>
      </c>
      <c r="F17" s="326"/>
      <c r="G17" s="327"/>
      <c r="H17" s="327"/>
      <c r="I17" s="327"/>
      <c r="J17" s="328"/>
      <c r="K17" s="328"/>
      <c r="L17" s="328"/>
      <c r="M17" s="329"/>
      <c r="O17" t="s">
        <v>283</v>
      </c>
      <c r="P17" t="s">
        <v>283</v>
      </c>
      <c r="Q17" t="s">
        <v>284</v>
      </c>
      <c r="R17" t="s">
        <v>285</v>
      </c>
      <c r="S17" t="s">
        <v>286</v>
      </c>
      <c r="T17" t="s">
        <v>287</v>
      </c>
      <c r="U17" t="s">
        <v>288</v>
      </c>
    </row>
    <row r="18" spans="1:21" ht="15" x14ac:dyDescent="0.25">
      <c r="E18" s="299" t="s">
        <v>255</v>
      </c>
      <c r="F18" s="335" t="s">
        <v>289</v>
      </c>
      <c r="G18" s="335" t="s">
        <v>289</v>
      </c>
      <c r="H18" s="335" t="s">
        <v>289</v>
      </c>
      <c r="I18" s="335" t="s">
        <v>289</v>
      </c>
      <c r="J18" s="335" t="s">
        <v>289</v>
      </c>
      <c r="K18" s="335" t="s">
        <v>289</v>
      </c>
      <c r="L18" s="335" t="s">
        <v>289</v>
      </c>
      <c r="M18" s="336" t="s">
        <v>292</v>
      </c>
    </row>
    <row r="19" spans="1:21" ht="15" x14ac:dyDescent="0.25">
      <c r="E19" s="299" t="s">
        <v>256</v>
      </c>
      <c r="F19" t="s">
        <v>298</v>
      </c>
      <c r="G19" t="s">
        <v>299</v>
      </c>
      <c r="H19" t="s">
        <v>300</v>
      </c>
      <c r="I19" t="s">
        <v>301</v>
      </c>
      <c r="J19" t="s">
        <v>302</v>
      </c>
      <c r="K19" t="s">
        <v>303</v>
      </c>
      <c r="L19" t="s">
        <v>305</v>
      </c>
      <c r="M19" t="s">
        <v>304</v>
      </c>
    </row>
    <row r="21" spans="1:21" ht="15" x14ac:dyDescent="0.25">
      <c r="A21" s="158">
        <v>16</v>
      </c>
      <c r="B21" s="301" t="s">
        <v>257</v>
      </c>
      <c r="C21" s="301" t="s">
        <v>258</v>
      </c>
      <c r="D21" s="301" t="s">
        <v>38</v>
      </c>
      <c r="E21" s="301" t="s">
        <v>259</v>
      </c>
      <c r="F21" s="115">
        <v>6.25E-2</v>
      </c>
      <c r="G21" s="115">
        <v>0.25</v>
      </c>
      <c r="H21" s="115">
        <v>1</v>
      </c>
      <c r="I21" s="115">
        <v>2.25</v>
      </c>
    </row>
    <row r="22" spans="1:21" x14ac:dyDescent="0.2">
      <c r="A22" s="353" t="s">
        <v>43</v>
      </c>
      <c r="B22" s="317" t="s">
        <v>106</v>
      </c>
      <c r="C22" s="338" t="s">
        <v>296</v>
      </c>
      <c r="D22" s="317" t="s">
        <v>281</v>
      </c>
      <c r="E22" s="338" t="s">
        <v>297</v>
      </c>
      <c r="F22" s="333">
        <v>1</v>
      </c>
      <c r="G22" s="318">
        <v>1.9</v>
      </c>
      <c r="H22" s="318">
        <v>29</v>
      </c>
      <c r="I22" s="318">
        <v>320</v>
      </c>
      <c r="J22" s="333">
        <v>520</v>
      </c>
      <c r="K22" s="318">
        <v>370</v>
      </c>
      <c r="L22" s="318">
        <v>390</v>
      </c>
      <c r="M22" s="318">
        <v>500</v>
      </c>
    </row>
    <row r="23" spans="1:21" x14ac:dyDescent="0.2">
      <c r="A23" s="353" t="s">
        <v>44</v>
      </c>
      <c r="B23" s="317" t="s">
        <v>106</v>
      </c>
      <c r="C23" s="338" t="s">
        <v>296</v>
      </c>
      <c r="D23" s="317" t="s">
        <v>281</v>
      </c>
      <c r="E23" s="338" t="s">
        <v>297</v>
      </c>
      <c r="F23" s="333">
        <v>18</v>
      </c>
      <c r="G23" s="333">
        <v>37</v>
      </c>
      <c r="H23" s="333">
        <v>48</v>
      </c>
      <c r="I23" s="333">
        <v>220</v>
      </c>
      <c r="J23" s="333">
        <v>330</v>
      </c>
      <c r="K23" s="333">
        <v>230</v>
      </c>
      <c r="L23" s="333">
        <v>240</v>
      </c>
      <c r="M23" s="318">
        <v>360</v>
      </c>
    </row>
    <row r="24" spans="1:21" x14ac:dyDescent="0.2">
      <c r="A24" s="316"/>
      <c r="B24" s="317"/>
      <c r="C24" s="338"/>
      <c r="D24" s="317"/>
      <c r="E24" s="338"/>
      <c r="F24" s="333"/>
      <c r="G24" s="318"/>
      <c r="H24" s="333"/>
      <c r="I24" s="333"/>
      <c r="J24" s="333"/>
      <c r="K24" s="333"/>
      <c r="L24" s="333"/>
      <c r="M24" s="318"/>
    </row>
    <row r="25" spans="1:21" x14ac:dyDescent="0.2">
      <c r="A25" s="316"/>
      <c r="B25" s="317"/>
      <c r="C25" s="338"/>
      <c r="D25" s="317"/>
      <c r="E25" s="338"/>
      <c r="F25" s="318"/>
      <c r="G25" s="318"/>
      <c r="H25" s="318"/>
      <c r="I25" s="318"/>
      <c r="J25" s="318"/>
      <c r="K25" s="318"/>
      <c r="L25" s="318"/>
      <c r="M25" s="318"/>
    </row>
    <row r="26" spans="1:21" x14ac:dyDescent="0.2">
      <c r="A26" s="316"/>
      <c r="B26" s="317"/>
      <c r="C26" s="338"/>
      <c r="D26" s="317"/>
      <c r="E26" s="338"/>
      <c r="F26" s="318"/>
      <c r="G26" s="318"/>
      <c r="H26" s="318"/>
      <c r="I26" s="318"/>
      <c r="J26" s="318"/>
      <c r="K26" s="318"/>
      <c r="L26" s="318"/>
      <c r="M26" s="318"/>
    </row>
    <row r="27" spans="1:21" x14ac:dyDescent="0.2">
      <c r="A27" s="316"/>
      <c r="B27" s="317"/>
      <c r="C27" s="338"/>
      <c r="D27" s="317"/>
      <c r="E27" s="338"/>
      <c r="F27" s="333"/>
      <c r="G27" s="333"/>
      <c r="H27" s="333"/>
      <c r="I27" s="333"/>
      <c r="J27" s="333"/>
      <c r="K27" s="333"/>
      <c r="L27" s="333"/>
      <c r="M27" s="318"/>
    </row>
    <row r="28" spans="1:21" x14ac:dyDescent="0.2">
      <c r="A28" s="316"/>
      <c r="B28" s="317"/>
      <c r="C28" s="338"/>
      <c r="D28" s="317"/>
      <c r="E28" s="338"/>
      <c r="F28" s="333"/>
      <c r="G28" s="333"/>
      <c r="H28" s="333"/>
      <c r="I28" s="333"/>
      <c r="J28" s="333"/>
      <c r="K28" s="333"/>
      <c r="L28" s="333"/>
      <c r="M28" s="318"/>
    </row>
    <row r="29" spans="1:21" x14ac:dyDescent="0.2">
      <c r="A29" s="316"/>
      <c r="B29" s="317"/>
      <c r="C29" s="338"/>
      <c r="D29" s="317"/>
      <c r="E29" s="338"/>
      <c r="F29" s="318"/>
      <c r="G29" s="318"/>
      <c r="H29" s="318"/>
      <c r="I29" s="318"/>
      <c r="J29" s="318"/>
      <c r="K29" s="318"/>
      <c r="L29" s="318"/>
      <c r="M29" s="318"/>
    </row>
    <row r="30" spans="1:21" x14ac:dyDescent="0.2">
      <c r="A30" s="316"/>
      <c r="B30" s="317"/>
      <c r="C30" s="338"/>
      <c r="D30" s="317"/>
      <c r="E30" s="338"/>
      <c r="F30" s="318"/>
      <c r="G30" s="318"/>
      <c r="H30" s="318"/>
      <c r="I30" s="318"/>
      <c r="J30" s="318"/>
      <c r="K30" s="318"/>
      <c r="L30" s="318"/>
      <c r="M30" s="318"/>
    </row>
    <row r="31" spans="1:21" x14ac:dyDescent="0.2">
      <c r="A31" s="316"/>
      <c r="B31" s="317"/>
      <c r="C31" s="338"/>
      <c r="D31" s="317"/>
      <c r="E31" s="338"/>
      <c r="F31" s="318"/>
      <c r="G31" s="318"/>
      <c r="H31" s="318"/>
      <c r="I31" s="318"/>
      <c r="J31" s="318"/>
      <c r="K31" s="318"/>
      <c r="L31" s="318"/>
      <c r="M31" s="318"/>
    </row>
    <row r="32" spans="1:21" x14ac:dyDescent="0.2">
      <c r="A32" s="316"/>
      <c r="B32" s="317"/>
      <c r="C32" s="338"/>
      <c r="D32" s="317"/>
      <c r="E32" s="338"/>
      <c r="F32" s="333"/>
      <c r="G32" s="333"/>
      <c r="H32" s="318"/>
      <c r="I32" s="318"/>
      <c r="J32" s="333"/>
      <c r="K32" s="318"/>
      <c r="L32" s="333"/>
      <c r="M32" s="318"/>
    </row>
    <row r="33" spans="1:13" x14ac:dyDescent="0.2">
      <c r="A33" s="316"/>
      <c r="B33" s="317"/>
      <c r="C33" s="338"/>
      <c r="D33" s="317"/>
      <c r="E33" s="338"/>
      <c r="F33" s="333"/>
      <c r="G33" s="333"/>
      <c r="H33" s="318"/>
      <c r="I33" s="333"/>
      <c r="J33" s="333"/>
      <c r="K33" s="318"/>
      <c r="L33" s="333"/>
      <c r="M33" s="318"/>
    </row>
    <row r="34" spans="1:13" x14ac:dyDescent="0.2">
      <c r="A34" s="316"/>
      <c r="B34" s="317"/>
      <c r="C34" s="338"/>
      <c r="D34" s="317"/>
      <c r="E34" s="338"/>
      <c r="F34" s="333"/>
      <c r="G34" s="333"/>
      <c r="H34" s="318"/>
      <c r="I34" s="333"/>
      <c r="J34" s="333"/>
      <c r="K34" s="318"/>
      <c r="L34" s="333"/>
      <c r="M34" s="318"/>
    </row>
    <row r="35" spans="1:13" x14ac:dyDescent="0.2">
      <c r="A35" s="316"/>
      <c r="B35" s="317"/>
      <c r="C35" s="338"/>
      <c r="D35" s="317"/>
      <c r="E35" s="338"/>
      <c r="F35" s="333"/>
      <c r="G35" s="333"/>
      <c r="H35" s="318"/>
      <c r="I35" s="318"/>
      <c r="J35" s="318"/>
      <c r="K35" s="318"/>
      <c r="L35" s="333"/>
      <c r="M35" s="318"/>
    </row>
    <row r="36" spans="1:13" x14ac:dyDescent="0.2">
      <c r="A36" s="316"/>
      <c r="B36" s="317"/>
      <c r="C36" s="338"/>
      <c r="D36" s="317"/>
      <c r="E36" s="338"/>
      <c r="F36" s="333"/>
      <c r="G36" s="333"/>
      <c r="H36" s="318"/>
      <c r="I36" s="318"/>
      <c r="J36" s="318"/>
      <c r="K36" s="318"/>
      <c r="L36" s="333"/>
      <c r="M36" s="318"/>
    </row>
    <row r="37" spans="1:13" x14ac:dyDescent="0.2">
      <c r="A37" s="316"/>
      <c r="B37" s="317"/>
      <c r="C37" s="338"/>
      <c r="D37" s="317"/>
      <c r="E37" s="338"/>
      <c r="F37" s="333"/>
      <c r="G37" s="333"/>
      <c r="H37" s="318"/>
      <c r="I37" s="333"/>
      <c r="J37" s="333"/>
      <c r="K37" s="318"/>
      <c r="L37" s="333"/>
      <c r="M37" s="318"/>
    </row>
    <row r="38" spans="1:13" x14ac:dyDescent="0.2">
      <c r="C38" s="334"/>
      <c r="E38" s="334"/>
      <c r="F38" s="334"/>
      <c r="G38" s="334"/>
      <c r="H38" s="315"/>
      <c r="I38" s="334"/>
      <c r="J38" s="334"/>
      <c r="K38" s="334"/>
      <c r="L38" s="334"/>
      <c r="M38" s="315"/>
    </row>
    <row r="39" spans="1:13" x14ac:dyDescent="0.2">
      <c r="C39" s="334"/>
      <c r="E39" s="334"/>
      <c r="F39" s="334"/>
      <c r="G39" s="334"/>
      <c r="H39" s="315"/>
      <c r="I39" s="334"/>
      <c r="J39" s="334"/>
      <c r="K39" s="334"/>
      <c r="L39" s="334"/>
      <c r="M39" s="315"/>
    </row>
    <row r="40" spans="1:13" x14ac:dyDescent="0.2">
      <c r="C40" s="334"/>
      <c r="E40" s="334"/>
      <c r="F40" s="334"/>
      <c r="G40" s="334"/>
      <c r="H40" s="315"/>
      <c r="I40" s="334"/>
      <c r="J40" s="334"/>
      <c r="K40" s="334"/>
      <c r="L40" s="334"/>
      <c r="M40" s="315"/>
    </row>
    <row r="41" spans="1:13" x14ac:dyDescent="0.2">
      <c r="C41" s="334"/>
      <c r="E41" s="334"/>
      <c r="F41" s="315"/>
      <c r="G41" s="334"/>
      <c r="H41" s="315"/>
      <c r="I41" s="334"/>
      <c r="J41" s="334"/>
      <c r="K41" s="334"/>
      <c r="L41" s="334"/>
      <c r="M41" s="315"/>
    </row>
    <row r="42" spans="1:13" x14ac:dyDescent="0.2">
      <c r="C42" s="334"/>
      <c r="E42" s="334"/>
      <c r="F42" s="315"/>
      <c r="G42" s="315"/>
      <c r="H42" s="315"/>
      <c r="I42" s="315"/>
      <c r="J42" s="315"/>
      <c r="K42" s="334"/>
      <c r="L42" s="334"/>
      <c r="M42" s="315"/>
    </row>
    <row r="43" spans="1:13" x14ac:dyDescent="0.2">
      <c r="C43" s="334"/>
      <c r="E43" s="334"/>
      <c r="F43" s="315"/>
      <c r="G43" s="315"/>
      <c r="H43" s="315"/>
      <c r="I43" s="315"/>
      <c r="J43" s="315"/>
      <c r="K43" s="334"/>
      <c r="L43" s="334"/>
      <c r="M43" s="315"/>
    </row>
    <row r="44" spans="1:13" x14ac:dyDescent="0.2">
      <c r="C44" s="334"/>
      <c r="E44" s="334"/>
      <c r="F44" s="315"/>
      <c r="G44" s="315"/>
      <c r="H44" s="315"/>
      <c r="I44" s="315"/>
      <c r="J44" s="315"/>
      <c r="K44" s="315"/>
      <c r="L44" s="315"/>
      <c r="M44" s="315"/>
    </row>
    <row r="45" spans="1:13" x14ac:dyDescent="0.2">
      <c r="C45" s="334"/>
      <c r="E45" s="334"/>
      <c r="F45" s="315"/>
      <c r="G45" s="315"/>
      <c r="H45" s="315"/>
      <c r="I45" s="315"/>
      <c r="J45" s="315"/>
      <c r="K45" s="315"/>
      <c r="L45" s="315"/>
      <c r="M45" s="315"/>
    </row>
    <row r="46" spans="1:13" x14ac:dyDescent="0.2">
      <c r="C46" s="334"/>
      <c r="E46" s="334"/>
      <c r="F46" s="315"/>
      <c r="G46" s="315"/>
      <c r="H46" s="315"/>
      <c r="I46" s="315"/>
      <c r="J46" s="315"/>
      <c r="K46" s="315"/>
      <c r="L46" s="315"/>
      <c r="M46" s="315"/>
    </row>
    <row r="47" spans="1:13" x14ac:dyDescent="0.2">
      <c r="C47" s="334"/>
      <c r="E47" s="334"/>
      <c r="F47" s="315"/>
      <c r="G47" s="315"/>
      <c r="H47" s="315"/>
      <c r="I47" s="315"/>
      <c r="J47" s="315"/>
      <c r="K47" s="315"/>
      <c r="L47" s="315"/>
      <c r="M47" s="315"/>
    </row>
    <row r="48" spans="1:13" x14ac:dyDescent="0.2">
      <c r="C48" s="334"/>
      <c r="E48" s="334"/>
      <c r="F48" s="315"/>
      <c r="G48" s="315"/>
      <c r="H48" s="315"/>
      <c r="I48" s="315"/>
      <c r="J48" s="315"/>
      <c r="K48" s="315"/>
      <c r="L48" s="315"/>
      <c r="M48" s="315"/>
    </row>
    <row r="49" spans="3:13" x14ac:dyDescent="0.2">
      <c r="C49" s="334"/>
      <c r="E49" s="334"/>
      <c r="F49" s="315"/>
      <c r="G49" s="315"/>
      <c r="H49" s="315"/>
      <c r="I49" s="315"/>
      <c r="J49" s="315"/>
      <c r="K49" s="315"/>
      <c r="L49" s="315"/>
      <c r="M49" s="315"/>
    </row>
    <row r="50" spans="3:13" x14ac:dyDescent="0.2">
      <c r="C50" s="334"/>
      <c r="E50" s="334"/>
      <c r="F50" s="315"/>
      <c r="G50" s="315"/>
      <c r="H50" s="315"/>
      <c r="I50" s="315"/>
      <c r="J50" s="315"/>
      <c r="K50" s="315"/>
      <c r="L50" s="315"/>
      <c r="M50" s="315"/>
    </row>
    <row r="51" spans="3:13" x14ac:dyDescent="0.2">
      <c r="C51" s="334"/>
      <c r="E51" s="334"/>
      <c r="F51" s="315"/>
      <c r="G51" s="315"/>
      <c r="H51" s="315"/>
      <c r="I51" s="315"/>
      <c r="J51" s="315"/>
      <c r="K51" s="315"/>
      <c r="L51" s="315"/>
      <c r="M51" s="315"/>
    </row>
    <row r="52" spans="3:13" x14ac:dyDescent="0.2">
      <c r="C52" s="334"/>
      <c r="E52" s="334"/>
      <c r="F52" s="315"/>
      <c r="G52" s="315"/>
      <c r="H52" s="315"/>
      <c r="I52" s="315"/>
      <c r="J52" s="315"/>
      <c r="K52" s="315"/>
      <c r="L52" s="315"/>
      <c r="M52" s="315"/>
    </row>
    <row r="53" spans="3:13" x14ac:dyDescent="0.2">
      <c r="C53" s="334"/>
      <c r="E53" s="334"/>
      <c r="F53" s="315"/>
      <c r="G53" s="315"/>
      <c r="H53" s="315"/>
      <c r="I53" s="315"/>
      <c r="J53" s="315"/>
      <c r="K53" s="315"/>
      <c r="L53" s="315"/>
      <c r="M53" s="315"/>
    </row>
    <row r="54" spans="3:13" x14ac:dyDescent="0.2">
      <c r="C54" s="334"/>
      <c r="E54" s="334"/>
      <c r="F54" s="334"/>
      <c r="G54" s="334"/>
      <c r="H54" s="315"/>
      <c r="I54" s="334"/>
      <c r="J54" s="334"/>
      <c r="K54" s="334"/>
      <c r="L54" s="334"/>
      <c r="M54" s="315"/>
    </row>
    <row r="55" spans="3:13" x14ac:dyDescent="0.2">
      <c r="C55" s="334"/>
      <c r="E55" s="334"/>
      <c r="F55" s="334"/>
      <c r="G55" s="334"/>
      <c r="H55" s="334"/>
      <c r="I55" s="334"/>
      <c r="J55" s="334"/>
      <c r="L55" s="334"/>
    </row>
    <row r="56" spans="3:13" x14ac:dyDescent="0.2">
      <c r="C56" s="334"/>
      <c r="E56" s="334"/>
      <c r="F56" s="334"/>
      <c r="G56" s="334"/>
      <c r="H56" s="334"/>
      <c r="I56" s="334"/>
      <c r="J56" s="334"/>
      <c r="L56" s="334"/>
    </row>
    <row r="57" spans="3:13" x14ac:dyDescent="0.2">
      <c r="C57" s="334"/>
      <c r="E57" s="334"/>
      <c r="I57" s="334"/>
      <c r="J57" s="334"/>
      <c r="L57" s="334"/>
    </row>
    <row r="58" spans="3:13" x14ac:dyDescent="0.2">
      <c r="C58" s="334"/>
      <c r="E58" s="334"/>
      <c r="F58" s="334"/>
      <c r="G58" s="334"/>
      <c r="H58" s="334"/>
      <c r="I58" s="334"/>
      <c r="J58" s="334"/>
      <c r="L58" s="334"/>
    </row>
    <row r="59" spans="3:13" x14ac:dyDescent="0.2">
      <c r="C59" s="334"/>
      <c r="E59" s="334"/>
      <c r="F59" s="334"/>
      <c r="G59" s="334"/>
      <c r="H59" s="334"/>
      <c r="I59" s="334"/>
      <c r="J59" s="334"/>
      <c r="L59" s="334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K131"/>
  <sheetViews>
    <sheetView topLeftCell="I10" zoomScaleNormal="100" workbookViewId="0">
      <selection activeCell="Y28" sqref="Y28"/>
    </sheetView>
  </sheetViews>
  <sheetFormatPr defaultRowHeight="12.75" x14ac:dyDescent="0.2"/>
  <cols>
    <col min="1" max="1" width="30.42578125" style="158" bestFit="1" customWidth="1"/>
    <col min="2" max="2" width="12.28515625" style="115" bestFit="1" customWidth="1"/>
    <col min="3" max="3" width="12.85546875" style="115" bestFit="1" customWidth="1"/>
    <col min="4" max="4" width="7.42578125" style="115" bestFit="1" customWidth="1"/>
    <col min="5" max="5" width="23.5703125" style="115" bestFit="1" customWidth="1"/>
    <col min="6" max="6" width="10.7109375" style="115" bestFit="1" customWidth="1"/>
  </cols>
  <sheetData>
    <row r="1" spans="1:6" x14ac:dyDescent="0.2">
      <c r="A1" s="158" t="s">
        <v>232</v>
      </c>
    </row>
    <row r="2" spans="1:6" x14ac:dyDescent="0.2">
      <c r="A2" s="158" t="s">
        <v>233</v>
      </c>
    </row>
    <row r="3" spans="1:6" x14ac:dyDescent="0.2">
      <c r="A3" s="158" t="s">
        <v>234</v>
      </c>
    </row>
    <row r="4" spans="1:6" x14ac:dyDescent="0.2">
      <c r="B4" s="298" t="s">
        <v>235</v>
      </c>
      <c r="C4" s="158">
        <v>238642</v>
      </c>
    </row>
    <row r="5" spans="1:6" x14ac:dyDescent="0.2">
      <c r="B5" s="298" t="s">
        <v>236</v>
      </c>
      <c r="C5" s="158" t="s">
        <v>237</v>
      </c>
    </row>
    <row r="6" spans="1:6" x14ac:dyDescent="0.2">
      <c r="B6" s="298" t="s">
        <v>238</v>
      </c>
      <c r="C6" s="158">
        <v>130803</v>
      </c>
    </row>
    <row r="7" spans="1:6" x14ac:dyDescent="0.2">
      <c r="B7" s="298" t="s">
        <v>239</v>
      </c>
      <c r="C7" s="158" t="s">
        <v>261</v>
      </c>
    </row>
    <row r="9" spans="1:6" ht="15" x14ac:dyDescent="0.25">
      <c r="E9" s="299" t="s">
        <v>241</v>
      </c>
      <c r="F9" s="314" t="s">
        <v>276</v>
      </c>
    </row>
    <row r="10" spans="1:6" ht="15" x14ac:dyDescent="0.25">
      <c r="E10" s="299" t="s">
        <v>247</v>
      </c>
    </row>
    <row r="11" spans="1:6" ht="15" x14ac:dyDescent="0.25">
      <c r="E11" s="299" t="s">
        <v>248</v>
      </c>
    </row>
    <row r="12" spans="1:6" ht="15" x14ac:dyDescent="0.25">
      <c r="E12" s="299" t="s">
        <v>249</v>
      </c>
    </row>
    <row r="13" spans="1:6" ht="15" x14ac:dyDescent="0.25">
      <c r="E13" s="299" t="s">
        <v>250</v>
      </c>
      <c r="F13" s="300"/>
    </row>
    <row r="14" spans="1:6" ht="15" x14ac:dyDescent="0.25">
      <c r="E14" s="299" t="s">
        <v>251</v>
      </c>
      <c r="F14" s="300"/>
    </row>
    <row r="15" spans="1:6" ht="15" x14ac:dyDescent="0.25">
      <c r="E15" s="299" t="s">
        <v>252</v>
      </c>
      <c r="F15" s="300"/>
    </row>
    <row r="16" spans="1:6" ht="15" x14ac:dyDescent="0.25">
      <c r="E16" s="299" t="s">
        <v>253</v>
      </c>
      <c r="F16" s="300"/>
    </row>
    <row r="17" spans="1:37" ht="15" x14ac:dyDescent="0.25">
      <c r="E17" s="299" t="s">
        <v>254</v>
      </c>
      <c r="F17" s="300"/>
    </row>
    <row r="18" spans="1:37" ht="15" x14ac:dyDescent="0.25">
      <c r="E18" s="299" t="s">
        <v>255</v>
      </c>
    </row>
    <row r="19" spans="1:37" ht="15" x14ac:dyDescent="0.25">
      <c r="E19" s="299" t="s">
        <v>256</v>
      </c>
    </row>
    <row r="20" spans="1:37" x14ac:dyDescent="0.2">
      <c r="O20" s="467" t="s">
        <v>271</v>
      </c>
      <c r="P20" s="468"/>
      <c r="Q20" s="468"/>
      <c r="R20" s="468"/>
      <c r="S20" s="468"/>
      <c r="T20" s="468"/>
      <c r="U20" s="468"/>
      <c r="V20" s="468"/>
      <c r="AF20" s="247" t="s">
        <v>267</v>
      </c>
      <c r="AG20" s="247" t="s">
        <v>264</v>
      </c>
      <c r="AH20" s="247" t="s">
        <v>263</v>
      </c>
      <c r="AI20" s="247" t="s">
        <v>268</v>
      </c>
      <c r="AJ20" s="247" t="s">
        <v>265</v>
      </c>
      <c r="AK20" s="247" t="s">
        <v>266</v>
      </c>
    </row>
    <row r="21" spans="1:37" ht="15" x14ac:dyDescent="0.25">
      <c r="B21" s="301" t="s">
        <v>257</v>
      </c>
      <c r="C21" s="301" t="s">
        <v>258</v>
      </c>
      <c r="D21" s="301" t="s">
        <v>38</v>
      </c>
      <c r="E21" s="301" t="s">
        <v>259</v>
      </c>
      <c r="O21" s="468"/>
      <c r="P21" s="468"/>
      <c r="Q21" s="468"/>
      <c r="R21" s="468"/>
      <c r="S21" s="468"/>
      <c r="T21" s="468"/>
      <c r="U21" s="468"/>
      <c r="V21" s="468"/>
    </row>
    <row r="22" spans="1:37" x14ac:dyDescent="0.2">
      <c r="A22" s="158" t="s">
        <v>294</v>
      </c>
      <c r="B22" s="315" t="s">
        <v>262</v>
      </c>
      <c r="C22" s="315">
        <v>2120</v>
      </c>
      <c r="D22" s="315" t="s">
        <v>293</v>
      </c>
      <c r="E22" s="315">
        <v>0.01</v>
      </c>
      <c r="F22">
        <f>10000*(37.5/(37.5+23))</f>
        <v>6198.3471074380168</v>
      </c>
      <c r="O22">
        <f>F22</f>
        <v>6198.3471074380168</v>
      </c>
      <c r="AF22">
        <f>8-COUNTIF($O22:$W22, 0)</f>
        <v>8</v>
      </c>
      <c r="AG22">
        <f>MIN($N22:$V22)</f>
        <v>6198.3471074380168</v>
      </c>
      <c r="AH22">
        <f>MAX($N22:$V22)</f>
        <v>6198.3471074380168</v>
      </c>
      <c r="AI22">
        <f>AVERAGE($N22:$V22)</f>
        <v>6198.3471074380168</v>
      </c>
      <c r="AJ22">
        <f>IF(ISERROR((STDEV($N22:$V22))), 0, STDEV($N22:$V22))</f>
        <v>0</v>
      </c>
      <c r="AK22">
        <f>AG22+TINV(0.1,AF22-1)*(AI22/SQRT(AF22))</f>
        <v>10350.215018027151</v>
      </c>
    </row>
    <row r="23" spans="1:37" x14ac:dyDescent="0.2">
      <c r="A23" s="354" t="s">
        <v>44</v>
      </c>
      <c r="B23" s="315" t="s">
        <v>106</v>
      </c>
      <c r="C23" s="315">
        <v>2220</v>
      </c>
      <c r="D23" s="315" t="s">
        <v>295</v>
      </c>
      <c r="E23" s="315">
        <v>0.01</v>
      </c>
      <c r="F23">
        <f>23/(23+37.5)*10000</f>
        <v>3801.6528925619837</v>
      </c>
      <c r="O23">
        <f>F23</f>
        <v>3801.6528925619837</v>
      </c>
      <c r="AF23">
        <f t="shared" ref="AF23:AF86" si="0">8-COUNTIF($O23:$W23, 0)</f>
        <v>8</v>
      </c>
      <c r="AG23">
        <f t="shared" ref="AG23:AG86" si="1">MIN($N23:$V23)</f>
        <v>3801.6528925619837</v>
      </c>
      <c r="AH23">
        <f t="shared" ref="AH23:AH86" si="2">MAX($N23:$V23)</f>
        <v>3801.6528925619837</v>
      </c>
      <c r="AI23">
        <f t="shared" ref="AI23:AI86" si="3">AVERAGE($N23:$V23)</f>
        <v>3801.6528925619837</v>
      </c>
      <c r="AJ23">
        <f t="shared" ref="AJ23:AJ86" si="4">IF(ISERROR((STDEV($N23:$V23))), 0, STDEV($N23:$V23))</f>
        <v>0</v>
      </c>
      <c r="AK23">
        <f t="shared" ref="AK23:AK86" si="5">AG23+TINV(0.1,AF23-1)*(AI23/SQRT(AF23))</f>
        <v>6348.1318777233191</v>
      </c>
    </row>
    <row r="24" spans="1:37" x14ac:dyDescent="0.2">
      <c r="B24" s="315"/>
      <c r="C24" s="315"/>
      <c r="D24" s="315"/>
      <c r="E24" s="315"/>
      <c r="F24"/>
      <c r="O24" t="str">
        <f t="shared" ref="O24:O74" si="6">IF(D24="%",F24*10000, IF(OR(D24="g/l",D24="g l-¹"), F24*2000, IF(OR(D24="mg kg-¹", D24="mg/kg"),F24,IF(D24="µg kg-1",F24/1000," "))))</f>
        <v xml:space="preserve"> </v>
      </c>
      <c r="P24" t="str">
        <f t="shared" ref="P24:P57" si="7">IF($D24="%",G24*10000, IF(OR($D24="g/l",$D24="g l-¹"), G24*2000, IF(OR($D24="mg kg-¹", $D24="mg/kg"),G24,IF($D24="µg kg-1",G24/1000," "))))</f>
        <v xml:space="preserve"> </v>
      </c>
      <c r="Q24" t="str">
        <f t="shared" ref="Q24:Q57" si="8">IF($D24="%",H24*10000, IF(OR($D24="g/l",$D24="g l-¹"), H24*2000, IF(OR($D24="mg kg-¹", $D24="mg/kg"),H24,IF($D24="µg kg-1",H24/1000," "))))</f>
        <v xml:space="preserve"> </v>
      </c>
      <c r="AF24">
        <f t="shared" si="0"/>
        <v>8</v>
      </c>
      <c r="AG24">
        <f t="shared" si="1"/>
        <v>0</v>
      </c>
      <c r="AH24">
        <f t="shared" si="2"/>
        <v>0</v>
      </c>
      <c r="AI24" t="e">
        <f t="shared" si="3"/>
        <v>#DIV/0!</v>
      </c>
      <c r="AJ24">
        <f t="shared" si="4"/>
        <v>0</v>
      </c>
      <c r="AK24" t="e">
        <f t="shared" si="5"/>
        <v>#DIV/0!</v>
      </c>
    </row>
    <row r="25" spans="1:37" x14ac:dyDescent="0.2">
      <c r="B25" s="315"/>
      <c r="C25" s="315"/>
      <c r="D25" s="315"/>
      <c r="E25" s="315"/>
      <c r="F25"/>
      <c r="G25" s="347"/>
      <c r="H25" s="347"/>
      <c r="O25" t="str">
        <f t="shared" si="6"/>
        <v xml:space="preserve"> </v>
      </c>
      <c r="P25" t="str">
        <f t="shared" si="7"/>
        <v xml:space="preserve"> </v>
      </c>
      <c r="Q25" t="str">
        <f t="shared" si="8"/>
        <v xml:space="preserve"> </v>
      </c>
      <c r="R25" t="str">
        <f t="shared" ref="R25:R57" si="9">IF($D25="%",I25*10000, IF(OR($D25="g/l",$D25="g l-¹"), I25*2000, IF(OR($D25="mg kg-¹", $D25="mg/kg"),I25,IF($D25="µg kg-1",I25/1000," "))))</f>
        <v xml:space="preserve"> </v>
      </c>
      <c r="S25" t="str">
        <f t="shared" ref="S25:S57" si="10">IF($D25="%",J25*10000, IF(OR($D25="g/l",$D25="g l-¹"), J25*2000, IF(OR($D25="mg kg-¹", $D25="mg/kg"),J25,IF($D25="µg kg-1",J25/1000," "))))</f>
        <v xml:space="preserve"> </v>
      </c>
      <c r="T25" t="str">
        <f t="shared" ref="T25:T57" si="11">IF($D25="%",K25*10000, IF(OR($D25="g/l",$D25="g l-¹"), K25*2000, IF(OR($D25="mg kg-¹", $D25="mg/kg"),K25,IF($D25="µg kg-1",K25/1000," "))))</f>
        <v xml:space="preserve"> </v>
      </c>
      <c r="U25" t="str">
        <f t="shared" ref="U25:U57" si="12">IF($D25="%",L25*10000, IF(OR($D25="g/l",$D25="g l-¹"), L25*2000, IF(OR($D25="mg kg-¹", $D25="mg/kg"),L25,IF($D25="µg kg-1",L25/1000," "))))</f>
        <v xml:space="preserve"> </v>
      </c>
      <c r="V25" t="str">
        <f t="shared" ref="V25:V57" si="13">IF($D25="%",M25*10000, IF(OR($D25="g/l",$D25="g l-¹"), M25*2000, IF(OR($D25="mg kg-¹", $D25="mg/kg"),M25,IF($D25="µg kg-1",M25/1000," "))))</f>
        <v xml:space="preserve"> </v>
      </c>
      <c r="AF25">
        <f t="shared" si="0"/>
        <v>8</v>
      </c>
      <c r="AG25">
        <f t="shared" si="1"/>
        <v>0</v>
      </c>
      <c r="AH25">
        <f t="shared" si="2"/>
        <v>0</v>
      </c>
      <c r="AI25" t="e">
        <f t="shared" si="3"/>
        <v>#DIV/0!</v>
      </c>
      <c r="AJ25">
        <f t="shared" si="4"/>
        <v>0</v>
      </c>
      <c r="AK25" t="e">
        <f t="shared" si="5"/>
        <v>#DIV/0!</v>
      </c>
    </row>
    <row r="26" spans="1:37" x14ac:dyDescent="0.2">
      <c r="B26" s="315"/>
      <c r="C26" s="315"/>
      <c r="D26" s="315"/>
      <c r="E26" s="315"/>
      <c r="F26"/>
      <c r="O26" t="str">
        <f t="shared" si="6"/>
        <v xml:space="preserve"> </v>
      </c>
      <c r="P26" t="str">
        <f t="shared" si="7"/>
        <v xml:space="preserve"> </v>
      </c>
      <c r="Q26" t="str">
        <f t="shared" si="8"/>
        <v xml:space="preserve"> </v>
      </c>
      <c r="R26" t="str">
        <f t="shared" si="9"/>
        <v xml:space="preserve"> </v>
      </c>
      <c r="S26" t="str">
        <f t="shared" si="10"/>
        <v xml:space="preserve"> </v>
      </c>
      <c r="T26" t="str">
        <f t="shared" si="11"/>
        <v xml:space="preserve"> </v>
      </c>
      <c r="U26" t="str">
        <f t="shared" si="12"/>
        <v xml:space="preserve"> </v>
      </c>
      <c r="V26" t="str">
        <f t="shared" si="13"/>
        <v xml:space="preserve"> </v>
      </c>
      <c r="AF26">
        <f t="shared" si="0"/>
        <v>8</v>
      </c>
      <c r="AG26">
        <f t="shared" si="1"/>
        <v>0</v>
      </c>
      <c r="AH26">
        <f t="shared" si="2"/>
        <v>0</v>
      </c>
      <c r="AI26" t="e">
        <f t="shared" si="3"/>
        <v>#DIV/0!</v>
      </c>
      <c r="AJ26">
        <f t="shared" si="4"/>
        <v>0</v>
      </c>
      <c r="AK26" t="e">
        <f t="shared" si="5"/>
        <v>#DIV/0!</v>
      </c>
    </row>
    <row r="27" spans="1:37" x14ac:dyDescent="0.2">
      <c r="B27" s="315"/>
      <c r="C27" s="315"/>
      <c r="D27" s="315"/>
      <c r="E27" s="315"/>
      <c r="F27"/>
      <c r="O27" t="str">
        <f t="shared" si="6"/>
        <v xml:space="preserve"> </v>
      </c>
      <c r="P27" t="str">
        <f t="shared" si="7"/>
        <v xml:space="preserve"> </v>
      </c>
      <c r="Q27" t="str">
        <f t="shared" si="8"/>
        <v xml:space="preserve"> </v>
      </c>
      <c r="R27" t="str">
        <f t="shared" si="9"/>
        <v xml:space="preserve"> </v>
      </c>
      <c r="S27" t="str">
        <f t="shared" si="10"/>
        <v xml:space="preserve"> </v>
      </c>
      <c r="T27" t="str">
        <f t="shared" si="11"/>
        <v xml:space="preserve"> </v>
      </c>
      <c r="U27" t="str">
        <f t="shared" si="12"/>
        <v xml:space="preserve"> </v>
      </c>
      <c r="V27" t="str">
        <f t="shared" si="13"/>
        <v xml:space="preserve"> </v>
      </c>
      <c r="AF27">
        <f t="shared" si="0"/>
        <v>8</v>
      </c>
      <c r="AG27">
        <f t="shared" si="1"/>
        <v>0</v>
      </c>
      <c r="AH27">
        <f t="shared" si="2"/>
        <v>0</v>
      </c>
      <c r="AI27" t="e">
        <f t="shared" si="3"/>
        <v>#DIV/0!</v>
      </c>
      <c r="AJ27">
        <f t="shared" si="4"/>
        <v>0</v>
      </c>
      <c r="AK27" t="e">
        <f t="shared" si="5"/>
        <v>#DIV/0!</v>
      </c>
    </row>
    <row r="28" spans="1:37" x14ac:dyDescent="0.2">
      <c r="B28" s="315"/>
      <c r="C28" s="315"/>
      <c r="D28" s="315"/>
      <c r="E28" s="315"/>
      <c r="F28"/>
      <c r="O28" t="str">
        <f t="shared" si="6"/>
        <v xml:space="preserve"> </v>
      </c>
      <c r="P28" t="str">
        <f t="shared" si="7"/>
        <v xml:space="preserve"> </v>
      </c>
      <c r="Q28" t="str">
        <f t="shared" si="8"/>
        <v xml:space="preserve"> </v>
      </c>
      <c r="R28" t="str">
        <f t="shared" si="9"/>
        <v xml:space="preserve"> </v>
      </c>
      <c r="S28" t="str">
        <f t="shared" si="10"/>
        <v xml:space="preserve"> </v>
      </c>
      <c r="T28" t="str">
        <f t="shared" si="11"/>
        <v xml:space="preserve"> </v>
      </c>
      <c r="U28" t="str">
        <f t="shared" si="12"/>
        <v xml:space="preserve"> </v>
      </c>
      <c r="V28" t="str">
        <f t="shared" si="13"/>
        <v xml:space="preserve"> </v>
      </c>
      <c r="AF28">
        <f t="shared" si="0"/>
        <v>8</v>
      </c>
      <c r="AG28">
        <f t="shared" si="1"/>
        <v>0</v>
      </c>
      <c r="AH28">
        <f t="shared" si="2"/>
        <v>0</v>
      </c>
      <c r="AI28" t="e">
        <f t="shared" si="3"/>
        <v>#DIV/0!</v>
      </c>
      <c r="AJ28">
        <f t="shared" si="4"/>
        <v>0</v>
      </c>
      <c r="AK28" t="e">
        <f t="shared" si="5"/>
        <v>#DIV/0!</v>
      </c>
    </row>
    <row r="29" spans="1:37" x14ac:dyDescent="0.2">
      <c r="B29" s="315"/>
      <c r="C29" s="315"/>
      <c r="D29" s="315"/>
      <c r="E29" s="315"/>
      <c r="F29"/>
      <c r="O29" t="str">
        <f t="shared" si="6"/>
        <v xml:space="preserve"> </v>
      </c>
      <c r="P29" t="str">
        <f t="shared" si="7"/>
        <v xml:space="preserve"> </v>
      </c>
      <c r="Q29" t="str">
        <f t="shared" si="8"/>
        <v xml:space="preserve"> </v>
      </c>
      <c r="R29" t="str">
        <f t="shared" si="9"/>
        <v xml:space="preserve"> </v>
      </c>
      <c r="S29" t="str">
        <f t="shared" si="10"/>
        <v xml:space="preserve"> </v>
      </c>
      <c r="T29" t="str">
        <f t="shared" si="11"/>
        <v xml:space="preserve"> </v>
      </c>
      <c r="U29" t="str">
        <f t="shared" si="12"/>
        <v xml:space="preserve"> </v>
      </c>
      <c r="V29" t="str">
        <f t="shared" si="13"/>
        <v xml:space="preserve"> </v>
      </c>
      <c r="AF29">
        <f t="shared" si="0"/>
        <v>8</v>
      </c>
      <c r="AG29">
        <f t="shared" si="1"/>
        <v>0</v>
      </c>
      <c r="AH29">
        <f t="shared" si="2"/>
        <v>0</v>
      </c>
      <c r="AI29" t="e">
        <f t="shared" si="3"/>
        <v>#DIV/0!</v>
      </c>
      <c r="AJ29">
        <f t="shared" si="4"/>
        <v>0</v>
      </c>
      <c r="AK29" t="e">
        <f t="shared" si="5"/>
        <v>#DIV/0!</v>
      </c>
    </row>
    <row r="30" spans="1:37" x14ac:dyDescent="0.2">
      <c r="B30" s="315"/>
      <c r="C30" s="315"/>
      <c r="D30" s="315"/>
      <c r="E30" s="315"/>
      <c r="F30"/>
      <c r="O30" t="str">
        <f t="shared" si="6"/>
        <v xml:space="preserve"> </v>
      </c>
      <c r="P30" t="str">
        <f t="shared" si="7"/>
        <v xml:space="preserve"> </v>
      </c>
      <c r="Q30" t="str">
        <f t="shared" si="8"/>
        <v xml:space="preserve"> </v>
      </c>
      <c r="R30" t="str">
        <f t="shared" si="9"/>
        <v xml:space="preserve"> </v>
      </c>
      <c r="S30" t="str">
        <f t="shared" si="10"/>
        <v xml:space="preserve"> </v>
      </c>
      <c r="T30" t="str">
        <f t="shared" si="11"/>
        <v xml:space="preserve"> </v>
      </c>
      <c r="U30" t="str">
        <f t="shared" si="12"/>
        <v xml:space="preserve"> </v>
      </c>
      <c r="V30" t="str">
        <f t="shared" si="13"/>
        <v xml:space="preserve"> </v>
      </c>
      <c r="AF30">
        <f t="shared" si="0"/>
        <v>8</v>
      </c>
      <c r="AG30">
        <f t="shared" si="1"/>
        <v>0</v>
      </c>
      <c r="AH30">
        <f t="shared" si="2"/>
        <v>0</v>
      </c>
      <c r="AI30" t="e">
        <f t="shared" si="3"/>
        <v>#DIV/0!</v>
      </c>
      <c r="AJ30">
        <f t="shared" si="4"/>
        <v>0</v>
      </c>
      <c r="AK30" t="e">
        <f t="shared" si="5"/>
        <v>#DIV/0!</v>
      </c>
    </row>
    <row r="31" spans="1:37" x14ac:dyDescent="0.2">
      <c r="B31" s="315"/>
      <c r="C31" s="315"/>
      <c r="D31" s="315"/>
      <c r="E31" s="315"/>
      <c r="F31"/>
      <c r="O31" t="str">
        <f t="shared" si="6"/>
        <v xml:space="preserve"> </v>
      </c>
      <c r="P31" t="str">
        <f t="shared" si="7"/>
        <v xml:space="preserve"> </v>
      </c>
      <c r="Q31" t="str">
        <f t="shared" si="8"/>
        <v xml:space="preserve"> </v>
      </c>
      <c r="R31" t="str">
        <f t="shared" si="9"/>
        <v xml:space="preserve"> </v>
      </c>
      <c r="S31" t="str">
        <f t="shared" si="10"/>
        <v xml:space="preserve"> </v>
      </c>
      <c r="T31" t="str">
        <f t="shared" si="11"/>
        <v xml:space="preserve"> </v>
      </c>
      <c r="U31" t="str">
        <f t="shared" si="12"/>
        <v xml:space="preserve"> </v>
      </c>
      <c r="V31" t="str">
        <f t="shared" si="13"/>
        <v xml:space="preserve"> </v>
      </c>
      <c r="AF31">
        <f t="shared" si="0"/>
        <v>8</v>
      </c>
      <c r="AG31">
        <f t="shared" si="1"/>
        <v>0</v>
      </c>
      <c r="AH31">
        <f t="shared" si="2"/>
        <v>0</v>
      </c>
      <c r="AI31" t="e">
        <f t="shared" si="3"/>
        <v>#DIV/0!</v>
      </c>
      <c r="AJ31">
        <f t="shared" si="4"/>
        <v>0</v>
      </c>
      <c r="AK31" t="e">
        <f t="shared" si="5"/>
        <v>#DIV/0!</v>
      </c>
    </row>
    <row r="32" spans="1:37" x14ac:dyDescent="0.2">
      <c r="B32" s="315"/>
      <c r="C32" s="315"/>
      <c r="D32" s="315"/>
      <c r="E32" s="315"/>
      <c r="F32"/>
      <c r="O32" t="str">
        <f t="shared" si="6"/>
        <v xml:space="preserve"> </v>
      </c>
      <c r="P32" t="str">
        <f t="shared" si="7"/>
        <v xml:space="preserve"> </v>
      </c>
      <c r="Q32" t="str">
        <f t="shared" si="8"/>
        <v xml:space="preserve"> </v>
      </c>
      <c r="R32" t="str">
        <f t="shared" si="9"/>
        <v xml:space="preserve"> </v>
      </c>
      <c r="S32" t="str">
        <f t="shared" si="10"/>
        <v xml:space="preserve"> </v>
      </c>
      <c r="T32" t="str">
        <f t="shared" si="11"/>
        <v xml:space="preserve"> </v>
      </c>
      <c r="U32" t="str">
        <f t="shared" si="12"/>
        <v xml:space="preserve"> </v>
      </c>
      <c r="V32" t="str">
        <f t="shared" si="13"/>
        <v xml:space="preserve"> </v>
      </c>
      <c r="AF32">
        <f t="shared" si="0"/>
        <v>8</v>
      </c>
      <c r="AG32">
        <f t="shared" si="1"/>
        <v>0</v>
      </c>
      <c r="AH32">
        <f t="shared" si="2"/>
        <v>0</v>
      </c>
      <c r="AI32" t="e">
        <f t="shared" si="3"/>
        <v>#DIV/0!</v>
      </c>
      <c r="AJ32">
        <f t="shared" si="4"/>
        <v>0</v>
      </c>
      <c r="AK32" t="e">
        <f t="shared" si="5"/>
        <v>#DIV/0!</v>
      </c>
    </row>
    <row r="33" spans="2:37" x14ac:dyDescent="0.2">
      <c r="B33" s="315"/>
      <c r="C33" s="315"/>
      <c r="D33" s="315"/>
      <c r="E33" s="315"/>
      <c r="F33"/>
      <c r="O33" t="str">
        <f t="shared" si="6"/>
        <v xml:space="preserve"> </v>
      </c>
      <c r="P33" t="str">
        <f t="shared" si="7"/>
        <v xml:space="preserve"> </v>
      </c>
      <c r="Q33" t="str">
        <f t="shared" si="8"/>
        <v xml:space="preserve"> </v>
      </c>
      <c r="R33" t="str">
        <f t="shared" si="9"/>
        <v xml:space="preserve"> </v>
      </c>
      <c r="S33" t="str">
        <f t="shared" si="10"/>
        <v xml:space="preserve"> </v>
      </c>
      <c r="T33" t="str">
        <f t="shared" si="11"/>
        <v xml:space="preserve"> </v>
      </c>
      <c r="U33" t="str">
        <f t="shared" si="12"/>
        <v xml:space="preserve"> </v>
      </c>
      <c r="V33" t="str">
        <f t="shared" si="13"/>
        <v xml:space="preserve"> </v>
      </c>
      <c r="AF33">
        <f t="shared" si="0"/>
        <v>8</v>
      </c>
      <c r="AG33">
        <f t="shared" si="1"/>
        <v>0</v>
      </c>
      <c r="AH33">
        <f t="shared" si="2"/>
        <v>0</v>
      </c>
      <c r="AI33" t="e">
        <f t="shared" si="3"/>
        <v>#DIV/0!</v>
      </c>
      <c r="AJ33">
        <f t="shared" si="4"/>
        <v>0</v>
      </c>
      <c r="AK33" t="e">
        <f t="shared" si="5"/>
        <v>#DIV/0!</v>
      </c>
    </row>
    <row r="34" spans="2:37" x14ac:dyDescent="0.2">
      <c r="B34" s="315"/>
      <c r="C34" s="315"/>
      <c r="D34" s="315"/>
      <c r="E34" s="315"/>
      <c r="F34"/>
      <c r="O34" t="str">
        <f t="shared" si="6"/>
        <v xml:space="preserve"> </v>
      </c>
      <c r="P34" t="str">
        <f t="shared" si="7"/>
        <v xml:space="preserve"> </v>
      </c>
      <c r="Q34" t="str">
        <f t="shared" si="8"/>
        <v xml:space="preserve"> </v>
      </c>
      <c r="R34" t="str">
        <f t="shared" si="9"/>
        <v xml:space="preserve"> </v>
      </c>
      <c r="S34" t="str">
        <f t="shared" si="10"/>
        <v xml:space="preserve"> </v>
      </c>
      <c r="T34" t="str">
        <f t="shared" si="11"/>
        <v xml:space="preserve"> </v>
      </c>
      <c r="U34" t="str">
        <f t="shared" si="12"/>
        <v xml:space="preserve"> </v>
      </c>
      <c r="V34" t="str">
        <f t="shared" si="13"/>
        <v xml:space="preserve"> </v>
      </c>
      <c r="AF34">
        <f t="shared" si="0"/>
        <v>8</v>
      </c>
      <c r="AG34">
        <f t="shared" si="1"/>
        <v>0</v>
      </c>
      <c r="AH34">
        <f t="shared" si="2"/>
        <v>0</v>
      </c>
      <c r="AI34" t="e">
        <f t="shared" si="3"/>
        <v>#DIV/0!</v>
      </c>
      <c r="AJ34">
        <f t="shared" si="4"/>
        <v>0</v>
      </c>
      <c r="AK34" t="e">
        <f t="shared" si="5"/>
        <v>#DIV/0!</v>
      </c>
    </row>
    <row r="35" spans="2:37" x14ac:dyDescent="0.2">
      <c r="B35" s="315"/>
      <c r="C35" s="315"/>
      <c r="D35" s="315"/>
      <c r="E35" s="315"/>
      <c r="F35"/>
      <c r="O35" t="str">
        <f t="shared" si="6"/>
        <v xml:space="preserve"> </v>
      </c>
      <c r="P35" t="str">
        <f t="shared" si="7"/>
        <v xml:space="preserve"> </v>
      </c>
      <c r="Q35" t="str">
        <f t="shared" si="8"/>
        <v xml:space="preserve"> </v>
      </c>
      <c r="R35" t="str">
        <f t="shared" si="9"/>
        <v xml:space="preserve"> </v>
      </c>
      <c r="S35" t="str">
        <f t="shared" si="10"/>
        <v xml:space="preserve"> </v>
      </c>
      <c r="T35" t="str">
        <f t="shared" si="11"/>
        <v xml:space="preserve"> </v>
      </c>
      <c r="U35" t="str">
        <f t="shared" si="12"/>
        <v xml:space="preserve"> </v>
      </c>
      <c r="V35" t="str">
        <f t="shared" si="13"/>
        <v xml:space="preserve"> </v>
      </c>
      <c r="AF35">
        <f t="shared" si="0"/>
        <v>8</v>
      </c>
      <c r="AG35">
        <f t="shared" si="1"/>
        <v>0</v>
      </c>
      <c r="AH35">
        <f t="shared" si="2"/>
        <v>0</v>
      </c>
      <c r="AI35" t="e">
        <f t="shared" si="3"/>
        <v>#DIV/0!</v>
      </c>
      <c r="AJ35">
        <f t="shared" si="4"/>
        <v>0</v>
      </c>
      <c r="AK35" t="e">
        <f t="shared" si="5"/>
        <v>#DIV/0!</v>
      </c>
    </row>
    <row r="36" spans="2:37" x14ac:dyDescent="0.2">
      <c r="B36" s="315"/>
      <c r="C36" s="315"/>
      <c r="D36" s="315"/>
      <c r="E36" s="315"/>
      <c r="F36" s="337"/>
      <c r="O36" t="str">
        <f t="shared" si="6"/>
        <v xml:space="preserve"> </v>
      </c>
      <c r="P36" t="str">
        <f t="shared" si="7"/>
        <v xml:space="preserve"> </v>
      </c>
      <c r="Q36" t="str">
        <f t="shared" si="8"/>
        <v xml:space="preserve"> </v>
      </c>
      <c r="R36" t="str">
        <f t="shared" si="9"/>
        <v xml:space="preserve"> </v>
      </c>
      <c r="S36" t="str">
        <f t="shared" si="10"/>
        <v xml:space="preserve"> </v>
      </c>
      <c r="T36" t="str">
        <f t="shared" si="11"/>
        <v xml:space="preserve"> </v>
      </c>
      <c r="U36" t="str">
        <f t="shared" si="12"/>
        <v xml:space="preserve"> </v>
      </c>
      <c r="V36" t="str">
        <f t="shared" si="13"/>
        <v xml:space="preserve"> </v>
      </c>
      <c r="AF36">
        <f t="shared" si="0"/>
        <v>8</v>
      </c>
      <c r="AG36">
        <f t="shared" si="1"/>
        <v>0</v>
      </c>
      <c r="AH36">
        <f t="shared" si="2"/>
        <v>0</v>
      </c>
      <c r="AI36" t="e">
        <f t="shared" si="3"/>
        <v>#DIV/0!</v>
      </c>
      <c r="AJ36">
        <f t="shared" si="4"/>
        <v>0</v>
      </c>
      <c r="AK36" t="e">
        <f t="shared" si="5"/>
        <v>#DIV/0!</v>
      </c>
    </row>
    <row r="37" spans="2:37" x14ac:dyDescent="0.2">
      <c r="B37" s="315"/>
      <c r="C37" s="315"/>
      <c r="D37" s="315"/>
      <c r="E37" s="315"/>
      <c r="F37" s="337"/>
      <c r="O37" t="str">
        <f t="shared" si="6"/>
        <v xml:space="preserve"> </v>
      </c>
      <c r="P37" t="str">
        <f t="shared" si="7"/>
        <v xml:space="preserve"> </v>
      </c>
      <c r="Q37" t="str">
        <f t="shared" si="8"/>
        <v xml:space="preserve"> </v>
      </c>
      <c r="R37" t="str">
        <f t="shared" si="9"/>
        <v xml:space="preserve"> </v>
      </c>
      <c r="S37" t="str">
        <f t="shared" si="10"/>
        <v xml:space="preserve"> </v>
      </c>
      <c r="T37" t="str">
        <f t="shared" si="11"/>
        <v xml:space="preserve"> </v>
      </c>
      <c r="U37" t="str">
        <f t="shared" si="12"/>
        <v xml:space="preserve"> </v>
      </c>
      <c r="V37" t="str">
        <f t="shared" si="13"/>
        <v xml:space="preserve"> </v>
      </c>
      <c r="AF37">
        <f t="shared" si="0"/>
        <v>8</v>
      </c>
      <c r="AG37">
        <f t="shared" si="1"/>
        <v>0</v>
      </c>
      <c r="AH37">
        <f t="shared" si="2"/>
        <v>0</v>
      </c>
      <c r="AI37" t="e">
        <f t="shared" si="3"/>
        <v>#DIV/0!</v>
      </c>
      <c r="AJ37">
        <f t="shared" si="4"/>
        <v>0</v>
      </c>
      <c r="AK37" t="e">
        <f t="shared" si="5"/>
        <v>#DIV/0!</v>
      </c>
    </row>
    <row r="38" spans="2:37" x14ac:dyDescent="0.2">
      <c r="B38" s="315"/>
      <c r="C38" s="315"/>
      <c r="D38" s="315"/>
      <c r="E38" s="315"/>
      <c r="F38" s="337"/>
      <c r="O38" t="str">
        <f t="shared" si="6"/>
        <v xml:space="preserve"> </v>
      </c>
      <c r="P38" t="str">
        <f t="shared" si="7"/>
        <v xml:space="preserve"> </v>
      </c>
      <c r="Q38" t="str">
        <f t="shared" si="8"/>
        <v xml:space="preserve"> </v>
      </c>
      <c r="R38" t="str">
        <f t="shared" si="9"/>
        <v xml:space="preserve"> </v>
      </c>
      <c r="S38" t="str">
        <f t="shared" si="10"/>
        <v xml:space="preserve"> </v>
      </c>
      <c r="T38" t="str">
        <f t="shared" si="11"/>
        <v xml:space="preserve"> </v>
      </c>
      <c r="U38" t="str">
        <f t="shared" si="12"/>
        <v xml:space="preserve"> </v>
      </c>
      <c r="V38" t="str">
        <f t="shared" si="13"/>
        <v xml:space="preserve"> </v>
      </c>
      <c r="AF38">
        <f t="shared" si="0"/>
        <v>8</v>
      </c>
      <c r="AG38">
        <f t="shared" si="1"/>
        <v>0</v>
      </c>
      <c r="AH38">
        <f t="shared" si="2"/>
        <v>0</v>
      </c>
      <c r="AI38" t="e">
        <f t="shared" si="3"/>
        <v>#DIV/0!</v>
      </c>
      <c r="AJ38">
        <f t="shared" si="4"/>
        <v>0</v>
      </c>
      <c r="AK38" t="e">
        <f t="shared" si="5"/>
        <v>#DIV/0!</v>
      </c>
    </row>
    <row r="39" spans="2:37" x14ac:dyDescent="0.2">
      <c r="B39" s="315"/>
      <c r="C39" s="315"/>
      <c r="D39" s="315"/>
      <c r="E39" s="315"/>
      <c r="F39" s="337"/>
      <c r="O39" t="str">
        <f t="shared" si="6"/>
        <v xml:space="preserve"> </v>
      </c>
      <c r="P39" t="str">
        <f t="shared" si="7"/>
        <v xml:space="preserve"> </v>
      </c>
      <c r="Q39" t="str">
        <f t="shared" si="8"/>
        <v xml:space="preserve"> </v>
      </c>
      <c r="R39" t="str">
        <f t="shared" si="9"/>
        <v xml:space="preserve"> </v>
      </c>
      <c r="S39" t="str">
        <f t="shared" si="10"/>
        <v xml:space="preserve"> </v>
      </c>
      <c r="T39" t="str">
        <f t="shared" si="11"/>
        <v xml:space="preserve"> </v>
      </c>
      <c r="U39" t="str">
        <f t="shared" si="12"/>
        <v xml:space="preserve"> </v>
      </c>
      <c r="V39" t="str">
        <f t="shared" si="13"/>
        <v xml:space="preserve"> </v>
      </c>
      <c r="AF39">
        <f t="shared" si="0"/>
        <v>8</v>
      </c>
      <c r="AG39">
        <f t="shared" si="1"/>
        <v>0</v>
      </c>
      <c r="AH39">
        <f t="shared" si="2"/>
        <v>0</v>
      </c>
      <c r="AI39" t="e">
        <f t="shared" si="3"/>
        <v>#DIV/0!</v>
      </c>
      <c r="AJ39">
        <f t="shared" si="4"/>
        <v>0</v>
      </c>
      <c r="AK39" t="e">
        <f t="shared" si="5"/>
        <v>#DIV/0!</v>
      </c>
    </row>
    <row r="40" spans="2:37" x14ac:dyDescent="0.2">
      <c r="B40" s="315"/>
      <c r="C40" s="315"/>
      <c r="D40" s="315"/>
      <c r="E40" s="315"/>
      <c r="F40" s="337"/>
      <c r="O40" t="str">
        <f t="shared" si="6"/>
        <v xml:space="preserve"> </v>
      </c>
      <c r="P40" t="str">
        <f t="shared" si="7"/>
        <v xml:space="preserve"> </v>
      </c>
      <c r="Q40" t="str">
        <f t="shared" si="8"/>
        <v xml:space="preserve"> </v>
      </c>
      <c r="R40" t="str">
        <f t="shared" si="9"/>
        <v xml:space="preserve"> </v>
      </c>
      <c r="S40" t="str">
        <f t="shared" si="10"/>
        <v xml:space="preserve"> </v>
      </c>
      <c r="T40" t="str">
        <f t="shared" si="11"/>
        <v xml:space="preserve"> </v>
      </c>
      <c r="U40" t="str">
        <f t="shared" si="12"/>
        <v xml:space="preserve"> </v>
      </c>
      <c r="V40" t="str">
        <f t="shared" si="13"/>
        <v xml:space="preserve"> </v>
      </c>
      <c r="AF40">
        <f t="shared" si="0"/>
        <v>8</v>
      </c>
      <c r="AG40">
        <f t="shared" si="1"/>
        <v>0</v>
      </c>
      <c r="AH40">
        <f t="shared" si="2"/>
        <v>0</v>
      </c>
      <c r="AI40" t="e">
        <f t="shared" si="3"/>
        <v>#DIV/0!</v>
      </c>
      <c r="AJ40">
        <f t="shared" si="4"/>
        <v>0</v>
      </c>
      <c r="AK40" t="e">
        <f t="shared" si="5"/>
        <v>#DIV/0!</v>
      </c>
    </row>
    <row r="41" spans="2:37" x14ac:dyDescent="0.2">
      <c r="B41" s="315"/>
      <c r="C41" s="315"/>
      <c r="D41" s="315"/>
      <c r="E41" s="315"/>
      <c r="F41" s="337"/>
      <c r="O41" t="str">
        <f t="shared" si="6"/>
        <v xml:space="preserve"> </v>
      </c>
      <c r="P41" t="str">
        <f t="shared" si="7"/>
        <v xml:space="preserve"> </v>
      </c>
      <c r="Q41" t="str">
        <f t="shared" si="8"/>
        <v xml:space="preserve"> </v>
      </c>
      <c r="R41" t="str">
        <f t="shared" si="9"/>
        <v xml:space="preserve"> </v>
      </c>
      <c r="S41" t="str">
        <f t="shared" si="10"/>
        <v xml:space="preserve"> </v>
      </c>
      <c r="T41" t="str">
        <f t="shared" si="11"/>
        <v xml:space="preserve"> </v>
      </c>
      <c r="U41" t="str">
        <f t="shared" si="12"/>
        <v xml:space="preserve"> </v>
      </c>
      <c r="V41" t="str">
        <f t="shared" si="13"/>
        <v xml:space="preserve"> </v>
      </c>
      <c r="AF41">
        <f t="shared" si="0"/>
        <v>8</v>
      </c>
      <c r="AG41">
        <f t="shared" si="1"/>
        <v>0</v>
      </c>
      <c r="AH41">
        <f t="shared" si="2"/>
        <v>0</v>
      </c>
      <c r="AI41" t="e">
        <f t="shared" si="3"/>
        <v>#DIV/0!</v>
      </c>
      <c r="AJ41">
        <f t="shared" si="4"/>
        <v>0</v>
      </c>
      <c r="AK41" t="e">
        <f t="shared" si="5"/>
        <v>#DIV/0!</v>
      </c>
    </row>
    <row r="42" spans="2:37" x14ac:dyDescent="0.2">
      <c r="B42" s="315"/>
      <c r="C42" s="315"/>
      <c r="D42" s="315"/>
      <c r="E42" s="315"/>
      <c r="F42" s="337"/>
      <c r="O42" t="str">
        <f t="shared" si="6"/>
        <v xml:space="preserve"> </v>
      </c>
      <c r="P42" t="str">
        <f t="shared" si="7"/>
        <v xml:space="preserve"> </v>
      </c>
      <c r="Q42" t="str">
        <f t="shared" si="8"/>
        <v xml:space="preserve"> </v>
      </c>
      <c r="R42" t="str">
        <f t="shared" si="9"/>
        <v xml:space="preserve"> </v>
      </c>
      <c r="S42" t="str">
        <f t="shared" si="10"/>
        <v xml:space="preserve"> </v>
      </c>
      <c r="T42" t="str">
        <f t="shared" si="11"/>
        <v xml:space="preserve"> </v>
      </c>
      <c r="U42" t="str">
        <f t="shared" si="12"/>
        <v xml:space="preserve"> </v>
      </c>
      <c r="V42" t="str">
        <f t="shared" si="13"/>
        <v xml:space="preserve"> </v>
      </c>
      <c r="AF42">
        <f t="shared" si="0"/>
        <v>8</v>
      </c>
      <c r="AG42">
        <f t="shared" si="1"/>
        <v>0</v>
      </c>
      <c r="AH42">
        <f t="shared" si="2"/>
        <v>0</v>
      </c>
      <c r="AI42" t="e">
        <f t="shared" si="3"/>
        <v>#DIV/0!</v>
      </c>
      <c r="AJ42">
        <f t="shared" si="4"/>
        <v>0</v>
      </c>
      <c r="AK42" t="e">
        <f t="shared" si="5"/>
        <v>#DIV/0!</v>
      </c>
    </row>
    <row r="43" spans="2:37" x14ac:dyDescent="0.2">
      <c r="B43" s="315"/>
      <c r="C43" s="315"/>
      <c r="D43" s="315"/>
      <c r="E43" s="315"/>
      <c r="F43" s="337"/>
      <c r="O43" t="str">
        <f t="shared" si="6"/>
        <v xml:space="preserve"> </v>
      </c>
      <c r="P43" t="str">
        <f t="shared" si="7"/>
        <v xml:space="preserve"> </v>
      </c>
      <c r="Q43" t="str">
        <f t="shared" si="8"/>
        <v xml:space="preserve"> </v>
      </c>
      <c r="R43" t="str">
        <f t="shared" si="9"/>
        <v xml:space="preserve"> </v>
      </c>
      <c r="S43" t="str">
        <f t="shared" si="10"/>
        <v xml:space="preserve"> </v>
      </c>
      <c r="T43" t="str">
        <f t="shared" si="11"/>
        <v xml:space="preserve"> </v>
      </c>
      <c r="U43" t="str">
        <f t="shared" si="12"/>
        <v xml:space="preserve"> </v>
      </c>
      <c r="V43" t="str">
        <f t="shared" si="13"/>
        <v xml:space="preserve"> </v>
      </c>
      <c r="AF43">
        <f t="shared" si="0"/>
        <v>8</v>
      </c>
      <c r="AG43">
        <f t="shared" si="1"/>
        <v>0</v>
      </c>
      <c r="AH43">
        <f t="shared" si="2"/>
        <v>0</v>
      </c>
      <c r="AI43" t="e">
        <f t="shared" si="3"/>
        <v>#DIV/0!</v>
      </c>
      <c r="AJ43">
        <f t="shared" si="4"/>
        <v>0</v>
      </c>
      <c r="AK43" t="e">
        <f t="shared" si="5"/>
        <v>#DIV/0!</v>
      </c>
    </row>
    <row r="44" spans="2:37" x14ac:dyDescent="0.2">
      <c r="B44" s="315"/>
      <c r="C44" s="315"/>
      <c r="D44" s="315"/>
      <c r="E44" s="315"/>
      <c r="F44" s="337"/>
      <c r="O44" t="str">
        <f t="shared" si="6"/>
        <v xml:space="preserve"> </v>
      </c>
      <c r="P44" t="str">
        <f t="shared" si="7"/>
        <v xml:space="preserve"> </v>
      </c>
      <c r="Q44" t="str">
        <f t="shared" si="8"/>
        <v xml:space="preserve"> </v>
      </c>
      <c r="R44" t="str">
        <f t="shared" si="9"/>
        <v xml:space="preserve"> </v>
      </c>
      <c r="S44" t="str">
        <f t="shared" si="10"/>
        <v xml:space="preserve"> </v>
      </c>
      <c r="T44" t="str">
        <f t="shared" si="11"/>
        <v xml:space="preserve"> </v>
      </c>
      <c r="U44" t="str">
        <f t="shared" si="12"/>
        <v xml:space="preserve"> </v>
      </c>
      <c r="V44" t="str">
        <f t="shared" si="13"/>
        <v xml:space="preserve"> </v>
      </c>
      <c r="AF44">
        <f t="shared" si="0"/>
        <v>8</v>
      </c>
      <c r="AG44">
        <f t="shared" si="1"/>
        <v>0</v>
      </c>
      <c r="AH44">
        <f t="shared" si="2"/>
        <v>0</v>
      </c>
      <c r="AI44" t="e">
        <f t="shared" si="3"/>
        <v>#DIV/0!</v>
      </c>
      <c r="AJ44">
        <f t="shared" si="4"/>
        <v>0</v>
      </c>
      <c r="AK44" t="e">
        <f t="shared" si="5"/>
        <v>#DIV/0!</v>
      </c>
    </row>
    <row r="45" spans="2:37" x14ac:dyDescent="0.2">
      <c r="O45" t="str">
        <f t="shared" si="6"/>
        <v xml:space="preserve"> </v>
      </c>
      <c r="P45" t="str">
        <f t="shared" si="7"/>
        <v xml:space="preserve"> </v>
      </c>
      <c r="Q45" t="str">
        <f t="shared" si="8"/>
        <v xml:space="preserve"> </v>
      </c>
      <c r="R45" t="str">
        <f t="shared" si="9"/>
        <v xml:space="preserve"> </v>
      </c>
      <c r="S45" t="str">
        <f t="shared" si="10"/>
        <v xml:space="preserve"> </v>
      </c>
      <c r="T45" t="str">
        <f t="shared" si="11"/>
        <v xml:space="preserve"> </v>
      </c>
      <c r="U45" t="str">
        <f t="shared" si="12"/>
        <v xml:space="preserve"> </v>
      </c>
      <c r="V45" t="str">
        <f t="shared" si="13"/>
        <v xml:space="preserve"> </v>
      </c>
      <c r="AF45">
        <f t="shared" si="0"/>
        <v>8</v>
      </c>
      <c r="AG45">
        <f t="shared" si="1"/>
        <v>0</v>
      </c>
      <c r="AH45">
        <f t="shared" si="2"/>
        <v>0</v>
      </c>
      <c r="AI45" t="e">
        <f t="shared" si="3"/>
        <v>#DIV/0!</v>
      </c>
      <c r="AJ45">
        <f t="shared" si="4"/>
        <v>0</v>
      </c>
      <c r="AK45" t="e">
        <f t="shared" si="5"/>
        <v>#DIV/0!</v>
      </c>
    </row>
    <row r="46" spans="2:37" x14ac:dyDescent="0.2">
      <c r="O46" t="str">
        <f t="shared" si="6"/>
        <v xml:space="preserve"> </v>
      </c>
      <c r="P46" t="str">
        <f t="shared" si="7"/>
        <v xml:space="preserve"> </v>
      </c>
      <c r="Q46" t="str">
        <f t="shared" si="8"/>
        <v xml:space="preserve"> </v>
      </c>
      <c r="R46" t="str">
        <f t="shared" si="9"/>
        <v xml:space="preserve"> </v>
      </c>
      <c r="S46" t="str">
        <f t="shared" si="10"/>
        <v xml:space="preserve"> </v>
      </c>
      <c r="T46" t="str">
        <f t="shared" si="11"/>
        <v xml:space="preserve"> </v>
      </c>
      <c r="U46" t="str">
        <f t="shared" si="12"/>
        <v xml:space="preserve"> </v>
      </c>
      <c r="V46" t="str">
        <f t="shared" si="13"/>
        <v xml:space="preserve"> </v>
      </c>
      <c r="AF46">
        <f t="shared" si="0"/>
        <v>8</v>
      </c>
      <c r="AG46">
        <f t="shared" si="1"/>
        <v>0</v>
      </c>
      <c r="AH46">
        <f t="shared" si="2"/>
        <v>0</v>
      </c>
      <c r="AI46" t="e">
        <f t="shared" si="3"/>
        <v>#DIV/0!</v>
      </c>
      <c r="AJ46">
        <f t="shared" si="4"/>
        <v>0</v>
      </c>
      <c r="AK46" t="e">
        <f t="shared" si="5"/>
        <v>#DIV/0!</v>
      </c>
    </row>
    <row r="47" spans="2:37" x14ac:dyDescent="0.2">
      <c r="B47" s="315"/>
      <c r="C47" s="315"/>
      <c r="D47" s="315"/>
      <c r="E47" s="315"/>
      <c r="F47" s="337"/>
      <c r="O47" t="str">
        <f t="shared" si="6"/>
        <v xml:space="preserve"> </v>
      </c>
      <c r="P47" t="str">
        <f t="shared" si="7"/>
        <v xml:space="preserve"> </v>
      </c>
      <c r="Q47" t="str">
        <f t="shared" si="8"/>
        <v xml:space="preserve"> </v>
      </c>
      <c r="R47" t="str">
        <f t="shared" si="9"/>
        <v xml:space="preserve"> </v>
      </c>
      <c r="S47" t="str">
        <f t="shared" si="10"/>
        <v xml:space="preserve"> </v>
      </c>
      <c r="T47" t="str">
        <f t="shared" si="11"/>
        <v xml:space="preserve"> </v>
      </c>
      <c r="U47" t="str">
        <f t="shared" si="12"/>
        <v xml:space="preserve"> </v>
      </c>
      <c r="V47" t="str">
        <f t="shared" si="13"/>
        <v xml:space="preserve"> </v>
      </c>
      <c r="AF47">
        <f t="shared" si="0"/>
        <v>8</v>
      </c>
      <c r="AG47">
        <f t="shared" si="1"/>
        <v>0</v>
      </c>
      <c r="AH47">
        <f t="shared" si="2"/>
        <v>0</v>
      </c>
      <c r="AI47" t="e">
        <f t="shared" si="3"/>
        <v>#DIV/0!</v>
      </c>
      <c r="AJ47">
        <f t="shared" si="4"/>
        <v>0</v>
      </c>
      <c r="AK47" t="e">
        <f t="shared" si="5"/>
        <v>#DIV/0!</v>
      </c>
    </row>
    <row r="48" spans="2:37" x14ac:dyDescent="0.2">
      <c r="B48" s="315"/>
      <c r="C48" s="315"/>
      <c r="D48" s="315"/>
      <c r="E48" s="315"/>
      <c r="F48" s="337"/>
      <c r="O48" t="str">
        <f t="shared" si="6"/>
        <v xml:space="preserve"> </v>
      </c>
      <c r="P48" t="str">
        <f t="shared" si="7"/>
        <v xml:space="preserve"> </v>
      </c>
      <c r="Q48" t="str">
        <f t="shared" si="8"/>
        <v xml:space="preserve"> </v>
      </c>
      <c r="R48" t="str">
        <f t="shared" si="9"/>
        <v xml:space="preserve"> </v>
      </c>
      <c r="S48" t="str">
        <f t="shared" si="10"/>
        <v xml:space="preserve"> </v>
      </c>
      <c r="T48" t="str">
        <f t="shared" si="11"/>
        <v xml:space="preserve"> </v>
      </c>
      <c r="U48" t="str">
        <f t="shared" si="12"/>
        <v xml:space="preserve"> </v>
      </c>
      <c r="V48" t="str">
        <f t="shared" si="13"/>
        <v xml:space="preserve"> </v>
      </c>
      <c r="AF48">
        <f t="shared" si="0"/>
        <v>8</v>
      </c>
      <c r="AG48">
        <f t="shared" si="1"/>
        <v>0</v>
      </c>
      <c r="AH48">
        <f t="shared" si="2"/>
        <v>0</v>
      </c>
      <c r="AI48" t="e">
        <f t="shared" si="3"/>
        <v>#DIV/0!</v>
      </c>
      <c r="AJ48">
        <f t="shared" si="4"/>
        <v>0</v>
      </c>
      <c r="AK48" t="e">
        <f t="shared" si="5"/>
        <v>#DIV/0!</v>
      </c>
    </row>
    <row r="49" spans="2:37" x14ac:dyDescent="0.2">
      <c r="B49" s="315"/>
      <c r="C49" s="315"/>
      <c r="D49" s="315"/>
      <c r="E49" s="315"/>
      <c r="F49" s="337"/>
      <c r="O49" t="str">
        <f t="shared" si="6"/>
        <v xml:space="preserve"> </v>
      </c>
      <c r="P49" t="str">
        <f t="shared" si="7"/>
        <v xml:space="preserve"> </v>
      </c>
      <c r="Q49" t="str">
        <f t="shared" si="8"/>
        <v xml:space="preserve"> </v>
      </c>
      <c r="R49" t="str">
        <f t="shared" si="9"/>
        <v xml:space="preserve"> </v>
      </c>
      <c r="S49" t="str">
        <f t="shared" si="10"/>
        <v xml:space="preserve"> </v>
      </c>
      <c r="T49" t="str">
        <f t="shared" si="11"/>
        <v xml:space="preserve"> </v>
      </c>
      <c r="U49" t="str">
        <f t="shared" si="12"/>
        <v xml:space="preserve"> </v>
      </c>
      <c r="V49" t="str">
        <f t="shared" si="13"/>
        <v xml:space="preserve"> </v>
      </c>
      <c r="AF49">
        <f t="shared" si="0"/>
        <v>8</v>
      </c>
      <c r="AG49">
        <f t="shared" si="1"/>
        <v>0</v>
      </c>
      <c r="AH49">
        <f t="shared" si="2"/>
        <v>0</v>
      </c>
      <c r="AI49" t="e">
        <f t="shared" si="3"/>
        <v>#DIV/0!</v>
      </c>
      <c r="AJ49">
        <f t="shared" si="4"/>
        <v>0</v>
      </c>
      <c r="AK49" t="e">
        <f t="shared" si="5"/>
        <v>#DIV/0!</v>
      </c>
    </row>
    <row r="50" spans="2:37" x14ac:dyDescent="0.2">
      <c r="B50" s="315"/>
      <c r="C50" s="315"/>
      <c r="D50" s="315"/>
      <c r="E50" s="315"/>
      <c r="F50" s="337"/>
      <c r="O50" t="str">
        <f t="shared" si="6"/>
        <v xml:space="preserve"> </v>
      </c>
      <c r="P50" t="str">
        <f t="shared" si="7"/>
        <v xml:space="preserve"> </v>
      </c>
      <c r="Q50" t="str">
        <f t="shared" si="8"/>
        <v xml:space="preserve"> </v>
      </c>
      <c r="R50" t="str">
        <f t="shared" si="9"/>
        <v xml:space="preserve"> </v>
      </c>
      <c r="S50" t="str">
        <f t="shared" si="10"/>
        <v xml:space="preserve"> </v>
      </c>
      <c r="T50" t="str">
        <f t="shared" si="11"/>
        <v xml:space="preserve"> </v>
      </c>
      <c r="U50" t="str">
        <f t="shared" si="12"/>
        <v xml:space="preserve"> </v>
      </c>
      <c r="V50" t="str">
        <f t="shared" si="13"/>
        <v xml:space="preserve"> </v>
      </c>
      <c r="AF50">
        <f t="shared" si="0"/>
        <v>8</v>
      </c>
      <c r="AG50">
        <f t="shared" si="1"/>
        <v>0</v>
      </c>
      <c r="AH50">
        <f t="shared" si="2"/>
        <v>0</v>
      </c>
      <c r="AI50" t="e">
        <f t="shared" si="3"/>
        <v>#DIV/0!</v>
      </c>
      <c r="AJ50">
        <f t="shared" si="4"/>
        <v>0</v>
      </c>
      <c r="AK50" t="e">
        <f t="shared" si="5"/>
        <v>#DIV/0!</v>
      </c>
    </row>
    <row r="51" spans="2:37" x14ac:dyDescent="0.2">
      <c r="B51" s="315"/>
      <c r="C51" s="315"/>
      <c r="D51" s="315"/>
      <c r="E51" s="315"/>
      <c r="F51" s="337"/>
      <c r="O51" t="str">
        <f t="shared" si="6"/>
        <v xml:space="preserve"> </v>
      </c>
      <c r="P51" t="str">
        <f t="shared" si="7"/>
        <v xml:space="preserve"> </v>
      </c>
      <c r="Q51" t="str">
        <f t="shared" si="8"/>
        <v xml:space="preserve"> </v>
      </c>
      <c r="R51" t="str">
        <f t="shared" si="9"/>
        <v xml:space="preserve"> </v>
      </c>
      <c r="S51" t="str">
        <f t="shared" si="10"/>
        <v xml:space="preserve"> </v>
      </c>
      <c r="T51" t="str">
        <f t="shared" si="11"/>
        <v xml:space="preserve"> </v>
      </c>
      <c r="U51" t="str">
        <f t="shared" si="12"/>
        <v xml:space="preserve"> </v>
      </c>
      <c r="V51" t="str">
        <f t="shared" si="13"/>
        <v xml:space="preserve"> </v>
      </c>
      <c r="AF51">
        <f t="shared" si="0"/>
        <v>8</v>
      </c>
      <c r="AG51">
        <f t="shared" si="1"/>
        <v>0</v>
      </c>
      <c r="AH51">
        <f t="shared" si="2"/>
        <v>0</v>
      </c>
      <c r="AI51" t="e">
        <f t="shared" si="3"/>
        <v>#DIV/0!</v>
      </c>
      <c r="AJ51">
        <f t="shared" si="4"/>
        <v>0</v>
      </c>
      <c r="AK51" t="e">
        <f t="shared" si="5"/>
        <v>#DIV/0!</v>
      </c>
    </row>
    <row r="52" spans="2:37" x14ac:dyDescent="0.2">
      <c r="B52" s="315"/>
      <c r="C52" s="315"/>
      <c r="D52" s="315"/>
      <c r="E52" s="315"/>
      <c r="F52" s="337"/>
      <c r="O52" t="str">
        <f t="shared" si="6"/>
        <v xml:space="preserve"> </v>
      </c>
      <c r="P52" t="str">
        <f t="shared" si="7"/>
        <v xml:space="preserve"> </v>
      </c>
      <c r="Q52" t="str">
        <f t="shared" si="8"/>
        <v xml:space="preserve"> </v>
      </c>
      <c r="R52" t="str">
        <f t="shared" si="9"/>
        <v xml:space="preserve"> </v>
      </c>
      <c r="S52" t="str">
        <f t="shared" si="10"/>
        <v xml:space="preserve"> </v>
      </c>
      <c r="T52" t="str">
        <f t="shared" si="11"/>
        <v xml:space="preserve"> </v>
      </c>
      <c r="U52" t="str">
        <f t="shared" si="12"/>
        <v xml:space="preserve"> </v>
      </c>
      <c r="V52" t="str">
        <f t="shared" si="13"/>
        <v xml:space="preserve"> </v>
      </c>
      <c r="AF52">
        <f t="shared" si="0"/>
        <v>8</v>
      </c>
      <c r="AG52">
        <f t="shared" si="1"/>
        <v>0</v>
      </c>
      <c r="AH52">
        <f t="shared" si="2"/>
        <v>0</v>
      </c>
      <c r="AI52" t="e">
        <f t="shared" si="3"/>
        <v>#DIV/0!</v>
      </c>
      <c r="AJ52">
        <f t="shared" si="4"/>
        <v>0</v>
      </c>
      <c r="AK52" t="e">
        <f t="shared" si="5"/>
        <v>#DIV/0!</v>
      </c>
    </row>
    <row r="53" spans="2:37" x14ac:dyDescent="0.2">
      <c r="B53" s="315"/>
      <c r="C53" s="315"/>
      <c r="D53" s="315"/>
      <c r="E53" s="315"/>
      <c r="F53" s="337"/>
      <c r="O53" t="str">
        <f t="shared" si="6"/>
        <v xml:space="preserve"> </v>
      </c>
      <c r="P53" t="str">
        <f t="shared" si="7"/>
        <v xml:space="preserve"> </v>
      </c>
      <c r="Q53" t="str">
        <f t="shared" si="8"/>
        <v xml:space="preserve"> </v>
      </c>
      <c r="R53" t="str">
        <f t="shared" si="9"/>
        <v xml:space="preserve"> </v>
      </c>
      <c r="S53" t="str">
        <f t="shared" si="10"/>
        <v xml:space="preserve"> </v>
      </c>
      <c r="T53" t="str">
        <f t="shared" si="11"/>
        <v xml:space="preserve"> </v>
      </c>
      <c r="U53" t="str">
        <f t="shared" si="12"/>
        <v xml:space="preserve"> </v>
      </c>
      <c r="V53" t="str">
        <f t="shared" si="13"/>
        <v xml:space="preserve"> </v>
      </c>
      <c r="AF53">
        <f t="shared" si="0"/>
        <v>8</v>
      </c>
      <c r="AG53">
        <f t="shared" si="1"/>
        <v>0</v>
      </c>
      <c r="AH53">
        <f t="shared" si="2"/>
        <v>0</v>
      </c>
      <c r="AI53" t="e">
        <f t="shared" si="3"/>
        <v>#DIV/0!</v>
      </c>
      <c r="AJ53">
        <f t="shared" si="4"/>
        <v>0</v>
      </c>
      <c r="AK53" t="e">
        <f t="shared" si="5"/>
        <v>#DIV/0!</v>
      </c>
    </row>
    <row r="54" spans="2:37" x14ac:dyDescent="0.2">
      <c r="B54" s="315"/>
      <c r="C54" s="315"/>
      <c r="D54" s="315"/>
      <c r="E54" s="315"/>
      <c r="F54"/>
      <c r="O54" t="str">
        <f t="shared" si="6"/>
        <v xml:space="preserve"> </v>
      </c>
      <c r="P54" t="str">
        <f t="shared" si="7"/>
        <v xml:space="preserve"> </v>
      </c>
      <c r="Q54" t="str">
        <f t="shared" si="8"/>
        <v xml:space="preserve"> </v>
      </c>
      <c r="R54" t="str">
        <f t="shared" si="9"/>
        <v xml:space="preserve"> </v>
      </c>
      <c r="S54" t="str">
        <f t="shared" si="10"/>
        <v xml:space="preserve"> </v>
      </c>
      <c r="T54" t="str">
        <f t="shared" si="11"/>
        <v xml:space="preserve"> </v>
      </c>
      <c r="U54" t="str">
        <f t="shared" si="12"/>
        <v xml:space="preserve"> </v>
      </c>
      <c r="V54" t="str">
        <f t="shared" si="13"/>
        <v xml:space="preserve"> </v>
      </c>
      <c r="AF54">
        <f t="shared" si="0"/>
        <v>8</v>
      </c>
      <c r="AG54">
        <f t="shared" si="1"/>
        <v>0</v>
      </c>
      <c r="AH54">
        <f t="shared" si="2"/>
        <v>0</v>
      </c>
      <c r="AI54" t="e">
        <f t="shared" si="3"/>
        <v>#DIV/0!</v>
      </c>
      <c r="AJ54">
        <f t="shared" si="4"/>
        <v>0</v>
      </c>
      <c r="AK54" t="e">
        <f t="shared" si="5"/>
        <v>#DIV/0!</v>
      </c>
    </row>
    <row r="55" spans="2:37" x14ac:dyDescent="0.2">
      <c r="B55" s="315"/>
      <c r="C55" s="315"/>
      <c r="D55" s="315"/>
      <c r="E55" s="315"/>
      <c r="F55" s="337"/>
      <c r="O55" t="str">
        <f t="shared" si="6"/>
        <v xml:space="preserve"> </v>
      </c>
      <c r="P55" t="str">
        <f t="shared" si="7"/>
        <v xml:space="preserve"> </v>
      </c>
      <c r="Q55" t="str">
        <f t="shared" si="8"/>
        <v xml:space="preserve"> </v>
      </c>
      <c r="R55" t="str">
        <f t="shared" si="9"/>
        <v xml:space="preserve"> </v>
      </c>
      <c r="S55" t="str">
        <f t="shared" si="10"/>
        <v xml:space="preserve"> </v>
      </c>
      <c r="T55" t="str">
        <f t="shared" si="11"/>
        <v xml:space="preserve"> </v>
      </c>
      <c r="U55" t="str">
        <f t="shared" si="12"/>
        <v xml:space="preserve"> </v>
      </c>
      <c r="V55" t="str">
        <f t="shared" si="13"/>
        <v xml:space="preserve"> </v>
      </c>
      <c r="AF55">
        <f t="shared" si="0"/>
        <v>8</v>
      </c>
      <c r="AG55">
        <f t="shared" si="1"/>
        <v>0</v>
      </c>
      <c r="AH55">
        <f t="shared" si="2"/>
        <v>0</v>
      </c>
      <c r="AI55" t="e">
        <f t="shared" si="3"/>
        <v>#DIV/0!</v>
      </c>
      <c r="AJ55">
        <f t="shared" si="4"/>
        <v>0</v>
      </c>
      <c r="AK55" t="e">
        <f t="shared" si="5"/>
        <v>#DIV/0!</v>
      </c>
    </row>
    <row r="56" spans="2:37" x14ac:dyDescent="0.2">
      <c r="B56" s="315"/>
      <c r="C56" s="315"/>
      <c r="D56" s="315"/>
      <c r="E56" s="315"/>
      <c r="F56" s="337"/>
      <c r="O56" t="str">
        <f t="shared" si="6"/>
        <v xml:space="preserve"> </v>
      </c>
      <c r="P56" t="str">
        <f t="shared" si="7"/>
        <v xml:space="preserve"> </v>
      </c>
      <c r="Q56" t="str">
        <f t="shared" si="8"/>
        <v xml:space="preserve"> </v>
      </c>
      <c r="R56" t="str">
        <f t="shared" si="9"/>
        <v xml:space="preserve"> </v>
      </c>
      <c r="S56" t="str">
        <f t="shared" si="10"/>
        <v xml:space="preserve"> </v>
      </c>
      <c r="T56" t="str">
        <f t="shared" si="11"/>
        <v xml:space="preserve"> </v>
      </c>
      <c r="U56" t="str">
        <f t="shared" si="12"/>
        <v xml:space="preserve"> </v>
      </c>
      <c r="V56" t="str">
        <f t="shared" si="13"/>
        <v xml:space="preserve"> </v>
      </c>
      <c r="AF56">
        <f t="shared" si="0"/>
        <v>8</v>
      </c>
      <c r="AG56">
        <f t="shared" si="1"/>
        <v>0</v>
      </c>
      <c r="AH56">
        <f t="shared" si="2"/>
        <v>0</v>
      </c>
      <c r="AI56" t="e">
        <f t="shared" si="3"/>
        <v>#DIV/0!</v>
      </c>
      <c r="AJ56">
        <f t="shared" si="4"/>
        <v>0</v>
      </c>
      <c r="AK56" t="e">
        <f t="shared" si="5"/>
        <v>#DIV/0!</v>
      </c>
    </row>
    <row r="57" spans="2:37" x14ac:dyDescent="0.2">
      <c r="B57" s="315"/>
      <c r="C57" s="315"/>
      <c r="D57" s="315"/>
      <c r="E57" s="315"/>
      <c r="F57" s="337"/>
      <c r="O57" t="str">
        <f t="shared" si="6"/>
        <v xml:space="preserve"> </v>
      </c>
      <c r="P57" t="str">
        <f t="shared" si="7"/>
        <v xml:space="preserve"> </v>
      </c>
      <c r="Q57" t="str">
        <f t="shared" si="8"/>
        <v xml:space="preserve"> </v>
      </c>
      <c r="R57" t="str">
        <f t="shared" si="9"/>
        <v xml:space="preserve"> </v>
      </c>
      <c r="S57" t="str">
        <f t="shared" si="10"/>
        <v xml:space="preserve"> </v>
      </c>
      <c r="T57" t="str">
        <f t="shared" si="11"/>
        <v xml:space="preserve"> </v>
      </c>
      <c r="U57" t="str">
        <f t="shared" si="12"/>
        <v xml:space="preserve"> </v>
      </c>
      <c r="V57" t="str">
        <f t="shared" si="13"/>
        <v xml:space="preserve"> </v>
      </c>
      <c r="AF57">
        <f t="shared" si="0"/>
        <v>8</v>
      </c>
      <c r="AG57">
        <f t="shared" si="1"/>
        <v>0</v>
      </c>
      <c r="AH57">
        <f t="shared" si="2"/>
        <v>0</v>
      </c>
      <c r="AI57" t="e">
        <f t="shared" si="3"/>
        <v>#DIV/0!</v>
      </c>
      <c r="AJ57">
        <f t="shared" si="4"/>
        <v>0</v>
      </c>
      <c r="AK57" t="e">
        <f t="shared" si="5"/>
        <v>#DIV/0!</v>
      </c>
    </row>
    <row r="58" spans="2:37" x14ac:dyDescent="0.2">
      <c r="B58" s="315"/>
      <c r="C58" s="315"/>
      <c r="D58" s="315"/>
      <c r="E58" s="315"/>
      <c r="F58" s="337"/>
      <c r="O58" t="str">
        <f t="shared" si="6"/>
        <v xml:space="preserve"> </v>
      </c>
      <c r="AF58">
        <f t="shared" si="0"/>
        <v>8</v>
      </c>
      <c r="AG58">
        <f t="shared" si="1"/>
        <v>0</v>
      </c>
      <c r="AH58">
        <f t="shared" si="2"/>
        <v>0</v>
      </c>
      <c r="AI58" t="e">
        <f t="shared" si="3"/>
        <v>#DIV/0!</v>
      </c>
      <c r="AJ58">
        <f t="shared" si="4"/>
        <v>0</v>
      </c>
      <c r="AK58" t="e">
        <f t="shared" si="5"/>
        <v>#DIV/0!</v>
      </c>
    </row>
    <row r="59" spans="2:37" x14ac:dyDescent="0.2">
      <c r="B59" s="315"/>
      <c r="C59" s="315"/>
      <c r="D59" s="315"/>
      <c r="E59" s="315"/>
      <c r="F59" s="337"/>
      <c r="O59" t="str">
        <f t="shared" si="6"/>
        <v xml:space="preserve"> </v>
      </c>
      <c r="AF59">
        <f t="shared" si="0"/>
        <v>8</v>
      </c>
      <c r="AG59">
        <f t="shared" si="1"/>
        <v>0</v>
      </c>
      <c r="AH59">
        <f t="shared" si="2"/>
        <v>0</v>
      </c>
      <c r="AI59" t="e">
        <f t="shared" si="3"/>
        <v>#DIV/0!</v>
      </c>
      <c r="AJ59">
        <f t="shared" si="4"/>
        <v>0</v>
      </c>
      <c r="AK59" t="e">
        <f t="shared" si="5"/>
        <v>#DIV/0!</v>
      </c>
    </row>
    <row r="60" spans="2:37" x14ac:dyDescent="0.2">
      <c r="B60" s="315"/>
      <c r="C60" s="315"/>
      <c r="D60" s="315"/>
      <c r="E60" s="315"/>
      <c r="F60"/>
      <c r="O60" t="str">
        <f t="shared" si="6"/>
        <v xml:space="preserve"> </v>
      </c>
      <c r="AF60">
        <f t="shared" si="0"/>
        <v>8</v>
      </c>
      <c r="AG60">
        <f t="shared" si="1"/>
        <v>0</v>
      </c>
      <c r="AH60">
        <f t="shared" si="2"/>
        <v>0</v>
      </c>
      <c r="AI60" t="e">
        <f t="shared" si="3"/>
        <v>#DIV/0!</v>
      </c>
      <c r="AJ60">
        <f t="shared" si="4"/>
        <v>0</v>
      </c>
      <c r="AK60" t="e">
        <f t="shared" si="5"/>
        <v>#DIV/0!</v>
      </c>
    </row>
    <row r="61" spans="2:37" x14ac:dyDescent="0.2">
      <c r="B61" s="315"/>
      <c r="C61" s="315"/>
      <c r="D61" s="315"/>
      <c r="E61" s="315"/>
      <c r="F61"/>
      <c r="O61" t="str">
        <f t="shared" si="6"/>
        <v xml:space="preserve"> </v>
      </c>
      <c r="AF61">
        <f t="shared" si="0"/>
        <v>8</v>
      </c>
      <c r="AG61">
        <f t="shared" si="1"/>
        <v>0</v>
      </c>
      <c r="AH61">
        <f t="shared" si="2"/>
        <v>0</v>
      </c>
      <c r="AI61" t="e">
        <f t="shared" si="3"/>
        <v>#DIV/0!</v>
      </c>
      <c r="AJ61">
        <f t="shared" si="4"/>
        <v>0</v>
      </c>
      <c r="AK61" t="e">
        <f t="shared" si="5"/>
        <v>#DIV/0!</v>
      </c>
    </row>
    <row r="62" spans="2:37" x14ac:dyDescent="0.2">
      <c r="B62" s="315"/>
      <c r="C62" s="315"/>
      <c r="D62" s="315"/>
      <c r="E62" s="315"/>
      <c r="F62"/>
      <c r="O62" t="str">
        <f t="shared" si="6"/>
        <v xml:space="preserve"> </v>
      </c>
      <c r="AF62">
        <f t="shared" si="0"/>
        <v>8</v>
      </c>
      <c r="AG62">
        <f t="shared" si="1"/>
        <v>0</v>
      </c>
      <c r="AH62">
        <f t="shared" si="2"/>
        <v>0</v>
      </c>
      <c r="AI62" t="e">
        <f t="shared" si="3"/>
        <v>#DIV/0!</v>
      </c>
      <c r="AJ62">
        <f t="shared" si="4"/>
        <v>0</v>
      </c>
      <c r="AK62" t="e">
        <f t="shared" si="5"/>
        <v>#DIV/0!</v>
      </c>
    </row>
    <row r="63" spans="2:37" x14ac:dyDescent="0.2">
      <c r="B63" s="315"/>
      <c r="C63" s="315"/>
      <c r="D63" s="315"/>
      <c r="E63" s="315"/>
      <c r="F63"/>
      <c r="O63" t="str">
        <f t="shared" si="6"/>
        <v xml:space="preserve"> </v>
      </c>
      <c r="AF63">
        <f t="shared" si="0"/>
        <v>8</v>
      </c>
      <c r="AG63">
        <f t="shared" si="1"/>
        <v>0</v>
      </c>
      <c r="AH63">
        <f t="shared" si="2"/>
        <v>0</v>
      </c>
      <c r="AI63" t="e">
        <f t="shared" si="3"/>
        <v>#DIV/0!</v>
      </c>
      <c r="AJ63">
        <f t="shared" si="4"/>
        <v>0</v>
      </c>
      <c r="AK63" t="e">
        <f t="shared" si="5"/>
        <v>#DIV/0!</v>
      </c>
    </row>
    <row r="64" spans="2:37" x14ac:dyDescent="0.2">
      <c r="B64" s="158"/>
      <c r="C64" s="158"/>
      <c r="D64" s="158"/>
      <c r="E64" s="158"/>
      <c r="O64" t="str">
        <f t="shared" si="6"/>
        <v xml:space="preserve"> </v>
      </c>
      <c r="AF64">
        <f t="shared" si="0"/>
        <v>8</v>
      </c>
      <c r="AG64">
        <f t="shared" si="1"/>
        <v>0</v>
      </c>
      <c r="AH64">
        <f t="shared" si="2"/>
        <v>0</v>
      </c>
      <c r="AI64" t="e">
        <f t="shared" si="3"/>
        <v>#DIV/0!</v>
      </c>
      <c r="AJ64">
        <f t="shared" si="4"/>
        <v>0</v>
      </c>
      <c r="AK64" t="e">
        <f t="shared" si="5"/>
        <v>#DIV/0!</v>
      </c>
    </row>
    <row r="65" spans="2:37" x14ac:dyDescent="0.2">
      <c r="B65" s="158"/>
      <c r="C65" s="158"/>
      <c r="D65" s="158"/>
      <c r="E65" s="158"/>
      <c r="O65" t="str">
        <f t="shared" si="6"/>
        <v xml:space="preserve"> </v>
      </c>
      <c r="AF65">
        <f t="shared" si="0"/>
        <v>8</v>
      </c>
      <c r="AG65">
        <f t="shared" si="1"/>
        <v>0</v>
      </c>
      <c r="AH65">
        <f t="shared" si="2"/>
        <v>0</v>
      </c>
      <c r="AI65" t="e">
        <f t="shared" si="3"/>
        <v>#DIV/0!</v>
      </c>
      <c r="AJ65">
        <f t="shared" si="4"/>
        <v>0</v>
      </c>
      <c r="AK65" t="e">
        <f t="shared" si="5"/>
        <v>#DIV/0!</v>
      </c>
    </row>
    <row r="66" spans="2:37" x14ac:dyDescent="0.2">
      <c r="O66" t="str">
        <f t="shared" si="6"/>
        <v xml:space="preserve"> </v>
      </c>
      <c r="AF66">
        <f t="shared" si="0"/>
        <v>8</v>
      </c>
      <c r="AG66">
        <f t="shared" si="1"/>
        <v>0</v>
      </c>
      <c r="AH66">
        <f t="shared" si="2"/>
        <v>0</v>
      </c>
      <c r="AI66" t="e">
        <f t="shared" si="3"/>
        <v>#DIV/0!</v>
      </c>
      <c r="AJ66">
        <f t="shared" si="4"/>
        <v>0</v>
      </c>
      <c r="AK66" t="e">
        <f t="shared" si="5"/>
        <v>#DIV/0!</v>
      </c>
    </row>
    <row r="67" spans="2:37" x14ac:dyDescent="0.2">
      <c r="O67" t="str">
        <f t="shared" si="6"/>
        <v xml:space="preserve"> </v>
      </c>
      <c r="AF67">
        <f t="shared" si="0"/>
        <v>8</v>
      </c>
      <c r="AG67">
        <f t="shared" si="1"/>
        <v>0</v>
      </c>
      <c r="AH67">
        <f t="shared" si="2"/>
        <v>0</v>
      </c>
      <c r="AI67" t="e">
        <f t="shared" si="3"/>
        <v>#DIV/0!</v>
      </c>
      <c r="AJ67">
        <f t="shared" si="4"/>
        <v>0</v>
      </c>
      <c r="AK67" t="e">
        <f t="shared" si="5"/>
        <v>#DIV/0!</v>
      </c>
    </row>
    <row r="68" spans="2:37" x14ac:dyDescent="0.2">
      <c r="O68" t="str">
        <f t="shared" si="6"/>
        <v xml:space="preserve"> </v>
      </c>
      <c r="AF68">
        <f t="shared" si="0"/>
        <v>8</v>
      </c>
      <c r="AG68">
        <f t="shared" si="1"/>
        <v>0</v>
      </c>
      <c r="AH68">
        <f t="shared" si="2"/>
        <v>0</v>
      </c>
      <c r="AI68" t="e">
        <f t="shared" si="3"/>
        <v>#DIV/0!</v>
      </c>
      <c r="AJ68">
        <f t="shared" si="4"/>
        <v>0</v>
      </c>
      <c r="AK68" t="e">
        <f t="shared" si="5"/>
        <v>#DIV/0!</v>
      </c>
    </row>
    <row r="69" spans="2:37" x14ac:dyDescent="0.2">
      <c r="O69" t="str">
        <f t="shared" si="6"/>
        <v xml:space="preserve"> </v>
      </c>
      <c r="AF69">
        <f t="shared" si="0"/>
        <v>8</v>
      </c>
      <c r="AG69">
        <f t="shared" si="1"/>
        <v>0</v>
      </c>
      <c r="AH69">
        <f t="shared" si="2"/>
        <v>0</v>
      </c>
      <c r="AI69" t="e">
        <f t="shared" si="3"/>
        <v>#DIV/0!</v>
      </c>
      <c r="AJ69">
        <f t="shared" si="4"/>
        <v>0</v>
      </c>
      <c r="AK69" t="e">
        <f t="shared" si="5"/>
        <v>#DIV/0!</v>
      </c>
    </row>
    <row r="70" spans="2:37" x14ac:dyDescent="0.2">
      <c r="O70" t="str">
        <f t="shared" si="6"/>
        <v xml:space="preserve"> </v>
      </c>
      <c r="AF70">
        <f t="shared" si="0"/>
        <v>8</v>
      </c>
      <c r="AG70">
        <f t="shared" si="1"/>
        <v>0</v>
      </c>
      <c r="AH70">
        <f t="shared" si="2"/>
        <v>0</v>
      </c>
      <c r="AI70" t="e">
        <f t="shared" si="3"/>
        <v>#DIV/0!</v>
      </c>
      <c r="AJ70">
        <f t="shared" si="4"/>
        <v>0</v>
      </c>
      <c r="AK70" t="e">
        <f t="shared" si="5"/>
        <v>#DIV/0!</v>
      </c>
    </row>
    <row r="71" spans="2:37" x14ac:dyDescent="0.2">
      <c r="O71" t="str">
        <f t="shared" si="6"/>
        <v xml:space="preserve"> </v>
      </c>
      <c r="AF71">
        <f t="shared" si="0"/>
        <v>8</v>
      </c>
      <c r="AG71">
        <f t="shared" si="1"/>
        <v>0</v>
      </c>
      <c r="AH71">
        <f t="shared" si="2"/>
        <v>0</v>
      </c>
      <c r="AI71" t="e">
        <f t="shared" si="3"/>
        <v>#DIV/0!</v>
      </c>
      <c r="AJ71">
        <f t="shared" si="4"/>
        <v>0</v>
      </c>
      <c r="AK71" t="e">
        <f t="shared" si="5"/>
        <v>#DIV/0!</v>
      </c>
    </row>
    <row r="72" spans="2:37" x14ac:dyDescent="0.2">
      <c r="O72" t="str">
        <f t="shared" si="6"/>
        <v xml:space="preserve"> </v>
      </c>
      <c r="AF72">
        <f t="shared" si="0"/>
        <v>8</v>
      </c>
      <c r="AG72">
        <f t="shared" si="1"/>
        <v>0</v>
      </c>
      <c r="AH72">
        <f t="shared" si="2"/>
        <v>0</v>
      </c>
      <c r="AI72" t="e">
        <f t="shared" si="3"/>
        <v>#DIV/0!</v>
      </c>
      <c r="AJ72">
        <f t="shared" si="4"/>
        <v>0</v>
      </c>
      <c r="AK72" t="e">
        <f t="shared" si="5"/>
        <v>#DIV/0!</v>
      </c>
    </row>
    <row r="73" spans="2:37" x14ac:dyDescent="0.2">
      <c r="O73" t="str">
        <f t="shared" si="6"/>
        <v xml:space="preserve"> </v>
      </c>
      <c r="AF73">
        <f t="shared" si="0"/>
        <v>8</v>
      </c>
      <c r="AG73">
        <f t="shared" si="1"/>
        <v>0</v>
      </c>
      <c r="AH73">
        <f t="shared" si="2"/>
        <v>0</v>
      </c>
      <c r="AI73" t="e">
        <f t="shared" si="3"/>
        <v>#DIV/0!</v>
      </c>
      <c r="AJ73">
        <f t="shared" si="4"/>
        <v>0</v>
      </c>
      <c r="AK73" t="e">
        <f t="shared" si="5"/>
        <v>#DIV/0!</v>
      </c>
    </row>
    <row r="74" spans="2:37" x14ac:dyDescent="0.2">
      <c r="O74" t="str">
        <f t="shared" si="6"/>
        <v xml:space="preserve"> </v>
      </c>
      <c r="AF74">
        <f t="shared" si="0"/>
        <v>8</v>
      </c>
      <c r="AG74">
        <f t="shared" si="1"/>
        <v>0</v>
      </c>
      <c r="AH74">
        <f t="shared" si="2"/>
        <v>0</v>
      </c>
      <c r="AI74" t="e">
        <f t="shared" si="3"/>
        <v>#DIV/0!</v>
      </c>
      <c r="AJ74">
        <f t="shared" si="4"/>
        <v>0</v>
      </c>
      <c r="AK74" t="e">
        <f t="shared" si="5"/>
        <v>#DIV/0!</v>
      </c>
    </row>
    <row r="75" spans="2:37" x14ac:dyDescent="0.2">
      <c r="AF75">
        <f t="shared" si="0"/>
        <v>8</v>
      </c>
      <c r="AG75">
        <f t="shared" si="1"/>
        <v>0</v>
      </c>
      <c r="AH75">
        <f t="shared" si="2"/>
        <v>0</v>
      </c>
      <c r="AI75" t="e">
        <f t="shared" si="3"/>
        <v>#DIV/0!</v>
      </c>
      <c r="AJ75">
        <f t="shared" si="4"/>
        <v>0</v>
      </c>
      <c r="AK75" t="e">
        <f t="shared" si="5"/>
        <v>#DIV/0!</v>
      </c>
    </row>
    <row r="76" spans="2:37" x14ac:dyDescent="0.2">
      <c r="AF76">
        <f t="shared" si="0"/>
        <v>8</v>
      </c>
      <c r="AG76">
        <f t="shared" si="1"/>
        <v>0</v>
      </c>
      <c r="AH76">
        <f t="shared" si="2"/>
        <v>0</v>
      </c>
      <c r="AI76" t="e">
        <f t="shared" si="3"/>
        <v>#DIV/0!</v>
      </c>
      <c r="AJ76">
        <f t="shared" si="4"/>
        <v>0</v>
      </c>
      <c r="AK76" t="e">
        <f t="shared" si="5"/>
        <v>#DIV/0!</v>
      </c>
    </row>
    <row r="77" spans="2:37" x14ac:dyDescent="0.2">
      <c r="AF77">
        <f t="shared" si="0"/>
        <v>8</v>
      </c>
      <c r="AG77">
        <f t="shared" si="1"/>
        <v>0</v>
      </c>
      <c r="AH77">
        <f t="shared" si="2"/>
        <v>0</v>
      </c>
      <c r="AI77" t="e">
        <f t="shared" si="3"/>
        <v>#DIV/0!</v>
      </c>
      <c r="AJ77">
        <f t="shared" si="4"/>
        <v>0</v>
      </c>
      <c r="AK77" t="e">
        <f t="shared" si="5"/>
        <v>#DIV/0!</v>
      </c>
    </row>
    <row r="78" spans="2:37" x14ac:dyDescent="0.2">
      <c r="AF78">
        <f t="shared" si="0"/>
        <v>8</v>
      </c>
      <c r="AG78">
        <f t="shared" si="1"/>
        <v>0</v>
      </c>
      <c r="AH78">
        <f t="shared" si="2"/>
        <v>0</v>
      </c>
      <c r="AI78" t="e">
        <f t="shared" si="3"/>
        <v>#DIV/0!</v>
      </c>
      <c r="AJ78">
        <f t="shared" si="4"/>
        <v>0</v>
      </c>
      <c r="AK78" t="e">
        <f t="shared" si="5"/>
        <v>#DIV/0!</v>
      </c>
    </row>
    <row r="79" spans="2:37" x14ac:dyDescent="0.2">
      <c r="AF79">
        <f t="shared" si="0"/>
        <v>8</v>
      </c>
      <c r="AG79">
        <f t="shared" si="1"/>
        <v>0</v>
      </c>
      <c r="AH79">
        <f t="shared" si="2"/>
        <v>0</v>
      </c>
      <c r="AI79" t="e">
        <f t="shared" si="3"/>
        <v>#DIV/0!</v>
      </c>
      <c r="AJ79">
        <f t="shared" si="4"/>
        <v>0</v>
      </c>
      <c r="AK79" t="e">
        <f t="shared" si="5"/>
        <v>#DIV/0!</v>
      </c>
    </row>
    <row r="80" spans="2:37" x14ac:dyDescent="0.2">
      <c r="AF80">
        <f t="shared" si="0"/>
        <v>8</v>
      </c>
      <c r="AG80">
        <f t="shared" si="1"/>
        <v>0</v>
      </c>
      <c r="AH80">
        <f t="shared" si="2"/>
        <v>0</v>
      </c>
      <c r="AI80" t="e">
        <f t="shared" si="3"/>
        <v>#DIV/0!</v>
      </c>
      <c r="AJ80">
        <f t="shared" si="4"/>
        <v>0</v>
      </c>
      <c r="AK80" t="e">
        <f t="shared" si="5"/>
        <v>#DIV/0!</v>
      </c>
    </row>
    <row r="81" spans="32:37" x14ac:dyDescent="0.2">
      <c r="AF81">
        <f t="shared" si="0"/>
        <v>8</v>
      </c>
      <c r="AG81">
        <f t="shared" si="1"/>
        <v>0</v>
      </c>
      <c r="AH81">
        <f t="shared" si="2"/>
        <v>0</v>
      </c>
      <c r="AI81" t="e">
        <f t="shared" si="3"/>
        <v>#DIV/0!</v>
      </c>
      <c r="AJ81">
        <f t="shared" si="4"/>
        <v>0</v>
      </c>
      <c r="AK81" t="e">
        <f t="shared" si="5"/>
        <v>#DIV/0!</v>
      </c>
    </row>
    <row r="82" spans="32:37" x14ac:dyDescent="0.2">
      <c r="AF82">
        <f t="shared" si="0"/>
        <v>8</v>
      </c>
      <c r="AG82">
        <f t="shared" si="1"/>
        <v>0</v>
      </c>
      <c r="AH82">
        <f t="shared" si="2"/>
        <v>0</v>
      </c>
      <c r="AI82" t="e">
        <f t="shared" si="3"/>
        <v>#DIV/0!</v>
      </c>
      <c r="AJ82">
        <f t="shared" si="4"/>
        <v>0</v>
      </c>
      <c r="AK82" t="e">
        <f t="shared" si="5"/>
        <v>#DIV/0!</v>
      </c>
    </row>
    <row r="83" spans="32:37" x14ac:dyDescent="0.2">
      <c r="AF83">
        <f t="shared" si="0"/>
        <v>8</v>
      </c>
      <c r="AG83">
        <f t="shared" si="1"/>
        <v>0</v>
      </c>
      <c r="AH83">
        <f t="shared" si="2"/>
        <v>0</v>
      </c>
      <c r="AI83" t="e">
        <f t="shared" si="3"/>
        <v>#DIV/0!</v>
      </c>
      <c r="AJ83">
        <f t="shared" si="4"/>
        <v>0</v>
      </c>
      <c r="AK83" t="e">
        <f t="shared" si="5"/>
        <v>#DIV/0!</v>
      </c>
    </row>
    <row r="84" spans="32:37" x14ac:dyDescent="0.2">
      <c r="AF84">
        <f t="shared" si="0"/>
        <v>8</v>
      </c>
      <c r="AG84">
        <f t="shared" si="1"/>
        <v>0</v>
      </c>
      <c r="AH84">
        <f t="shared" si="2"/>
        <v>0</v>
      </c>
      <c r="AI84" t="e">
        <f t="shared" si="3"/>
        <v>#DIV/0!</v>
      </c>
      <c r="AJ84">
        <f t="shared" si="4"/>
        <v>0</v>
      </c>
      <c r="AK84" t="e">
        <f t="shared" si="5"/>
        <v>#DIV/0!</v>
      </c>
    </row>
    <row r="85" spans="32:37" x14ac:dyDescent="0.2">
      <c r="AF85">
        <f t="shared" si="0"/>
        <v>8</v>
      </c>
      <c r="AG85">
        <f t="shared" si="1"/>
        <v>0</v>
      </c>
      <c r="AH85">
        <f t="shared" si="2"/>
        <v>0</v>
      </c>
      <c r="AI85" t="e">
        <f t="shared" si="3"/>
        <v>#DIV/0!</v>
      </c>
      <c r="AJ85">
        <f t="shared" si="4"/>
        <v>0</v>
      </c>
      <c r="AK85" t="e">
        <f t="shared" si="5"/>
        <v>#DIV/0!</v>
      </c>
    </row>
    <row r="86" spans="32:37" x14ac:dyDescent="0.2">
      <c r="AF86">
        <f t="shared" si="0"/>
        <v>8</v>
      </c>
      <c r="AG86">
        <f t="shared" si="1"/>
        <v>0</v>
      </c>
      <c r="AH86">
        <f t="shared" si="2"/>
        <v>0</v>
      </c>
      <c r="AI86" t="e">
        <f t="shared" si="3"/>
        <v>#DIV/0!</v>
      </c>
      <c r="AJ86">
        <f t="shared" si="4"/>
        <v>0</v>
      </c>
      <c r="AK86" t="e">
        <f t="shared" si="5"/>
        <v>#DIV/0!</v>
      </c>
    </row>
    <row r="87" spans="32:37" x14ac:dyDescent="0.2">
      <c r="AF87">
        <f t="shared" ref="AF87:AF131" si="14">8-COUNTIF($O87:$W87, 0)</f>
        <v>8</v>
      </c>
      <c r="AG87">
        <f t="shared" ref="AG87:AG131" si="15">MIN($N87:$V87)</f>
        <v>0</v>
      </c>
      <c r="AH87">
        <f t="shared" ref="AH87:AH131" si="16">MAX($N87:$V87)</f>
        <v>0</v>
      </c>
      <c r="AI87" t="e">
        <f t="shared" ref="AI87:AI131" si="17">AVERAGE($N87:$V87)</f>
        <v>#DIV/0!</v>
      </c>
      <c r="AJ87">
        <f t="shared" ref="AJ87:AJ131" si="18">IF(ISERROR((STDEV($N87:$V87))), 0, STDEV($N87:$V87))</f>
        <v>0</v>
      </c>
      <c r="AK87" t="e">
        <f t="shared" ref="AK87:AK131" si="19">AG87+TINV(0.1,AF87-1)*(AI87/SQRT(AF87))</f>
        <v>#DIV/0!</v>
      </c>
    </row>
    <row r="88" spans="32:37" x14ac:dyDescent="0.2">
      <c r="AF88">
        <f t="shared" si="14"/>
        <v>8</v>
      </c>
      <c r="AG88">
        <f t="shared" si="15"/>
        <v>0</v>
      </c>
      <c r="AH88">
        <f t="shared" si="16"/>
        <v>0</v>
      </c>
      <c r="AI88" t="e">
        <f t="shared" si="17"/>
        <v>#DIV/0!</v>
      </c>
      <c r="AJ88">
        <f t="shared" si="18"/>
        <v>0</v>
      </c>
      <c r="AK88" t="e">
        <f t="shared" si="19"/>
        <v>#DIV/0!</v>
      </c>
    </row>
    <row r="89" spans="32:37" x14ac:dyDescent="0.2">
      <c r="AF89">
        <f t="shared" si="14"/>
        <v>8</v>
      </c>
      <c r="AG89">
        <f t="shared" si="15"/>
        <v>0</v>
      </c>
      <c r="AH89">
        <f t="shared" si="16"/>
        <v>0</v>
      </c>
      <c r="AI89" t="e">
        <f t="shared" si="17"/>
        <v>#DIV/0!</v>
      </c>
      <c r="AJ89">
        <f t="shared" si="18"/>
        <v>0</v>
      </c>
      <c r="AK89" t="e">
        <f t="shared" si="19"/>
        <v>#DIV/0!</v>
      </c>
    </row>
    <row r="90" spans="32:37" x14ac:dyDescent="0.2">
      <c r="AF90">
        <f t="shared" si="14"/>
        <v>8</v>
      </c>
      <c r="AG90">
        <f t="shared" si="15"/>
        <v>0</v>
      </c>
      <c r="AH90">
        <f t="shared" si="16"/>
        <v>0</v>
      </c>
      <c r="AI90" t="e">
        <f t="shared" si="17"/>
        <v>#DIV/0!</v>
      </c>
      <c r="AJ90">
        <f t="shared" si="18"/>
        <v>0</v>
      </c>
      <c r="AK90" t="e">
        <f t="shared" si="19"/>
        <v>#DIV/0!</v>
      </c>
    </row>
    <row r="91" spans="32:37" x14ac:dyDescent="0.2">
      <c r="AF91">
        <f t="shared" si="14"/>
        <v>8</v>
      </c>
      <c r="AG91">
        <f t="shared" si="15"/>
        <v>0</v>
      </c>
      <c r="AH91">
        <f t="shared" si="16"/>
        <v>0</v>
      </c>
      <c r="AI91" t="e">
        <f t="shared" si="17"/>
        <v>#DIV/0!</v>
      </c>
      <c r="AJ91">
        <f t="shared" si="18"/>
        <v>0</v>
      </c>
      <c r="AK91" t="e">
        <f t="shared" si="19"/>
        <v>#DIV/0!</v>
      </c>
    </row>
    <row r="92" spans="32:37" x14ac:dyDescent="0.2">
      <c r="AF92">
        <f t="shared" si="14"/>
        <v>8</v>
      </c>
      <c r="AG92">
        <f t="shared" si="15"/>
        <v>0</v>
      </c>
      <c r="AH92">
        <f t="shared" si="16"/>
        <v>0</v>
      </c>
      <c r="AI92" t="e">
        <f t="shared" si="17"/>
        <v>#DIV/0!</v>
      </c>
      <c r="AJ92">
        <f t="shared" si="18"/>
        <v>0</v>
      </c>
      <c r="AK92" t="e">
        <f t="shared" si="19"/>
        <v>#DIV/0!</v>
      </c>
    </row>
    <row r="93" spans="32:37" x14ac:dyDescent="0.2">
      <c r="AF93">
        <f t="shared" si="14"/>
        <v>8</v>
      </c>
      <c r="AG93">
        <f t="shared" si="15"/>
        <v>0</v>
      </c>
      <c r="AH93">
        <f t="shared" si="16"/>
        <v>0</v>
      </c>
      <c r="AI93" t="e">
        <f t="shared" si="17"/>
        <v>#DIV/0!</v>
      </c>
      <c r="AJ93">
        <f t="shared" si="18"/>
        <v>0</v>
      </c>
      <c r="AK93" t="e">
        <f t="shared" si="19"/>
        <v>#DIV/0!</v>
      </c>
    </row>
    <row r="94" spans="32:37" x14ac:dyDescent="0.2">
      <c r="AF94">
        <f t="shared" si="14"/>
        <v>8</v>
      </c>
      <c r="AG94">
        <f t="shared" si="15"/>
        <v>0</v>
      </c>
      <c r="AH94">
        <f t="shared" si="16"/>
        <v>0</v>
      </c>
      <c r="AI94" t="e">
        <f t="shared" si="17"/>
        <v>#DIV/0!</v>
      </c>
      <c r="AJ94">
        <f t="shared" si="18"/>
        <v>0</v>
      </c>
      <c r="AK94" t="e">
        <f t="shared" si="19"/>
        <v>#DIV/0!</v>
      </c>
    </row>
    <row r="95" spans="32:37" x14ac:dyDescent="0.2">
      <c r="AF95">
        <f t="shared" si="14"/>
        <v>8</v>
      </c>
      <c r="AG95">
        <f t="shared" si="15"/>
        <v>0</v>
      </c>
      <c r="AH95">
        <f t="shared" si="16"/>
        <v>0</v>
      </c>
      <c r="AI95" t="e">
        <f t="shared" si="17"/>
        <v>#DIV/0!</v>
      </c>
      <c r="AJ95">
        <f t="shared" si="18"/>
        <v>0</v>
      </c>
      <c r="AK95" t="e">
        <f t="shared" si="19"/>
        <v>#DIV/0!</v>
      </c>
    </row>
    <row r="96" spans="32:37" x14ac:dyDescent="0.2">
      <c r="AF96">
        <f t="shared" si="14"/>
        <v>8</v>
      </c>
      <c r="AG96">
        <f t="shared" si="15"/>
        <v>0</v>
      </c>
      <c r="AH96">
        <f t="shared" si="16"/>
        <v>0</v>
      </c>
      <c r="AI96" t="e">
        <f t="shared" si="17"/>
        <v>#DIV/0!</v>
      </c>
      <c r="AJ96">
        <f t="shared" si="18"/>
        <v>0</v>
      </c>
      <c r="AK96" t="e">
        <f t="shared" si="19"/>
        <v>#DIV/0!</v>
      </c>
    </row>
    <row r="97" spans="32:37" x14ac:dyDescent="0.2">
      <c r="AF97">
        <f t="shared" si="14"/>
        <v>8</v>
      </c>
      <c r="AG97">
        <f t="shared" si="15"/>
        <v>0</v>
      </c>
      <c r="AH97">
        <f t="shared" si="16"/>
        <v>0</v>
      </c>
      <c r="AI97" t="e">
        <f t="shared" si="17"/>
        <v>#DIV/0!</v>
      </c>
      <c r="AJ97">
        <f t="shared" si="18"/>
        <v>0</v>
      </c>
      <c r="AK97" t="e">
        <f t="shared" si="19"/>
        <v>#DIV/0!</v>
      </c>
    </row>
    <row r="98" spans="32:37" x14ac:dyDescent="0.2">
      <c r="AF98">
        <f t="shared" si="14"/>
        <v>8</v>
      </c>
      <c r="AG98">
        <f t="shared" si="15"/>
        <v>0</v>
      </c>
      <c r="AH98">
        <f t="shared" si="16"/>
        <v>0</v>
      </c>
      <c r="AI98" t="e">
        <f t="shared" si="17"/>
        <v>#DIV/0!</v>
      </c>
      <c r="AJ98">
        <f t="shared" si="18"/>
        <v>0</v>
      </c>
      <c r="AK98" t="e">
        <f t="shared" si="19"/>
        <v>#DIV/0!</v>
      </c>
    </row>
    <row r="99" spans="32:37" x14ac:dyDescent="0.2">
      <c r="AF99">
        <f t="shared" si="14"/>
        <v>8</v>
      </c>
      <c r="AG99">
        <f t="shared" si="15"/>
        <v>0</v>
      </c>
      <c r="AH99">
        <f t="shared" si="16"/>
        <v>0</v>
      </c>
      <c r="AI99" t="e">
        <f t="shared" si="17"/>
        <v>#DIV/0!</v>
      </c>
      <c r="AJ99">
        <f t="shared" si="18"/>
        <v>0</v>
      </c>
      <c r="AK99" t="e">
        <f t="shared" si="19"/>
        <v>#DIV/0!</v>
      </c>
    </row>
    <row r="100" spans="32:37" x14ac:dyDescent="0.2">
      <c r="AF100">
        <f t="shared" si="14"/>
        <v>8</v>
      </c>
      <c r="AG100">
        <f t="shared" si="15"/>
        <v>0</v>
      </c>
      <c r="AH100">
        <f t="shared" si="16"/>
        <v>0</v>
      </c>
      <c r="AI100" t="e">
        <f t="shared" si="17"/>
        <v>#DIV/0!</v>
      </c>
      <c r="AJ100">
        <f t="shared" si="18"/>
        <v>0</v>
      </c>
      <c r="AK100" t="e">
        <f t="shared" si="19"/>
        <v>#DIV/0!</v>
      </c>
    </row>
    <row r="101" spans="32:37" x14ac:dyDescent="0.2">
      <c r="AF101">
        <f t="shared" si="14"/>
        <v>8</v>
      </c>
      <c r="AG101">
        <f t="shared" si="15"/>
        <v>0</v>
      </c>
      <c r="AH101">
        <f t="shared" si="16"/>
        <v>0</v>
      </c>
      <c r="AI101" t="e">
        <f t="shared" si="17"/>
        <v>#DIV/0!</v>
      </c>
      <c r="AJ101">
        <f t="shared" si="18"/>
        <v>0</v>
      </c>
      <c r="AK101" t="e">
        <f t="shared" si="19"/>
        <v>#DIV/0!</v>
      </c>
    </row>
    <row r="102" spans="32:37" x14ac:dyDescent="0.2">
      <c r="AF102">
        <f t="shared" si="14"/>
        <v>8</v>
      </c>
      <c r="AG102">
        <f t="shared" si="15"/>
        <v>0</v>
      </c>
      <c r="AH102">
        <f t="shared" si="16"/>
        <v>0</v>
      </c>
      <c r="AI102" t="e">
        <f t="shared" si="17"/>
        <v>#DIV/0!</v>
      </c>
      <c r="AJ102">
        <f t="shared" si="18"/>
        <v>0</v>
      </c>
      <c r="AK102" t="e">
        <f t="shared" si="19"/>
        <v>#DIV/0!</v>
      </c>
    </row>
    <row r="103" spans="32:37" x14ac:dyDescent="0.2">
      <c r="AF103">
        <f t="shared" si="14"/>
        <v>8</v>
      </c>
      <c r="AG103">
        <f t="shared" si="15"/>
        <v>0</v>
      </c>
      <c r="AH103">
        <f t="shared" si="16"/>
        <v>0</v>
      </c>
      <c r="AI103" t="e">
        <f t="shared" si="17"/>
        <v>#DIV/0!</v>
      </c>
      <c r="AJ103">
        <f t="shared" si="18"/>
        <v>0</v>
      </c>
      <c r="AK103" t="e">
        <f t="shared" si="19"/>
        <v>#DIV/0!</v>
      </c>
    </row>
    <row r="104" spans="32:37" x14ac:dyDescent="0.2">
      <c r="AF104">
        <f t="shared" si="14"/>
        <v>8</v>
      </c>
      <c r="AG104">
        <f t="shared" si="15"/>
        <v>0</v>
      </c>
      <c r="AH104">
        <f t="shared" si="16"/>
        <v>0</v>
      </c>
      <c r="AI104" t="e">
        <f t="shared" si="17"/>
        <v>#DIV/0!</v>
      </c>
      <c r="AJ104">
        <f t="shared" si="18"/>
        <v>0</v>
      </c>
      <c r="AK104" t="e">
        <f t="shared" si="19"/>
        <v>#DIV/0!</v>
      </c>
    </row>
    <row r="105" spans="32:37" x14ac:dyDescent="0.2">
      <c r="AF105">
        <f t="shared" si="14"/>
        <v>8</v>
      </c>
      <c r="AG105">
        <f t="shared" si="15"/>
        <v>0</v>
      </c>
      <c r="AH105">
        <f t="shared" si="16"/>
        <v>0</v>
      </c>
      <c r="AI105" t="e">
        <f t="shared" si="17"/>
        <v>#DIV/0!</v>
      </c>
      <c r="AJ105">
        <f t="shared" si="18"/>
        <v>0</v>
      </c>
      <c r="AK105" t="e">
        <f t="shared" si="19"/>
        <v>#DIV/0!</v>
      </c>
    </row>
    <row r="106" spans="32:37" x14ac:dyDescent="0.2">
      <c r="AF106">
        <f t="shared" si="14"/>
        <v>8</v>
      </c>
      <c r="AG106">
        <f t="shared" si="15"/>
        <v>0</v>
      </c>
      <c r="AH106">
        <f t="shared" si="16"/>
        <v>0</v>
      </c>
      <c r="AI106" t="e">
        <f t="shared" si="17"/>
        <v>#DIV/0!</v>
      </c>
      <c r="AJ106">
        <f t="shared" si="18"/>
        <v>0</v>
      </c>
      <c r="AK106" t="e">
        <f t="shared" si="19"/>
        <v>#DIV/0!</v>
      </c>
    </row>
    <row r="107" spans="32:37" x14ac:dyDescent="0.2">
      <c r="AF107">
        <f t="shared" si="14"/>
        <v>8</v>
      </c>
      <c r="AG107">
        <f t="shared" si="15"/>
        <v>0</v>
      </c>
      <c r="AH107">
        <f t="shared" si="16"/>
        <v>0</v>
      </c>
      <c r="AI107" t="e">
        <f t="shared" si="17"/>
        <v>#DIV/0!</v>
      </c>
      <c r="AJ107">
        <f t="shared" si="18"/>
        <v>0</v>
      </c>
      <c r="AK107" t="e">
        <f t="shared" si="19"/>
        <v>#DIV/0!</v>
      </c>
    </row>
    <row r="108" spans="32:37" x14ac:dyDescent="0.2">
      <c r="AF108">
        <f t="shared" si="14"/>
        <v>8</v>
      </c>
      <c r="AG108">
        <f t="shared" si="15"/>
        <v>0</v>
      </c>
      <c r="AH108">
        <f t="shared" si="16"/>
        <v>0</v>
      </c>
      <c r="AI108" t="e">
        <f t="shared" si="17"/>
        <v>#DIV/0!</v>
      </c>
      <c r="AJ108">
        <f t="shared" si="18"/>
        <v>0</v>
      </c>
      <c r="AK108" t="e">
        <f t="shared" si="19"/>
        <v>#DIV/0!</v>
      </c>
    </row>
    <row r="109" spans="32:37" x14ac:dyDescent="0.2">
      <c r="AF109">
        <f t="shared" si="14"/>
        <v>8</v>
      </c>
      <c r="AG109">
        <f t="shared" si="15"/>
        <v>0</v>
      </c>
      <c r="AH109">
        <f t="shared" si="16"/>
        <v>0</v>
      </c>
      <c r="AI109" t="e">
        <f t="shared" si="17"/>
        <v>#DIV/0!</v>
      </c>
      <c r="AJ109">
        <f t="shared" si="18"/>
        <v>0</v>
      </c>
      <c r="AK109" t="e">
        <f t="shared" si="19"/>
        <v>#DIV/0!</v>
      </c>
    </row>
    <row r="110" spans="32:37" x14ac:dyDescent="0.2">
      <c r="AF110">
        <f t="shared" si="14"/>
        <v>8</v>
      </c>
      <c r="AG110">
        <f t="shared" si="15"/>
        <v>0</v>
      </c>
      <c r="AH110">
        <f t="shared" si="16"/>
        <v>0</v>
      </c>
      <c r="AI110" t="e">
        <f t="shared" si="17"/>
        <v>#DIV/0!</v>
      </c>
      <c r="AJ110">
        <f t="shared" si="18"/>
        <v>0</v>
      </c>
      <c r="AK110" t="e">
        <f t="shared" si="19"/>
        <v>#DIV/0!</v>
      </c>
    </row>
    <row r="111" spans="32:37" x14ac:dyDescent="0.2">
      <c r="AF111">
        <f t="shared" si="14"/>
        <v>8</v>
      </c>
      <c r="AG111">
        <f t="shared" si="15"/>
        <v>0</v>
      </c>
      <c r="AH111">
        <f t="shared" si="16"/>
        <v>0</v>
      </c>
      <c r="AI111" t="e">
        <f t="shared" si="17"/>
        <v>#DIV/0!</v>
      </c>
      <c r="AJ111">
        <f t="shared" si="18"/>
        <v>0</v>
      </c>
      <c r="AK111" t="e">
        <f t="shared" si="19"/>
        <v>#DIV/0!</v>
      </c>
    </row>
    <row r="112" spans="32:37" x14ac:dyDescent="0.2">
      <c r="AF112">
        <f t="shared" si="14"/>
        <v>8</v>
      </c>
      <c r="AG112">
        <f t="shared" si="15"/>
        <v>0</v>
      </c>
      <c r="AH112">
        <f t="shared" si="16"/>
        <v>0</v>
      </c>
      <c r="AI112" t="e">
        <f t="shared" si="17"/>
        <v>#DIV/0!</v>
      </c>
      <c r="AJ112">
        <f t="shared" si="18"/>
        <v>0</v>
      </c>
      <c r="AK112" t="e">
        <f t="shared" si="19"/>
        <v>#DIV/0!</v>
      </c>
    </row>
    <row r="113" spans="32:37" x14ac:dyDescent="0.2">
      <c r="AF113">
        <f t="shared" si="14"/>
        <v>8</v>
      </c>
      <c r="AG113">
        <f t="shared" si="15"/>
        <v>0</v>
      </c>
      <c r="AH113">
        <f t="shared" si="16"/>
        <v>0</v>
      </c>
      <c r="AI113" t="e">
        <f t="shared" si="17"/>
        <v>#DIV/0!</v>
      </c>
      <c r="AJ113">
        <f t="shared" si="18"/>
        <v>0</v>
      </c>
      <c r="AK113" t="e">
        <f t="shared" si="19"/>
        <v>#DIV/0!</v>
      </c>
    </row>
    <row r="114" spans="32:37" x14ac:dyDescent="0.2">
      <c r="AF114">
        <f t="shared" si="14"/>
        <v>8</v>
      </c>
      <c r="AG114">
        <f t="shared" si="15"/>
        <v>0</v>
      </c>
      <c r="AH114">
        <f t="shared" si="16"/>
        <v>0</v>
      </c>
      <c r="AI114" t="e">
        <f t="shared" si="17"/>
        <v>#DIV/0!</v>
      </c>
      <c r="AJ114">
        <f t="shared" si="18"/>
        <v>0</v>
      </c>
      <c r="AK114" t="e">
        <f t="shared" si="19"/>
        <v>#DIV/0!</v>
      </c>
    </row>
    <row r="115" spans="32:37" x14ac:dyDescent="0.2">
      <c r="AF115">
        <f t="shared" si="14"/>
        <v>8</v>
      </c>
      <c r="AG115">
        <f t="shared" si="15"/>
        <v>0</v>
      </c>
      <c r="AH115">
        <f t="shared" si="16"/>
        <v>0</v>
      </c>
      <c r="AI115" t="e">
        <f t="shared" si="17"/>
        <v>#DIV/0!</v>
      </c>
      <c r="AJ115">
        <f t="shared" si="18"/>
        <v>0</v>
      </c>
      <c r="AK115" t="e">
        <f t="shared" si="19"/>
        <v>#DIV/0!</v>
      </c>
    </row>
    <row r="116" spans="32:37" x14ac:dyDescent="0.2">
      <c r="AF116">
        <f t="shared" si="14"/>
        <v>8</v>
      </c>
      <c r="AG116">
        <f t="shared" si="15"/>
        <v>0</v>
      </c>
      <c r="AH116">
        <f t="shared" si="16"/>
        <v>0</v>
      </c>
      <c r="AI116" t="e">
        <f t="shared" si="17"/>
        <v>#DIV/0!</v>
      </c>
      <c r="AJ116">
        <f t="shared" si="18"/>
        <v>0</v>
      </c>
      <c r="AK116" t="e">
        <f t="shared" si="19"/>
        <v>#DIV/0!</v>
      </c>
    </row>
    <row r="117" spans="32:37" x14ac:dyDescent="0.2">
      <c r="AF117">
        <f t="shared" si="14"/>
        <v>8</v>
      </c>
      <c r="AG117">
        <f t="shared" si="15"/>
        <v>0</v>
      </c>
      <c r="AH117">
        <f t="shared" si="16"/>
        <v>0</v>
      </c>
      <c r="AI117" t="e">
        <f t="shared" si="17"/>
        <v>#DIV/0!</v>
      </c>
      <c r="AJ117">
        <f t="shared" si="18"/>
        <v>0</v>
      </c>
      <c r="AK117" t="e">
        <f t="shared" si="19"/>
        <v>#DIV/0!</v>
      </c>
    </row>
    <row r="118" spans="32:37" x14ac:dyDescent="0.2">
      <c r="AF118">
        <f t="shared" si="14"/>
        <v>8</v>
      </c>
      <c r="AG118">
        <f t="shared" si="15"/>
        <v>0</v>
      </c>
      <c r="AH118">
        <f t="shared" si="16"/>
        <v>0</v>
      </c>
      <c r="AI118" t="e">
        <f t="shared" si="17"/>
        <v>#DIV/0!</v>
      </c>
      <c r="AJ118">
        <f t="shared" si="18"/>
        <v>0</v>
      </c>
      <c r="AK118" t="e">
        <f t="shared" si="19"/>
        <v>#DIV/0!</v>
      </c>
    </row>
    <row r="119" spans="32:37" x14ac:dyDescent="0.2">
      <c r="AF119">
        <f t="shared" si="14"/>
        <v>8</v>
      </c>
      <c r="AG119">
        <f t="shared" si="15"/>
        <v>0</v>
      </c>
      <c r="AH119">
        <f t="shared" si="16"/>
        <v>0</v>
      </c>
      <c r="AI119" t="e">
        <f t="shared" si="17"/>
        <v>#DIV/0!</v>
      </c>
      <c r="AJ119">
        <f t="shared" si="18"/>
        <v>0</v>
      </c>
      <c r="AK119" t="e">
        <f t="shared" si="19"/>
        <v>#DIV/0!</v>
      </c>
    </row>
    <row r="120" spans="32:37" x14ac:dyDescent="0.2">
      <c r="AF120">
        <f t="shared" si="14"/>
        <v>8</v>
      </c>
      <c r="AG120">
        <f t="shared" si="15"/>
        <v>0</v>
      </c>
      <c r="AH120">
        <f t="shared" si="16"/>
        <v>0</v>
      </c>
      <c r="AI120" t="e">
        <f t="shared" si="17"/>
        <v>#DIV/0!</v>
      </c>
      <c r="AJ120">
        <f t="shared" si="18"/>
        <v>0</v>
      </c>
      <c r="AK120" t="e">
        <f t="shared" si="19"/>
        <v>#DIV/0!</v>
      </c>
    </row>
    <row r="121" spans="32:37" x14ac:dyDescent="0.2">
      <c r="AF121">
        <f t="shared" si="14"/>
        <v>8</v>
      </c>
      <c r="AG121">
        <f t="shared" si="15"/>
        <v>0</v>
      </c>
      <c r="AH121">
        <f t="shared" si="16"/>
        <v>0</v>
      </c>
      <c r="AI121" t="e">
        <f t="shared" si="17"/>
        <v>#DIV/0!</v>
      </c>
      <c r="AJ121">
        <f t="shared" si="18"/>
        <v>0</v>
      </c>
      <c r="AK121" t="e">
        <f t="shared" si="19"/>
        <v>#DIV/0!</v>
      </c>
    </row>
    <row r="122" spans="32:37" x14ac:dyDescent="0.2">
      <c r="AF122">
        <f t="shared" si="14"/>
        <v>8</v>
      </c>
      <c r="AG122">
        <f t="shared" si="15"/>
        <v>0</v>
      </c>
      <c r="AH122">
        <f t="shared" si="16"/>
        <v>0</v>
      </c>
      <c r="AI122" t="e">
        <f t="shared" si="17"/>
        <v>#DIV/0!</v>
      </c>
      <c r="AJ122">
        <f t="shared" si="18"/>
        <v>0</v>
      </c>
      <c r="AK122" t="e">
        <f t="shared" si="19"/>
        <v>#DIV/0!</v>
      </c>
    </row>
    <row r="123" spans="32:37" x14ac:dyDescent="0.2">
      <c r="AF123">
        <f t="shared" si="14"/>
        <v>8</v>
      </c>
      <c r="AG123">
        <f t="shared" si="15"/>
        <v>0</v>
      </c>
      <c r="AH123">
        <f t="shared" si="16"/>
        <v>0</v>
      </c>
      <c r="AI123" t="e">
        <f t="shared" si="17"/>
        <v>#DIV/0!</v>
      </c>
      <c r="AJ123">
        <f t="shared" si="18"/>
        <v>0</v>
      </c>
      <c r="AK123" t="e">
        <f t="shared" si="19"/>
        <v>#DIV/0!</v>
      </c>
    </row>
    <row r="124" spans="32:37" x14ac:dyDescent="0.2">
      <c r="AF124">
        <f t="shared" si="14"/>
        <v>8</v>
      </c>
      <c r="AG124">
        <f t="shared" si="15"/>
        <v>0</v>
      </c>
      <c r="AH124">
        <f t="shared" si="16"/>
        <v>0</v>
      </c>
      <c r="AI124" t="e">
        <f t="shared" si="17"/>
        <v>#DIV/0!</v>
      </c>
      <c r="AJ124">
        <f t="shared" si="18"/>
        <v>0</v>
      </c>
      <c r="AK124" t="e">
        <f t="shared" si="19"/>
        <v>#DIV/0!</v>
      </c>
    </row>
    <row r="125" spans="32:37" x14ac:dyDescent="0.2">
      <c r="AF125">
        <f t="shared" si="14"/>
        <v>8</v>
      </c>
      <c r="AG125">
        <f t="shared" si="15"/>
        <v>0</v>
      </c>
      <c r="AH125">
        <f t="shared" si="16"/>
        <v>0</v>
      </c>
      <c r="AI125" t="e">
        <f t="shared" si="17"/>
        <v>#DIV/0!</v>
      </c>
      <c r="AJ125">
        <f t="shared" si="18"/>
        <v>0</v>
      </c>
      <c r="AK125" t="e">
        <f t="shared" si="19"/>
        <v>#DIV/0!</v>
      </c>
    </row>
    <row r="126" spans="32:37" x14ac:dyDescent="0.2">
      <c r="AF126">
        <f t="shared" si="14"/>
        <v>8</v>
      </c>
      <c r="AG126">
        <f t="shared" si="15"/>
        <v>0</v>
      </c>
      <c r="AH126">
        <f t="shared" si="16"/>
        <v>0</v>
      </c>
      <c r="AI126" t="e">
        <f t="shared" si="17"/>
        <v>#DIV/0!</v>
      </c>
      <c r="AJ126">
        <f t="shared" si="18"/>
        <v>0</v>
      </c>
      <c r="AK126" t="e">
        <f t="shared" si="19"/>
        <v>#DIV/0!</v>
      </c>
    </row>
    <row r="127" spans="32:37" x14ac:dyDescent="0.2">
      <c r="AF127">
        <f t="shared" si="14"/>
        <v>8</v>
      </c>
      <c r="AG127">
        <f t="shared" si="15"/>
        <v>0</v>
      </c>
      <c r="AH127">
        <f t="shared" si="16"/>
        <v>0</v>
      </c>
      <c r="AI127" t="e">
        <f t="shared" si="17"/>
        <v>#DIV/0!</v>
      </c>
      <c r="AJ127">
        <f t="shared" si="18"/>
        <v>0</v>
      </c>
      <c r="AK127" t="e">
        <f t="shared" si="19"/>
        <v>#DIV/0!</v>
      </c>
    </row>
    <row r="128" spans="32:37" x14ac:dyDescent="0.2">
      <c r="AF128">
        <f t="shared" si="14"/>
        <v>8</v>
      </c>
      <c r="AG128">
        <f t="shared" si="15"/>
        <v>0</v>
      </c>
      <c r="AH128">
        <f t="shared" si="16"/>
        <v>0</v>
      </c>
      <c r="AI128" t="e">
        <f t="shared" si="17"/>
        <v>#DIV/0!</v>
      </c>
      <c r="AJ128">
        <f t="shared" si="18"/>
        <v>0</v>
      </c>
      <c r="AK128" t="e">
        <f t="shared" si="19"/>
        <v>#DIV/0!</v>
      </c>
    </row>
    <row r="129" spans="32:37" x14ac:dyDescent="0.2">
      <c r="AF129">
        <f t="shared" si="14"/>
        <v>8</v>
      </c>
      <c r="AG129">
        <f t="shared" si="15"/>
        <v>0</v>
      </c>
      <c r="AH129">
        <f t="shared" si="16"/>
        <v>0</v>
      </c>
      <c r="AI129" t="e">
        <f t="shared" si="17"/>
        <v>#DIV/0!</v>
      </c>
      <c r="AJ129">
        <f t="shared" si="18"/>
        <v>0</v>
      </c>
      <c r="AK129" t="e">
        <f t="shared" si="19"/>
        <v>#DIV/0!</v>
      </c>
    </row>
    <row r="130" spans="32:37" x14ac:dyDescent="0.2">
      <c r="AF130">
        <f t="shared" si="14"/>
        <v>8</v>
      </c>
      <c r="AG130">
        <f t="shared" si="15"/>
        <v>0</v>
      </c>
      <c r="AH130">
        <f t="shared" si="16"/>
        <v>0</v>
      </c>
      <c r="AI130" t="e">
        <f t="shared" si="17"/>
        <v>#DIV/0!</v>
      </c>
      <c r="AJ130">
        <f t="shared" si="18"/>
        <v>0</v>
      </c>
      <c r="AK130" t="e">
        <f t="shared" si="19"/>
        <v>#DIV/0!</v>
      </c>
    </row>
    <row r="131" spans="32:37" x14ac:dyDescent="0.2">
      <c r="AF131">
        <f t="shared" si="14"/>
        <v>8</v>
      </c>
      <c r="AG131">
        <f t="shared" si="15"/>
        <v>0</v>
      </c>
      <c r="AH131">
        <f t="shared" si="16"/>
        <v>0</v>
      </c>
      <c r="AI131" t="e">
        <f t="shared" si="17"/>
        <v>#DIV/0!</v>
      </c>
      <c r="AJ131">
        <f t="shared" si="18"/>
        <v>0</v>
      </c>
      <c r="AK131" t="e">
        <f t="shared" si="19"/>
        <v>#DIV/0!</v>
      </c>
    </row>
  </sheetData>
  <mergeCells count="1">
    <mergeCell ref="O20:V2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Parry’s Quarry Landfill</Site_x0020_Name>
    <Internal_x002f_External xmlns="859f7ad6-93f6-4205-b62b-a17f28acbbac">Incoming document</Internal_x002f_External>
    <Post_x0020_code xmlns="859f7ad6-93f6-4205-b62b-a17f28acbbac">CH7 6NY</Post_x0020_code>
    <Document_x0020_Type xmlns="859f7ad6-93f6-4205-b62b-a17f28acbbac">Report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Colinton House, Leicester Road, Bedworth, CV12 8AB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2020-08-24T23:00:00+00:00</Document_x0020_Date>
    <Facility_x0020_Address xmlns="859f7ad6-93f6-4205-b62b-a17f28acbbac">Pinfold Lane, Alltami, Mold</Facility_x0020_Address>
    <Environment_x0020_Sub_x0020_Folder xmlns="859f7ad6-93f6-4205-b62b-a17f28acbbac">Licences applications</Environment_x0020_Sub_x0020_Folder>
    <Customer_x0020_Name xmlns="859f7ad6-93f6-4205-b62b-a17f28acbbac">Mold Investments Limited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96B2CDFCAB142469D002908293CC358" ma:contentTypeVersion="505" ma:contentTypeDescription="Permitting &amp; Compliance Word Document" ma:contentTypeScope="" ma:versionID="e85c19e1da92a42c042e465b8d43bbe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f4145418-6eb2-4e2f-90f8-d42e4734b249" xmlns:ns6="005db27c-c37f-4c3b-898d-3fee1249b087" targetNamespace="http://schemas.microsoft.com/office/2006/metadata/properties" ma:root="true" ma:fieldsID="69226f8020916862b95a73771da6588d" ns2:_="" ns4:_="" ns5:_="" ns6:_="">
    <xsd:import namespace="859f7ad6-93f6-4205-b62b-a17f28acbbac"/>
    <xsd:import namespace="6e121689-de5b-41b9-a751-bfeda7fa2b07"/>
    <xsd:import namespace="f4145418-6eb2-4e2f-90f8-d42e4734b249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DateTaken" minOccurs="0"/>
                <xsd:element ref="ns6:LastSharedByUs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145418-6eb2-4e2f-90f8-d42e4734b2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7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28" nillable="true" ma:displayName="MediaServiceDateTaken" ma:description="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6EB38E6-8C56-4A4A-B1E5-735318C8F67B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1c44bc82-8302-415a-a48f-1e43a1067517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2BDDF0D-E83A-4951-8578-C21AD79DB6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D9A67F-A1EB-424C-B727-42C0307603B7}"/>
</file>

<file path=customXml/itemProps4.xml><?xml version="1.0" encoding="utf-8"?>
<ds:datastoreItem xmlns:ds="http://schemas.openxmlformats.org/officeDocument/2006/customXml" ds:itemID="{3E664463-97ED-49EF-8E2A-7A312D321A87}"/>
</file>

<file path=customXml/itemProps5.xml><?xml version="1.0" encoding="utf-8"?>
<ds:datastoreItem xmlns:ds="http://schemas.openxmlformats.org/officeDocument/2006/customXml" ds:itemID="{FF314EEE-54AA-485D-80B5-F91FCACAA5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16</vt:i4>
      </vt:variant>
    </vt:vector>
  </HeadingPairs>
  <TitlesOfParts>
    <vt:vector size="38" baseType="lpstr">
      <vt:lpstr>Kd</vt:lpstr>
      <vt:lpstr>De (NEN 7375) </vt:lpstr>
      <vt:lpstr>De</vt:lpstr>
      <vt:lpstr>Diffusive Flux</vt:lpstr>
      <vt:lpstr>E16</vt:lpstr>
      <vt:lpstr>E36calc</vt:lpstr>
      <vt:lpstr>E64 unconditional</vt:lpstr>
      <vt:lpstr>Leaching Mechanism</vt:lpstr>
      <vt:lpstr>Uxy</vt:lpstr>
      <vt:lpstr>SDrc</vt:lpstr>
      <vt:lpstr>rc</vt:lpstr>
      <vt:lpstr>Increment Analysis Derived</vt:lpstr>
      <vt:lpstr>Increment Analysis Measured</vt:lpstr>
      <vt:lpstr>LOD</vt:lpstr>
      <vt:lpstr>Graphical Interpretation</vt:lpstr>
      <vt:lpstr>Derived Cummulative</vt:lpstr>
      <vt:lpstr>Measured Cummulative</vt:lpstr>
      <vt:lpstr>Normalisation</vt:lpstr>
      <vt:lpstr>Analytical Data</vt:lpstr>
      <vt:lpstr>Cover</vt:lpstr>
      <vt:lpstr>Raw Data</vt:lpstr>
      <vt:lpstr>Source Term</vt:lpstr>
      <vt:lpstr>'Analytical Data'!Print_Area</vt:lpstr>
      <vt:lpstr>Cover!Print_Area</vt:lpstr>
      <vt:lpstr>'Derived Cummulative'!Print_Area</vt:lpstr>
      <vt:lpstr>'E16'!Print_Area</vt:lpstr>
      <vt:lpstr>E36calc!Print_Area</vt:lpstr>
      <vt:lpstr>'Increment Analysis Derived'!Print_Area</vt:lpstr>
      <vt:lpstr>'Increment Analysis Measured'!Print_Area</vt:lpstr>
      <vt:lpstr>'Leaching Mechanism'!Print_Area</vt:lpstr>
      <vt:lpstr>LOD!Print_Area</vt:lpstr>
      <vt:lpstr>'Measured Cummulative'!Print_Area</vt:lpstr>
      <vt:lpstr>Normalisation!Print_Area</vt:lpstr>
      <vt:lpstr>'rc'!Print_Area</vt:lpstr>
      <vt:lpstr>SDrc!Print_Area</vt:lpstr>
      <vt:lpstr>Uxy!Print_Area</vt:lpstr>
      <vt:lpstr>SA</vt:lpstr>
      <vt:lpstr>VOL</vt:lpstr>
    </vt:vector>
  </TitlesOfParts>
  <Company>Chemtest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PAN-011318 - A192879 Na Tortuosity Determination</dc:title>
  <dc:creator/>
  <cp:lastModifiedBy>Andrew Morris</cp:lastModifiedBy>
  <cp:lastPrinted>2015-02-18T11:05:49Z</cp:lastPrinted>
  <dcterms:created xsi:type="dcterms:W3CDTF">2012-03-29T22:51:21Z</dcterms:created>
  <dcterms:modified xsi:type="dcterms:W3CDTF">2020-06-07T13:00:52Z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0x01010067EB80C5FE939D4A9B3D8BA62129B7F5010200696B2CDFCAB142469D002908293CC358</vt:lpwstr>
  </property>
  <property fmtid="{D5CDD505-2E9C-101B-9397-08002B2CF9AE}" pid="3" name="_dlc_DocId">
    <vt:lpwstr>REGU-204-1610078</vt:lpwstr>
  </property>
  <property fmtid="{D5CDD505-2E9C-101B-9397-08002B2CF9AE}" pid="4" name="_dlc_DocIdItemGuid">
    <vt:lpwstr>8a093875-233e-4457-bc9c-2e38ba3a331f</vt:lpwstr>
  </property>
  <property fmtid="{D5CDD505-2E9C-101B-9397-08002B2CF9AE}" pid="5" name="_dlc_DocIdUrl">
    <vt:lpwstr>https://cyfoethnaturiolcymru.sharepoint.com/teams/Regulatory/Permitting/_layouts/15/DocIdRedir.aspx?ID=REGU-204-1610078, REGU-204-1610078</vt:lpwstr>
  </property>
</Properties>
</file>