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16A5A392-A45D-4173-B742-F4357EF8E302}"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Groundwater'!$A$1:$Z$60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29" i="9" s="1"/>
  <c r="D14" i="20" s="1"/>
  <c r="D8" i="9"/>
  <c r="D9" i="9"/>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65"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G45" i="15"/>
  <c r="F30" i="16"/>
  <c r="E57" i="13"/>
  <c r="E56" i="2"/>
  <c r="F29" i="9"/>
  <c r="F44" i="15"/>
  <c r="F9" i="15"/>
  <c r="G9" i="15"/>
  <c r="G14" i="15"/>
  <c r="J12" i="10"/>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G33" i="15"/>
  <c r="F13" i="17"/>
  <c r="F48" i="17"/>
  <c r="F49" i="17"/>
  <c r="S72" i="17"/>
  <c r="S63" i="17"/>
  <c r="F7" i="17"/>
  <c r="S68" i="17"/>
  <c r="C7" i="10"/>
  <c r="D35" i="9"/>
  <c r="F14" i="15"/>
  <c r="F23" i="15"/>
  <c r="F6" i="15"/>
  <c r="W16" i="13" s="1"/>
  <c r="F42" i="15"/>
  <c r="F36" i="15" l="1"/>
  <c r="F40" i="15"/>
  <c r="W69" i="15"/>
  <c r="W63" i="15"/>
  <c r="W66" i="15"/>
  <c r="W71" i="15"/>
  <c r="F39" i="15"/>
  <c r="F43" i="15"/>
  <c r="F33" i="15"/>
  <c r="F21" i="15"/>
  <c r="F11" i="15"/>
  <c r="F41" i="15"/>
  <c r="F5" i="15"/>
  <c r="F20" i="15"/>
  <c r="F17" i="15"/>
  <c r="F47" i="15"/>
  <c r="W56" i="15"/>
  <c r="F19" i="15"/>
  <c r="F12" i="15"/>
  <c r="W70" i="15"/>
  <c r="C28" i="15"/>
  <c r="F37" i="15"/>
  <c r="G10" i="9"/>
  <c r="C11" i="5"/>
  <c r="D57" i="13"/>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33" i="13" s="1"/>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W18" i="13" s="1"/>
  <c r="F47" i="17"/>
  <c r="F33" i="17"/>
  <c r="F44" i="17"/>
  <c r="S60" i="17"/>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W20"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F35" i="17"/>
  <c r="F41" i="17"/>
  <c r="F7" i="16"/>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G12" i="10" s="1"/>
  <c r="D33" i="9" s="1"/>
  <c r="I10" i="10"/>
  <c r="I14" i="10" s="1"/>
  <c r="D48" i="2" s="1"/>
  <c r="D24" i="18"/>
  <c r="D25" i="18" s="1"/>
  <c r="F23" i="4"/>
  <c r="F36" i="4"/>
  <c r="F35" i="4"/>
  <c r="F15" i="4"/>
  <c r="M30" i="2"/>
  <c r="D35" i="2" s="1"/>
  <c r="M31" i="2"/>
  <c r="D36" i="2" s="1"/>
  <c r="F9" i="16"/>
  <c r="W25" i="13" l="1"/>
  <c r="W31" i="13"/>
  <c r="W28" i="13"/>
  <c r="W24" i="13"/>
  <c r="W17" i="13"/>
  <c r="W23" i="13"/>
  <c r="W26" i="13"/>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L47" i="5"/>
  <c r="M47" i="5"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9" i="3"/>
  <c r="Q9" i="3" s="1"/>
  <c r="P14" i="3"/>
  <c r="Q14" i="3" s="1"/>
  <c r="P24" i="3"/>
  <c r="Q24" i="3" s="1"/>
  <c r="L40" i="16"/>
  <c r="M40" i="16" s="1"/>
  <c r="J32" i="16"/>
  <c r="K32" i="16" s="1"/>
  <c r="V15" i="2"/>
  <c r="D34" i="20" s="1"/>
  <c r="V23" i="2"/>
  <c r="D42" i="20" s="1"/>
  <c r="V17" i="2"/>
  <c r="D36" i="20" s="1"/>
  <c r="V34" i="2"/>
  <c r="D53" i="20" s="1"/>
  <c r="V33" i="2"/>
  <c r="D52" i="20" s="1"/>
  <c r="R43" i="3" l="1"/>
  <c r="S43" i="3" s="1"/>
  <c r="P22" i="3"/>
  <c r="Q22" i="3" s="1"/>
  <c r="R48" i="3"/>
  <c r="S48" i="3" s="1"/>
  <c r="L9" i="5"/>
  <c r="M9" i="5" s="1"/>
  <c r="P39" i="3"/>
  <c r="Q39" i="3" s="1"/>
  <c r="P30" i="3"/>
  <c r="Q30" i="3" s="1"/>
  <c r="P16" i="3"/>
  <c r="Q16" i="3" s="1"/>
  <c r="R8" i="3"/>
  <c r="S8" i="3" s="1"/>
  <c r="R13" i="3"/>
  <c r="S13" i="3" s="1"/>
  <c r="R9" i="3"/>
  <c r="S9" i="3"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<sst xmlns="http://schemas.openxmlformats.org/spreadsheetml/2006/main" count="1309" uniqueCount="406">
  <si>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</si>
  <si>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</si>
  <si>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</si>
  <si>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</si>
  <si>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</si>
  <si>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</si>
  <si>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</si>
  <si>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</si>
  <si>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</si>
  <si>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</si>
  <si>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</si>
  <si>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</si>
  <si>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</si>
  <si>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</si>
  <si>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</si>
  <si>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</si>
  <si>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</si>
  <si>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</si>
  <si>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</si>
  <si>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</si>
  <si>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</si>
  <si>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</si>
  <si>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</si>
  <si>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</si>
  <si>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</si>
  <si>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</si>
  <si>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</si>
  <si>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</si>
  <si>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</si>
  <si>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</si>
  <si>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</si>
  <si>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</si>
  <si>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</si>
  <si>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</si>
  <si>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</si>
  <si>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</si>
  <si>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</si>
  <si>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</si>
  <si>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</si>
  <si>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</si>
  <si>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</si>
  <si>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</si>
  <si>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</si>
  <si>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</si>
  <si>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</si>
  <si>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</si>
  <si>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</si>
  <si>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</si>
  <si>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</si>
  <si>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</si>
  <si>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</si>
  <si>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</si>
  <si>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</si>
  <si>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</si>
  <si>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</si>
  <si>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</si>
  <si>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</si>
  <si>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</si>
  <si>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</si>
  <si>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</si>
  <si>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</si>
  <si>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</si>
  <si>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</si>
  <si>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</si>
  <si>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</si>
  <si>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</si>
  <si>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</si>
  <si>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</si>
  <si>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</si>
  <si>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</si>
  <si>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</si>
  <si>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</si>
  <si>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</si>
  <si>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</si>
  <si>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</si>
  <si>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</si>
  <si>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</si>
  <si>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</si>
  <si>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</si>
  <si>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</si>
  <si>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</si>
  <si>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</si>
  <si>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</si>
  <si>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</si>
  <si>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</si>
  <si>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</si>
  <si>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</si>
  <si>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</si>
  <si>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</si>
  <si>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</si>
  <si>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</si>
  <si>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</si>
  <si>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</si>
  <si>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</si>
  <si>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</si>
  <si>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</si>
  <si>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</si>
  <si>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</si>
  <si>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</si>
  <si>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</si>
  <si>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</si>
  <si>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</si>
  <si>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</si>
  <si>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</si>
  <si>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</si>
  <si>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</si>
  <si>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</si>
  <si>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</si>
  <si>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</si>
  <si>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</si>
  <si>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</si>
  <si>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</si>
  <si>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</si>
  <si>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</si>
  <si>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</si>
  <si>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</si>
  <si>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</si>
  <si>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</si>
  <si>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</si>
  <si>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</si>
  <si>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</si>
  <si>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</si>
  <si>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</si>
  <si>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</si>
  <si>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</si>
  <si>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</si>
  <si>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</si>
  <si>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</si>
  <si>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</si>
  <si>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</si>
  <si>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</si>
  <si>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</si>
  <si>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</si>
  <si>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</si>
  <si>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</si>
  <si>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</si>
  <si>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</si>
  <si>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</si>
  <si>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</si>
  <si>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</si>
  <si>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</si>
  <si>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</si>
  <si>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</si>
  <si>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</si>
  <si>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</si>
  <si>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</si>
  <si>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</si>
  <si>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</si>
  <si>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</si>
  <si>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</si>
  <si>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</si>
  <si>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</si>
  <si>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</si>
  <si>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</si>
  <si>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</si>
  <si>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</si>
  <si>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</si>
  <si>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</si>
  <si>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</si>
  <si>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</si>
  <si>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</si>
  <si>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</si>
  <si>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</si>
  <si>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</si>
  <si>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</si>
  <si>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</si>
  <si>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</si>
  <si>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</si>
  <si>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</si>
  <si>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</si>
  <si>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</si>
  <si>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</si>
  <si>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</si>
  <si>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</si>
  <si>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</si>
  <si>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</si>
  <si>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</si>
  <si>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</si>
  <si>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</si>
  <si>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</si>
  <si>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</si>
  <si>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</si>
  <si>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</si>
  <si>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</si>
  <si>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</si>
  <si>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</si>
  <si>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</si>
  <si>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</si>
  <si>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</si>
  <si>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</si>
  <si>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</si>
  <si>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</si>
  <si>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</si>
  <si>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</si>
  <si>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</si>
  <si>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</si>
  <si>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</si>
  <si>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</si>
  <si>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</si>
  <si>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</si>
  <si>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</si>
  <si>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</si>
  <si>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</si>
  <si>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</si>
  <si>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</si>
  <si>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</si>
  <si>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</si>
  <si>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</si>
  <si>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</si>
  <si>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</si>
  <si>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</si>
  <si>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</si>
  <si>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</si>
  <si>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</si>
  <si>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</si>
  <si>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</si>
  <si>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</si>
  <si>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</si>
  <si>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</si>
  <si>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</si>
  <si>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</si>
  <si>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</si>
  <si>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</si>
  <si>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</si>
  <si>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</si>
  <si>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</si>
  <si>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</si>
  <si>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</si>
  <si>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</si>
  <si>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</si>
  <si>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</si>
  <si>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</si>
  <si>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</si>
  <si>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</si>
  <si>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</si>
  <si>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</si>
  <si>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</si>
  <si>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</si>
  <si>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</si>
  <si>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</si>
  <si>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</si>
  <si>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</si>
  <si>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</si>
  <si>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</si>
  <si>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</si>
  <si>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</si>
  <si>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</si>
  <si>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</si>
  <si>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</si>
  <si>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</si>
  <si>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</si>
  <si>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</si>
  <si>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</si>
  <si>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</si>
  <si>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</si>
  <si>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</si>
  <si>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</si>
  <si>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</si>
  <si>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</si>
  <si>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</si>
  <si>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</si>
  <si>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</si>
  <si>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</si>
  <si>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</si>
  <si>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</si>
  <si>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</si>
  <si>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</si>
  <si>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</si>
  <si>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</si>
  <si>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</si>
  <si>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</si>
  <si>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</si>
  <si>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</si>
  <si>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</si>
  <si>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</si>
  <si>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</si>
  <si>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</si>
  <si>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</si>
  <si>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</si>
  <si>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</si>
  <si>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</si>
  <si>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</si>
  <si>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</si>
  <si>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</si>
  <si>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</si>
  <si>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</si>
  <si>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</si>
  <si>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</si>
  <si>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</si>
  <si>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</si>
  <si>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</si>
  <si>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</si>
  <si>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</si>
  <si>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</si>
  <si>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</si>
  <si>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</si>
  <si>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</si>
  <si>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</si>
  <si>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</si>
  <si>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</si>
  <si>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</si>
  <si>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</si>
  <si>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</si>
  <si>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</si>
  <si>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</si>
  <si>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</si>
  <si>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</si>
  <si>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</si>
  <si>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</si>
  <si>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</si>
  <si>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</si>
  <si>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</si>
  <si>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</si>
  <si>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</si>
  <si>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</si>
  <si>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</si>
  <si>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</si>
  <si>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</si>
  <si>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</si>
  <si>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</si>
  <si>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</si>
  <si>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</si>
  <si>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</si>
  <si>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</si>
  <si>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</si>
  <si>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</si>
  <si>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</si>
  <si>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</si>
  <si>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</si>
  <si>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</si>
  <si>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</si>
  <si>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</si>
  <si>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</si>
  <si>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</si>
  <si>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</si>
  <si>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</si>
  <si>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</si>
  <si>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</si>
  <si>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</si>
  <si>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</si>
  <si>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</si>
  <si>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</si>
  <si>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</si>
  <si>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</si>
  <si>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</si>
  <si>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</si>
  <si>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</si>
  <si>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</si>
  <si>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</si>
  <si>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</si>
  <si>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</si>
  <si>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</si>
  <si>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</si>
  <si>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</si>
  <si>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</si>
  <si>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</si>
  <si>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</si>
  <si>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</si>
  <si>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</si>
  <si>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</si>
  <si>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</si>
  <si>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</si>
  <si>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</si>
  <si>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</si>
  <si>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</si>
  <si>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</si>
  <si>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</si>
  <si>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</si>
  <si>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</si>
  <si>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</si>
  <si>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</si>
  <si>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</si>
  <si>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</si>
  <si>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</si>
  <si>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</si>
  <si>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</si>
  <si>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</si>
  <si>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</si>
  <si>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</si>
  <si>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</si>
  <si>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</si>
  <si>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</si>
  <si>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</si>
  <si>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</si>
  <si>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</si>
  <si>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</si>
  <si>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</si>
  <si>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</si>
  <si>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</si>
  <si>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</si>
  <si>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</si>
  <si>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</si>
  <si>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Inert WAC</t>
  </si>
  <si>
    <t>No degradation</t>
  </si>
  <si>
    <t>no effect on breakthrough</t>
  </si>
  <si>
    <t>Verticle thickness of mineral liner</t>
  </si>
  <si>
    <t>From trixaxial permeability</t>
  </si>
  <si>
    <t>Default from Hydr. Contain. Model</t>
  </si>
  <si>
    <t>Vertyicle flow</t>
  </si>
  <si>
    <t>Cp on outer surface of minerl liner</t>
  </si>
  <si>
    <t xml:space="preserve">1.5 x Background GW </t>
  </si>
  <si>
    <t>Pb</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</si>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</sst>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0" fillId="0" borderId="0" xfId="0" applyAlignment="1" applyProtection="1">
      <alignment horizontal="left"/>
      <protection hidden="1"/>
    </xf>
    <xf numFmtId="0" fontId="50" fillId="0" borderId="0" xfId="0" applyFont="1" applyAlignment="1" applyProtection="1">
      <alignment horizontal="left" wrapText="1"/>
      <protection hidden="1"/>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78" fillId="0" borderId="2" xfId="0" applyFont="1" applyBorder="1" applyAlignment="1"/>
    <xf numFmtId="0" fontId="0" fillId="0" borderId="2" xfId="0" applyBorder="1" applyAlignment="1"/>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944E-468A-A156-9C83B85EFFE5}"/>
            </c:ext>
          </c:extLst>
        </c:ser>
        <c:dLbls>
          <c:showLegendKey val="0"/>
          <c:showVal val="0"/>
          <c:showCatName val="0"/>
          <c:showSerName val="0"/>
          <c:showPercent val="0"/>
          <c:showBubbleSize val="0"/>
        </c:dLbls>
        <c:axId val="276540864"/>
        <c:axId val="276542824"/>
      </c:scatterChart>
      <c:valAx>
        <c:axId val="27654086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542824"/>
        <c:crossesAt val="0"/>
        <c:crossBetween val="midCat"/>
      </c:valAx>
      <c:valAx>
        <c:axId val="276542824"/>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540864"/>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2249-4EEF-B975-25CC73F8B978}"/>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2249-4EEF-B975-25CC73F8B978}"/>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2249-4EEF-B975-25CC73F8B978}"/>
            </c:ext>
          </c:extLst>
        </c:ser>
        <c:dLbls>
          <c:showLegendKey val="0"/>
          <c:showVal val="0"/>
          <c:showCatName val="0"/>
          <c:showSerName val="0"/>
          <c:showPercent val="0"/>
          <c:showBubbleSize val="0"/>
        </c:dLbls>
        <c:axId val="351105472"/>
        <c:axId val="351107824"/>
        <c:axId val="275447808"/>
      </c:line3DChart>
      <c:catAx>
        <c:axId val="351105472"/>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7824"/>
        <c:crosses val="autoZero"/>
        <c:auto val="1"/>
        <c:lblAlgn val="ctr"/>
        <c:lblOffset val="100"/>
        <c:tickLblSkip val="1"/>
        <c:tickMarkSkip val="1"/>
        <c:noMultiLvlLbl val="1"/>
      </c:catAx>
      <c:valAx>
        <c:axId val="351107824"/>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5472"/>
        <c:crosses val="autoZero"/>
        <c:crossBetween val="midCat"/>
      </c:valAx>
      <c:serAx>
        <c:axId val="275447808"/>
        <c:scaling>
          <c:orientation val="minMax"/>
        </c:scaling>
        <c:delete val="1"/>
        <c:axPos val="b"/>
        <c:majorTickMark val="out"/>
        <c:minorTickMark val="none"/>
        <c:tickLblPos val="nextTo"/>
        <c:crossAx val="351107824"/>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2C2F-4C55-BC9F-644483EB5928}"/>
            </c:ext>
          </c:extLst>
        </c:ser>
        <c:dLbls>
          <c:showLegendKey val="0"/>
          <c:showVal val="0"/>
          <c:showCatName val="0"/>
          <c:showSerName val="0"/>
          <c:showPercent val="0"/>
          <c:showBubbleSize val="0"/>
        </c:dLbls>
        <c:axId val="351106648"/>
        <c:axId val="351108608"/>
      </c:scatterChart>
      <c:valAx>
        <c:axId val="3511066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8608"/>
        <c:crosses val="autoZero"/>
        <c:crossBetween val="midCat"/>
      </c:valAx>
      <c:valAx>
        <c:axId val="35110860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66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0.05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5A67-4BF3-9CBD-84768F2239B4}"/>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5A67-4BF3-9CBD-84768F2239B4}"/>
            </c:ext>
          </c:extLst>
        </c:ser>
        <c:dLbls>
          <c:showLegendKey val="0"/>
          <c:showVal val="0"/>
          <c:showCatName val="0"/>
          <c:showSerName val="0"/>
          <c:showPercent val="0"/>
          <c:showBubbleSize val="0"/>
        </c:dLbls>
        <c:axId val="351108216"/>
        <c:axId val="351105864"/>
      </c:scatterChart>
      <c:valAx>
        <c:axId val="351108216"/>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5864"/>
        <c:crosses val="autoZero"/>
        <c:crossBetween val="midCat"/>
      </c:valAx>
      <c:valAx>
        <c:axId val="351105864"/>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82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C73-4437-81E3-51ED7C63E060}"/>
            </c:ext>
          </c:extLst>
        </c:ser>
        <c:dLbls>
          <c:showLegendKey val="0"/>
          <c:showVal val="0"/>
          <c:showCatName val="0"/>
          <c:showSerName val="0"/>
          <c:showPercent val="0"/>
          <c:showBubbleSize val="0"/>
        </c:dLbls>
        <c:axId val="351110960"/>
        <c:axId val="351103512"/>
      </c:scatterChart>
      <c:valAx>
        <c:axId val="35111096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03512"/>
        <c:crosses val="autoZero"/>
        <c:crossBetween val="midCat"/>
      </c:valAx>
      <c:valAx>
        <c:axId val="35110351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1096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62E-4048-BF8A-69B28D7612B6}"/>
            </c:ext>
          </c:extLst>
        </c:ser>
        <c:dLbls>
          <c:showLegendKey val="0"/>
          <c:showVal val="0"/>
          <c:showCatName val="0"/>
          <c:showSerName val="0"/>
          <c:showPercent val="0"/>
          <c:showBubbleSize val="0"/>
        </c:dLbls>
        <c:axId val="351104688"/>
        <c:axId val="351105080"/>
      </c:scatterChart>
      <c:valAx>
        <c:axId val="35110468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05080"/>
        <c:crosses val="autoZero"/>
        <c:crossBetween val="midCat"/>
      </c:valAx>
      <c:valAx>
        <c:axId val="35110508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0468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65D-4091-BE21-DAF8C3CE3B8F}"/>
            </c:ext>
          </c:extLst>
        </c:ser>
        <c:dLbls>
          <c:showLegendKey val="0"/>
          <c:showVal val="0"/>
          <c:showCatName val="0"/>
          <c:showSerName val="0"/>
          <c:showPercent val="0"/>
          <c:showBubbleSize val="0"/>
        </c:dLbls>
        <c:axId val="352112584"/>
        <c:axId val="352113760"/>
      </c:scatterChart>
      <c:valAx>
        <c:axId val="35211258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2113760"/>
        <c:crossesAt val="0"/>
        <c:crossBetween val="midCat"/>
      </c:valAx>
      <c:valAx>
        <c:axId val="352113760"/>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2112584"/>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3EB-4D9D-9D13-C44A115BBACB}"/>
            </c:ext>
          </c:extLst>
        </c:ser>
        <c:dLbls>
          <c:showLegendKey val="0"/>
          <c:showVal val="0"/>
          <c:showCatName val="0"/>
          <c:showSerName val="0"/>
          <c:showPercent val="0"/>
          <c:showBubbleSize val="0"/>
        </c:dLbls>
        <c:axId val="352115328"/>
        <c:axId val="352110232"/>
      </c:scatterChart>
      <c:valAx>
        <c:axId val="3521153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2110232"/>
        <c:crosses val="autoZero"/>
        <c:crossBetween val="midCat"/>
      </c:valAx>
      <c:valAx>
        <c:axId val="35211023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21153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8182-48B6-9D68-584589678100}"/>
            </c:ext>
          </c:extLst>
        </c:ser>
        <c:dLbls>
          <c:showLegendKey val="0"/>
          <c:showVal val="0"/>
          <c:showCatName val="0"/>
          <c:showSerName val="0"/>
          <c:showPercent val="0"/>
          <c:showBubbleSize val="0"/>
        </c:dLbls>
        <c:axId val="352111408"/>
        <c:axId val="352116896"/>
      </c:scatterChart>
      <c:valAx>
        <c:axId val="35211140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2116896"/>
        <c:crosses val="autoZero"/>
        <c:crossBetween val="midCat"/>
      </c:valAx>
      <c:valAx>
        <c:axId val="35211689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211140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1C56-4801-B09F-A99589D81B73}"/>
            </c:ext>
          </c:extLst>
        </c:ser>
        <c:dLbls>
          <c:showLegendKey val="0"/>
          <c:showVal val="0"/>
          <c:showCatName val="0"/>
          <c:showSerName val="0"/>
          <c:showPercent val="0"/>
          <c:showBubbleSize val="0"/>
        </c:dLbls>
        <c:axId val="352111016"/>
        <c:axId val="352112976"/>
      </c:scatterChart>
      <c:valAx>
        <c:axId val="35211101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2112976"/>
        <c:crosses val="autoZero"/>
        <c:crossBetween val="midCat"/>
      </c:valAx>
      <c:valAx>
        <c:axId val="35211297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21110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ADF-4654-BD15-0CD45189EF33}"/>
            </c:ext>
          </c:extLst>
        </c:ser>
        <c:dLbls>
          <c:showLegendKey val="0"/>
          <c:showVal val="0"/>
          <c:showCatName val="0"/>
          <c:showSerName val="0"/>
          <c:showPercent val="0"/>
          <c:showBubbleSize val="0"/>
        </c:dLbls>
        <c:axId val="352116504"/>
        <c:axId val="352113368"/>
      </c:scatterChart>
      <c:valAx>
        <c:axId val="3521165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2113368"/>
        <c:crosses val="autoZero"/>
        <c:crossBetween val="midCat"/>
      </c:valAx>
      <c:valAx>
        <c:axId val="35211336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21165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F1E7-4B60-AD3D-C3EBDD02CBA2}"/>
            </c:ext>
          </c:extLst>
        </c:ser>
        <c:dLbls>
          <c:showLegendKey val="0"/>
          <c:showVal val="0"/>
          <c:showCatName val="0"/>
          <c:showSerName val="0"/>
          <c:showPercent val="0"/>
          <c:showBubbleSize val="0"/>
        </c:dLbls>
        <c:axId val="352116112"/>
        <c:axId val="352114544"/>
      </c:scatterChart>
      <c:valAx>
        <c:axId val="3521161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2114544"/>
        <c:crosses val="autoZero"/>
        <c:crossBetween val="midCat"/>
      </c:valAx>
      <c:valAx>
        <c:axId val="35211454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21161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0.05</c:v>
                </c:pt>
                <c:pt idx="1">
                  <c:v>0.05</c:v>
                </c:pt>
                <c:pt idx="2">
                  <c:v>0.05</c:v>
                </c:pt>
                <c:pt idx="3">
                  <c:v>0.05</c:v>
                </c:pt>
                <c:pt idx="4">
                  <c:v>0.05</c:v>
                </c:pt>
                <c:pt idx="5">
                  <c:v>0.05</c:v>
                </c:pt>
                <c:pt idx="6">
                  <c:v>0.05</c:v>
                </c:pt>
                <c:pt idx="7">
                  <c:v>0.05</c:v>
                </c:pt>
                <c:pt idx="8">
                  <c:v>0.05</c:v>
                </c:pt>
                <c:pt idx="9">
                  <c:v>0.05</c:v>
                </c:pt>
                <c:pt idx="10">
                  <c:v>0.05</c:v>
                </c:pt>
                <c:pt idx="11">
                  <c:v>0.05</c:v>
                </c:pt>
                <c:pt idx="12">
                  <c:v>0.05</c:v>
                </c:pt>
                <c:pt idx="13">
                  <c:v>0.05</c:v>
                </c:pt>
                <c:pt idx="14">
                  <c:v>0.05</c:v>
                </c:pt>
                <c:pt idx="15">
                  <c:v>0.05</c:v>
                </c:pt>
                <c:pt idx="16">
                  <c:v>0.05</c:v>
                </c:pt>
                <c:pt idx="17">
                  <c:v>0.05</c:v>
                </c:pt>
                <c:pt idx="18">
                  <c:v>0.05</c:v>
                </c:pt>
                <c:pt idx="19">
                  <c:v>0.05</c:v>
                </c:pt>
              </c:numCache>
            </c:numRef>
          </c:yVal>
          <c:smooth val="0"/>
          <c:extLst>
            <c:ext xmlns:c16="http://schemas.microsoft.com/office/drawing/2014/chart" uri="{C3380CC4-5D6E-409C-BE32-E72D297353CC}">
              <c16:uniqueId val="{00000000-A690-4AA2-8ACB-074210B44907}"/>
            </c:ext>
          </c:extLst>
        </c:ser>
        <c:dLbls>
          <c:showLegendKey val="0"/>
          <c:showVal val="0"/>
          <c:showCatName val="0"/>
          <c:showSerName val="0"/>
          <c:showPercent val="0"/>
          <c:showBubbleSize val="0"/>
        </c:dLbls>
        <c:axId val="352109840"/>
        <c:axId val="351106256"/>
      </c:scatterChart>
      <c:valAx>
        <c:axId val="35210984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06256"/>
        <c:crosses val="autoZero"/>
        <c:crossBetween val="midCat"/>
      </c:valAx>
      <c:valAx>
        <c:axId val="35110625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21098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0.05</c:v>
                </c:pt>
                <c:pt idx="1">
                  <c:v>0.05</c:v>
                </c:pt>
                <c:pt idx="2">
                  <c:v>0.05</c:v>
                </c:pt>
                <c:pt idx="3">
                  <c:v>0.05</c:v>
                </c:pt>
                <c:pt idx="4">
                  <c:v>0.05</c:v>
                </c:pt>
                <c:pt idx="5">
                  <c:v>0.05</c:v>
                </c:pt>
                <c:pt idx="6">
                  <c:v>0.05</c:v>
                </c:pt>
                <c:pt idx="7">
                  <c:v>0.05</c:v>
                </c:pt>
                <c:pt idx="8">
                  <c:v>0.05</c:v>
                </c:pt>
                <c:pt idx="9">
                  <c:v>0.05</c:v>
                </c:pt>
                <c:pt idx="10">
                  <c:v>0.05</c:v>
                </c:pt>
                <c:pt idx="11">
                  <c:v>0.05</c:v>
                </c:pt>
                <c:pt idx="12">
                  <c:v>0.05</c:v>
                </c:pt>
                <c:pt idx="13">
                  <c:v>0.05</c:v>
                </c:pt>
                <c:pt idx="14">
                  <c:v>0.05</c:v>
                </c:pt>
                <c:pt idx="15">
                  <c:v>0.05</c:v>
                </c:pt>
                <c:pt idx="16">
                  <c:v>0.05</c:v>
                </c:pt>
                <c:pt idx="17">
                  <c:v>0.05</c:v>
                </c:pt>
                <c:pt idx="18">
                  <c:v>0.05</c:v>
                </c:pt>
                <c:pt idx="19">
                  <c:v>0.05</c:v>
                </c:pt>
              </c:numCache>
            </c:numRef>
          </c:yVal>
          <c:smooth val="0"/>
          <c:extLst>
            <c:ext xmlns:c16="http://schemas.microsoft.com/office/drawing/2014/chart" uri="{C3380CC4-5D6E-409C-BE32-E72D297353CC}">
              <c16:uniqueId val="{00000000-E9BE-4608-9107-051379FB1D0C}"/>
            </c:ext>
          </c:extLst>
        </c:ser>
        <c:dLbls>
          <c:showLegendKey val="0"/>
          <c:showVal val="0"/>
          <c:showCatName val="0"/>
          <c:showSerName val="0"/>
          <c:showPercent val="0"/>
          <c:showBubbleSize val="0"/>
        </c:dLbls>
        <c:axId val="351110176"/>
        <c:axId val="351104296"/>
      </c:scatterChart>
      <c:valAx>
        <c:axId val="35111017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04296"/>
        <c:crosses val="autoZero"/>
        <c:crossBetween val="midCat"/>
      </c:valAx>
      <c:valAx>
        <c:axId val="35110429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101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727-4F17-A17A-14EF744B8AA2}"/>
            </c:ext>
          </c:extLst>
        </c:ser>
        <c:dLbls>
          <c:showLegendKey val="0"/>
          <c:showVal val="0"/>
          <c:showCatName val="0"/>
          <c:showSerName val="0"/>
          <c:showPercent val="0"/>
          <c:showBubbleSize val="0"/>
        </c:dLbls>
        <c:axId val="352803072"/>
        <c:axId val="352802680"/>
      </c:scatterChart>
      <c:valAx>
        <c:axId val="352803072"/>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2802680"/>
        <c:crosses val="autoZero"/>
        <c:crossBetween val="midCat"/>
      </c:valAx>
      <c:valAx>
        <c:axId val="352802680"/>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28030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5FF-4DDC-AE6D-878647DC5957}"/>
            </c:ext>
          </c:extLst>
        </c:ser>
        <c:dLbls>
          <c:showLegendKey val="0"/>
          <c:showVal val="0"/>
          <c:showCatName val="0"/>
          <c:showSerName val="0"/>
          <c:showPercent val="0"/>
          <c:showBubbleSize val="0"/>
        </c:dLbls>
        <c:axId val="352804248"/>
        <c:axId val="352803464"/>
      </c:scatterChart>
      <c:valAx>
        <c:axId val="352804248"/>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2803464"/>
        <c:crosses val="autoZero"/>
        <c:crossBetween val="midCat"/>
      </c:valAx>
      <c:valAx>
        <c:axId val="352803464"/>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28042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J31" sqref="J31"/>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9" t="s">
        <v>367</v>
      </c>
      <c r="B7" s="489"/>
      <c r="C7" s="489"/>
      <c r="D7" s="489"/>
      <c r="E7" s="489"/>
      <c r="F7" s="489"/>
      <c r="G7" s="489"/>
      <c r="H7" s="489"/>
      <c r="I7" s="489"/>
      <c r="J7" s="489"/>
      <c r="K7" s="489"/>
      <c r="L7" s="489"/>
      <c r="M7" s="489"/>
      <c r="N7" s="205"/>
      <c r="O7" s="205"/>
    </row>
    <row r="8" spans="1:15" s="293" customFormat="1" ht="18" x14ac:dyDescent="0.25">
      <c r="A8" s="498" t="s">
        <v>383</v>
      </c>
      <c r="B8" s="498"/>
      <c r="C8" s="499"/>
      <c r="D8" s="499"/>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2" t="s">
        <v>368</v>
      </c>
      <c r="B10" s="492"/>
      <c r="C10" s="492"/>
      <c r="D10" s="492"/>
      <c r="E10" s="492"/>
      <c r="F10" s="492"/>
      <c r="G10" s="492"/>
      <c r="H10" s="492"/>
      <c r="I10" s="492"/>
      <c r="J10" s="223"/>
      <c r="K10" s="223"/>
      <c r="L10" s="223"/>
      <c r="M10" s="205"/>
      <c r="N10" s="205"/>
      <c r="O10" s="205"/>
    </row>
    <row r="11" spans="1:15" x14ac:dyDescent="0.2">
      <c r="A11" s="492"/>
      <c r="B11" s="492"/>
      <c r="C11" s="492"/>
      <c r="D11" s="492"/>
      <c r="E11" s="492"/>
      <c r="F11" s="492"/>
      <c r="G11" s="492"/>
      <c r="H11" s="492"/>
      <c r="I11" s="492"/>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3" t="s">
        <v>359</v>
      </c>
      <c r="B13" s="494"/>
      <c r="C13" s="494"/>
      <c r="D13" s="494"/>
      <c r="E13" s="494"/>
      <c r="F13" s="494"/>
      <c r="G13" s="494"/>
      <c r="H13" s="494"/>
      <c r="I13" s="494"/>
      <c r="J13" s="205"/>
      <c r="K13" s="205"/>
      <c r="L13" s="205"/>
      <c r="M13" s="205"/>
      <c r="N13" s="205"/>
      <c r="O13" s="205"/>
    </row>
    <row r="14" spans="1:15" x14ac:dyDescent="0.2">
      <c r="A14" s="494"/>
      <c r="B14" s="494"/>
      <c r="C14" s="494"/>
      <c r="D14" s="494"/>
      <c r="E14" s="494"/>
      <c r="F14" s="494"/>
      <c r="G14" s="494"/>
      <c r="H14" s="494"/>
      <c r="I14" s="494"/>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5" t="s">
        <v>369</v>
      </c>
      <c r="B16" s="495"/>
      <c r="C16" s="495"/>
      <c r="D16" s="495"/>
      <c r="E16" s="495"/>
      <c r="F16" s="495"/>
      <c r="G16" s="495"/>
      <c r="H16" s="495"/>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6" t="s">
        <v>283</v>
      </c>
      <c r="B18" s="496"/>
      <c r="C18" s="496"/>
      <c r="D18" s="496"/>
      <c r="E18" s="496"/>
      <c r="F18" s="496"/>
      <c r="G18" s="496"/>
      <c r="H18" s="205"/>
      <c r="I18" s="205"/>
      <c r="J18" s="205"/>
      <c r="K18" s="205"/>
      <c r="L18" s="205"/>
      <c r="M18" s="205"/>
      <c r="N18" s="205"/>
      <c r="O18" s="205"/>
    </row>
    <row r="19" spans="1:15" s="181" customFormat="1" ht="12.75" customHeight="1" x14ac:dyDescent="0.2">
      <c r="A19" s="497" t="s">
        <v>208</v>
      </c>
      <c r="B19" s="497"/>
      <c r="C19" s="497"/>
      <c r="D19" s="497"/>
      <c r="E19" s="497"/>
      <c r="F19" s="206"/>
      <c r="G19" s="206"/>
      <c r="H19" s="206"/>
      <c r="I19" s="206"/>
      <c r="J19" s="206"/>
      <c r="K19" s="206"/>
      <c r="L19" s="206"/>
      <c r="M19" s="206"/>
      <c r="N19" s="206"/>
      <c r="O19" s="206"/>
    </row>
    <row r="20" spans="1:15" s="181" customFormat="1" ht="9.9499999999999993" customHeight="1" x14ac:dyDescent="0.2">
      <c r="A20" s="483" t="s">
        <v>284</v>
      </c>
      <c r="B20" s="483"/>
      <c r="C20" s="483"/>
      <c r="D20" s="483"/>
      <c r="E20" s="483"/>
      <c r="F20" s="483"/>
      <c r="G20" s="483"/>
      <c r="H20" s="483"/>
      <c r="I20" s="483"/>
      <c r="J20" s="206"/>
      <c r="K20" s="206"/>
      <c r="L20" s="206"/>
      <c r="M20" s="206"/>
      <c r="N20" s="206"/>
      <c r="O20" s="206"/>
    </row>
    <row r="21" spans="1:15" s="181" customFormat="1" ht="9.9499999999999993" customHeight="1" x14ac:dyDescent="0.2">
      <c r="A21" s="483"/>
      <c r="B21" s="483"/>
      <c r="C21" s="483"/>
      <c r="D21" s="483"/>
      <c r="E21" s="483"/>
      <c r="F21" s="483"/>
      <c r="G21" s="483"/>
      <c r="H21" s="483"/>
      <c r="I21" s="483"/>
      <c r="J21" s="206"/>
      <c r="K21" s="206"/>
      <c r="L21" s="206"/>
      <c r="M21" s="206"/>
      <c r="N21" s="206"/>
      <c r="O21" s="206"/>
    </row>
    <row r="22" spans="1:15" s="181" customFormat="1" ht="9.9499999999999993" customHeight="1" x14ac:dyDescent="0.2">
      <c r="A22" s="483"/>
      <c r="B22" s="483"/>
      <c r="C22" s="483"/>
      <c r="D22" s="483"/>
      <c r="E22" s="483"/>
      <c r="F22" s="483"/>
      <c r="G22" s="483"/>
      <c r="H22" s="483"/>
      <c r="I22" s="483"/>
      <c r="J22" s="206"/>
      <c r="K22" s="206"/>
      <c r="L22" s="206"/>
      <c r="M22" s="206"/>
      <c r="N22" s="206"/>
      <c r="O22" s="206"/>
    </row>
    <row r="23" spans="1:15" s="181" customFormat="1" ht="31.5" customHeight="1" x14ac:dyDescent="0.2">
      <c r="A23" s="483"/>
      <c r="B23" s="483"/>
      <c r="C23" s="483"/>
      <c r="D23" s="483"/>
      <c r="E23" s="483"/>
      <c r="F23" s="483"/>
      <c r="G23" s="483"/>
      <c r="H23" s="483"/>
      <c r="I23" s="483"/>
      <c r="J23" s="206"/>
      <c r="K23" s="206"/>
      <c r="L23" s="206"/>
      <c r="M23" s="206"/>
      <c r="N23" s="206"/>
      <c r="O23" s="206"/>
    </row>
    <row r="24" spans="1:15" s="201" customFormat="1" ht="18" x14ac:dyDescent="0.25">
      <c r="A24" s="486" t="s">
        <v>250</v>
      </c>
      <c r="B24" s="486"/>
      <c r="C24" s="486"/>
      <c r="D24" s="486"/>
      <c r="E24" s="486"/>
      <c r="F24" s="486"/>
      <c r="G24" s="486"/>
      <c r="H24" s="486"/>
      <c r="I24" s="486"/>
      <c r="J24" s="486"/>
      <c r="K24" s="486"/>
      <c r="L24" s="486"/>
      <c r="M24" s="486"/>
      <c r="N24" s="486"/>
      <c r="O24" s="486"/>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4" t="s">
        <v>404</v>
      </c>
      <c r="C28" s="484"/>
      <c r="D28" s="484"/>
      <c r="E28" s="484"/>
      <c r="F28" s="484"/>
      <c r="G28" s="485"/>
      <c r="H28" s="205"/>
      <c r="I28" s="205"/>
      <c r="J28" s="205"/>
      <c r="K28" s="205"/>
      <c r="L28" s="205"/>
      <c r="M28" s="205"/>
      <c r="N28" s="205"/>
      <c r="O28" s="205"/>
    </row>
    <row r="29" spans="1:15" x14ac:dyDescent="0.2">
      <c r="A29" s="215" t="s">
        <v>140</v>
      </c>
      <c r="B29" s="484" t="s">
        <v>405</v>
      </c>
      <c r="C29" s="484"/>
      <c r="D29" s="484"/>
      <c r="E29" s="484"/>
      <c r="F29" s="484"/>
      <c r="G29" s="485"/>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4" t="s">
        <v>402</v>
      </c>
      <c r="C31" s="484"/>
      <c r="D31" s="484"/>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401</v>
      </c>
      <c r="C34" s="209"/>
      <c r="D34" s="205"/>
      <c r="E34" s="205"/>
      <c r="F34" s="205"/>
      <c r="G34" s="216"/>
      <c r="H34" s="205"/>
      <c r="I34" s="205"/>
      <c r="J34" s="205"/>
      <c r="K34" s="205"/>
      <c r="L34" s="205"/>
      <c r="M34" s="205"/>
      <c r="N34" s="205"/>
      <c r="O34" s="205"/>
    </row>
    <row r="35" spans="1:15" ht="14.25" x14ac:dyDescent="0.25">
      <c r="A35" s="220" t="s">
        <v>172</v>
      </c>
      <c r="B35" s="460">
        <v>8.9999999999999993E-3</v>
      </c>
      <c r="C35" s="221" t="s">
        <v>22</v>
      </c>
      <c r="D35" s="222" t="s">
        <v>218</v>
      </c>
      <c r="E35" s="490" t="s">
        <v>400</v>
      </c>
      <c r="F35" s="490"/>
      <c r="G35" s="491"/>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500" t="s">
        <v>370</v>
      </c>
      <c r="B37" s="500"/>
      <c r="C37" s="500"/>
      <c r="D37" s="500"/>
      <c r="E37" s="500"/>
      <c r="F37" s="500"/>
      <c r="G37" s="500"/>
      <c r="H37" s="500"/>
      <c r="I37" s="500"/>
      <c r="J37" s="500"/>
      <c r="K37" s="205"/>
      <c r="L37" s="205"/>
      <c r="M37" s="205"/>
      <c r="N37" s="205"/>
      <c r="O37" s="205"/>
    </row>
    <row r="38" spans="1:15" x14ac:dyDescent="0.2">
      <c r="A38" s="500"/>
      <c r="B38" s="500"/>
      <c r="C38" s="500"/>
      <c r="D38" s="500"/>
      <c r="E38" s="500"/>
      <c r="F38" s="500"/>
      <c r="G38" s="500"/>
      <c r="H38" s="500"/>
      <c r="I38" s="500"/>
      <c r="J38" s="500"/>
      <c r="K38" s="205"/>
      <c r="L38" s="205"/>
      <c r="M38" s="205"/>
      <c r="N38" s="205"/>
      <c r="O38" s="205"/>
    </row>
    <row r="39" spans="1:15" x14ac:dyDescent="0.2">
      <c r="A39" s="500"/>
      <c r="B39" s="500"/>
      <c r="C39" s="500"/>
      <c r="D39" s="500"/>
      <c r="E39" s="500"/>
      <c r="F39" s="500"/>
      <c r="G39" s="500"/>
      <c r="H39" s="500"/>
      <c r="I39" s="500"/>
      <c r="J39" s="500"/>
      <c r="K39" s="205"/>
      <c r="L39" s="205"/>
      <c r="M39" s="205"/>
      <c r="N39" s="205"/>
      <c r="O39" s="205"/>
    </row>
    <row r="40" spans="1:15" x14ac:dyDescent="0.2">
      <c r="A40" s="500"/>
      <c r="B40" s="500"/>
      <c r="C40" s="500"/>
      <c r="D40" s="500"/>
      <c r="E40" s="500"/>
      <c r="F40" s="500"/>
      <c r="G40" s="500"/>
      <c r="H40" s="500"/>
      <c r="I40" s="500"/>
      <c r="J40" s="500"/>
      <c r="K40" s="205"/>
      <c r="L40" s="205"/>
      <c r="M40" s="205"/>
      <c r="N40" s="205"/>
      <c r="O40" s="205"/>
    </row>
    <row r="41" spans="1:15" x14ac:dyDescent="0.2">
      <c r="A41" s="482" t="s">
        <v>371</v>
      </c>
      <c r="B41" s="482"/>
      <c r="C41" s="482"/>
      <c r="D41" s="482"/>
      <c r="E41" s="482"/>
      <c r="F41" s="482"/>
      <c r="G41" s="482"/>
      <c r="H41" s="482"/>
      <c r="I41" s="482"/>
      <c r="J41" s="482"/>
      <c r="K41" s="205"/>
      <c r="L41" s="205"/>
      <c r="M41" s="205"/>
      <c r="N41" s="205"/>
      <c r="O41" s="205"/>
    </row>
    <row r="42" spans="1:15" x14ac:dyDescent="0.2">
      <c r="A42" s="482" t="s">
        <v>316</v>
      </c>
      <c r="B42" s="482"/>
      <c r="C42" s="482"/>
      <c r="D42" s="482"/>
      <c r="E42" s="482"/>
      <c r="F42" s="482"/>
      <c r="G42" s="482"/>
      <c r="H42" s="482"/>
      <c r="I42" s="482"/>
      <c r="J42" s="482"/>
      <c r="K42" s="205"/>
      <c r="L42" s="205"/>
      <c r="M42" s="205"/>
      <c r="N42" s="205"/>
      <c r="O42" s="205"/>
    </row>
    <row r="43" spans="1:15" x14ac:dyDescent="0.2">
      <c r="A43" s="482" t="s">
        <v>219</v>
      </c>
      <c r="B43" s="482"/>
      <c r="C43" s="482"/>
      <c r="D43" s="482"/>
      <c r="E43" s="482"/>
      <c r="F43" s="482"/>
      <c r="G43" s="482"/>
      <c r="H43" s="482"/>
      <c r="I43" s="482"/>
      <c r="J43" s="482"/>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82" t="s">
        <v>209</v>
      </c>
      <c r="B45" s="482"/>
      <c r="C45" s="482"/>
      <c r="D45" s="482"/>
      <c r="E45" s="482"/>
      <c r="F45" s="482"/>
      <c r="G45" s="482"/>
      <c r="H45" s="482"/>
      <c r="I45" s="482"/>
      <c r="J45" s="482"/>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7" t="s">
        <v>324</v>
      </c>
      <c r="B47" s="487"/>
      <c r="C47" s="487"/>
      <c r="D47" s="487"/>
      <c r="E47" s="487"/>
      <c r="F47" s="488"/>
      <c r="G47" s="488"/>
      <c r="H47" s="488"/>
      <c r="I47" s="488"/>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7:I47"/>
    <mergeCell ref="A7:M7"/>
    <mergeCell ref="E35:G35"/>
    <mergeCell ref="B31:D31"/>
    <mergeCell ref="A10:I11"/>
    <mergeCell ref="A13:I14"/>
    <mergeCell ref="A16:H16"/>
    <mergeCell ref="A18:G18"/>
    <mergeCell ref="A19:E19"/>
    <mergeCell ref="A45:J45"/>
    <mergeCell ref="A8:D8"/>
    <mergeCell ref="A37:J40"/>
    <mergeCell ref="A41:J41"/>
    <mergeCell ref="A42:J42"/>
    <mergeCell ref="A43:J43"/>
    <mergeCell ref="A20:I23"/>
    <mergeCell ref="B28:G28"/>
    <mergeCell ref="B29:G29"/>
    <mergeCell ref="A24:O24"/>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8" t="s">
        <v>383</v>
      </c>
      <c r="C2" s="498"/>
      <c r="D2" s="499"/>
      <c r="E2" s="499"/>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Pb</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8.9999999999999993E-3</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8.9999999999999993E-3</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8" t="s">
        <v>383</v>
      </c>
      <c r="C2" s="498"/>
      <c r="D2" s="499"/>
      <c r="E2" s="499"/>
    </row>
    <row r="4" spans="1:14" ht="20.25" x14ac:dyDescent="0.3">
      <c r="B4" s="255" t="s">
        <v>339</v>
      </c>
    </row>
    <row r="6" spans="1:14" ht="12.75" customHeight="1" x14ac:dyDescent="0.2">
      <c r="B6" s="256" t="s">
        <v>89</v>
      </c>
      <c r="C6" s="257"/>
      <c r="D6" s="517" t="str">
        <f>Introduction!B34</f>
        <v>Pb</v>
      </c>
      <c r="E6" s="518"/>
      <c r="F6" s="120" t="s">
        <v>344</v>
      </c>
      <c r="H6" s="519" t="s">
        <v>340</v>
      </c>
      <c r="I6" s="519"/>
      <c r="J6" s="519"/>
      <c r="K6" s="519"/>
      <c r="L6" s="519"/>
      <c r="M6" s="519"/>
    </row>
    <row r="7" spans="1:14" ht="12.75" customHeight="1" x14ac:dyDescent="0.2">
      <c r="B7" s="256" t="s">
        <v>74</v>
      </c>
      <c r="C7" s="259" t="s">
        <v>97</v>
      </c>
      <c r="D7" s="390">
        <f>Introduction!B35</f>
        <v>8.9999999999999993E-3</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9"/>
      <c r="P33" s="499"/>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8" t="s">
        <v>383</v>
      </c>
      <c r="C1" s="498"/>
      <c r="D1" s="499"/>
      <c r="E1" s="499"/>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2" t="s">
        <v>254</v>
      </c>
      <c r="H6" s="523"/>
      <c r="I6" s="523"/>
      <c r="J6" s="524"/>
      <c r="K6" s="20"/>
      <c r="L6" s="20"/>
      <c r="V6" s="63" t="s">
        <v>233</v>
      </c>
    </row>
    <row r="7" spans="1:24" ht="15" x14ac:dyDescent="0.25">
      <c r="B7" s="58" t="s">
        <v>89</v>
      </c>
      <c r="C7" s="16"/>
      <c r="D7" s="525" t="str">
        <f>Introduction!B34</f>
        <v>Pb</v>
      </c>
      <c r="E7" s="526"/>
      <c r="F7" s="31" t="s">
        <v>344</v>
      </c>
      <c r="V7" s="63" t="s">
        <v>163</v>
      </c>
    </row>
    <row r="8" spans="1:24" ht="16.5" x14ac:dyDescent="0.2">
      <c r="B8" s="58" t="s">
        <v>6</v>
      </c>
      <c r="C8" s="51" t="s">
        <v>97</v>
      </c>
      <c r="D8" s="399">
        <f>Introduction!B35</f>
        <v>8.9999999999999993E-3</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30"/>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31" t="s">
        <v>378</v>
      </c>
      <c r="D15" s="532"/>
      <c r="E15" s="532"/>
      <c r="F15" s="533"/>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2" t="s">
        <v>356</v>
      </c>
      <c r="D18" s="523"/>
      <c r="E18" s="523"/>
      <c r="F18" s="524"/>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9" t="s">
        <v>261</v>
      </c>
      <c r="O20" s="529"/>
      <c r="P20" s="529"/>
      <c r="Q20" s="529"/>
      <c r="R20" s="529"/>
      <c r="S20" s="529"/>
      <c r="T20" s="529"/>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9"/>
      <c r="O21" s="529"/>
      <c r="P21" s="529"/>
      <c r="Q21" s="529"/>
      <c r="R21" s="529"/>
      <c r="S21" s="529"/>
      <c r="T21" s="529"/>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9"/>
      <c r="O22" s="529"/>
      <c r="P22" s="529"/>
      <c r="Q22" s="529"/>
      <c r="R22" s="529"/>
      <c r="S22" s="529"/>
      <c r="T22" s="529"/>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9"/>
      <c r="O23" s="529"/>
      <c r="P23" s="529"/>
      <c r="Q23" s="529"/>
      <c r="R23" s="529"/>
      <c r="S23" s="529"/>
      <c r="T23" s="529"/>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9"/>
      <c r="O24" s="529"/>
      <c r="P24" s="529"/>
      <c r="Q24" s="529"/>
      <c r="R24" s="529"/>
      <c r="S24" s="529"/>
      <c r="T24" s="529"/>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2" t="s">
        <v>306</v>
      </c>
      <c r="I26" s="523"/>
      <c r="J26" s="523"/>
      <c r="K26" s="524"/>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8" t="s">
        <v>351</v>
      </c>
      <c r="O35" s="528"/>
      <c r="P35" s="528"/>
      <c r="Q35" s="528"/>
      <c r="R35" s="528"/>
      <c r="S35" s="528"/>
      <c r="T35" s="528"/>
      <c r="U35" s="528"/>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8"/>
      <c r="O36" s="528"/>
      <c r="P36" s="528"/>
      <c r="Q36" s="528"/>
      <c r="R36" s="528"/>
      <c r="S36" s="528"/>
      <c r="T36" s="528"/>
      <c r="U36" s="528"/>
      <c r="X36" s="466"/>
    </row>
    <row r="37" spans="2:24" x14ac:dyDescent="0.2">
      <c r="B37" s="199" t="s">
        <v>353</v>
      </c>
      <c r="D37" s="200"/>
      <c r="N37" s="528"/>
      <c r="O37" s="528"/>
      <c r="P37" s="528"/>
      <c r="Q37" s="528"/>
      <c r="R37" s="528"/>
      <c r="S37" s="528"/>
      <c r="T37" s="528"/>
      <c r="U37" s="528"/>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8"/>
      <c r="O38" s="528"/>
      <c r="P38" s="528"/>
      <c r="Q38" s="528"/>
      <c r="R38" s="528"/>
      <c r="S38" s="528"/>
      <c r="T38" s="528"/>
      <c r="U38" s="528"/>
    </row>
    <row r="39" spans="2:24" ht="15.75" x14ac:dyDescent="0.25">
      <c r="B39" s="29" t="s">
        <v>36</v>
      </c>
      <c r="C39" s="6" t="s">
        <v>37</v>
      </c>
      <c r="D39" s="6"/>
      <c r="E39" s="6"/>
      <c r="F39" s="32"/>
      <c r="G39" s="527" t="s">
        <v>381</v>
      </c>
      <c r="H39" s="527"/>
      <c r="I39" s="527"/>
      <c r="J39" s="527"/>
      <c r="N39" s="528"/>
      <c r="O39" s="528"/>
      <c r="P39" s="528"/>
      <c r="Q39" s="528"/>
      <c r="R39" s="528"/>
      <c r="S39" s="528"/>
      <c r="T39" s="528"/>
      <c r="U39" s="528"/>
    </row>
    <row r="40" spans="2:24" ht="14.25" x14ac:dyDescent="0.2">
      <c r="B40" s="1"/>
      <c r="C40" s="3"/>
      <c r="G40" s="527"/>
      <c r="H40" s="527"/>
      <c r="I40" s="527"/>
      <c r="J40" s="527"/>
      <c r="N40" s="528" t="s">
        <v>352</v>
      </c>
      <c r="O40" s="528"/>
      <c r="P40" s="528"/>
      <c r="Q40" s="528"/>
      <c r="R40" s="528"/>
      <c r="S40" s="528"/>
      <c r="T40" s="528"/>
      <c r="U40" s="528"/>
    </row>
    <row r="41" spans="2:24" ht="14.25" x14ac:dyDescent="0.2">
      <c r="B41" s="1" t="s">
        <v>200</v>
      </c>
      <c r="C41" s="4" t="s">
        <v>38</v>
      </c>
      <c r="D41" s="131" t="e">
        <f>'Level3.1 Soil Calc'!C28</f>
        <v>#DIV/0!</v>
      </c>
      <c r="E41" s="2" t="s">
        <v>25</v>
      </c>
      <c r="G41" s="527"/>
      <c r="H41" s="527"/>
      <c r="I41" s="527"/>
      <c r="J41" s="527"/>
      <c r="N41" s="528"/>
      <c r="O41" s="528"/>
      <c r="P41" s="528"/>
      <c r="Q41" s="528"/>
      <c r="R41" s="528"/>
      <c r="S41" s="528"/>
      <c r="T41" s="528"/>
      <c r="U41" s="528"/>
    </row>
    <row r="42" spans="2:24" ht="14.25" x14ac:dyDescent="0.2">
      <c r="B42" s="1" t="s">
        <v>39</v>
      </c>
      <c r="C42" s="4" t="s">
        <v>247</v>
      </c>
      <c r="D42" s="131" t="e">
        <f>1+(D33*D24)/D25</f>
        <v>#DIV/0!</v>
      </c>
      <c r="E42" s="2" t="s">
        <v>79</v>
      </c>
      <c r="G42" s="527"/>
      <c r="H42" s="527"/>
      <c r="I42" s="527"/>
      <c r="J42" s="527"/>
      <c r="K42" s="193" t="s">
        <v>2</v>
      </c>
      <c r="N42" s="81"/>
      <c r="Q42" s="20"/>
      <c r="R42" s="20"/>
    </row>
    <row r="43" spans="2:24" ht="15" x14ac:dyDescent="0.2">
      <c r="B43" s="1" t="s">
        <v>235</v>
      </c>
      <c r="C43" s="5" t="s">
        <v>236</v>
      </c>
      <c r="D43" s="131">
        <f>IF(C15=A15,(D21/D42),(D21))</f>
        <v>1000000</v>
      </c>
      <c r="E43" s="2" t="s">
        <v>239</v>
      </c>
      <c r="G43" s="499"/>
      <c r="H43" s="499"/>
      <c r="I43" s="499"/>
      <c r="J43" s="499"/>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0" t="str">
        <f>IF(D29&gt;0,"Warning plume offset",IF(D30&gt;0,"Warning plume offset",""))</f>
        <v/>
      </c>
      <c r="E54" s="521"/>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N40:U41"/>
    <mergeCell ref="N20:T24"/>
    <mergeCell ref="N35:U39"/>
    <mergeCell ref="C12:E12"/>
    <mergeCell ref="H26:K26"/>
    <mergeCell ref="C15:F15"/>
    <mergeCell ref="C18:F18"/>
    <mergeCell ref="B1:E1"/>
    <mergeCell ref="D54:E54"/>
    <mergeCell ref="G6:J6"/>
    <mergeCell ref="D7:E7"/>
    <mergeCell ref="G39:J43"/>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I40" sqref="I40"/>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25" t="str">
        <f>Introduction!B34</f>
        <v>Pb</v>
      </c>
      <c r="E8" s="526"/>
      <c r="F8" s="31" t="s">
        <v>344</v>
      </c>
      <c r="H8" s="20"/>
      <c r="I8" s="21"/>
      <c r="J8" s="20"/>
      <c r="L8" s="20"/>
      <c r="M8" s="20"/>
      <c r="W8" s="63" t="s">
        <v>163</v>
      </c>
    </row>
    <row r="9" spans="1:29" ht="16.5" x14ac:dyDescent="0.3">
      <c r="B9" s="58" t="s">
        <v>6</v>
      </c>
      <c r="C9" s="53" t="s">
        <v>97</v>
      </c>
      <c r="D9" s="402">
        <f>Introduction!B35</f>
        <v>8.9999999999999993E-3</v>
      </c>
      <c r="E9" s="2" t="s">
        <v>22</v>
      </c>
      <c r="F9" s="31" t="s">
        <v>344</v>
      </c>
      <c r="G9" s="100" t="s">
        <v>101</v>
      </c>
      <c r="J9" s="34"/>
      <c r="K9" s="101"/>
      <c r="L9" s="49"/>
      <c r="M9" s="49"/>
      <c r="P9" s="20"/>
    </row>
    <row r="10" spans="1:29" x14ac:dyDescent="0.2">
      <c r="D10"/>
      <c r="E10"/>
      <c r="F10"/>
      <c r="G10" s="56" t="s">
        <v>90</v>
      </c>
      <c r="J10" s="8" t="s">
        <v>13</v>
      </c>
      <c r="K10" s="148">
        <v>13100</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30"/>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0.05</v>
      </c>
    </row>
    <row r="15" spans="1:29" ht="15" customHeight="1" x14ac:dyDescent="0.25">
      <c r="A15" s="403" t="s">
        <v>311</v>
      </c>
      <c r="B15" s="318" t="s">
        <v>310</v>
      </c>
      <c r="C15" s="522" t="s">
        <v>311</v>
      </c>
      <c r="D15" s="523"/>
      <c r="E15" s="523"/>
      <c r="F15" s="524"/>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0</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0</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0</v>
      </c>
    </row>
    <row r="18" spans="1:24" ht="15" customHeight="1" x14ac:dyDescent="0.25">
      <c r="A18" s="320" t="s">
        <v>308</v>
      </c>
      <c r="B18" s="318" t="s">
        <v>304</v>
      </c>
      <c r="C18" s="531" t="s">
        <v>308</v>
      </c>
      <c r="D18" s="532"/>
      <c r="E18" s="532"/>
      <c r="F18" s="533"/>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0</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0</v>
      </c>
    </row>
    <row r="20" spans="1:24" ht="15" customHeight="1" x14ac:dyDescent="0.35">
      <c r="B20" s="1" t="s">
        <v>275</v>
      </c>
      <c r="C20" s="3" t="s">
        <v>232</v>
      </c>
      <c r="D20" s="142">
        <v>0.05</v>
      </c>
      <c r="E20" s="2" t="s">
        <v>22</v>
      </c>
      <c r="F20" s="180" t="s">
        <v>392</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0</v>
      </c>
    </row>
    <row r="21" spans="1:24" ht="15" customHeight="1" x14ac:dyDescent="0.35">
      <c r="B21" s="1" t="s">
        <v>241</v>
      </c>
      <c r="C21" s="89" t="s">
        <v>152</v>
      </c>
      <c r="D21" s="148">
        <v>8.9999999999999999E+99</v>
      </c>
      <c r="E21" s="2" t="s">
        <v>21</v>
      </c>
      <c r="F21" s="180" t="s">
        <v>393</v>
      </c>
      <c r="G21" s="56" t="s">
        <v>90</v>
      </c>
      <c r="H21" s="20"/>
      <c r="J21" s="8" t="s">
        <v>13</v>
      </c>
      <c r="K21" s="186">
        <f>IF($N$2=1,$K$10,IF($N$3=1,$K$13*$K$12,IF($N$4=1,K19*($K$15*(1+10^($K$17-$K$18))^-1)+$K$16*(1-(1+(10^($K$17-$K$18)))^-1))))</f>
        <v>13100</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v>
      </c>
    </row>
    <row r="23" spans="1:24" ht="15" customHeight="1" x14ac:dyDescent="0.25">
      <c r="B23" s="1" t="s">
        <v>262</v>
      </c>
      <c r="C23" s="3" t="s">
        <v>50</v>
      </c>
      <c r="D23" s="142">
        <v>100</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v>
      </c>
    </row>
    <row r="24" spans="1:24" ht="15" customHeight="1" x14ac:dyDescent="0.25">
      <c r="B24" s="1" t="s">
        <v>222</v>
      </c>
      <c r="C24" s="3" t="s">
        <v>153</v>
      </c>
      <c r="D24" s="142">
        <v>100</v>
      </c>
      <c r="E24" s="2" t="s">
        <v>26</v>
      </c>
      <c r="F24" s="180" t="s">
        <v>394</v>
      </c>
      <c r="G24" s="56"/>
      <c r="H24" s="20"/>
      <c r="J24" s="8"/>
      <c r="K24" s="115"/>
      <c r="L24" s="396" t="s">
        <v>305</v>
      </c>
      <c r="M24" s="321">
        <v>0</v>
      </c>
      <c r="O24" s="529" t="s">
        <v>263</v>
      </c>
      <c r="P24" s="529"/>
      <c r="Q24" s="529"/>
      <c r="R24" s="529"/>
      <c r="S24" s="529"/>
      <c r="T24" s="529"/>
      <c r="U24" s="529"/>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v>
      </c>
    </row>
    <row r="25" spans="1:24" ht="15" customHeight="1" x14ac:dyDescent="0.25">
      <c r="B25" s="1" t="s">
        <v>145</v>
      </c>
      <c r="C25" s="3" t="s">
        <v>62</v>
      </c>
      <c r="D25" s="142">
        <v>1</v>
      </c>
      <c r="E25" s="2" t="s">
        <v>26</v>
      </c>
      <c r="F25" s="180" t="s">
        <v>395</v>
      </c>
      <c r="G25" s="325" t="s">
        <v>280</v>
      </c>
      <c r="L25" s="397" t="s">
        <v>306</v>
      </c>
      <c r="M25" s="319">
        <v>1</v>
      </c>
      <c r="O25" s="529"/>
      <c r="P25" s="529"/>
      <c r="Q25" s="529"/>
      <c r="R25" s="529"/>
      <c r="S25" s="529"/>
      <c r="T25" s="529"/>
      <c r="U25" s="529"/>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v>
      </c>
    </row>
    <row r="26" spans="1:24" ht="15" customHeight="1" x14ac:dyDescent="0.25">
      <c r="B26" s="1" t="s">
        <v>248</v>
      </c>
      <c r="C26" s="90" t="s">
        <v>35</v>
      </c>
      <c r="D26" s="142">
        <v>1.96</v>
      </c>
      <c r="E26" s="2" t="s">
        <v>81</v>
      </c>
      <c r="F26" s="180" t="s">
        <v>396</v>
      </c>
      <c r="G26" s="23"/>
      <c r="H26" s="522" t="s">
        <v>306</v>
      </c>
      <c r="I26" s="523"/>
      <c r="J26" s="523"/>
      <c r="K26" s="524"/>
      <c r="L26" s="397" t="s">
        <v>307</v>
      </c>
      <c r="M26" s="319">
        <v>2</v>
      </c>
      <c r="O26" s="529"/>
      <c r="P26" s="529"/>
      <c r="Q26" s="529"/>
      <c r="R26" s="529"/>
      <c r="S26" s="529"/>
      <c r="T26" s="529"/>
      <c r="U26" s="529"/>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8" t="s">
        <v>332</v>
      </c>
      <c r="P31" s="529"/>
      <c r="Q31" s="529"/>
      <c r="R31" s="529"/>
      <c r="S31" s="529"/>
      <c r="T31" s="529"/>
      <c r="U31" s="529"/>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v>
      </c>
    </row>
    <row r="32" spans="1:24" ht="15" customHeight="1" x14ac:dyDescent="0.25">
      <c r="B32" s="58" t="s">
        <v>33</v>
      </c>
      <c r="C32" s="3" t="s">
        <v>15</v>
      </c>
      <c r="D32" s="142">
        <v>0</v>
      </c>
      <c r="E32" s="2" t="s">
        <v>26</v>
      </c>
      <c r="F32" s="180"/>
      <c r="G32" s="475" t="s">
        <v>380</v>
      </c>
      <c r="O32" s="529"/>
      <c r="P32" s="529"/>
      <c r="Q32" s="529"/>
      <c r="R32" s="529"/>
      <c r="S32" s="529"/>
      <c r="T32" s="529"/>
      <c r="U32" s="529"/>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v>
      </c>
    </row>
    <row r="33" spans="1:24" ht="15" x14ac:dyDescent="0.25">
      <c r="A33" s="193">
        <f>'Level2 Soil'!J14</f>
        <v>0</v>
      </c>
      <c r="B33" s="1" t="s">
        <v>242</v>
      </c>
      <c r="C33" s="3" t="s">
        <v>17</v>
      </c>
      <c r="D33" s="148">
        <f>365*1000</f>
        <v>365000</v>
      </c>
      <c r="E33" s="2" t="s">
        <v>21</v>
      </c>
      <c r="F33" s="33" t="s">
        <v>111</v>
      </c>
      <c r="G33" t="s">
        <v>155</v>
      </c>
      <c r="O33" s="529"/>
      <c r="P33" s="529"/>
      <c r="Q33" s="529"/>
      <c r="R33" s="529"/>
      <c r="S33" s="529"/>
      <c r="T33" s="529"/>
      <c r="U33" s="529"/>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8" t="s">
        <v>264</v>
      </c>
      <c r="P34" s="528"/>
      <c r="Q34" s="528"/>
      <c r="R34" s="528"/>
      <c r="S34" s="528"/>
      <c r="T34" s="528"/>
      <c r="U34" s="528"/>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13100</v>
      </c>
      <c r="E35" s="2" t="s">
        <v>23</v>
      </c>
      <c r="F35" s="33" t="s">
        <v>56</v>
      </c>
      <c r="O35" s="528"/>
      <c r="P35" s="528"/>
      <c r="Q35" s="528"/>
      <c r="R35" s="528"/>
      <c r="S35" s="528"/>
      <c r="T35" s="528"/>
      <c r="U35" s="528"/>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27" t="s">
        <v>382</v>
      </c>
      <c r="P40" s="527"/>
      <c r="Q40" s="527"/>
      <c r="R40" s="527"/>
      <c r="S40" s="527"/>
      <c r="T40" s="527"/>
      <c r="U40" s="527"/>
    </row>
    <row r="41" spans="1:24" ht="14.25" x14ac:dyDescent="0.2">
      <c r="B41" s="1"/>
      <c r="C41" s="3"/>
      <c r="J41" s="193"/>
      <c r="O41" s="527"/>
      <c r="P41" s="527"/>
      <c r="Q41" s="527"/>
      <c r="R41" s="527"/>
      <c r="S41" s="527"/>
      <c r="T41" s="527"/>
      <c r="U41" s="527"/>
    </row>
    <row r="42" spans="1:24" ht="14.25" x14ac:dyDescent="0.2">
      <c r="B42" s="1" t="s">
        <v>200</v>
      </c>
      <c r="C42" s="3" t="s">
        <v>38</v>
      </c>
      <c r="D42" s="131">
        <f>(D29*D28)/D27</f>
        <v>3.1749999999999997E-6</v>
      </c>
      <c r="E42" s="2" t="s">
        <v>25</v>
      </c>
      <c r="J42" s="449"/>
      <c r="O42" s="527"/>
      <c r="P42" s="527"/>
      <c r="Q42" s="527"/>
      <c r="R42" s="527"/>
      <c r="S42" s="527"/>
      <c r="T42" s="527"/>
      <c r="U42" s="527"/>
    </row>
    <row r="43" spans="1:24" ht="15" customHeight="1" x14ac:dyDescent="0.2">
      <c r="B43" s="1" t="s">
        <v>39</v>
      </c>
      <c r="C43" s="3" t="s">
        <v>247</v>
      </c>
      <c r="D43" s="131">
        <f>1+(D35*D26)/D27</f>
        <v>158494.82716049382</v>
      </c>
      <c r="E43" s="2" t="s">
        <v>79</v>
      </c>
      <c r="I43" s="469"/>
      <c r="O43" s="527"/>
      <c r="P43" s="527"/>
      <c r="Q43" s="527"/>
      <c r="R43" s="527"/>
      <c r="S43" s="527"/>
      <c r="T43" s="527"/>
      <c r="U43" s="527"/>
    </row>
    <row r="44" spans="1:24" ht="15" customHeight="1" x14ac:dyDescent="0.25">
      <c r="B44" s="1" t="s">
        <v>235</v>
      </c>
      <c r="C44" s="90" t="s">
        <v>236</v>
      </c>
      <c r="D44" s="131">
        <f>IF(C18=A18,(D22/D43),(D22))</f>
        <v>4.8594225258432307E-106</v>
      </c>
      <c r="E44" s="2" t="s">
        <v>239</v>
      </c>
      <c r="O44" s="527"/>
      <c r="P44" s="527"/>
      <c r="Q44" s="527"/>
      <c r="R44" s="527"/>
      <c r="S44" s="527"/>
      <c r="T44" s="527"/>
      <c r="U44" s="527"/>
    </row>
    <row r="45" spans="1:24" ht="15" customHeight="1" x14ac:dyDescent="0.2">
      <c r="B45" s="1" t="s">
        <v>40</v>
      </c>
      <c r="C45" s="3" t="s">
        <v>41</v>
      </c>
      <c r="D45" s="131">
        <f>(D29*D28)/(D27*D43)</f>
        <v>2.0032199516423055E-11</v>
      </c>
      <c r="E45" s="2" t="s">
        <v>25</v>
      </c>
      <c r="O45" s="527"/>
      <c r="P45" s="527"/>
      <c r="Q45" s="527"/>
      <c r="R45" s="527"/>
      <c r="S45" s="527"/>
      <c r="T45" s="527"/>
      <c r="U45" s="527"/>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0" t="str">
        <f>IF(D31&gt;0,"Warning plume offset",IF(D32&gt;0,"Warning plume offset",""))</f>
        <v/>
      </c>
      <c r="E52" s="521"/>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7"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Pb</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8.9999999999999993E-3</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Pb</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Pb</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8.9999999999999993E-3</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Pb</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8.9999999999999993E-3</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Pb</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8.9999999999999993E-3</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Pb</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8.9999999999999993E-3</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Pb</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8.9999999999999993E-3</v>
      </c>
      <c r="D5" s="8" t="s">
        <v>22</v>
      </c>
      <c r="E5" s="64">
        <v>1</v>
      </c>
      <c r="F5" s="64">
        <f t="shared" ref="F5:F24" si="0">$C$17/20*E5</f>
        <v>0.05</v>
      </c>
      <c r="G5" s="11">
        <f t="shared" ref="G5:G24" si="1">0.125*$C$8</f>
        <v>6.2500000000000003E-3</v>
      </c>
      <c r="H5" s="134">
        <f>$F5/(2*$C$21)*(1-(1+(4*$C$9*$C$21)/$C$30)^0.5)</f>
        <v>0</v>
      </c>
      <c r="I5" s="134">
        <f t="shared" ref="I5:I24" si="2">EXP(H5)</f>
        <v>1</v>
      </c>
      <c r="J5" s="135">
        <f t="shared" ref="J5:J24" si="3">1/(2*(SQRT($C$21*$C$30*$C$20)))*($F5-($C$30*$C$20)*(1+(4*$C$9*$C$21)/$C$30)^0.5)</f>
        <v>29.232485585637267</v>
      </c>
      <c r="K5" s="114">
        <f t="shared" ref="K5:K24" si="4">IF(J5&lt;-4,2,IF(J5&gt;4,0,IF(J5&gt;=0,ERFC(J5),1+ERF(-J5))))</f>
        <v>0</v>
      </c>
      <c r="L5" s="134">
        <f t="shared" ref="L5:L24" si="5">$F5/(2*$C$21)*(1+(1+(4*$C$9*$C$21)/$C$30)^0.5)</f>
        <v>0.5</v>
      </c>
      <c r="M5" s="134">
        <f t="shared" ref="M5:M24" si="6">IF(L5&gt;700,EXP(700),EXP(L5))</f>
        <v>1.6487212707001282</v>
      </c>
      <c r="N5" s="135">
        <f t="shared" ref="N5:N24" si="7">1/(2*(SQRT($C$21*$C$30*$C$20)))*($F5+($C$30*$C$20)*(1+(4*$C$9*$C$21)/$C$30)^0.5)</f>
        <v>29.241036464436252</v>
      </c>
      <c r="O5" s="114">
        <f t="shared" ref="O5:O24" si="8">IF(N5&lt;-4,2,IF(N5&gt;4,0,IF(N5&gt;=0,ERFC(N5),1+ERF(-N5))))</f>
        <v>0</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0</v>
      </c>
    </row>
    <row r="6" spans="2:25" x14ac:dyDescent="0.2">
      <c r="B6"/>
      <c r="C6"/>
      <c r="D6" s="8"/>
      <c r="E6" s="64">
        <v>2</v>
      </c>
      <c r="F6" s="64">
        <f t="shared" si="0"/>
        <v>0.1</v>
      </c>
      <c r="G6" s="11">
        <f t="shared" si="1"/>
        <v>6.2500000000000003E-3</v>
      </c>
      <c r="H6" s="134">
        <f t="shared" ref="H6:H24" si="18">$F6/(2*$C$21)*(1-(1+(4*$C$9*$C$21)/$C$30)^0.5)</f>
        <v>0</v>
      </c>
      <c r="I6" s="134">
        <f t="shared" si="2"/>
        <v>1</v>
      </c>
      <c r="J6" s="135">
        <f t="shared" si="3"/>
        <v>58.469246610674027</v>
      </c>
      <c r="K6" s="114">
        <f t="shared" si="4"/>
        <v>0</v>
      </c>
      <c r="L6" s="134">
        <f t="shared" si="5"/>
        <v>1</v>
      </c>
      <c r="M6" s="134">
        <f t="shared" si="6"/>
        <v>2.7182818284590451</v>
      </c>
      <c r="N6" s="135">
        <f t="shared" si="7"/>
        <v>58.477797489473012</v>
      </c>
      <c r="O6" s="114">
        <f t="shared" si="8"/>
        <v>0</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0</v>
      </c>
    </row>
    <row r="7" spans="2:25" ht="14.25" x14ac:dyDescent="0.2">
      <c r="B7" s="4"/>
      <c r="C7" s="8"/>
      <c r="D7" s="8"/>
      <c r="E7" s="64">
        <v>3</v>
      </c>
      <c r="F7" s="64">
        <f t="shared" si="0"/>
        <v>0.15000000000000002</v>
      </c>
      <c r="G7" s="11">
        <f t="shared" si="1"/>
        <v>6.2500000000000003E-3</v>
      </c>
      <c r="H7" s="134">
        <f t="shared" si="18"/>
        <v>0</v>
      </c>
      <c r="I7" s="134">
        <f t="shared" si="2"/>
        <v>1</v>
      </c>
      <c r="J7" s="135">
        <f t="shared" si="3"/>
        <v>87.70600763571079</v>
      </c>
      <c r="K7" s="114">
        <f t="shared" si="4"/>
        <v>0</v>
      </c>
      <c r="L7" s="134">
        <f t="shared" si="5"/>
        <v>1.5000000000000002</v>
      </c>
      <c r="M7" s="134">
        <f t="shared" si="6"/>
        <v>4.4816890703380654</v>
      </c>
      <c r="N7" s="135">
        <f t="shared" si="7"/>
        <v>87.71455851450979</v>
      </c>
      <c r="O7" s="114">
        <f t="shared" si="8"/>
        <v>0</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0</v>
      </c>
    </row>
    <row r="8" spans="2:25" ht="14.25" x14ac:dyDescent="0.2">
      <c r="B8" s="4" t="s">
        <v>9</v>
      </c>
      <c r="C8" s="186">
        <f>'Level3 Groundwater'!D20</f>
        <v>0.05</v>
      </c>
      <c r="D8" s="8" t="s">
        <v>22</v>
      </c>
      <c r="E8" s="64">
        <v>4</v>
      </c>
      <c r="F8" s="64">
        <f t="shared" si="0"/>
        <v>0.2</v>
      </c>
      <c r="G8" s="11">
        <f t="shared" si="1"/>
        <v>6.2500000000000003E-3</v>
      </c>
      <c r="H8" s="134">
        <f t="shared" si="18"/>
        <v>0</v>
      </c>
      <c r="I8" s="134">
        <f t="shared" si="2"/>
        <v>1</v>
      </c>
      <c r="J8" s="135">
        <f t="shared" si="3"/>
        <v>116.94276866074755</v>
      </c>
      <c r="K8" s="114">
        <f t="shared" si="4"/>
        <v>0</v>
      </c>
      <c r="L8" s="134">
        <f t="shared" si="5"/>
        <v>2</v>
      </c>
      <c r="M8" s="134">
        <f t="shared" si="6"/>
        <v>7.3890560989306504</v>
      </c>
      <c r="N8" s="135">
        <f t="shared" si="7"/>
        <v>116.95131953954655</v>
      </c>
      <c r="O8" s="114">
        <f t="shared" si="8"/>
        <v>0</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0</v>
      </c>
      <c r="Y8" s="18"/>
    </row>
    <row r="9" spans="2:25" ht="15" x14ac:dyDescent="0.2">
      <c r="B9" s="5" t="s">
        <v>34</v>
      </c>
      <c r="C9" s="186">
        <f>'Level3 Groundwater'!D44</f>
        <v>4.8594225258432307E-106</v>
      </c>
      <c r="D9" s="2" t="s">
        <v>151</v>
      </c>
      <c r="E9" s="64">
        <v>5</v>
      </c>
      <c r="F9" s="64">
        <f t="shared" si="0"/>
        <v>0.25</v>
      </c>
      <c r="G9" s="11">
        <f t="shared" si="1"/>
        <v>6.2500000000000003E-3</v>
      </c>
      <c r="H9" s="134">
        <f t="shared" si="18"/>
        <v>0</v>
      </c>
      <c r="I9" s="134">
        <f t="shared" si="2"/>
        <v>1</v>
      </c>
      <c r="J9" s="135">
        <f t="shared" si="3"/>
        <v>146.1795296857843</v>
      </c>
      <c r="K9" s="114">
        <f t="shared" si="4"/>
        <v>0</v>
      </c>
      <c r="L9" s="134">
        <f t="shared" si="5"/>
        <v>2.5</v>
      </c>
      <c r="M9" s="134">
        <f t="shared" si="6"/>
        <v>12.182493960703473</v>
      </c>
      <c r="N9" s="135">
        <f t="shared" si="7"/>
        <v>146.18808056458329</v>
      </c>
      <c r="O9" s="114">
        <f t="shared" si="8"/>
        <v>0</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0</v>
      </c>
    </row>
    <row r="10" spans="2:25" ht="14.25" x14ac:dyDescent="0.2">
      <c r="B10" s="4" t="s">
        <v>50</v>
      </c>
      <c r="C10" s="186">
        <f>'Level3 Groundwater'!D23</f>
        <v>100</v>
      </c>
      <c r="D10" s="2" t="s">
        <v>26</v>
      </c>
      <c r="E10" s="64">
        <v>6</v>
      </c>
      <c r="F10" s="64">
        <f t="shared" si="0"/>
        <v>0.30000000000000004</v>
      </c>
      <c r="G10" s="11">
        <f t="shared" si="1"/>
        <v>6.2500000000000003E-3</v>
      </c>
      <c r="H10" s="134">
        <f t="shared" si="18"/>
        <v>0</v>
      </c>
      <c r="I10" s="134">
        <f t="shared" si="2"/>
        <v>1</v>
      </c>
      <c r="J10" s="135">
        <f t="shared" si="3"/>
        <v>175.4162907108211</v>
      </c>
      <c r="K10" s="114">
        <f t="shared" si="4"/>
        <v>0</v>
      </c>
      <c r="L10" s="134">
        <f t="shared" si="5"/>
        <v>3.0000000000000004</v>
      </c>
      <c r="M10" s="134">
        <f t="shared" si="6"/>
        <v>20.085536923187675</v>
      </c>
      <c r="N10" s="135">
        <f t="shared" si="7"/>
        <v>175.42484158962006</v>
      </c>
      <c r="O10" s="114">
        <f t="shared" si="8"/>
        <v>0</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0</v>
      </c>
    </row>
    <row r="11" spans="2:25" ht="14.25" x14ac:dyDescent="0.2">
      <c r="B11" s="4" t="s">
        <v>153</v>
      </c>
      <c r="C11" s="186">
        <f>'Level3 Groundwater'!D24</f>
        <v>100</v>
      </c>
      <c r="D11" s="2" t="s">
        <v>26</v>
      </c>
      <c r="E11" s="64">
        <v>7</v>
      </c>
      <c r="F11" s="64">
        <f t="shared" si="0"/>
        <v>0.35000000000000003</v>
      </c>
      <c r="G11" s="11">
        <f t="shared" si="1"/>
        <v>6.2500000000000003E-3</v>
      </c>
      <c r="H11" s="134">
        <f t="shared" si="18"/>
        <v>0</v>
      </c>
      <c r="I11" s="134">
        <f t="shared" si="2"/>
        <v>1</v>
      </c>
      <c r="J11" s="135">
        <f t="shared" si="3"/>
        <v>204.65305173585784</v>
      </c>
      <c r="K11" s="114">
        <f t="shared" si="4"/>
        <v>0</v>
      </c>
      <c r="L11" s="134">
        <f t="shared" si="5"/>
        <v>3.5</v>
      </c>
      <c r="M11" s="134">
        <f t="shared" si="6"/>
        <v>33.115451958692312</v>
      </c>
      <c r="N11" s="135">
        <f t="shared" si="7"/>
        <v>204.66160261465683</v>
      </c>
      <c r="O11" s="114">
        <f t="shared" si="8"/>
        <v>0</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0</v>
      </c>
    </row>
    <row r="12" spans="2:25" ht="14.25" x14ac:dyDescent="0.2">
      <c r="B12" s="4" t="s">
        <v>13</v>
      </c>
      <c r="C12" s="186">
        <f>'Level3 Groundwater'!K21</f>
        <v>13100</v>
      </c>
      <c r="D12" s="2" t="s">
        <v>23</v>
      </c>
      <c r="E12" s="64">
        <v>8</v>
      </c>
      <c r="F12" s="64">
        <f t="shared" si="0"/>
        <v>0.4</v>
      </c>
      <c r="G12" s="11">
        <f t="shared" si="1"/>
        <v>6.2500000000000003E-3</v>
      </c>
      <c r="H12" s="134">
        <f t="shared" si="18"/>
        <v>0</v>
      </c>
      <c r="I12" s="134">
        <f t="shared" si="2"/>
        <v>1</v>
      </c>
      <c r="J12" s="135">
        <f t="shared" si="3"/>
        <v>233.88981276089461</v>
      </c>
      <c r="K12" s="114">
        <f t="shared" si="4"/>
        <v>0</v>
      </c>
      <c r="L12" s="134">
        <f t="shared" si="5"/>
        <v>4</v>
      </c>
      <c r="M12" s="134">
        <f t="shared" si="6"/>
        <v>54.598150033144236</v>
      </c>
      <c r="N12" s="135">
        <f t="shared" si="7"/>
        <v>233.89836363969357</v>
      </c>
      <c r="O12" s="114">
        <f t="shared" si="8"/>
        <v>0</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v>
      </c>
    </row>
    <row r="13" spans="2:25" ht="15" x14ac:dyDescent="0.2">
      <c r="B13" s="5" t="s">
        <v>35</v>
      </c>
      <c r="C13" s="186">
        <f>'Level3 Groundwater'!D26</f>
        <v>1.96</v>
      </c>
      <c r="D13" s="2" t="s">
        <v>24</v>
      </c>
      <c r="E13" s="64">
        <v>9</v>
      </c>
      <c r="F13" s="64">
        <f t="shared" si="0"/>
        <v>0.45</v>
      </c>
      <c r="G13" s="11">
        <f t="shared" si="1"/>
        <v>6.2500000000000003E-3</v>
      </c>
      <c r="H13" s="134">
        <f t="shared" si="18"/>
        <v>0</v>
      </c>
      <c r="I13" s="134">
        <f t="shared" si="2"/>
        <v>1</v>
      </c>
      <c r="J13" s="135">
        <f t="shared" si="3"/>
        <v>263.12657378593133</v>
      </c>
      <c r="K13" s="114">
        <f t="shared" si="4"/>
        <v>0</v>
      </c>
      <c r="L13" s="134">
        <f t="shared" si="5"/>
        <v>4.5</v>
      </c>
      <c r="M13" s="134">
        <f t="shared" si="6"/>
        <v>90.017131300521811</v>
      </c>
      <c r="N13" s="135">
        <f t="shared" si="7"/>
        <v>263.13512466473031</v>
      </c>
      <c r="O13" s="114">
        <f t="shared" si="8"/>
        <v>0</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0</v>
      </c>
    </row>
    <row r="14" spans="2:25" ht="14.25" x14ac:dyDescent="0.2">
      <c r="B14" s="4" t="s">
        <v>1</v>
      </c>
      <c r="C14" s="186">
        <f>'Level3 Groundwater'!D27</f>
        <v>0.16200000000000001</v>
      </c>
      <c r="E14" s="64">
        <v>10</v>
      </c>
      <c r="F14" s="64">
        <f t="shared" si="0"/>
        <v>0.5</v>
      </c>
      <c r="G14" s="11">
        <f t="shared" si="1"/>
        <v>6.2500000000000003E-3</v>
      </c>
      <c r="H14" s="134">
        <f t="shared" si="18"/>
        <v>0</v>
      </c>
      <c r="I14" s="134">
        <f t="shared" si="2"/>
        <v>1</v>
      </c>
      <c r="J14" s="135">
        <f t="shared" si="3"/>
        <v>292.36333481096813</v>
      </c>
      <c r="K14" s="114">
        <f t="shared" si="4"/>
        <v>0</v>
      </c>
      <c r="L14" s="134">
        <f t="shared" si="5"/>
        <v>5</v>
      </c>
      <c r="M14" s="134">
        <f t="shared" si="6"/>
        <v>148.4131591025766</v>
      </c>
      <c r="N14" s="135">
        <f t="shared" si="7"/>
        <v>292.37188568976711</v>
      </c>
      <c r="O14" s="114">
        <f t="shared" si="8"/>
        <v>0</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0</v>
      </c>
    </row>
    <row r="15" spans="2:25" ht="14.25" x14ac:dyDescent="0.2">
      <c r="B15" s="4" t="s">
        <v>44</v>
      </c>
      <c r="C15" s="186">
        <f>'Level3 Groundwater'!D28</f>
        <v>2.5399999999999999E-2</v>
      </c>
      <c r="E15" s="64">
        <v>11</v>
      </c>
      <c r="F15" s="64">
        <f t="shared" si="0"/>
        <v>0.55000000000000004</v>
      </c>
      <c r="G15" s="11">
        <f t="shared" si="1"/>
        <v>6.2500000000000003E-3</v>
      </c>
      <c r="H15" s="134">
        <f t="shared" si="18"/>
        <v>0</v>
      </c>
      <c r="I15" s="134">
        <f t="shared" si="2"/>
        <v>1</v>
      </c>
      <c r="J15" s="135">
        <f t="shared" si="3"/>
        <v>321.60009583600487</v>
      </c>
      <c r="K15" s="114">
        <f t="shared" si="4"/>
        <v>0</v>
      </c>
      <c r="L15" s="134">
        <f t="shared" si="5"/>
        <v>5.5</v>
      </c>
      <c r="M15" s="134">
        <f t="shared" si="6"/>
        <v>244.69193226422038</v>
      </c>
      <c r="N15" s="135">
        <f t="shared" si="7"/>
        <v>321.60864671480391</v>
      </c>
      <c r="O15" s="114">
        <f t="shared" si="8"/>
        <v>0</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0</v>
      </c>
    </row>
    <row r="16" spans="2:25" ht="14.25" customHeight="1" x14ac:dyDescent="0.2">
      <c r="B16" s="4" t="s">
        <v>189</v>
      </c>
      <c r="C16" s="186">
        <f>'Level3 Groundwater'!D29</f>
        <v>2.0250000000000001E-5</v>
      </c>
      <c r="D16" s="2" t="s">
        <v>25</v>
      </c>
      <c r="E16" s="64">
        <v>12</v>
      </c>
      <c r="F16" s="64">
        <f t="shared" si="0"/>
        <v>0.60000000000000009</v>
      </c>
      <c r="G16" s="11">
        <f t="shared" si="1"/>
        <v>6.2500000000000003E-3</v>
      </c>
      <c r="H16" s="134">
        <f t="shared" si="18"/>
        <v>0</v>
      </c>
      <c r="I16" s="134">
        <f t="shared" si="2"/>
        <v>1</v>
      </c>
      <c r="J16" s="135">
        <f t="shared" si="3"/>
        <v>350.83685686104167</v>
      </c>
      <c r="K16" s="114">
        <f t="shared" si="4"/>
        <v>0</v>
      </c>
      <c r="L16" s="134">
        <f t="shared" si="5"/>
        <v>6.0000000000000009</v>
      </c>
      <c r="M16" s="134">
        <f t="shared" si="6"/>
        <v>403.42879349273551</v>
      </c>
      <c r="N16" s="135">
        <f t="shared" si="7"/>
        <v>350.84540773984065</v>
      </c>
      <c r="O16" s="114">
        <f t="shared" si="8"/>
        <v>0</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0</v>
      </c>
    </row>
    <row r="17" spans="2:24" ht="14.25" customHeight="1" x14ac:dyDescent="0.2">
      <c r="B17" s="4" t="s">
        <v>14</v>
      </c>
      <c r="C17" s="186">
        <f>'Level3 Groundwater'!D30</f>
        <v>1</v>
      </c>
      <c r="D17" s="2" t="s">
        <v>26</v>
      </c>
      <c r="E17" s="64">
        <v>13</v>
      </c>
      <c r="F17" s="64">
        <f t="shared" si="0"/>
        <v>0.65</v>
      </c>
      <c r="G17" s="11">
        <f t="shared" si="1"/>
        <v>6.2500000000000003E-3</v>
      </c>
      <c r="H17" s="134">
        <f t="shared" si="18"/>
        <v>0</v>
      </c>
      <c r="I17" s="134">
        <f t="shared" si="2"/>
        <v>1</v>
      </c>
      <c r="J17" s="135">
        <f t="shared" si="3"/>
        <v>380.07361788607835</v>
      </c>
      <c r="K17" s="114">
        <f t="shared" si="4"/>
        <v>0</v>
      </c>
      <c r="L17" s="134">
        <f t="shared" si="5"/>
        <v>6.5</v>
      </c>
      <c r="M17" s="134">
        <f t="shared" si="6"/>
        <v>665.14163304436181</v>
      </c>
      <c r="N17" s="135">
        <f t="shared" si="7"/>
        <v>380.08216876487739</v>
      </c>
      <c r="O17" s="114">
        <f t="shared" si="8"/>
        <v>0</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0</v>
      </c>
    </row>
    <row r="18" spans="2:24" ht="14.25" customHeight="1" x14ac:dyDescent="0.2">
      <c r="B18" s="4" t="s">
        <v>16</v>
      </c>
      <c r="C18" s="186">
        <f>'Level3 Groundwater'!D31</f>
        <v>0</v>
      </c>
      <c r="D18" s="2" t="s">
        <v>26</v>
      </c>
      <c r="E18" s="64">
        <v>14</v>
      </c>
      <c r="F18" s="64">
        <f t="shared" si="0"/>
        <v>0.70000000000000007</v>
      </c>
      <c r="G18" s="11">
        <f t="shared" si="1"/>
        <v>6.2500000000000003E-3</v>
      </c>
      <c r="H18" s="134">
        <f t="shared" si="18"/>
        <v>0</v>
      </c>
      <c r="I18" s="134">
        <f t="shared" si="2"/>
        <v>1</v>
      </c>
      <c r="J18" s="135">
        <f t="shared" si="3"/>
        <v>409.31037891111515</v>
      </c>
      <c r="K18" s="114">
        <f t="shared" si="4"/>
        <v>0</v>
      </c>
      <c r="L18" s="134">
        <f t="shared" si="5"/>
        <v>7</v>
      </c>
      <c r="M18" s="134">
        <f t="shared" si="6"/>
        <v>1096.6331584284585</v>
      </c>
      <c r="N18" s="135">
        <f t="shared" si="7"/>
        <v>409.31892978991419</v>
      </c>
      <c r="O18" s="114">
        <f t="shared" si="8"/>
        <v>0</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0</v>
      </c>
    </row>
    <row r="19" spans="2:24" ht="14.25" customHeight="1" x14ac:dyDescent="0.2">
      <c r="B19" s="4" t="s">
        <v>15</v>
      </c>
      <c r="C19" s="186">
        <f>'Level3 Groundwater'!D32</f>
        <v>0</v>
      </c>
      <c r="D19" s="2" t="s">
        <v>26</v>
      </c>
      <c r="E19" s="64">
        <v>15</v>
      </c>
      <c r="F19" s="64">
        <f t="shared" si="0"/>
        <v>0.75</v>
      </c>
      <c r="G19" s="11">
        <f t="shared" si="1"/>
        <v>6.2500000000000003E-3</v>
      </c>
      <c r="H19" s="134">
        <f t="shared" si="18"/>
        <v>0</v>
      </c>
      <c r="I19" s="134">
        <f t="shared" si="2"/>
        <v>1</v>
      </c>
      <c r="J19" s="135">
        <f t="shared" si="3"/>
        <v>438.54713993615189</v>
      </c>
      <c r="K19" s="114">
        <f t="shared" si="4"/>
        <v>0</v>
      </c>
      <c r="L19" s="134">
        <f t="shared" si="5"/>
        <v>7.5</v>
      </c>
      <c r="M19" s="134">
        <f t="shared" si="6"/>
        <v>1808.0424144560632</v>
      </c>
      <c r="N19" s="135">
        <f t="shared" si="7"/>
        <v>438.55569081495088</v>
      </c>
      <c r="O19" s="114">
        <f t="shared" si="8"/>
        <v>0</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0</v>
      </c>
    </row>
    <row r="20" spans="2:24" ht="14.25" customHeight="1" x14ac:dyDescent="0.2">
      <c r="B20" s="4" t="s">
        <v>17</v>
      </c>
      <c r="C20" s="186">
        <f>'Level3 Groundwater'!D33</f>
        <v>365000</v>
      </c>
      <c r="D20" s="2" t="s">
        <v>21</v>
      </c>
      <c r="E20" s="64">
        <v>16</v>
      </c>
      <c r="F20" s="64">
        <f t="shared" si="0"/>
        <v>0.8</v>
      </c>
      <c r="G20" s="11">
        <f t="shared" si="1"/>
        <v>6.2500000000000003E-3</v>
      </c>
      <c r="H20" s="134">
        <f t="shared" si="18"/>
        <v>0</v>
      </c>
      <c r="I20" s="134">
        <f t="shared" si="2"/>
        <v>1</v>
      </c>
      <c r="J20" s="135">
        <f t="shared" si="3"/>
        <v>467.78390096118864</v>
      </c>
      <c r="K20" s="114">
        <f t="shared" si="4"/>
        <v>0</v>
      </c>
      <c r="L20" s="134">
        <f t="shared" si="5"/>
        <v>8</v>
      </c>
      <c r="M20" s="134">
        <f t="shared" si="6"/>
        <v>2980.9579870417283</v>
      </c>
      <c r="N20" s="135">
        <f t="shared" si="7"/>
        <v>467.79245183998768</v>
      </c>
      <c r="O20" s="114">
        <f t="shared" si="8"/>
        <v>0</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0</v>
      </c>
    </row>
    <row r="21" spans="2:24" ht="14.25" customHeight="1" x14ac:dyDescent="0.2">
      <c r="B21" s="4" t="s">
        <v>18</v>
      </c>
      <c r="C21" s="186">
        <f>'Level3 Groundwater'!D36</f>
        <v>0.1</v>
      </c>
      <c r="D21" s="8" t="s">
        <v>26</v>
      </c>
      <c r="E21" s="64">
        <v>17</v>
      </c>
      <c r="F21" s="64">
        <f t="shared" si="0"/>
        <v>0.85000000000000009</v>
      </c>
      <c r="G21" s="11">
        <f t="shared" si="1"/>
        <v>6.2500000000000003E-3</v>
      </c>
      <c r="H21" s="134">
        <f t="shared" si="18"/>
        <v>0</v>
      </c>
      <c r="I21" s="134">
        <f t="shared" si="2"/>
        <v>1</v>
      </c>
      <c r="J21" s="135">
        <f t="shared" si="3"/>
        <v>497.02066198622543</v>
      </c>
      <c r="K21" s="114">
        <f t="shared" si="4"/>
        <v>0</v>
      </c>
      <c r="L21" s="134">
        <f t="shared" si="5"/>
        <v>8.5</v>
      </c>
      <c r="M21" s="134">
        <f t="shared" si="6"/>
        <v>4914.7688402991344</v>
      </c>
      <c r="N21" s="135">
        <f t="shared" si="7"/>
        <v>497.02921286502448</v>
      </c>
      <c r="O21" s="114">
        <f t="shared" si="8"/>
        <v>0</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0</v>
      </c>
    </row>
    <row r="22" spans="2:24" ht="14.25" customHeight="1" x14ac:dyDescent="0.2">
      <c r="B22" s="4" t="s">
        <v>20</v>
      </c>
      <c r="C22" s="186">
        <f>'Level3 Groundwater'!D37</f>
        <v>0.01</v>
      </c>
      <c r="D22" s="8" t="s">
        <v>26</v>
      </c>
      <c r="E22" s="64">
        <v>18</v>
      </c>
      <c r="F22" s="64">
        <f t="shared" si="0"/>
        <v>0.9</v>
      </c>
      <c r="G22" s="11">
        <f t="shared" si="1"/>
        <v>6.2500000000000003E-3</v>
      </c>
      <c r="H22" s="134">
        <f t="shared" si="18"/>
        <v>0</v>
      </c>
      <c r="I22" s="134">
        <f t="shared" si="2"/>
        <v>1</v>
      </c>
      <c r="J22" s="135">
        <f t="shared" si="3"/>
        <v>526.25742301126218</v>
      </c>
      <c r="K22" s="114">
        <f t="shared" si="4"/>
        <v>0</v>
      </c>
      <c r="L22" s="134">
        <f t="shared" si="5"/>
        <v>9</v>
      </c>
      <c r="M22" s="134">
        <f t="shared" si="6"/>
        <v>8103.0839275753842</v>
      </c>
      <c r="N22" s="135">
        <f t="shared" si="7"/>
        <v>526.26597389006122</v>
      </c>
      <c r="O22" s="114">
        <f t="shared" si="8"/>
        <v>0</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0</v>
      </c>
    </row>
    <row r="23" spans="2:24" ht="14.25" customHeight="1" x14ac:dyDescent="0.2">
      <c r="B23" s="4" t="s">
        <v>19</v>
      </c>
      <c r="C23" s="186">
        <f>'Level3 Groundwater'!D38</f>
        <v>1E-3</v>
      </c>
      <c r="D23" s="8" t="s">
        <v>26</v>
      </c>
      <c r="E23" s="64">
        <v>19</v>
      </c>
      <c r="F23" s="64">
        <f t="shared" si="0"/>
        <v>0.95000000000000007</v>
      </c>
      <c r="G23" s="11">
        <f t="shared" si="1"/>
        <v>6.2500000000000003E-3</v>
      </c>
      <c r="H23" s="134">
        <f t="shared" si="18"/>
        <v>0</v>
      </c>
      <c r="I23" s="134">
        <f t="shared" si="2"/>
        <v>1</v>
      </c>
      <c r="J23" s="135">
        <f t="shared" si="3"/>
        <v>555.49418403629898</v>
      </c>
      <c r="K23" s="114">
        <f t="shared" si="4"/>
        <v>0</v>
      </c>
      <c r="L23" s="134">
        <f t="shared" si="5"/>
        <v>9.5</v>
      </c>
      <c r="M23" s="134">
        <f t="shared" si="6"/>
        <v>13359.726829661873</v>
      </c>
      <c r="N23" s="135">
        <f t="shared" si="7"/>
        <v>555.50273491509802</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0</v>
      </c>
    </row>
    <row r="24" spans="2:24" x14ac:dyDescent="0.2">
      <c r="D24" s="8"/>
      <c r="E24" s="64">
        <v>20</v>
      </c>
      <c r="F24" s="64">
        <f t="shared" si="0"/>
        <v>1</v>
      </c>
      <c r="G24" s="11">
        <f t="shared" si="1"/>
        <v>6.2500000000000003E-3</v>
      </c>
      <c r="H24" s="134">
        <f t="shared" si="18"/>
        <v>0</v>
      </c>
      <c r="I24" s="134">
        <f t="shared" si="2"/>
        <v>1</v>
      </c>
      <c r="J24" s="135">
        <f t="shared" si="3"/>
        <v>584.73094506133566</v>
      </c>
      <c r="K24" s="114">
        <f t="shared" si="4"/>
        <v>0</v>
      </c>
      <c r="L24" s="134">
        <f t="shared" si="5"/>
        <v>10</v>
      </c>
      <c r="M24" s="134">
        <f t="shared" si="6"/>
        <v>22026.465794806718</v>
      </c>
      <c r="N24" s="135">
        <f t="shared" si="7"/>
        <v>584.73949594013459</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158494.82716049382</v>
      </c>
      <c r="D29" s="109"/>
      <c r="E29" s="64">
        <v>1</v>
      </c>
      <c r="F29" s="64">
        <f t="shared" ref="F29:F48" si="19">$C$17/20*E29</f>
        <v>0.05</v>
      </c>
      <c r="G29" s="11">
        <f t="shared" ref="G29:G48" si="20">0.125*$C$8</f>
        <v>6.2500000000000003E-3</v>
      </c>
      <c r="H29" s="134">
        <f t="shared" ref="H29:H48" si="21">$F29/(2*$C$21)*(1-(1+(4*$C$9*$C$21)/$C$30)^0.5)</f>
        <v>0</v>
      </c>
      <c r="I29" s="134">
        <f t="shared" ref="I29:I48" si="22">EXP(H29)</f>
        <v>1</v>
      </c>
      <c r="J29" s="135">
        <f t="shared" ref="J29:J48" si="23">1/(2*(SQRT($C$21*$C$30*$C$20)))*($F29-($C$30*$C$20)*(1+(4*$C$9*$C$21)/$C$30)^0.5)</f>
        <v>29.232485585637267</v>
      </c>
      <c r="K29" s="114">
        <f t="shared" ref="K29:K48" si="24">IF(J29&lt;-4,2,IF(J29&gt;4,0,IF(J29&gt;=0,ERFC(J29),1+ERF(-J29))))</f>
        <v>0</v>
      </c>
      <c r="L29" s="134">
        <f>$F29/(2*$C$21)*(1+(1+(4*$C$9*$C$21)/$C$30)^0.5)</f>
        <v>0.5</v>
      </c>
      <c r="M29" s="134">
        <f>IF(L29&gt;700,EXP(700),EXP(L29))</f>
        <v>1.6487212707001282</v>
      </c>
      <c r="N29" s="135">
        <f t="shared" ref="N29:N48" si="25">1/(2*(SQRT($C$21*$C$30*$C$20)))*($F29+($C$30*$C$20)*(1+(4*$C$9*$C$21)/$C$30)^0.5)</f>
        <v>29.241036464436252</v>
      </c>
      <c r="O29" s="114">
        <f t="shared" ref="O29:O48" si="26">IF(N29&lt;-4,2,IF(N29&gt;4,0,IF(N29&gt;=0,ERFC(N29),1+ERF(-N29))))</f>
        <v>0</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0</v>
      </c>
    </row>
    <row r="30" spans="2:24" ht="14.25" x14ac:dyDescent="0.2">
      <c r="B30" s="4" t="s">
        <v>41</v>
      </c>
      <c r="C30" s="186">
        <f>'Level3 Groundwater'!D45</f>
        <v>2.0032199516423055E-11</v>
      </c>
      <c r="D30" s="2" t="s">
        <v>25</v>
      </c>
      <c r="E30" s="64">
        <v>2</v>
      </c>
      <c r="F30" s="64">
        <f t="shared" si="19"/>
        <v>0.1</v>
      </c>
      <c r="G30" s="11">
        <f t="shared" si="20"/>
        <v>6.2500000000000003E-3</v>
      </c>
      <c r="H30" s="134">
        <f t="shared" si="21"/>
        <v>0</v>
      </c>
      <c r="I30" s="134">
        <f t="shared" si="22"/>
        <v>1</v>
      </c>
      <c r="J30" s="135">
        <f t="shared" si="23"/>
        <v>58.469246610674027</v>
      </c>
      <c r="K30" s="114">
        <f t="shared" si="24"/>
        <v>0</v>
      </c>
      <c r="L30" s="134">
        <f t="shared" ref="L30:L48" si="34">$F30/(2*$C$21)*(1+(1+(4*$C$9*$C$21)/$C$30)^0.5)</f>
        <v>1</v>
      </c>
      <c r="M30" s="134">
        <f t="shared" ref="M30:M48" si="35">IF(L30&gt;700,EXP(700),EXP(L30))</f>
        <v>2.7182818284590451</v>
      </c>
      <c r="N30" s="135">
        <f t="shared" si="25"/>
        <v>58.477797489473012</v>
      </c>
      <c r="O30" s="114">
        <f t="shared" si="26"/>
        <v>0</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0</v>
      </c>
    </row>
    <row r="31" spans="2:24" x14ac:dyDescent="0.2">
      <c r="E31" s="64">
        <v>3</v>
      </c>
      <c r="F31" s="64">
        <f t="shared" si="19"/>
        <v>0.15000000000000002</v>
      </c>
      <c r="G31" s="11">
        <f t="shared" si="20"/>
        <v>6.2500000000000003E-3</v>
      </c>
      <c r="H31" s="134">
        <f t="shared" si="21"/>
        <v>0</v>
      </c>
      <c r="I31" s="134">
        <f t="shared" si="22"/>
        <v>1</v>
      </c>
      <c r="J31" s="135">
        <f t="shared" si="23"/>
        <v>87.70600763571079</v>
      </c>
      <c r="K31" s="114">
        <f t="shared" si="24"/>
        <v>0</v>
      </c>
      <c r="L31" s="134">
        <f t="shared" si="34"/>
        <v>1.5000000000000002</v>
      </c>
      <c r="M31" s="134">
        <f t="shared" si="35"/>
        <v>4.4816890703380654</v>
      </c>
      <c r="N31" s="135">
        <f t="shared" si="25"/>
        <v>87.71455851450979</v>
      </c>
      <c r="O31" s="114">
        <f t="shared" si="26"/>
        <v>0</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0</v>
      </c>
    </row>
    <row r="32" spans="2:24" x14ac:dyDescent="0.2">
      <c r="E32" s="64">
        <v>4</v>
      </c>
      <c r="F32" s="64">
        <f t="shared" si="19"/>
        <v>0.2</v>
      </c>
      <c r="G32" s="11">
        <f t="shared" si="20"/>
        <v>6.2500000000000003E-3</v>
      </c>
      <c r="H32" s="134">
        <f t="shared" si="21"/>
        <v>0</v>
      </c>
      <c r="I32" s="134">
        <f t="shared" si="22"/>
        <v>1</v>
      </c>
      <c r="J32" s="135">
        <f t="shared" si="23"/>
        <v>116.94276866074755</v>
      </c>
      <c r="K32" s="114">
        <f t="shared" si="24"/>
        <v>0</v>
      </c>
      <c r="L32" s="134">
        <f t="shared" si="34"/>
        <v>2</v>
      </c>
      <c r="M32" s="134">
        <f t="shared" si="35"/>
        <v>7.3890560989306504</v>
      </c>
      <c r="N32" s="135">
        <f t="shared" si="25"/>
        <v>116.95131953954655</v>
      </c>
      <c r="O32" s="114">
        <f t="shared" si="26"/>
        <v>0</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0</v>
      </c>
    </row>
    <row r="33" spans="2:24" x14ac:dyDescent="0.2">
      <c r="E33" s="64">
        <v>5</v>
      </c>
      <c r="F33" s="64">
        <f t="shared" si="19"/>
        <v>0.25</v>
      </c>
      <c r="G33" s="11">
        <f t="shared" si="20"/>
        <v>6.2500000000000003E-3</v>
      </c>
      <c r="H33" s="134">
        <f t="shared" si="21"/>
        <v>0</v>
      </c>
      <c r="I33" s="134">
        <f t="shared" si="22"/>
        <v>1</v>
      </c>
      <c r="J33" s="135">
        <f t="shared" si="23"/>
        <v>146.1795296857843</v>
      </c>
      <c r="K33" s="114">
        <f t="shared" si="24"/>
        <v>0</v>
      </c>
      <c r="L33" s="134">
        <f t="shared" si="34"/>
        <v>2.5</v>
      </c>
      <c r="M33" s="134">
        <f t="shared" si="35"/>
        <v>12.182493960703473</v>
      </c>
      <c r="N33" s="135">
        <f t="shared" si="25"/>
        <v>146.18808056458329</v>
      </c>
      <c r="O33" s="114">
        <f t="shared" si="26"/>
        <v>0</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0</v>
      </c>
    </row>
    <row r="34" spans="2:24" x14ac:dyDescent="0.2">
      <c r="E34" s="64">
        <v>6</v>
      </c>
      <c r="F34" s="64">
        <f t="shared" si="19"/>
        <v>0.30000000000000004</v>
      </c>
      <c r="G34" s="11">
        <f t="shared" si="20"/>
        <v>6.2500000000000003E-3</v>
      </c>
      <c r="H34" s="134">
        <f t="shared" si="21"/>
        <v>0</v>
      </c>
      <c r="I34" s="134">
        <f t="shared" si="22"/>
        <v>1</v>
      </c>
      <c r="J34" s="135">
        <f t="shared" si="23"/>
        <v>175.4162907108211</v>
      </c>
      <c r="K34" s="114">
        <f t="shared" si="24"/>
        <v>0</v>
      </c>
      <c r="L34" s="134">
        <f t="shared" si="34"/>
        <v>3.0000000000000004</v>
      </c>
      <c r="M34" s="134">
        <f t="shared" si="35"/>
        <v>20.085536923187675</v>
      </c>
      <c r="N34" s="135">
        <f t="shared" si="25"/>
        <v>175.42484158962006</v>
      </c>
      <c r="O34" s="114">
        <f t="shared" si="26"/>
        <v>0</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0</v>
      </c>
    </row>
    <row r="35" spans="2:24" x14ac:dyDescent="0.2">
      <c r="E35" s="64">
        <v>7</v>
      </c>
      <c r="F35" s="64">
        <f t="shared" si="19"/>
        <v>0.35000000000000003</v>
      </c>
      <c r="G35" s="11">
        <f t="shared" si="20"/>
        <v>6.2500000000000003E-3</v>
      </c>
      <c r="H35" s="134">
        <f t="shared" si="21"/>
        <v>0</v>
      </c>
      <c r="I35" s="134">
        <f t="shared" si="22"/>
        <v>1</v>
      </c>
      <c r="J35" s="135">
        <f t="shared" si="23"/>
        <v>204.65305173585784</v>
      </c>
      <c r="K35" s="114">
        <f t="shared" si="24"/>
        <v>0</v>
      </c>
      <c r="L35" s="134">
        <f t="shared" si="34"/>
        <v>3.5</v>
      </c>
      <c r="M35" s="134">
        <f t="shared" si="35"/>
        <v>33.115451958692312</v>
      </c>
      <c r="N35" s="135">
        <f t="shared" si="25"/>
        <v>204.66160261465683</v>
      </c>
      <c r="O35" s="114">
        <f t="shared" si="26"/>
        <v>0</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0</v>
      </c>
    </row>
    <row r="36" spans="2:24" x14ac:dyDescent="0.2">
      <c r="E36" s="64">
        <v>8</v>
      </c>
      <c r="F36" s="64">
        <f t="shared" si="19"/>
        <v>0.4</v>
      </c>
      <c r="G36" s="11">
        <f t="shared" si="20"/>
        <v>6.2500000000000003E-3</v>
      </c>
      <c r="H36" s="134">
        <f t="shared" si="21"/>
        <v>0</v>
      </c>
      <c r="I36" s="134">
        <f t="shared" si="22"/>
        <v>1</v>
      </c>
      <c r="J36" s="135">
        <f t="shared" si="23"/>
        <v>233.88981276089461</v>
      </c>
      <c r="K36" s="114">
        <f t="shared" si="24"/>
        <v>0</v>
      </c>
      <c r="L36" s="134">
        <f t="shared" si="34"/>
        <v>4</v>
      </c>
      <c r="M36" s="134">
        <f t="shared" si="35"/>
        <v>54.598150033144236</v>
      </c>
      <c r="N36" s="135">
        <f t="shared" si="25"/>
        <v>233.89836363969357</v>
      </c>
      <c r="O36" s="114">
        <f t="shared" si="26"/>
        <v>0</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v>
      </c>
    </row>
    <row r="37" spans="2:24" x14ac:dyDescent="0.2">
      <c r="E37" s="64">
        <v>9</v>
      </c>
      <c r="F37" s="64">
        <f t="shared" si="19"/>
        <v>0.45</v>
      </c>
      <c r="G37" s="11">
        <f t="shared" si="20"/>
        <v>6.2500000000000003E-3</v>
      </c>
      <c r="H37" s="134">
        <f t="shared" si="21"/>
        <v>0</v>
      </c>
      <c r="I37" s="134">
        <f t="shared" si="22"/>
        <v>1</v>
      </c>
      <c r="J37" s="135">
        <f t="shared" si="23"/>
        <v>263.12657378593133</v>
      </c>
      <c r="K37" s="114">
        <f t="shared" si="24"/>
        <v>0</v>
      </c>
      <c r="L37" s="134">
        <f t="shared" si="34"/>
        <v>4.5</v>
      </c>
      <c r="M37" s="134">
        <f t="shared" si="35"/>
        <v>90.017131300521811</v>
      </c>
      <c r="N37" s="135">
        <f t="shared" si="25"/>
        <v>263.13512466473031</v>
      </c>
      <c r="O37" s="114">
        <f t="shared" si="26"/>
        <v>0</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0</v>
      </c>
    </row>
    <row r="38" spans="2:24" x14ac:dyDescent="0.2">
      <c r="E38" s="64">
        <v>10</v>
      </c>
      <c r="F38" s="64">
        <f t="shared" si="19"/>
        <v>0.5</v>
      </c>
      <c r="G38" s="11">
        <f t="shared" si="20"/>
        <v>6.2500000000000003E-3</v>
      </c>
      <c r="H38" s="134">
        <f t="shared" si="21"/>
        <v>0</v>
      </c>
      <c r="I38" s="134">
        <f t="shared" si="22"/>
        <v>1</v>
      </c>
      <c r="J38" s="135">
        <f t="shared" si="23"/>
        <v>292.36333481096813</v>
      </c>
      <c r="K38" s="114">
        <f t="shared" si="24"/>
        <v>0</v>
      </c>
      <c r="L38" s="134">
        <f t="shared" si="34"/>
        <v>5</v>
      </c>
      <c r="M38" s="134">
        <f t="shared" si="35"/>
        <v>148.4131591025766</v>
      </c>
      <c r="N38" s="135">
        <f t="shared" si="25"/>
        <v>292.37188568976711</v>
      </c>
      <c r="O38" s="114">
        <f t="shared" si="26"/>
        <v>0</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0</v>
      </c>
    </row>
    <row r="39" spans="2:24" x14ac:dyDescent="0.2">
      <c r="E39" s="64">
        <v>11</v>
      </c>
      <c r="F39" s="64">
        <f t="shared" si="19"/>
        <v>0.55000000000000004</v>
      </c>
      <c r="G39" s="11">
        <f t="shared" si="20"/>
        <v>6.2500000000000003E-3</v>
      </c>
      <c r="H39" s="134">
        <f t="shared" si="21"/>
        <v>0</v>
      </c>
      <c r="I39" s="134">
        <f t="shared" si="22"/>
        <v>1</v>
      </c>
      <c r="J39" s="135">
        <f t="shared" si="23"/>
        <v>321.60009583600487</v>
      </c>
      <c r="K39" s="114">
        <f t="shared" si="24"/>
        <v>0</v>
      </c>
      <c r="L39" s="134">
        <f t="shared" si="34"/>
        <v>5.5</v>
      </c>
      <c r="M39" s="134">
        <f t="shared" si="35"/>
        <v>244.69193226422038</v>
      </c>
      <c r="N39" s="135">
        <f t="shared" si="25"/>
        <v>321.60864671480391</v>
      </c>
      <c r="O39" s="114">
        <f t="shared" si="26"/>
        <v>0</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0</v>
      </c>
    </row>
    <row r="40" spans="2:24" x14ac:dyDescent="0.2">
      <c r="E40" s="64">
        <v>12</v>
      </c>
      <c r="F40" s="64">
        <f t="shared" si="19"/>
        <v>0.60000000000000009</v>
      </c>
      <c r="G40" s="11">
        <f t="shared" si="20"/>
        <v>6.2500000000000003E-3</v>
      </c>
      <c r="H40" s="134">
        <f t="shared" si="21"/>
        <v>0</v>
      </c>
      <c r="I40" s="134">
        <f t="shared" si="22"/>
        <v>1</v>
      </c>
      <c r="J40" s="135">
        <f t="shared" si="23"/>
        <v>350.83685686104167</v>
      </c>
      <c r="K40" s="114">
        <f t="shared" si="24"/>
        <v>0</v>
      </c>
      <c r="L40" s="134">
        <f t="shared" si="34"/>
        <v>6.0000000000000009</v>
      </c>
      <c r="M40" s="134">
        <f t="shared" si="35"/>
        <v>403.42879349273551</v>
      </c>
      <c r="N40" s="135">
        <f t="shared" si="25"/>
        <v>350.84540773984065</v>
      </c>
      <c r="O40" s="114">
        <f t="shared" si="26"/>
        <v>0</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0</v>
      </c>
    </row>
    <row r="41" spans="2:24" x14ac:dyDescent="0.2">
      <c r="E41" s="64">
        <v>13</v>
      </c>
      <c r="F41" s="64">
        <f t="shared" si="19"/>
        <v>0.65</v>
      </c>
      <c r="G41" s="11">
        <f t="shared" si="20"/>
        <v>6.2500000000000003E-3</v>
      </c>
      <c r="H41" s="134">
        <f t="shared" si="21"/>
        <v>0</v>
      </c>
      <c r="I41" s="134">
        <f t="shared" si="22"/>
        <v>1</v>
      </c>
      <c r="J41" s="135">
        <f t="shared" si="23"/>
        <v>380.07361788607835</v>
      </c>
      <c r="K41" s="114">
        <f t="shared" si="24"/>
        <v>0</v>
      </c>
      <c r="L41" s="134">
        <f t="shared" si="34"/>
        <v>6.5</v>
      </c>
      <c r="M41" s="134">
        <f t="shared" si="35"/>
        <v>665.14163304436181</v>
      </c>
      <c r="N41" s="135">
        <f t="shared" si="25"/>
        <v>380.08216876487739</v>
      </c>
      <c r="O41" s="114">
        <f t="shared" si="26"/>
        <v>0</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0</v>
      </c>
    </row>
    <row r="42" spans="2:24" x14ac:dyDescent="0.2">
      <c r="E42" s="64">
        <v>14</v>
      </c>
      <c r="F42" s="64">
        <f t="shared" si="19"/>
        <v>0.70000000000000007</v>
      </c>
      <c r="G42" s="11">
        <f t="shared" si="20"/>
        <v>6.2500000000000003E-3</v>
      </c>
      <c r="H42" s="134">
        <f t="shared" si="21"/>
        <v>0</v>
      </c>
      <c r="I42" s="134">
        <f t="shared" si="22"/>
        <v>1</v>
      </c>
      <c r="J42" s="135">
        <f t="shared" si="23"/>
        <v>409.31037891111515</v>
      </c>
      <c r="K42" s="114">
        <f t="shared" si="24"/>
        <v>0</v>
      </c>
      <c r="L42" s="134">
        <f t="shared" si="34"/>
        <v>7</v>
      </c>
      <c r="M42" s="134">
        <f t="shared" si="35"/>
        <v>1096.6331584284585</v>
      </c>
      <c r="N42" s="135">
        <f t="shared" si="25"/>
        <v>409.31892978991419</v>
      </c>
      <c r="O42" s="114">
        <f t="shared" si="26"/>
        <v>0</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0</v>
      </c>
    </row>
    <row r="43" spans="2:24" x14ac:dyDescent="0.2">
      <c r="E43" s="64">
        <v>15</v>
      </c>
      <c r="F43" s="64">
        <f t="shared" si="19"/>
        <v>0.75</v>
      </c>
      <c r="G43" s="11">
        <f t="shared" si="20"/>
        <v>6.2500000000000003E-3</v>
      </c>
      <c r="H43" s="134">
        <f t="shared" si="21"/>
        <v>0</v>
      </c>
      <c r="I43" s="134">
        <f t="shared" si="22"/>
        <v>1</v>
      </c>
      <c r="J43" s="135">
        <f t="shared" si="23"/>
        <v>438.54713993615189</v>
      </c>
      <c r="K43" s="114">
        <f t="shared" si="24"/>
        <v>0</v>
      </c>
      <c r="L43" s="134">
        <f t="shared" si="34"/>
        <v>7.5</v>
      </c>
      <c r="M43" s="134">
        <f t="shared" si="35"/>
        <v>1808.0424144560632</v>
      </c>
      <c r="N43" s="135">
        <f t="shared" si="25"/>
        <v>438.55569081495088</v>
      </c>
      <c r="O43" s="114">
        <f t="shared" si="26"/>
        <v>0</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0</v>
      </c>
    </row>
    <row r="44" spans="2:24" x14ac:dyDescent="0.2">
      <c r="E44" s="64">
        <v>16</v>
      </c>
      <c r="F44" s="64">
        <f t="shared" si="19"/>
        <v>0.8</v>
      </c>
      <c r="G44" s="11">
        <f t="shared" si="20"/>
        <v>6.2500000000000003E-3</v>
      </c>
      <c r="H44" s="134">
        <f t="shared" si="21"/>
        <v>0</v>
      </c>
      <c r="I44" s="134">
        <f t="shared" si="22"/>
        <v>1</v>
      </c>
      <c r="J44" s="135">
        <f t="shared" si="23"/>
        <v>467.78390096118864</v>
      </c>
      <c r="K44" s="114">
        <f t="shared" si="24"/>
        <v>0</v>
      </c>
      <c r="L44" s="134">
        <f t="shared" si="34"/>
        <v>8</v>
      </c>
      <c r="M44" s="134">
        <f t="shared" si="35"/>
        <v>2980.9579870417283</v>
      </c>
      <c r="N44" s="135">
        <f t="shared" si="25"/>
        <v>467.79245183998768</v>
      </c>
      <c r="O44" s="114">
        <f t="shared" si="26"/>
        <v>0</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0</v>
      </c>
    </row>
    <row r="45" spans="2:24" x14ac:dyDescent="0.2">
      <c r="E45" s="64">
        <v>17</v>
      </c>
      <c r="F45" s="64">
        <f t="shared" si="19"/>
        <v>0.85000000000000009</v>
      </c>
      <c r="G45" s="11">
        <f t="shared" si="20"/>
        <v>6.2500000000000003E-3</v>
      </c>
      <c r="H45" s="134">
        <f t="shared" si="21"/>
        <v>0</v>
      </c>
      <c r="I45" s="134">
        <f t="shared" si="22"/>
        <v>1</v>
      </c>
      <c r="J45" s="135">
        <f t="shared" si="23"/>
        <v>497.02066198622543</v>
      </c>
      <c r="K45" s="114">
        <f t="shared" si="24"/>
        <v>0</v>
      </c>
      <c r="L45" s="134">
        <f t="shared" si="34"/>
        <v>8.5</v>
      </c>
      <c r="M45" s="134">
        <f t="shared" si="35"/>
        <v>4914.7688402991344</v>
      </c>
      <c r="N45" s="135">
        <f t="shared" si="25"/>
        <v>497.02921286502448</v>
      </c>
      <c r="O45" s="114">
        <f t="shared" si="26"/>
        <v>0</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0</v>
      </c>
    </row>
    <row r="46" spans="2:24" x14ac:dyDescent="0.2">
      <c r="E46" s="64">
        <v>18</v>
      </c>
      <c r="F46" s="64">
        <f t="shared" si="19"/>
        <v>0.9</v>
      </c>
      <c r="G46" s="11">
        <f t="shared" si="20"/>
        <v>6.2500000000000003E-3</v>
      </c>
      <c r="H46" s="134">
        <f t="shared" si="21"/>
        <v>0</v>
      </c>
      <c r="I46" s="134">
        <f t="shared" si="22"/>
        <v>1</v>
      </c>
      <c r="J46" s="135">
        <f t="shared" si="23"/>
        <v>526.25742301126218</v>
      </c>
      <c r="K46" s="114">
        <f t="shared" si="24"/>
        <v>0</v>
      </c>
      <c r="L46" s="134">
        <f t="shared" si="34"/>
        <v>9</v>
      </c>
      <c r="M46" s="134">
        <f t="shared" si="35"/>
        <v>8103.0839275753842</v>
      </c>
      <c r="N46" s="135">
        <f t="shared" si="25"/>
        <v>526.26597389006122</v>
      </c>
      <c r="O46" s="114">
        <f t="shared" si="26"/>
        <v>0</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0</v>
      </c>
    </row>
    <row r="47" spans="2:24" x14ac:dyDescent="0.2">
      <c r="B47" s="103" t="s">
        <v>142</v>
      </c>
      <c r="C47" s="108">
        <f>Introduction!B32</f>
        <v>43993</v>
      </c>
      <c r="D47" s="110"/>
      <c r="E47" s="64">
        <v>19</v>
      </c>
      <c r="F47" s="64">
        <f t="shared" si="19"/>
        <v>0.95000000000000007</v>
      </c>
      <c r="G47" s="11">
        <f t="shared" si="20"/>
        <v>6.2500000000000003E-3</v>
      </c>
      <c r="H47" s="134">
        <f t="shared" si="21"/>
        <v>0</v>
      </c>
      <c r="I47" s="134">
        <f t="shared" si="22"/>
        <v>1</v>
      </c>
      <c r="J47" s="135">
        <f t="shared" si="23"/>
        <v>555.49418403629898</v>
      </c>
      <c r="K47" s="114">
        <f t="shared" si="24"/>
        <v>0</v>
      </c>
      <c r="L47" s="134">
        <f t="shared" si="34"/>
        <v>9.5</v>
      </c>
      <c r="M47" s="134">
        <f t="shared" si="35"/>
        <v>13359.726829661873</v>
      </c>
      <c r="N47" s="135">
        <f t="shared" si="25"/>
        <v>555.50273491509802</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0</v>
      </c>
    </row>
    <row r="48" spans="2:24" x14ac:dyDescent="0.2">
      <c r="B48" s="104" t="s">
        <v>158</v>
      </c>
      <c r="C48" s="107">
        <f>Introduction!E32</f>
        <v>1.01</v>
      </c>
      <c r="D48" s="111"/>
      <c r="E48" s="64">
        <v>20</v>
      </c>
      <c r="F48" s="64">
        <f t="shared" si="19"/>
        <v>1</v>
      </c>
      <c r="G48" s="11">
        <f t="shared" si="20"/>
        <v>6.2500000000000003E-3</v>
      </c>
      <c r="H48" s="134">
        <f t="shared" si="21"/>
        <v>0</v>
      </c>
      <c r="I48" s="134">
        <f t="shared" si="22"/>
        <v>1</v>
      </c>
      <c r="J48" s="135">
        <f t="shared" si="23"/>
        <v>584.73094506133566</v>
      </c>
      <c r="K48" s="114">
        <f t="shared" si="24"/>
        <v>0</v>
      </c>
      <c r="L48" s="134">
        <f t="shared" si="34"/>
        <v>10</v>
      </c>
      <c r="M48" s="134">
        <f t="shared" si="35"/>
        <v>22026.465794806718</v>
      </c>
      <c r="N48" s="135">
        <f t="shared" si="25"/>
        <v>584.73949594013459</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0</v>
      </c>
    </row>
    <row r="57" spans="20:24" x14ac:dyDescent="0.2">
      <c r="W57" s="453">
        <f t="shared" ref="W57:W75" si="38">$C$17/20*E30</f>
        <v>0.1</v>
      </c>
      <c r="X57" s="131">
        <f t="shared" ref="X57:X75" si="39">IF(C$25="Simulate vertical dispersion in 1 direction",X30,X6)</f>
        <v>0</v>
      </c>
    </row>
    <row r="58" spans="20:24" x14ac:dyDescent="0.2">
      <c r="W58" s="453">
        <f t="shared" si="38"/>
        <v>0.15000000000000002</v>
      </c>
      <c r="X58" s="131">
        <f t="shared" si="39"/>
        <v>0</v>
      </c>
    </row>
    <row r="59" spans="20:24" x14ac:dyDescent="0.2">
      <c r="W59" s="453">
        <f t="shared" si="38"/>
        <v>0.2</v>
      </c>
      <c r="X59" s="131">
        <f t="shared" si="39"/>
        <v>0</v>
      </c>
    </row>
    <row r="60" spans="20:24" x14ac:dyDescent="0.2">
      <c r="W60" s="453">
        <f t="shared" si="38"/>
        <v>0.25</v>
      </c>
      <c r="X60" s="131">
        <f t="shared" si="39"/>
        <v>0</v>
      </c>
    </row>
    <row r="61" spans="20:24" x14ac:dyDescent="0.2">
      <c r="W61" s="453">
        <f t="shared" si="38"/>
        <v>0.30000000000000004</v>
      </c>
      <c r="X61" s="131">
        <f t="shared" si="39"/>
        <v>0</v>
      </c>
    </row>
    <row r="62" spans="20:24" x14ac:dyDescent="0.2">
      <c r="W62" s="453">
        <f t="shared" si="38"/>
        <v>0.35000000000000003</v>
      </c>
      <c r="X62" s="131">
        <f t="shared" si="39"/>
        <v>0</v>
      </c>
    </row>
    <row r="63" spans="20:24" x14ac:dyDescent="0.2">
      <c r="W63" s="453">
        <f t="shared" si="38"/>
        <v>0.4</v>
      </c>
      <c r="X63" s="131">
        <f t="shared" si="39"/>
        <v>0</v>
      </c>
    </row>
    <row r="64" spans="20:24" x14ac:dyDescent="0.2">
      <c r="W64" s="453">
        <f t="shared" si="38"/>
        <v>0.45</v>
      </c>
      <c r="X64" s="131">
        <f t="shared" si="39"/>
        <v>0</v>
      </c>
    </row>
    <row r="65" spans="23:24" x14ac:dyDescent="0.2">
      <c r="W65" s="453">
        <f t="shared" si="38"/>
        <v>0.5</v>
      </c>
      <c r="X65" s="131">
        <f t="shared" si="39"/>
        <v>0</v>
      </c>
    </row>
    <row r="66" spans="23:24" x14ac:dyDescent="0.2">
      <c r="W66" s="453">
        <f t="shared" si="38"/>
        <v>0.55000000000000004</v>
      </c>
      <c r="X66" s="131">
        <f t="shared" si="39"/>
        <v>0</v>
      </c>
    </row>
    <row r="67" spans="23:24" x14ac:dyDescent="0.2">
      <c r="W67" s="453">
        <f t="shared" si="38"/>
        <v>0.60000000000000009</v>
      </c>
      <c r="X67" s="131">
        <f t="shared" si="39"/>
        <v>0</v>
      </c>
    </row>
    <row r="68" spans="23:24" x14ac:dyDescent="0.2">
      <c r="W68" s="453">
        <f t="shared" si="38"/>
        <v>0.65</v>
      </c>
      <c r="X68" s="131">
        <f t="shared" si="39"/>
        <v>0</v>
      </c>
    </row>
    <row r="69" spans="23:24" x14ac:dyDescent="0.2">
      <c r="W69" s="453">
        <f t="shared" si="38"/>
        <v>0.70000000000000007</v>
      </c>
      <c r="X69" s="131">
        <f t="shared" si="39"/>
        <v>0</v>
      </c>
    </row>
    <row r="70" spans="23:24" x14ac:dyDescent="0.2">
      <c r="W70" s="453">
        <f t="shared" si="38"/>
        <v>0.75</v>
      </c>
      <c r="X70" s="131">
        <f t="shared" si="39"/>
        <v>0</v>
      </c>
    </row>
    <row r="71" spans="23:24" x14ac:dyDescent="0.2">
      <c r="W71" s="453">
        <f t="shared" si="38"/>
        <v>0.8</v>
      </c>
      <c r="X71" s="131">
        <f t="shared" si="39"/>
        <v>0</v>
      </c>
    </row>
    <row r="72" spans="23:24" x14ac:dyDescent="0.2">
      <c r="W72" s="453">
        <f t="shared" si="38"/>
        <v>0.85000000000000009</v>
      </c>
      <c r="X72" s="131">
        <f t="shared" si="39"/>
        <v>0</v>
      </c>
    </row>
    <row r="73" spans="23:24" x14ac:dyDescent="0.2">
      <c r="W73" s="453">
        <f>$C$17/20*E46</f>
        <v>0.9</v>
      </c>
      <c r="X73" s="131">
        <f t="shared" si="39"/>
        <v>0</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Pb</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8.9999999999999993E-3</v>
      </c>
      <c r="D5" s="8" t="s">
        <v>22</v>
      </c>
      <c r="E5" s="2">
        <v>1</v>
      </c>
      <c r="F5" s="2">
        <f t="shared" ref="F5:F24" si="0">$C$17/20*E5</f>
        <v>0.05</v>
      </c>
      <c r="G5" s="11">
        <f t="shared" ref="G5:G24" si="1">0.25*$C$8</f>
        <v>1.2500000000000001E-2</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0.05</v>
      </c>
    </row>
    <row r="6" spans="2:18" ht="14.25" x14ac:dyDescent="0.2">
      <c r="B6" s="4" t="s">
        <v>94</v>
      </c>
      <c r="C6"/>
      <c r="D6" s="8"/>
      <c r="E6" s="2">
        <v>2</v>
      </c>
      <c r="F6" s="2">
        <f t="shared" si="0"/>
        <v>0.1</v>
      </c>
      <c r="G6" s="11">
        <f t="shared" si="1"/>
        <v>1.2500000000000001E-2</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0.05</v>
      </c>
    </row>
    <row r="7" spans="2:18" ht="14.25" x14ac:dyDescent="0.2">
      <c r="B7" s="4"/>
      <c r="C7" s="8"/>
      <c r="D7" s="8"/>
      <c r="E7" s="2">
        <v>3</v>
      </c>
      <c r="F7" s="2">
        <f t="shared" si="0"/>
        <v>0.15000000000000002</v>
      </c>
      <c r="G7" s="11">
        <f t="shared" si="1"/>
        <v>1.2500000000000001E-2</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0.05</v>
      </c>
    </row>
    <row r="8" spans="2:18" ht="14.25" x14ac:dyDescent="0.2">
      <c r="B8" s="4" t="s">
        <v>9</v>
      </c>
      <c r="C8" s="186">
        <f>'Level3 Groundwater'!D20</f>
        <v>0.05</v>
      </c>
      <c r="D8" s="8" t="s">
        <v>22</v>
      </c>
      <c r="E8" s="2">
        <v>4</v>
      </c>
      <c r="F8" s="2">
        <f t="shared" si="0"/>
        <v>0.2</v>
      </c>
      <c r="G8" s="11">
        <f t="shared" si="1"/>
        <v>1.2500000000000001E-2</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0.05</v>
      </c>
    </row>
    <row r="9" spans="2:18" ht="15" x14ac:dyDescent="0.2">
      <c r="B9" s="5" t="s">
        <v>34</v>
      </c>
      <c r="C9" s="186">
        <f>'Level3 Groundwater'!D44</f>
        <v>4.8594225258432307E-106</v>
      </c>
      <c r="D9" s="2" t="s">
        <v>151</v>
      </c>
      <c r="E9" s="2">
        <v>5</v>
      </c>
      <c r="F9" s="2">
        <f t="shared" si="0"/>
        <v>0.25</v>
      </c>
      <c r="G9" s="11">
        <f t="shared" si="1"/>
        <v>1.2500000000000001E-2</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0.05</v>
      </c>
    </row>
    <row r="10" spans="2:18" ht="14.25" x14ac:dyDescent="0.2">
      <c r="B10" s="4" t="s">
        <v>50</v>
      </c>
      <c r="C10" s="186">
        <f>'Level3 Groundwater'!D23</f>
        <v>100</v>
      </c>
      <c r="D10" s="2" t="s">
        <v>26</v>
      </c>
      <c r="E10" s="2">
        <v>6</v>
      </c>
      <c r="F10" s="2">
        <f t="shared" si="0"/>
        <v>0.30000000000000004</v>
      </c>
      <c r="G10" s="11">
        <f t="shared" si="1"/>
        <v>1.2500000000000001E-2</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0.05</v>
      </c>
    </row>
    <row r="11" spans="2:18" ht="14.25" x14ac:dyDescent="0.2">
      <c r="B11" s="4" t="s">
        <v>153</v>
      </c>
      <c r="C11" s="186">
        <f>'Level3 Groundwater'!D24</f>
        <v>100</v>
      </c>
      <c r="D11" s="2" t="s">
        <v>26</v>
      </c>
      <c r="E11" s="2">
        <v>7</v>
      </c>
      <c r="F11" s="2">
        <f t="shared" si="0"/>
        <v>0.35000000000000003</v>
      </c>
      <c r="G11" s="11">
        <f t="shared" si="1"/>
        <v>1.2500000000000001E-2</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0.05</v>
      </c>
    </row>
    <row r="12" spans="2:18" ht="14.25" x14ac:dyDescent="0.2">
      <c r="B12" s="4" t="s">
        <v>13</v>
      </c>
      <c r="C12" s="186">
        <f>'Level3 Groundwater'!K21</f>
        <v>13100</v>
      </c>
      <c r="D12" s="2" t="s">
        <v>23</v>
      </c>
      <c r="E12" s="2">
        <v>8</v>
      </c>
      <c r="F12" s="2">
        <f t="shared" si="0"/>
        <v>0.4</v>
      </c>
      <c r="G12" s="11">
        <f t="shared" si="1"/>
        <v>1.2500000000000001E-2</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0.05</v>
      </c>
    </row>
    <row r="13" spans="2:18" ht="15" x14ac:dyDescent="0.2">
      <c r="B13" s="5" t="s">
        <v>35</v>
      </c>
      <c r="C13" s="186">
        <f>'Level3 Groundwater'!D26</f>
        <v>1.96</v>
      </c>
      <c r="D13" s="2" t="s">
        <v>24</v>
      </c>
      <c r="E13" s="2">
        <v>9</v>
      </c>
      <c r="F13" s="2">
        <f t="shared" si="0"/>
        <v>0.45</v>
      </c>
      <c r="G13" s="11">
        <f t="shared" si="1"/>
        <v>1.2500000000000001E-2</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0.05</v>
      </c>
    </row>
    <row r="14" spans="2:18" ht="14.25" x14ac:dyDescent="0.2">
      <c r="B14" s="4" t="s">
        <v>1</v>
      </c>
      <c r="C14" s="186">
        <f>'Level3 Groundwater'!D27</f>
        <v>0.16200000000000001</v>
      </c>
      <c r="E14" s="2">
        <v>10</v>
      </c>
      <c r="F14" s="2">
        <f t="shared" si="0"/>
        <v>0.5</v>
      </c>
      <c r="G14" s="11">
        <f t="shared" si="1"/>
        <v>1.2500000000000001E-2</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0.05</v>
      </c>
    </row>
    <row r="15" spans="2:18" ht="14.25" x14ac:dyDescent="0.2">
      <c r="B15" s="4" t="s">
        <v>44</v>
      </c>
      <c r="C15" s="186">
        <f>'Level3 Groundwater'!D28</f>
        <v>2.5399999999999999E-2</v>
      </c>
      <c r="E15" s="2">
        <v>11</v>
      </c>
      <c r="F15" s="2">
        <f t="shared" si="0"/>
        <v>0.55000000000000004</v>
      </c>
      <c r="G15" s="11">
        <f t="shared" si="1"/>
        <v>1.2500000000000001E-2</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0.05</v>
      </c>
    </row>
    <row r="16" spans="2:18" ht="14.25" customHeight="1" x14ac:dyDescent="0.2">
      <c r="B16" s="4" t="s">
        <v>189</v>
      </c>
      <c r="C16" s="186">
        <f>'Level3 Groundwater'!D29</f>
        <v>2.0250000000000001E-5</v>
      </c>
      <c r="D16" s="2" t="s">
        <v>25</v>
      </c>
      <c r="E16" s="2">
        <v>12</v>
      </c>
      <c r="F16" s="2">
        <f t="shared" si="0"/>
        <v>0.60000000000000009</v>
      </c>
      <c r="G16" s="11">
        <f t="shared" si="1"/>
        <v>1.2500000000000001E-2</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0.05</v>
      </c>
    </row>
    <row r="17" spans="2:18" ht="14.25" customHeight="1" x14ac:dyDescent="0.2">
      <c r="B17" s="4" t="s">
        <v>14</v>
      </c>
      <c r="C17" s="186">
        <f>'Level3 Groundwater'!D30</f>
        <v>1</v>
      </c>
      <c r="D17" s="2" t="s">
        <v>26</v>
      </c>
      <c r="E17" s="2">
        <v>13</v>
      </c>
      <c r="F17" s="2">
        <f t="shared" si="0"/>
        <v>0.65</v>
      </c>
      <c r="G17" s="11">
        <f t="shared" si="1"/>
        <v>1.2500000000000001E-2</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0.05</v>
      </c>
    </row>
    <row r="18" spans="2:18" ht="14.25" customHeight="1" x14ac:dyDescent="0.2">
      <c r="B18" s="4" t="s">
        <v>16</v>
      </c>
      <c r="C18" s="186">
        <v>0</v>
      </c>
      <c r="D18" s="2" t="s">
        <v>26</v>
      </c>
      <c r="E18" s="2">
        <v>14</v>
      </c>
      <c r="F18" s="2">
        <f t="shared" si="0"/>
        <v>0.70000000000000007</v>
      </c>
      <c r="G18" s="11">
        <f t="shared" si="1"/>
        <v>1.2500000000000001E-2</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0.05</v>
      </c>
    </row>
    <row r="19" spans="2:18" ht="14.25" customHeight="1" x14ac:dyDescent="0.2">
      <c r="B19" s="4" t="s">
        <v>15</v>
      </c>
      <c r="C19" s="186">
        <v>0</v>
      </c>
      <c r="D19" s="2" t="s">
        <v>26</v>
      </c>
      <c r="E19" s="2">
        <v>15</v>
      </c>
      <c r="F19" s="2">
        <f t="shared" si="0"/>
        <v>0.75</v>
      </c>
      <c r="G19" s="11">
        <f t="shared" si="1"/>
        <v>1.2500000000000001E-2</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0.05</v>
      </c>
    </row>
    <row r="20" spans="2:18" ht="14.25" customHeight="1" x14ac:dyDescent="0.2">
      <c r="B20"/>
      <c r="C20"/>
      <c r="D20"/>
      <c r="E20" s="2">
        <v>16</v>
      </c>
      <c r="F20" s="2">
        <f t="shared" si="0"/>
        <v>0.8</v>
      </c>
      <c r="G20" s="11">
        <f t="shared" si="1"/>
        <v>1.2500000000000001E-2</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0.05</v>
      </c>
    </row>
    <row r="21" spans="2:18" ht="14.25" customHeight="1" x14ac:dyDescent="0.2">
      <c r="B21" s="4" t="s">
        <v>18</v>
      </c>
      <c r="C21" s="186">
        <f>'Level3 Groundwater'!D36</f>
        <v>0.1</v>
      </c>
      <c r="D21" s="8" t="s">
        <v>26</v>
      </c>
      <c r="E21" s="2">
        <v>17</v>
      </c>
      <c r="F21" s="2">
        <f t="shared" si="0"/>
        <v>0.85000000000000009</v>
      </c>
      <c r="G21" s="11">
        <f t="shared" si="1"/>
        <v>1.2500000000000001E-2</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0.05</v>
      </c>
    </row>
    <row r="22" spans="2:18" ht="14.25" customHeight="1" x14ac:dyDescent="0.2">
      <c r="B22" s="4" t="s">
        <v>20</v>
      </c>
      <c r="C22" s="186">
        <f>'Level3 Groundwater'!D37</f>
        <v>0.01</v>
      </c>
      <c r="D22" s="8" t="s">
        <v>26</v>
      </c>
      <c r="E22" s="2">
        <v>18</v>
      </c>
      <c r="F22" s="2">
        <f t="shared" si="0"/>
        <v>0.9</v>
      </c>
      <c r="G22" s="11">
        <f t="shared" si="1"/>
        <v>1.2500000000000001E-2</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0.05</v>
      </c>
    </row>
    <row r="23" spans="2:18" ht="14.25" customHeight="1" x14ac:dyDescent="0.2">
      <c r="B23" s="4" t="s">
        <v>19</v>
      </c>
      <c r="C23" s="186">
        <f>'Level3 Groundwater'!D38</f>
        <v>1E-3</v>
      </c>
      <c r="D23" s="8" t="s">
        <v>26</v>
      </c>
      <c r="E23" s="2">
        <v>19</v>
      </c>
      <c r="F23" s="2">
        <f t="shared" si="0"/>
        <v>0.95000000000000007</v>
      </c>
      <c r="G23" s="11">
        <f t="shared" si="1"/>
        <v>1.2500000000000001E-2</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0.05</v>
      </c>
    </row>
    <row r="24" spans="2:18" x14ac:dyDescent="0.2">
      <c r="C24" s="8"/>
      <c r="D24" s="8"/>
      <c r="E24" s="2">
        <v>20</v>
      </c>
      <c r="F24" s="2">
        <f t="shared" si="0"/>
        <v>1</v>
      </c>
      <c r="G24" s="11">
        <f t="shared" si="1"/>
        <v>1.2500000000000001E-2</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0.05</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158494.82716049382</v>
      </c>
      <c r="D29" s="109"/>
      <c r="E29" s="2"/>
      <c r="F29" s="2"/>
      <c r="G29" s="11"/>
      <c r="H29" s="11"/>
      <c r="I29" s="11"/>
      <c r="J29" s="22"/>
      <c r="K29" s="22"/>
      <c r="L29" s="11"/>
      <c r="M29" s="11"/>
      <c r="N29" s="22"/>
      <c r="O29" s="22"/>
      <c r="P29" s="11"/>
      <c r="Q29" s="11"/>
      <c r="R29" s="68"/>
    </row>
    <row r="30" spans="2:18" ht="14.25" x14ac:dyDescent="0.2">
      <c r="B30" s="4" t="s">
        <v>41</v>
      </c>
      <c r="C30" s="186">
        <f>'Level3 Groundwater'!D45</f>
        <v>2.0032199516423055E-11</v>
      </c>
      <c r="D30" s="2" t="s">
        <v>25</v>
      </c>
      <c r="E30" s="2">
        <v>1</v>
      </c>
      <c r="F30" s="2">
        <f t="shared" ref="F30:F49" si="13">$C$17/20*E30</f>
        <v>0.05</v>
      </c>
      <c r="G30" s="11">
        <f t="shared" ref="G30:G49" si="14">0.25*$C$8</f>
        <v>1.2500000000000001E-2</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0.05</v>
      </c>
    </row>
    <row r="31" spans="2:18" x14ac:dyDescent="0.2">
      <c r="E31" s="2">
        <v>2</v>
      </c>
      <c r="F31" s="2">
        <f t="shared" si="13"/>
        <v>0.1</v>
      </c>
      <c r="G31" s="11">
        <f t="shared" si="14"/>
        <v>1.2500000000000001E-2</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0.05</v>
      </c>
    </row>
    <row r="32" spans="2:18" x14ac:dyDescent="0.2">
      <c r="E32" s="2">
        <v>3</v>
      </c>
      <c r="F32" s="2">
        <f t="shared" si="13"/>
        <v>0.15000000000000002</v>
      </c>
      <c r="G32" s="11">
        <f t="shared" si="14"/>
        <v>1.2500000000000001E-2</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0.05</v>
      </c>
    </row>
    <row r="33" spans="2:18" x14ac:dyDescent="0.2">
      <c r="E33" s="2">
        <v>4</v>
      </c>
      <c r="F33" s="2">
        <f t="shared" si="13"/>
        <v>0.2</v>
      </c>
      <c r="G33" s="11">
        <f t="shared" si="14"/>
        <v>1.2500000000000001E-2</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0.05</v>
      </c>
    </row>
    <row r="34" spans="2:18" x14ac:dyDescent="0.2">
      <c r="E34" s="2">
        <v>5</v>
      </c>
      <c r="F34" s="2">
        <f t="shared" si="13"/>
        <v>0.25</v>
      </c>
      <c r="G34" s="11">
        <f t="shared" si="14"/>
        <v>1.2500000000000001E-2</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0.05</v>
      </c>
    </row>
    <row r="35" spans="2:18" x14ac:dyDescent="0.2">
      <c r="E35" s="2">
        <v>6</v>
      </c>
      <c r="F35" s="2">
        <f t="shared" si="13"/>
        <v>0.30000000000000004</v>
      </c>
      <c r="G35" s="11">
        <f t="shared" si="14"/>
        <v>1.2500000000000001E-2</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0.05</v>
      </c>
    </row>
    <row r="36" spans="2:18" x14ac:dyDescent="0.2">
      <c r="E36" s="2">
        <v>7</v>
      </c>
      <c r="F36" s="2">
        <f t="shared" si="13"/>
        <v>0.35000000000000003</v>
      </c>
      <c r="G36" s="11">
        <f t="shared" si="14"/>
        <v>1.2500000000000001E-2</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0.05</v>
      </c>
    </row>
    <row r="37" spans="2:18" x14ac:dyDescent="0.2">
      <c r="E37" s="2">
        <v>8</v>
      </c>
      <c r="F37" s="2">
        <f t="shared" si="13"/>
        <v>0.4</v>
      </c>
      <c r="G37" s="11">
        <f t="shared" si="14"/>
        <v>1.2500000000000001E-2</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0.05</v>
      </c>
    </row>
    <row r="38" spans="2:18" x14ac:dyDescent="0.2">
      <c r="E38" s="2">
        <v>9</v>
      </c>
      <c r="F38" s="2">
        <f t="shared" si="13"/>
        <v>0.45</v>
      </c>
      <c r="G38" s="11">
        <f t="shared" si="14"/>
        <v>1.2500000000000001E-2</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0.05</v>
      </c>
    </row>
    <row r="39" spans="2:18" x14ac:dyDescent="0.2">
      <c r="E39" s="2">
        <v>10</v>
      </c>
      <c r="F39" s="2">
        <f t="shared" si="13"/>
        <v>0.5</v>
      </c>
      <c r="G39" s="11">
        <f t="shared" si="14"/>
        <v>1.2500000000000001E-2</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0.05</v>
      </c>
    </row>
    <row r="40" spans="2:18" x14ac:dyDescent="0.2">
      <c r="E40" s="2">
        <v>11</v>
      </c>
      <c r="F40" s="2">
        <f t="shared" si="13"/>
        <v>0.55000000000000004</v>
      </c>
      <c r="G40" s="11">
        <f t="shared" si="14"/>
        <v>1.2500000000000001E-2</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0.05</v>
      </c>
    </row>
    <row r="41" spans="2:18" x14ac:dyDescent="0.2">
      <c r="E41" s="2">
        <v>12</v>
      </c>
      <c r="F41" s="2">
        <f t="shared" si="13"/>
        <v>0.60000000000000009</v>
      </c>
      <c r="G41" s="11">
        <f t="shared" si="14"/>
        <v>1.2500000000000001E-2</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0.05</v>
      </c>
    </row>
    <row r="42" spans="2:18" x14ac:dyDescent="0.2">
      <c r="E42" s="2">
        <v>13</v>
      </c>
      <c r="F42" s="2">
        <f t="shared" si="13"/>
        <v>0.65</v>
      </c>
      <c r="G42" s="11">
        <f t="shared" si="14"/>
        <v>1.2500000000000001E-2</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0.05</v>
      </c>
    </row>
    <row r="43" spans="2:18" x14ac:dyDescent="0.2">
      <c r="E43" s="2">
        <v>14</v>
      </c>
      <c r="F43" s="2">
        <f t="shared" si="13"/>
        <v>0.70000000000000007</v>
      </c>
      <c r="G43" s="11">
        <f t="shared" si="14"/>
        <v>1.2500000000000001E-2</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0.05</v>
      </c>
    </row>
    <row r="44" spans="2:18" x14ac:dyDescent="0.2">
      <c r="E44" s="2">
        <v>15</v>
      </c>
      <c r="F44" s="2">
        <f t="shared" si="13"/>
        <v>0.75</v>
      </c>
      <c r="G44" s="11">
        <f t="shared" si="14"/>
        <v>1.2500000000000001E-2</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0.05</v>
      </c>
    </row>
    <row r="45" spans="2:18" x14ac:dyDescent="0.2">
      <c r="E45" s="2">
        <v>16</v>
      </c>
      <c r="F45" s="2">
        <f t="shared" si="13"/>
        <v>0.8</v>
      </c>
      <c r="G45" s="11">
        <f t="shared" si="14"/>
        <v>1.2500000000000001E-2</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0.05</v>
      </c>
    </row>
    <row r="46" spans="2:18" x14ac:dyDescent="0.2">
      <c r="E46" s="2">
        <v>17</v>
      </c>
      <c r="F46" s="2">
        <f t="shared" si="13"/>
        <v>0.85000000000000009</v>
      </c>
      <c r="G46" s="11">
        <f t="shared" si="14"/>
        <v>1.2500000000000001E-2</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0.05</v>
      </c>
    </row>
    <row r="47" spans="2:18" x14ac:dyDescent="0.2">
      <c r="E47" s="2">
        <v>18</v>
      </c>
      <c r="F47" s="2">
        <f t="shared" si="13"/>
        <v>0.9</v>
      </c>
      <c r="G47" s="11">
        <f t="shared" si="14"/>
        <v>1.2500000000000001E-2</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0.05</v>
      </c>
    </row>
    <row r="48" spans="2:18" x14ac:dyDescent="0.2">
      <c r="B48" s="103" t="s">
        <v>142</v>
      </c>
      <c r="C48" s="108">
        <f>Introduction!B32</f>
        <v>43993</v>
      </c>
      <c r="D48" s="110"/>
      <c r="E48" s="2">
        <v>19</v>
      </c>
      <c r="F48" s="2">
        <f t="shared" si="13"/>
        <v>0.95000000000000007</v>
      </c>
      <c r="G48" s="11">
        <f t="shared" si="14"/>
        <v>1.2500000000000001E-2</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0.05</v>
      </c>
    </row>
    <row r="49" spans="2:18" x14ac:dyDescent="0.2">
      <c r="B49" s="104" t="s">
        <v>158</v>
      </c>
      <c r="C49" s="107">
        <f>Introduction!E32</f>
        <v>1.01</v>
      </c>
      <c r="D49" s="111"/>
      <c r="E49" s="2">
        <v>20</v>
      </c>
      <c r="F49" s="2">
        <f t="shared" si="13"/>
        <v>1</v>
      </c>
      <c r="G49" s="11">
        <f t="shared" si="14"/>
        <v>1.2500000000000001E-2</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0.05</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0.05</v>
      </c>
    </row>
    <row r="57" spans="2:18" x14ac:dyDescent="0.2">
      <c r="O57" s="136"/>
      <c r="Q57" s="453">
        <f t="shared" ref="Q57:Q75" si="26">$C$17/20*E31</f>
        <v>0.1</v>
      </c>
      <c r="R57" s="131">
        <f t="shared" ref="R57:R75" si="27">IF(C$25="Simulate vertical dispersion in 1 direction",R31,R6)</f>
        <v>0.05</v>
      </c>
    </row>
    <row r="58" spans="2:18" x14ac:dyDescent="0.2">
      <c r="O58" s="136"/>
      <c r="Q58" s="453">
        <f t="shared" si="26"/>
        <v>0.15000000000000002</v>
      </c>
      <c r="R58" s="131">
        <f t="shared" si="27"/>
        <v>0.05</v>
      </c>
    </row>
    <row r="59" spans="2:18" x14ac:dyDescent="0.2">
      <c r="O59" s="136"/>
      <c r="Q59" s="453">
        <f t="shared" si="26"/>
        <v>0.2</v>
      </c>
      <c r="R59" s="131">
        <f t="shared" si="27"/>
        <v>0.05</v>
      </c>
    </row>
    <row r="60" spans="2:18" x14ac:dyDescent="0.2">
      <c r="O60" s="136"/>
      <c r="Q60" s="453">
        <f t="shared" si="26"/>
        <v>0.25</v>
      </c>
      <c r="R60" s="131">
        <f t="shared" si="27"/>
        <v>0.05</v>
      </c>
    </row>
    <row r="61" spans="2:18" x14ac:dyDescent="0.2">
      <c r="O61" s="136"/>
      <c r="Q61" s="453">
        <f t="shared" si="26"/>
        <v>0.30000000000000004</v>
      </c>
      <c r="R61" s="131">
        <f t="shared" si="27"/>
        <v>0.05</v>
      </c>
    </row>
    <row r="62" spans="2:18" x14ac:dyDescent="0.2">
      <c r="O62" s="136"/>
      <c r="Q62" s="453">
        <f t="shared" si="26"/>
        <v>0.35000000000000003</v>
      </c>
      <c r="R62" s="131">
        <f t="shared" si="27"/>
        <v>0.05</v>
      </c>
    </row>
    <row r="63" spans="2:18" x14ac:dyDescent="0.2">
      <c r="O63" s="136"/>
      <c r="Q63" s="453">
        <f t="shared" si="26"/>
        <v>0.4</v>
      </c>
      <c r="R63" s="131">
        <f t="shared" si="27"/>
        <v>0.05</v>
      </c>
    </row>
    <row r="64" spans="2:18" x14ac:dyDescent="0.2">
      <c r="O64" s="136"/>
      <c r="Q64" s="453">
        <f t="shared" si="26"/>
        <v>0.45</v>
      </c>
      <c r="R64" s="131">
        <f t="shared" si="27"/>
        <v>0.05</v>
      </c>
    </row>
    <row r="65" spans="15:18" x14ac:dyDescent="0.2">
      <c r="O65" s="136"/>
      <c r="Q65" s="453">
        <f t="shared" si="26"/>
        <v>0.5</v>
      </c>
      <c r="R65" s="131">
        <f t="shared" si="27"/>
        <v>0.05</v>
      </c>
    </row>
    <row r="66" spans="15:18" x14ac:dyDescent="0.2">
      <c r="O66" s="136"/>
      <c r="Q66" s="453">
        <f t="shared" si="26"/>
        <v>0.55000000000000004</v>
      </c>
      <c r="R66" s="131">
        <f t="shared" si="27"/>
        <v>0.05</v>
      </c>
    </row>
    <row r="67" spans="15:18" x14ac:dyDescent="0.2">
      <c r="O67" s="136"/>
      <c r="Q67" s="453">
        <f t="shared" si="26"/>
        <v>0.60000000000000009</v>
      </c>
      <c r="R67" s="131">
        <f t="shared" si="27"/>
        <v>0.05</v>
      </c>
    </row>
    <row r="68" spans="15:18" x14ac:dyDescent="0.2">
      <c r="O68" s="136"/>
      <c r="Q68" s="453">
        <f t="shared" si="26"/>
        <v>0.65</v>
      </c>
      <c r="R68" s="131">
        <f t="shared" si="27"/>
        <v>0.05</v>
      </c>
    </row>
    <row r="69" spans="15:18" x14ac:dyDescent="0.2">
      <c r="O69" s="136"/>
      <c r="Q69" s="453">
        <f t="shared" si="26"/>
        <v>0.70000000000000007</v>
      </c>
      <c r="R69" s="131">
        <f t="shared" si="27"/>
        <v>0.05</v>
      </c>
    </row>
    <row r="70" spans="15:18" x14ac:dyDescent="0.2">
      <c r="O70" s="136"/>
      <c r="Q70" s="453">
        <f t="shared" si="26"/>
        <v>0.75</v>
      </c>
      <c r="R70" s="131">
        <f t="shared" si="27"/>
        <v>0.05</v>
      </c>
    </row>
    <row r="71" spans="15:18" x14ac:dyDescent="0.2">
      <c r="O71" s="136"/>
      <c r="Q71" s="453">
        <f t="shared" si="26"/>
        <v>0.8</v>
      </c>
      <c r="R71" s="131">
        <f t="shared" si="27"/>
        <v>0.05</v>
      </c>
    </row>
    <row r="72" spans="15:18" x14ac:dyDescent="0.2">
      <c r="O72" s="136"/>
      <c r="Q72" s="453">
        <f t="shared" si="26"/>
        <v>0.85000000000000009</v>
      </c>
      <c r="R72" s="131">
        <f t="shared" si="27"/>
        <v>0.05</v>
      </c>
    </row>
    <row r="73" spans="15:18" x14ac:dyDescent="0.2">
      <c r="O73" s="136"/>
      <c r="Q73" s="453">
        <f t="shared" si="26"/>
        <v>0.9</v>
      </c>
      <c r="R73" s="131">
        <f t="shared" si="27"/>
        <v>0.05</v>
      </c>
    </row>
    <row r="74" spans="15:18" x14ac:dyDescent="0.2">
      <c r="O74" s="136"/>
      <c r="Q74" s="453">
        <f t="shared" si="26"/>
        <v>0.95000000000000007</v>
      </c>
      <c r="R74" s="131">
        <f t="shared" si="27"/>
        <v>0.05</v>
      </c>
    </row>
    <row r="75" spans="15:18" x14ac:dyDescent="0.2">
      <c r="O75" s="136"/>
      <c r="Q75" s="453">
        <f t="shared" si="26"/>
        <v>1</v>
      </c>
      <c r="R75" s="131">
        <f t="shared" si="27"/>
        <v>0.05</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Pb</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8.9999999999999993E-3</v>
      </c>
      <c r="D6" s="8" t="s">
        <v>22</v>
      </c>
      <c r="E6" s="81">
        <v>1</v>
      </c>
      <c r="F6" s="64">
        <f t="shared" ref="F6:F25" si="0">$C$18/20*E6</f>
        <v>0.05</v>
      </c>
      <c r="G6" s="11">
        <f t="shared" ref="G6:G25" si="1">0.125*$C$9</f>
        <v>6.2500000000000003E-3</v>
      </c>
      <c r="H6" s="132">
        <f t="shared" ref="H6:H25" si="2">$F6/(2*$C$22)*(1-(1+(4*$C$10*$C$22)/$C$31)^0.5)</f>
        <v>0</v>
      </c>
      <c r="I6" s="132">
        <f t="shared" ref="I6:I25" si="3">EXP(H6)</f>
        <v>1</v>
      </c>
      <c r="J6" s="133">
        <f t="shared" ref="J6:J25" si="4">1/(2*(SQRT($C$22*$C$31*$C$21)))*($F6-($C$31*$C$21)*(1+(4*$C$10*$C$22)/$C$31)^0.5)</f>
        <v>29.232485585637267</v>
      </c>
      <c r="K6" s="22">
        <f t="shared" ref="K6:K25" si="5">IF(J6&lt;-4,2,IF(J6&gt;4,0,IF(J6&gt;=0,ERFC(J6),1+ERF(-J6))))</f>
        <v>0</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0</v>
      </c>
      <c r="U6" s="15"/>
      <c r="V6" s="15"/>
    </row>
    <row r="7" spans="2:22" ht="14.25" x14ac:dyDescent="0.2">
      <c r="B7" s="4"/>
      <c r="C7"/>
      <c r="D7" s="8"/>
      <c r="E7" s="81">
        <v>2</v>
      </c>
      <c r="F7" s="64">
        <f t="shared" si="0"/>
        <v>0.1</v>
      </c>
      <c r="G7" s="11">
        <f t="shared" si="1"/>
        <v>6.2500000000000003E-3</v>
      </c>
      <c r="H7" s="132">
        <f t="shared" si="2"/>
        <v>0</v>
      </c>
      <c r="I7" s="132">
        <f t="shared" si="3"/>
        <v>1</v>
      </c>
      <c r="J7" s="133">
        <f t="shared" si="4"/>
        <v>58.469246610674027</v>
      </c>
      <c r="K7" s="22">
        <f t="shared" si="5"/>
        <v>0</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0</v>
      </c>
    </row>
    <row r="8" spans="2:22" ht="14.25" x14ac:dyDescent="0.2">
      <c r="B8" s="4"/>
      <c r="C8" s="8"/>
      <c r="D8" s="8"/>
      <c r="E8" s="81">
        <v>3</v>
      </c>
      <c r="F8" s="64">
        <f t="shared" si="0"/>
        <v>0.15000000000000002</v>
      </c>
      <c r="G8" s="11">
        <f t="shared" si="1"/>
        <v>6.2500000000000003E-3</v>
      </c>
      <c r="H8" s="132">
        <f t="shared" si="2"/>
        <v>0</v>
      </c>
      <c r="I8" s="132">
        <f t="shared" si="3"/>
        <v>1</v>
      </c>
      <c r="J8" s="133">
        <f t="shared" si="4"/>
        <v>87.70600763571079</v>
      </c>
      <c r="K8" s="22">
        <f t="shared" si="5"/>
        <v>0</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0</v>
      </c>
    </row>
    <row r="9" spans="2:22" ht="14.25" x14ac:dyDescent="0.2">
      <c r="B9" s="4" t="s">
        <v>9</v>
      </c>
      <c r="C9" s="186">
        <f>'Level3 Groundwater'!D20</f>
        <v>0.05</v>
      </c>
      <c r="D9" s="8" t="s">
        <v>22</v>
      </c>
      <c r="E9" s="81">
        <v>4</v>
      </c>
      <c r="F9" s="64">
        <f t="shared" si="0"/>
        <v>0.2</v>
      </c>
      <c r="G9" s="11">
        <f t="shared" si="1"/>
        <v>6.2500000000000003E-3</v>
      </c>
      <c r="H9" s="132">
        <f t="shared" si="2"/>
        <v>0</v>
      </c>
      <c r="I9" s="132">
        <f t="shared" si="3"/>
        <v>1</v>
      </c>
      <c r="J9" s="133">
        <f t="shared" si="4"/>
        <v>116.94276866074755</v>
      </c>
      <c r="K9" s="22">
        <f t="shared" si="5"/>
        <v>0</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0</v>
      </c>
    </row>
    <row r="10" spans="2:22" ht="15" x14ac:dyDescent="0.2">
      <c r="B10" s="5" t="s">
        <v>34</v>
      </c>
      <c r="C10" s="186">
        <f>'Level3 Groundwater'!D44</f>
        <v>4.8594225258432307E-106</v>
      </c>
      <c r="D10" s="2" t="s">
        <v>151</v>
      </c>
      <c r="E10" s="81">
        <v>5</v>
      </c>
      <c r="F10" s="64">
        <f t="shared" si="0"/>
        <v>0.25</v>
      </c>
      <c r="G10" s="11">
        <f t="shared" si="1"/>
        <v>6.2500000000000003E-3</v>
      </c>
      <c r="H10" s="132">
        <f t="shared" si="2"/>
        <v>0</v>
      </c>
      <c r="I10" s="132">
        <f t="shared" si="3"/>
        <v>1</v>
      </c>
      <c r="J10" s="133">
        <f t="shared" si="4"/>
        <v>146.1795296857843</v>
      </c>
      <c r="K10" s="22">
        <f t="shared" si="5"/>
        <v>0</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0</v>
      </c>
    </row>
    <row r="11" spans="2:22" ht="14.25" x14ac:dyDescent="0.2">
      <c r="B11" s="4" t="s">
        <v>50</v>
      </c>
      <c r="C11" s="186">
        <f>'Level3 Groundwater'!D23</f>
        <v>100</v>
      </c>
      <c r="D11" s="2" t="s">
        <v>26</v>
      </c>
      <c r="E11" s="81">
        <v>6</v>
      </c>
      <c r="F11" s="64">
        <f t="shared" si="0"/>
        <v>0.30000000000000004</v>
      </c>
      <c r="G11" s="11">
        <f t="shared" si="1"/>
        <v>6.2500000000000003E-3</v>
      </c>
      <c r="H11" s="132">
        <f t="shared" si="2"/>
        <v>0</v>
      </c>
      <c r="I11" s="132">
        <f t="shared" si="3"/>
        <v>1</v>
      </c>
      <c r="J11" s="133">
        <f t="shared" si="4"/>
        <v>175.4162907108211</v>
      </c>
      <c r="K11" s="22">
        <f t="shared" si="5"/>
        <v>0</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0</v>
      </c>
    </row>
    <row r="12" spans="2:22" ht="14.25" x14ac:dyDescent="0.2">
      <c r="B12" s="4" t="s">
        <v>153</v>
      </c>
      <c r="C12" s="186">
        <f>'Level3 Groundwater'!D24</f>
        <v>100</v>
      </c>
      <c r="D12" s="2" t="s">
        <v>26</v>
      </c>
      <c r="E12" s="81">
        <v>7</v>
      </c>
      <c r="F12" s="64">
        <f t="shared" si="0"/>
        <v>0.35000000000000003</v>
      </c>
      <c r="G12" s="11">
        <f t="shared" si="1"/>
        <v>6.2500000000000003E-3</v>
      </c>
      <c r="H12" s="132">
        <f t="shared" si="2"/>
        <v>0</v>
      </c>
      <c r="I12" s="132">
        <f t="shared" si="3"/>
        <v>1</v>
      </c>
      <c r="J12" s="133">
        <f t="shared" si="4"/>
        <v>204.65305173585784</v>
      </c>
      <c r="K12" s="22">
        <f t="shared" si="5"/>
        <v>0</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0</v>
      </c>
    </row>
    <row r="13" spans="2:22" ht="14.25" x14ac:dyDescent="0.2">
      <c r="B13" s="4" t="s">
        <v>13</v>
      </c>
      <c r="C13" s="186">
        <f>'Level3 Groundwater'!K21</f>
        <v>13100</v>
      </c>
      <c r="D13" s="2" t="s">
        <v>23</v>
      </c>
      <c r="E13" s="81">
        <v>8</v>
      </c>
      <c r="F13" s="64">
        <f t="shared" si="0"/>
        <v>0.4</v>
      </c>
      <c r="G13" s="11">
        <f t="shared" si="1"/>
        <v>6.2500000000000003E-3</v>
      </c>
      <c r="H13" s="132">
        <f t="shared" si="2"/>
        <v>0</v>
      </c>
      <c r="I13" s="132">
        <f t="shared" si="3"/>
        <v>1</v>
      </c>
      <c r="J13" s="133">
        <f t="shared" si="4"/>
        <v>233.88981276089461</v>
      </c>
      <c r="K13" s="22">
        <f t="shared" si="5"/>
        <v>0</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0</v>
      </c>
    </row>
    <row r="14" spans="2:22" ht="15" x14ac:dyDescent="0.2">
      <c r="B14" s="5" t="s">
        <v>35</v>
      </c>
      <c r="C14" s="186">
        <f>'Level3 Groundwater'!D26</f>
        <v>1.96</v>
      </c>
      <c r="D14" s="2" t="s">
        <v>24</v>
      </c>
      <c r="E14" s="81">
        <v>9</v>
      </c>
      <c r="F14" s="64">
        <f t="shared" si="0"/>
        <v>0.45</v>
      </c>
      <c r="G14" s="11">
        <f t="shared" si="1"/>
        <v>6.2500000000000003E-3</v>
      </c>
      <c r="H14" s="132">
        <f t="shared" si="2"/>
        <v>0</v>
      </c>
      <c r="I14" s="132">
        <f t="shared" si="3"/>
        <v>1</v>
      </c>
      <c r="J14" s="133">
        <f t="shared" si="4"/>
        <v>263.12657378593133</v>
      </c>
      <c r="K14" s="22">
        <f t="shared" si="5"/>
        <v>0</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0</v>
      </c>
    </row>
    <row r="15" spans="2:22" ht="14.25" x14ac:dyDescent="0.2">
      <c r="B15" s="4" t="s">
        <v>1</v>
      </c>
      <c r="C15" s="186">
        <f>'Level3 Groundwater'!D27</f>
        <v>0.16200000000000001</v>
      </c>
      <c r="E15" s="81">
        <v>10</v>
      </c>
      <c r="F15" s="64">
        <f t="shared" si="0"/>
        <v>0.5</v>
      </c>
      <c r="G15" s="11">
        <f t="shared" si="1"/>
        <v>6.2500000000000003E-3</v>
      </c>
      <c r="H15" s="132">
        <f t="shared" si="2"/>
        <v>0</v>
      </c>
      <c r="I15" s="132">
        <f t="shared" si="3"/>
        <v>1</v>
      </c>
      <c r="J15" s="133">
        <f t="shared" si="4"/>
        <v>292.36333481096813</v>
      </c>
      <c r="K15" s="22">
        <f t="shared" si="5"/>
        <v>0</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0</v>
      </c>
    </row>
    <row r="16" spans="2:22" ht="14.25" x14ac:dyDescent="0.2">
      <c r="B16" s="4" t="s">
        <v>44</v>
      </c>
      <c r="C16" s="186">
        <f>'Level3 Groundwater'!D28</f>
        <v>2.5399999999999999E-2</v>
      </c>
      <c r="E16" s="81">
        <v>11</v>
      </c>
      <c r="F16" s="64">
        <f t="shared" si="0"/>
        <v>0.55000000000000004</v>
      </c>
      <c r="G16" s="11">
        <f t="shared" si="1"/>
        <v>6.2500000000000003E-3</v>
      </c>
      <c r="H16" s="132">
        <f t="shared" si="2"/>
        <v>0</v>
      </c>
      <c r="I16" s="132">
        <f t="shared" si="3"/>
        <v>1</v>
      </c>
      <c r="J16" s="133">
        <f t="shared" si="4"/>
        <v>321.60009583600487</v>
      </c>
      <c r="K16" s="22">
        <f t="shared" si="5"/>
        <v>0</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0</v>
      </c>
    </row>
    <row r="17" spans="2:22" ht="14.25" customHeight="1" x14ac:dyDescent="0.2">
      <c r="B17" s="4" t="s">
        <v>189</v>
      </c>
      <c r="C17" s="186">
        <f>'Level3 Groundwater'!D29</f>
        <v>2.0250000000000001E-5</v>
      </c>
      <c r="D17" s="2" t="s">
        <v>25</v>
      </c>
      <c r="E17" s="81">
        <v>12</v>
      </c>
      <c r="F17" s="64">
        <f t="shared" si="0"/>
        <v>0.60000000000000009</v>
      </c>
      <c r="G17" s="11">
        <f t="shared" si="1"/>
        <v>6.2500000000000003E-3</v>
      </c>
      <c r="H17" s="132">
        <f t="shared" si="2"/>
        <v>0</v>
      </c>
      <c r="I17" s="132">
        <f t="shared" si="3"/>
        <v>1</v>
      </c>
      <c r="J17" s="133">
        <f t="shared" si="4"/>
        <v>350.83685686104167</v>
      </c>
      <c r="K17" s="22">
        <f t="shared" si="5"/>
        <v>0</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0</v>
      </c>
    </row>
    <row r="18" spans="2:22" ht="14.25" customHeight="1" x14ac:dyDescent="0.2">
      <c r="B18" s="4" t="s">
        <v>14</v>
      </c>
      <c r="C18" s="186">
        <f>'Level3 Groundwater'!D30</f>
        <v>1</v>
      </c>
      <c r="D18" s="2" t="s">
        <v>26</v>
      </c>
      <c r="E18" s="81">
        <v>13</v>
      </c>
      <c r="F18" s="64">
        <f t="shared" si="0"/>
        <v>0.65</v>
      </c>
      <c r="G18" s="11">
        <f t="shared" si="1"/>
        <v>6.2500000000000003E-3</v>
      </c>
      <c r="H18" s="132">
        <f t="shared" si="2"/>
        <v>0</v>
      </c>
      <c r="I18" s="132">
        <f t="shared" si="3"/>
        <v>1</v>
      </c>
      <c r="J18" s="133">
        <f t="shared" si="4"/>
        <v>380.07361788607835</v>
      </c>
      <c r="K18" s="22">
        <f t="shared" si="5"/>
        <v>0</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0</v>
      </c>
    </row>
    <row r="19" spans="2:22" ht="14.25" customHeight="1" x14ac:dyDescent="0.2">
      <c r="B19" s="4" t="s">
        <v>16</v>
      </c>
      <c r="C19" s="186">
        <v>0</v>
      </c>
      <c r="D19" s="2" t="s">
        <v>26</v>
      </c>
      <c r="E19" s="81">
        <v>14</v>
      </c>
      <c r="F19" s="64">
        <f t="shared" si="0"/>
        <v>0.70000000000000007</v>
      </c>
      <c r="G19" s="11">
        <f t="shared" si="1"/>
        <v>6.2500000000000003E-3</v>
      </c>
      <c r="H19" s="132">
        <f t="shared" si="2"/>
        <v>0</v>
      </c>
      <c r="I19" s="132">
        <f t="shared" si="3"/>
        <v>1</v>
      </c>
      <c r="J19" s="133">
        <f t="shared" si="4"/>
        <v>409.31037891111515</v>
      </c>
      <c r="K19" s="22">
        <f t="shared" si="5"/>
        <v>0</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0</v>
      </c>
    </row>
    <row r="20" spans="2:22" ht="14.25" customHeight="1" x14ac:dyDescent="0.2">
      <c r="B20" s="4" t="s">
        <v>15</v>
      </c>
      <c r="C20" s="186">
        <v>0</v>
      </c>
      <c r="D20" s="2" t="s">
        <v>26</v>
      </c>
      <c r="E20" s="81">
        <v>15</v>
      </c>
      <c r="F20" s="64">
        <f t="shared" si="0"/>
        <v>0.75</v>
      </c>
      <c r="G20" s="11">
        <f t="shared" si="1"/>
        <v>6.2500000000000003E-3</v>
      </c>
      <c r="H20" s="132">
        <f t="shared" si="2"/>
        <v>0</v>
      </c>
      <c r="I20" s="132">
        <f t="shared" si="3"/>
        <v>1</v>
      </c>
      <c r="J20" s="133">
        <f t="shared" si="4"/>
        <v>438.54713993615189</v>
      </c>
      <c r="K20" s="22">
        <f t="shared" si="5"/>
        <v>0</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0</v>
      </c>
    </row>
    <row r="21" spans="2:22" ht="14.25" customHeight="1" x14ac:dyDescent="0.2">
      <c r="B21" s="4" t="s">
        <v>17</v>
      </c>
      <c r="C21" s="186">
        <f>'Level3 Groundwater'!D33</f>
        <v>365000</v>
      </c>
      <c r="D21" s="2" t="s">
        <v>21</v>
      </c>
      <c r="E21" s="81">
        <v>16</v>
      </c>
      <c r="F21" s="64">
        <f t="shared" si="0"/>
        <v>0.8</v>
      </c>
      <c r="G21" s="11">
        <f t="shared" si="1"/>
        <v>6.2500000000000003E-3</v>
      </c>
      <c r="H21" s="132">
        <f t="shared" si="2"/>
        <v>0</v>
      </c>
      <c r="I21" s="132">
        <f t="shared" si="3"/>
        <v>1</v>
      </c>
      <c r="J21" s="133">
        <f t="shared" si="4"/>
        <v>467.78390096118864</v>
      </c>
      <c r="K21" s="22">
        <f t="shared" si="5"/>
        <v>0</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0</v>
      </c>
    </row>
    <row r="22" spans="2:22" ht="14.25" customHeight="1" x14ac:dyDescent="0.2">
      <c r="B22" s="4" t="s">
        <v>18</v>
      </c>
      <c r="C22" s="186">
        <f>'Level3 Groundwater'!D36</f>
        <v>0.1</v>
      </c>
      <c r="D22" s="8" t="s">
        <v>26</v>
      </c>
      <c r="E22" s="81">
        <v>17</v>
      </c>
      <c r="F22" s="64">
        <f t="shared" si="0"/>
        <v>0.85000000000000009</v>
      </c>
      <c r="G22" s="11">
        <f t="shared" si="1"/>
        <v>6.2500000000000003E-3</v>
      </c>
      <c r="H22" s="132">
        <f t="shared" si="2"/>
        <v>0</v>
      </c>
      <c r="I22" s="132">
        <f t="shared" si="3"/>
        <v>1</v>
      </c>
      <c r="J22" s="133">
        <f t="shared" si="4"/>
        <v>497.02066198622543</v>
      </c>
      <c r="K22" s="22">
        <f t="shared" si="5"/>
        <v>0</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0</v>
      </c>
      <c r="U22" t="s">
        <v>171</v>
      </c>
    </row>
    <row r="23" spans="2:22" ht="14.25" customHeight="1" x14ac:dyDescent="0.2">
      <c r="B23" s="4" t="s">
        <v>20</v>
      </c>
      <c r="C23" s="186">
        <f>'Level3 Groundwater'!D37</f>
        <v>0.01</v>
      </c>
      <c r="D23" s="8" t="s">
        <v>26</v>
      </c>
      <c r="E23" s="81">
        <v>18</v>
      </c>
      <c r="F23" s="64">
        <f t="shared" si="0"/>
        <v>0.9</v>
      </c>
      <c r="G23" s="11">
        <f t="shared" si="1"/>
        <v>6.2500000000000003E-3</v>
      </c>
      <c r="H23" s="132">
        <f t="shared" si="2"/>
        <v>0</v>
      </c>
      <c r="I23" s="132">
        <f t="shared" si="3"/>
        <v>1</v>
      </c>
      <c r="J23" s="133">
        <f t="shared" si="4"/>
        <v>526.25742301126218</v>
      </c>
      <c r="K23" s="22">
        <f t="shared" si="5"/>
        <v>0</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0</v>
      </c>
    </row>
    <row r="24" spans="2:22" ht="14.25" customHeight="1" x14ac:dyDescent="0.2">
      <c r="B24" s="4" t="s">
        <v>19</v>
      </c>
      <c r="C24" s="186">
        <f>'Level3 Groundwater'!D38</f>
        <v>1E-3</v>
      </c>
      <c r="D24" s="8" t="s">
        <v>26</v>
      </c>
      <c r="E24" s="81">
        <v>19</v>
      </c>
      <c r="F24" s="64">
        <f t="shared" si="0"/>
        <v>0.95000000000000007</v>
      </c>
      <c r="G24" s="11">
        <f t="shared" si="1"/>
        <v>6.2500000000000003E-3</v>
      </c>
      <c r="H24" s="132">
        <f t="shared" si="2"/>
        <v>0</v>
      </c>
      <c r="I24" s="132">
        <f t="shared" si="3"/>
        <v>1</v>
      </c>
      <c r="J24" s="133">
        <f t="shared" si="4"/>
        <v>555.49418403629898</v>
      </c>
      <c r="K24" s="22">
        <f t="shared" si="5"/>
        <v>0</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0</v>
      </c>
    </row>
    <row r="25" spans="2:22" x14ac:dyDescent="0.2">
      <c r="C25" s="8"/>
      <c r="D25" s="8"/>
      <c r="E25" s="81">
        <v>20</v>
      </c>
      <c r="F25" s="64">
        <f t="shared" si="0"/>
        <v>1</v>
      </c>
      <c r="G25" s="11">
        <f t="shared" si="1"/>
        <v>6.2500000000000003E-3</v>
      </c>
      <c r="H25" s="132">
        <f t="shared" si="2"/>
        <v>0</v>
      </c>
      <c r="I25" s="132">
        <f t="shared" si="3"/>
        <v>1</v>
      </c>
      <c r="J25" s="133">
        <f t="shared" si="4"/>
        <v>584.73094506133566</v>
      </c>
      <c r="K25" s="22">
        <f t="shared" si="5"/>
        <v>0</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158494.82716049382</v>
      </c>
      <c r="D30" s="109"/>
      <c r="E30" s="81">
        <v>1</v>
      </c>
      <c r="F30" s="64">
        <f t="shared" ref="F30:F49" si="15">$C$18/20*E30</f>
        <v>0.05</v>
      </c>
      <c r="G30" s="11">
        <f t="shared" ref="G30:G49" si="16">0.125*$C$9</f>
        <v>6.2500000000000003E-3</v>
      </c>
      <c r="H30" s="132">
        <f t="shared" ref="H30:H49" si="17">$F30/(2*$C$22)*(1-(1+(4*$C$10*$C$22)/$C$31)^0.5)</f>
        <v>0</v>
      </c>
      <c r="I30" s="132">
        <f t="shared" ref="I30:I49" si="18">EXP(H30)</f>
        <v>1</v>
      </c>
      <c r="J30" s="133">
        <f t="shared" ref="J30:J49" si="19">1/(2*(SQRT($C$22*$C$31*$C$21)))*($F30-($C$31*$C$21)*(1+(4*$C$10*$C$22)/$C$31)^0.5)</f>
        <v>29.232485585637267</v>
      </c>
      <c r="K30" s="22">
        <f t="shared" ref="K30:K49" si="20">IF(J30&lt;-4,2,IF(J30&gt;4,0,IF(J30&gt;=0,ERFC(J30),1+ERF(-J30))))</f>
        <v>0</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0</v>
      </c>
    </row>
    <row r="31" spans="2:22" ht="14.25" x14ac:dyDescent="0.2">
      <c r="B31" s="4" t="s">
        <v>41</v>
      </c>
      <c r="C31" s="186">
        <f>'Level3 Groundwater'!D45</f>
        <v>2.0032199516423055E-11</v>
      </c>
      <c r="D31" s="2" t="s">
        <v>25</v>
      </c>
      <c r="E31" s="81">
        <v>2</v>
      </c>
      <c r="F31" s="64">
        <f t="shared" si="15"/>
        <v>0.1</v>
      </c>
      <c r="G31" s="11">
        <f t="shared" si="16"/>
        <v>6.2500000000000003E-3</v>
      </c>
      <c r="H31" s="132">
        <f t="shared" si="17"/>
        <v>0</v>
      </c>
      <c r="I31" s="132">
        <f t="shared" si="18"/>
        <v>1</v>
      </c>
      <c r="J31" s="133">
        <f t="shared" si="19"/>
        <v>58.469246610674027</v>
      </c>
      <c r="K31" s="22">
        <f t="shared" si="20"/>
        <v>0</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0</v>
      </c>
    </row>
    <row r="32" spans="2:22" x14ac:dyDescent="0.2">
      <c r="E32" s="81">
        <v>3</v>
      </c>
      <c r="F32" s="64">
        <f t="shared" si="15"/>
        <v>0.15000000000000002</v>
      </c>
      <c r="G32" s="11">
        <f t="shared" si="16"/>
        <v>6.2500000000000003E-3</v>
      </c>
      <c r="H32" s="132">
        <f t="shared" si="17"/>
        <v>0</v>
      </c>
      <c r="I32" s="132">
        <f t="shared" si="18"/>
        <v>1</v>
      </c>
      <c r="J32" s="133">
        <f t="shared" si="19"/>
        <v>87.70600763571079</v>
      </c>
      <c r="K32" s="22">
        <f t="shared" si="20"/>
        <v>0</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0</v>
      </c>
    </row>
    <row r="33" spans="2:20" x14ac:dyDescent="0.2">
      <c r="E33" s="81">
        <v>4</v>
      </c>
      <c r="F33" s="64">
        <f t="shared" si="15"/>
        <v>0.2</v>
      </c>
      <c r="G33" s="11">
        <f t="shared" si="16"/>
        <v>6.2500000000000003E-3</v>
      </c>
      <c r="H33" s="132">
        <f t="shared" si="17"/>
        <v>0</v>
      </c>
      <c r="I33" s="132">
        <f t="shared" si="18"/>
        <v>1</v>
      </c>
      <c r="J33" s="133">
        <f t="shared" si="19"/>
        <v>116.94276866074755</v>
      </c>
      <c r="K33" s="22">
        <f t="shared" si="20"/>
        <v>0</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0</v>
      </c>
    </row>
    <row r="34" spans="2:20" x14ac:dyDescent="0.2">
      <c r="E34" s="81">
        <v>5</v>
      </c>
      <c r="F34" s="64">
        <f t="shared" si="15"/>
        <v>0.25</v>
      </c>
      <c r="G34" s="11">
        <f t="shared" si="16"/>
        <v>6.2500000000000003E-3</v>
      </c>
      <c r="H34" s="132">
        <f t="shared" si="17"/>
        <v>0</v>
      </c>
      <c r="I34" s="132">
        <f t="shared" si="18"/>
        <v>1</v>
      </c>
      <c r="J34" s="133">
        <f t="shared" si="19"/>
        <v>146.1795296857843</v>
      </c>
      <c r="K34" s="22">
        <f t="shared" si="20"/>
        <v>0</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0</v>
      </c>
    </row>
    <row r="35" spans="2:20" x14ac:dyDescent="0.2">
      <c r="E35" s="81">
        <v>6</v>
      </c>
      <c r="F35" s="64">
        <f t="shared" si="15"/>
        <v>0.30000000000000004</v>
      </c>
      <c r="G35" s="11">
        <f t="shared" si="16"/>
        <v>6.2500000000000003E-3</v>
      </c>
      <c r="H35" s="132">
        <f t="shared" si="17"/>
        <v>0</v>
      </c>
      <c r="I35" s="132">
        <f t="shared" si="18"/>
        <v>1</v>
      </c>
      <c r="J35" s="133">
        <f t="shared" si="19"/>
        <v>175.4162907108211</v>
      </c>
      <c r="K35" s="22">
        <f t="shared" si="20"/>
        <v>0</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0</v>
      </c>
    </row>
    <row r="36" spans="2:20" x14ac:dyDescent="0.2">
      <c r="E36" s="81">
        <v>7</v>
      </c>
      <c r="F36" s="64">
        <f t="shared" si="15"/>
        <v>0.35000000000000003</v>
      </c>
      <c r="G36" s="11">
        <f t="shared" si="16"/>
        <v>6.2500000000000003E-3</v>
      </c>
      <c r="H36" s="132">
        <f t="shared" si="17"/>
        <v>0</v>
      </c>
      <c r="I36" s="132">
        <f t="shared" si="18"/>
        <v>1</v>
      </c>
      <c r="J36" s="133">
        <f t="shared" si="19"/>
        <v>204.65305173585784</v>
      </c>
      <c r="K36" s="22">
        <f t="shared" si="20"/>
        <v>0</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0</v>
      </c>
    </row>
    <row r="37" spans="2:20" x14ac:dyDescent="0.2">
      <c r="E37" s="81">
        <v>8</v>
      </c>
      <c r="F37" s="64">
        <f t="shared" si="15"/>
        <v>0.4</v>
      </c>
      <c r="G37" s="11">
        <f t="shared" si="16"/>
        <v>6.2500000000000003E-3</v>
      </c>
      <c r="H37" s="132">
        <f t="shared" si="17"/>
        <v>0</v>
      </c>
      <c r="I37" s="132">
        <f t="shared" si="18"/>
        <v>1</v>
      </c>
      <c r="J37" s="133">
        <f t="shared" si="19"/>
        <v>233.88981276089461</v>
      </c>
      <c r="K37" s="22">
        <f t="shared" si="20"/>
        <v>0</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0</v>
      </c>
    </row>
    <row r="38" spans="2:20" x14ac:dyDescent="0.2">
      <c r="E38" s="81">
        <v>9</v>
      </c>
      <c r="F38" s="64">
        <f t="shared" si="15"/>
        <v>0.45</v>
      </c>
      <c r="G38" s="11">
        <f t="shared" si="16"/>
        <v>6.2500000000000003E-3</v>
      </c>
      <c r="H38" s="132">
        <f t="shared" si="17"/>
        <v>0</v>
      </c>
      <c r="I38" s="132">
        <f t="shared" si="18"/>
        <v>1</v>
      </c>
      <c r="J38" s="133">
        <f t="shared" si="19"/>
        <v>263.12657378593133</v>
      </c>
      <c r="K38" s="22">
        <f t="shared" si="20"/>
        <v>0</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0</v>
      </c>
    </row>
    <row r="39" spans="2:20" x14ac:dyDescent="0.2">
      <c r="E39" s="81">
        <v>10</v>
      </c>
      <c r="F39" s="64">
        <f t="shared" si="15"/>
        <v>0.5</v>
      </c>
      <c r="G39" s="11">
        <f t="shared" si="16"/>
        <v>6.2500000000000003E-3</v>
      </c>
      <c r="H39" s="132">
        <f t="shared" si="17"/>
        <v>0</v>
      </c>
      <c r="I39" s="132">
        <f t="shared" si="18"/>
        <v>1</v>
      </c>
      <c r="J39" s="133">
        <f t="shared" si="19"/>
        <v>292.36333481096813</v>
      </c>
      <c r="K39" s="22">
        <f t="shared" si="20"/>
        <v>0</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0</v>
      </c>
    </row>
    <row r="40" spans="2:20" x14ac:dyDescent="0.2">
      <c r="E40" s="81">
        <v>11</v>
      </c>
      <c r="F40" s="64">
        <f t="shared" si="15"/>
        <v>0.55000000000000004</v>
      </c>
      <c r="G40" s="11">
        <f t="shared" si="16"/>
        <v>6.2500000000000003E-3</v>
      </c>
      <c r="H40" s="132">
        <f t="shared" si="17"/>
        <v>0</v>
      </c>
      <c r="I40" s="132">
        <f t="shared" si="18"/>
        <v>1</v>
      </c>
      <c r="J40" s="133">
        <f t="shared" si="19"/>
        <v>321.60009583600487</v>
      </c>
      <c r="K40" s="22">
        <f t="shared" si="20"/>
        <v>0</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0</v>
      </c>
    </row>
    <row r="41" spans="2:20" x14ac:dyDescent="0.2">
      <c r="E41" s="81">
        <v>12</v>
      </c>
      <c r="F41" s="64">
        <f t="shared" si="15"/>
        <v>0.60000000000000009</v>
      </c>
      <c r="G41" s="11">
        <f t="shared" si="16"/>
        <v>6.2500000000000003E-3</v>
      </c>
      <c r="H41" s="132">
        <f t="shared" si="17"/>
        <v>0</v>
      </c>
      <c r="I41" s="132">
        <f t="shared" si="18"/>
        <v>1</v>
      </c>
      <c r="J41" s="133">
        <f t="shared" si="19"/>
        <v>350.83685686104167</v>
      </c>
      <c r="K41" s="22">
        <f t="shared" si="20"/>
        <v>0</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0</v>
      </c>
    </row>
    <row r="42" spans="2:20" x14ac:dyDescent="0.2">
      <c r="E42" s="81">
        <v>13</v>
      </c>
      <c r="F42" s="64">
        <f t="shared" si="15"/>
        <v>0.65</v>
      </c>
      <c r="G42" s="11">
        <f t="shared" si="16"/>
        <v>6.2500000000000003E-3</v>
      </c>
      <c r="H42" s="132">
        <f t="shared" si="17"/>
        <v>0</v>
      </c>
      <c r="I42" s="132">
        <f t="shared" si="18"/>
        <v>1</v>
      </c>
      <c r="J42" s="133">
        <f t="shared" si="19"/>
        <v>380.07361788607835</v>
      </c>
      <c r="K42" s="22">
        <f t="shared" si="20"/>
        <v>0</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0</v>
      </c>
    </row>
    <row r="43" spans="2:20" x14ac:dyDescent="0.2">
      <c r="E43" s="81">
        <v>14</v>
      </c>
      <c r="F43" s="64">
        <f t="shared" si="15"/>
        <v>0.70000000000000007</v>
      </c>
      <c r="G43" s="11">
        <f t="shared" si="16"/>
        <v>6.2500000000000003E-3</v>
      </c>
      <c r="H43" s="132">
        <f t="shared" si="17"/>
        <v>0</v>
      </c>
      <c r="I43" s="132">
        <f t="shared" si="18"/>
        <v>1</v>
      </c>
      <c r="J43" s="133">
        <f t="shared" si="19"/>
        <v>409.31037891111515</v>
      </c>
      <c r="K43" s="22">
        <f t="shared" si="20"/>
        <v>0</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0</v>
      </c>
    </row>
    <row r="44" spans="2:20" x14ac:dyDescent="0.2">
      <c r="E44" s="81">
        <v>15</v>
      </c>
      <c r="F44" s="64">
        <f t="shared" si="15"/>
        <v>0.75</v>
      </c>
      <c r="G44" s="11">
        <f t="shared" si="16"/>
        <v>6.2500000000000003E-3</v>
      </c>
      <c r="H44" s="132">
        <f t="shared" si="17"/>
        <v>0</v>
      </c>
      <c r="I44" s="132">
        <f t="shared" si="18"/>
        <v>1</v>
      </c>
      <c r="J44" s="133">
        <f t="shared" si="19"/>
        <v>438.54713993615189</v>
      </c>
      <c r="K44" s="22">
        <f t="shared" si="20"/>
        <v>0</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0</v>
      </c>
    </row>
    <row r="45" spans="2:20" x14ac:dyDescent="0.2">
      <c r="E45" s="81">
        <v>16</v>
      </c>
      <c r="F45" s="64">
        <f t="shared" si="15"/>
        <v>0.8</v>
      </c>
      <c r="G45" s="11">
        <f t="shared" si="16"/>
        <v>6.2500000000000003E-3</v>
      </c>
      <c r="H45" s="132">
        <f t="shared" si="17"/>
        <v>0</v>
      </c>
      <c r="I45" s="132">
        <f t="shared" si="18"/>
        <v>1</v>
      </c>
      <c r="J45" s="133">
        <f t="shared" si="19"/>
        <v>467.78390096118864</v>
      </c>
      <c r="K45" s="22">
        <f t="shared" si="20"/>
        <v>0</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0</v>
      </c>
    </row>
    <row r="46" spans="2:20" x14ac:dyDescent="0.2">
      <c r="E46" s="81">
        <v>17</v>
      </c>
      <c r="F46" s="64">
        <f t="shared" si="15"/>
        <v>0.85000000000000009</v>
      </c>
      <c r="G46" s="11">
        <f t="shared" si="16"/>
        <v>6.2500000000000003E-3</v>
      </c>
      <c r="H46" s="132">
        <f t="shared" si="17"/>
        <v>0</v>
      </c>
      <c r="I46" s="132">
        <f t="shared" si="18"/>
        <v>1</v>
      </c>
      <c r="J46" s="133">
        <f t="shared" si="19"/>
        <v>497.02066198622543</v>
      </c>
      <c r="K46" s="22">
        <f t="shared" si="20"/>
        <v>0</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0</v>
      </c>
    </row>
    <row r="47" spans="2:20" x14ac:dyDescent="0.2">
      <c r="E47" s="81">
        <v>18</v>
      </c>
      <c r="F47" s="64">
        <f t="shared" si="15"/>
        <v>0.9</v>
      </c>
      <c r="G47" s="11">
        <f t="shared" si="16"/>
        <v>6.2500000000000003E-3</v>
      </c>
      <c r="H47" s="132">
        <f t="shared" si="17"/>
        <v>0</v>
      </c>
      <c r="I47" s="132">
        <f t="shared" si="18"/>
        <v>1</v>
      </c>
      <c r="J47" s="133">
        <f t="shared" si="19"/>
        <v>526.25742301126218</v>
      </c>
      <c r="K47" s="22">
        <f t="shared" si="20"/>
        <v>0</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0</v>
      </c>
    </row>
    <row r="48" spans="2:20" x14ac:dyDescent="0.2">
      <c r="B48" s="103" t="s">
        <v>142</v>
      </c>
      <c r="C48" s="108">
        <f>Introduction!B32</f>
        <v>43993</v>
      </c>
      <c r="D48" s="110"/>
      <c r="E48" s="81">
        <v>19</v>
      </c>
      <c r="F48" s="64">
        <f t="shared" si="15"/>
        <v>0.95000000000000007</v>
      </c>
      <c r="G48" s="11">
        <f t="shared" si="16"/>
        <v>6.2500000000000003E-3</v>
      </c>
      <c r="H48" s="132">
        <f t="shared" si="17"/>
        <v>0</v>
      </c>
      <c r="I48" s="132">
        <f t="shared" si="18"/>
        <v>1</v>
      </c>
      <c r="J48" s="133">
        <f t="shared" si="19"/>
        <v>555.49418403629898</v>
      </c>
      <c r="K48" s="22">
        <f t="shared" si="20"/>
        <v>0</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0</v>
      </c>
    </row>
    <row r="49" spans="2:20" x14ac:dyDescent="0.2">
      <c r="B49" s="104" t="s">
        <v>158</v>
      </c>
      <c r="C49" s="107">
        <f>Introduction!E32</f>
        <v>1.01</v>
      </c>
      <c r="D49" s="111"/>
      <c r="E49" s="81">
        <v>20</v>
      </c>
      <c r="F49" s="64">
        <f t="shared" si="15"/>
        <v>1</v>
      </c>
      <c r="G49" s="11">
        <f t="shared" si="16"/>
        <v>6.2500000000000003E-3</v>
      </c>
      <c r="H49" s="132">
        <f t="shared" si="17"/>
        <v>0</v>
      </c>
      <c r="I49" s="132">
        <f t="shared" si="18"/>
        <v>1</v>
      </c>
      <c r="J49" s="133">
        <f t="shared" si="19"/>
        <v>584.73094506133566</v>
      </c>
      <c r="K49" s="22">
        <f t="shared" si="20"/>
        <v>0</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0</v>
      </c>
    </row>
    <row r="57" spans="2:20" x14ac:dyDescent="0.2">
      <c r="Q57" s="136"/>
      <c r="S57" s="453">
        <f t="shared" ref="S57:S75" si="30">$C$18/20*E31</f>
        <v>0.1</v>
      </c>
      <c r="T57" s="131">
        <f t="shared" ref="T57:T75" si="31">IF(C$26="Simulate vertical dispersion in 1 direction",T31,T7)</f>
        <v>0</v>
      </c>
    </row>
    <row r="58" spans="2:20" x14ac:dyDescent="0.2">
      <c r="Q58" s="136"/>
      <c r="S58" s="453">
        <f t="shared" si="30"/>
        <v>0.15000000000000002</v>
      </c>
      <c r="T58" s="131">
        <f t="shared" si="31"/>
        <v>0</v>
      </c>
    </row>
    <row r="59" spans="2:20" x14ac:dyDescent="0.2">
      <c r="Q59" s="136"/>
      <c r="S59" s="453">
        <f t="shared" si="30"/>
        <v>0.2</v>
      </c>
      <c r="T59" s="131">
        <f t="shared" si="31"/>
        <v>0</v>
      </c>
    </row>
    <row r="60" spans="2:20" x14ac:dyDescent="0.2">
      <c r="Q60" s="136"/>
      <c r="S60" s="453">
        <f t="shared" si="30"/>
        <v>0.25</v>
      </c>
      <c r="T60" s="131">
        <f t="shared" si="31"/>
        <v>0</v>
      </c>
    </row>
    <row r="61" spans="2:20" x14ac:dyDescent="0.2">
      <c r="Q61" s="136"/>
      <c r="S61" s="453">
        <f t="shared" si="30"/>
        <v>0.30000000000000004</v>
      </c>
      <c r="T61" s="131">
        <f t="shared" si="31"/>
        <v>0</v>
      </c>
    </row>
    <row r="62" spans="2:20" x14ac:dyDescent="0.2">
      <c r="Q62" s="136"/>
      <c r="S62" s="453">
        <f t="shared" si="30"/>
        <v>0.35000000000000003</v>
      </c>
      <c r="T62" s="131">
        <f t="shared" si="31"/>
        <v>0</v>
      </c>
    </row>
    <row r="63" spans="2:20" x14ac:dyDescent="0.2">
      <c r="Q63" s="136"/>
      <c r="S63" s="453">
        <f t="shared" si="30"/>
        <v>0.4</v>
      </c>
      <c r="T63" s="131">
        <f t="shared" si="31"/>
        <v>0</v>
      </c>
    </row>
    <row r="64" spans="2:20" x14ac:dyDescent="0.2">
      <c r="Q64" s="136"/>
      <c r="S64" s="453">
        <f t="shared" si="30"/>
        <v>0.45</v>
      </c>
      <c r="T64" s="131">
        <f t="shared" si="31"/>
        <v>0</v>
      </c>
    </row>
    <row r="65" spans="17:20" x14ac:dyDescent="0.2">
      <c r="Q65" s="136"/>
      <c r="S65" s="453">
        <f t="shared" si="30"/>
        <v>0.5</v>
      </c>
      <c r="T65" s="131">
        <f t="shared" si="31"/>
        <v>0</v>
      </c>
    </row>
    <row r="66" spans="17:20" x14ac:dyDescent="0.2">
      <c r="Q66" s="136"/>
      <c r="S66" s="453">
        <f t="shared" si="30"/>
        <v>0.55000000000000004</v>
      </c>
      <c r="T66" s="131">
        <f t="shared" si="31"/>
        <v>0</v>
      </c>
    </row>
    <row r="67" spans="17:20" x14ac:dyDescent="0.2">
      <c r="Q67" s="136"/>
      <c r="S67" s="453">
        <f t="shared" si="30"/>
        <v>0.60000000000000009</v>
      </c>
      <c r="T67" s="131">
        <f t="shared" si="31"/>
        <v>0</v>
      </c>
    </row>
    <row r="68" spans="17:20" x14ac:dyDescent="0.2">
      <c r="Q68" s="136"/>
      <c r="S68" s="453">
        <f t="shared" si="30"/>
        <v>0.65</v>
      </c>
      <c r="T68" s="131">
        <f t="shared" si="31"/>
        <v>0</v>
      </c>
    </row>
    <row r="69" spans="17:20" x14ac:dyDescent="0.2">
      <c r="Q69" s="136"/>
      <c r="S69" s="453">
        <f t="shared" si="30"/>
        <v>0.70000000000000007</v>
      </c>
      <c r="T69" s="131">
        <f t="shared" si="31"/>
        <v>0</v>
      </c>
    </row>
    <row r="70" spans="17:20" x14ac:dyDescent="0.2">
      <c r="Q70" s="136"/>
      <c r="S70" s="453">
        <f t="shared" si="30"/>
        <v>0.75</v>
      </c>
      <c r="T70" s="131">
        <f t="shared" si="31"/>
        <v>0</v>
      </c>
    </row>
    <row r="71" spans="17:20" x14ac:dyDescent="0.2">
      <c r="Q71" s="136"/>
      <c r="S71" s="453">
        <f t="shared" si="30"/>
        <v>0.8</v>
      </c>
      <c r="T71" s="131">
        <f t="shared" si="31"/>
        <v>0</v>
      </c>
    </row>
    <row r="72" spans="17:20" x14ac:dyDescent="0.2">
      <c r="Q72" s="136"/>
      <c r="S72" s="453">
        <f t="shared" si="30"/>
        <v>0.85000000000000009</v>
      </c>
      <c r="T72" s="131">
        <f t="shared" si="31"/>
        <v>0</v>
      </c>
    </row>
    <row r="73" spans="17:20" x14ac:dyDescent="0.2">
      <c r="Q73" s="136"/>
      <c r="S73" s="453">
        <f t="shared" si="30"/>
        <v>0.9</v>
      </c>
      <c r="T73" s="131">
        <f t="shared" si="31"/>
        <v>0</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Road,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Pinfold Lane, 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D404E3A-7879-4363-97A8-5CCAFC42E47B}">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1c44bc82-8302-415a-a48f-1e43a1067517"/>
    <ds:schemaRef ds:uri="http://www.w3.org/XML/1998/namespace"/>
  </ds:schemaRefs>
</ds:datastoreItem>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74FEB97A-2099-4D68-924E-B4E36A65E80A}"/>
</file>

<file path=customXml/itemProps4.xml><?xml version="1.0" encoding="utf-8"?>
<ds:datastoreItem xmlns:ds="http://schemas.openxmlformats.org/officeDocument/2006/customXml" ds:itemID="{06DDB307-2332-4EC5-934C-218F32A8A500}"/>
</file>

<file path=customXml/itemProps5.xml><?xml version="1.0" encoding="utf-8"?>
<ds:datastoreItem xmlns:ds="http://schemas.openxmlformats.org/officeDocument/2006/customXml" ds:itemID="{2AA35DCB-36CD-4BE9-99C1-36168CBD10D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PAN-011318 - A192879 Pb RTM v1.01</dc:title>
  <dc:subject>Environment Agency R&amp;D Publication 20</dc:subject>
  <dc:creator/>
  <cp:lastModifiedBy>Andrew Morris</cp:lastModifiedBy>
  <cp:lastPrinted>2015-02-18T12:24:28Z</cp:lastPrinted>
  <dcterms:created xsi:type="dcterms:W3CDTF">1999-07-27T09:09:19Z</dcterms:created>
  <dcterms:modified xsi:type="dcterms:W3CDTF">2020-06-11T15:17:00Z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REGU-204-1610082</vt:lpwstr>
  </property>
  <property fmtid="{D5CDD505-2E9C-101B-9397-08002B2CF9AE}" pid="5" name="_dlc_DocIdItemGuid">
    <vt:lpwstr>1bbc8c10-4551-4d60-8eb7-4c80cacd1eb8</vt:lpwstr>
  </property>
  <property fmtid="{D5CDD505-2E9C-101B-9397-08002B2CF9AE}" pid="6" name="_dlc_DocIdUrl">
    <vt:lpwstr>https://cyfoethnaturiolcymru.sharepoint.com/teams/Regulatory/Permitting/_layouts/15/DocIdRedir.aspx?ID=REGU-204-1610082, REGU-204-1610082</vt:lpwstr>
  </property>
</Properties>
</file>