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drawings/drawing6.xml" ContentType="application/vnd.openxmlformats-officedocument.drawing+xml"/>
  <Override PartName="/xl/charts/chart3.xml" ContentType="application/vnd.openxmlformats-officedocument.drawingml.chart+xml"/>
  <Override PartName="/xl/charts/chart8.xml" ContentType="application/vnd.openxmlformats-officedocument.drawingml.chart+xml"/>
  <Override PartName="/xl/drawings/drawing7.xml" ContentType="application/vnd.openxmlformats-officedocument.drawing+xml"/>
  <Override PartName="/xl/charts/chart4.xml" ContentType="application/vnd.openxmlformats-officedocument.drawingml.chart+xml"/>
  <Override PartName="/xl/drawings/drawing8.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9.xml" ContentType="application/vnd.openxmlformats-officedocument.drawing+xml"/>
  <Override PartName="/xl/charts/chart7.xml" ContentType="application/vnd.openxmlformats-officedocument.drawingml.chart+xml"/>
  <Override PartName="/xl/drawings/drawing10.xml" ContentType="application/vnd.openxmlformats-officedocument.drawing+xml"/>
  <Override PartName="/xl/charts/chart9.xml" ContentType="application/vnd.openxmlformats-officedocument.drawingml.chart+xml"/>
  <Override PartName="/xl/charts/chart10.xml" ContentType="application/vnd.openxmlformats-officedocument.drawingml.chart+xml"/>
  <Override PartName="/xl/drawings/drawing11.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charts/chart14.xml" ContentType="application/vnd.openxmlformats-officedocument.drawingml.chart+xml"/>
  <Override PartName="/xl/drawings/drawing13.xml" ContentType="application/vnd.openxmlformats-officedocument.drawing+xml"/>
  <Override PartName="/xl/charts/chart15.xml" ContentType="application/vnd.openxmlformats-officedocument.drawingml.chart+xml"/>
  <Override PartName="/xl/charts/chart16.xml" ContentType="application/vnd.openxmlformats-officedocument.drawingml.chart+xml"/>
  <Override PartName="/xl/vbaProject.bin" ContentType="application/vnd.ms-office.vbaProject"/>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customXml/itemProps1.xml" ContentType="application/vnd.openxmlformats-officedocument.customXmlProperties+xml"/>
  <Override PartName="/xl/comments5.xml" ContentType="application/vnd.openxmlformats-officedocument.spreadsheetml.comments+xml"/>
  <Override PartName="/customXml/itemProps2.xml" ContentType="application/vnd.openxmlformats-officedocument.customXmlProperties+xml"/>
  <Override PartName="/customXml/itemProps3.xml" ContentType="application/vnd.openxmlformats-officedocument.customXm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7.xml" ContentType="application/vnd.openxmlformats-officedocument.spreadsheetml.comments+xml"/>
  <Override PartName="/xl/comments6.xml" ContentType="application/vnd.openxmlformats-officedocument.spreadsheetml.comment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codeName="{B08E4597-CF32-672E-EC9B-63DB714DCB7F}"/>
  <workbookPr codeName="ThisWorkbook"/>
  <mc:AlternateContent xmlns:mc="http://schemas.openxmlformats.org/markup-compatibility/2006">
    <mc:Choice Requires="x15">
      <x15ac:absPath xmlns:x15ac="http://schemas.microsoft.com/office/spreadsheetml/2010/11/ac" url="C:\Users\Andrew\Documents\My Documents\Parrys Quarry\Inert Landfill Permit\HRA\Appendix HRA 10 Time Variant Dominico Models\"/>
    </mc:Choice>
  </mc:AlternateContent>
  <xr:revisionPtr revIDLastSave="0" documentId="13_ncr:1_{5461AE26-9DDE-492D-BD87-F7A7F4B86850}" xr6:coauthVersionLast="45" xr6:coauthVersionMax="45" xr10:uidLastSave="{00000000-0000-0000-0000-000000000000}"/>
  <workbookProtection workbookPassword="CA8F" lockStructure="1"/>
  <bookViews>
    <workbookView xWindow="-120" yWindow="-120" windowWidth="29040" windowHeight="15840" tabRatio="899" firstSheet="1" activeTab="6" xr2:uid="{00000000-000D-0000-FFFF-FFFF00000000}"/>
  </bookViews>
  <sheets>
    <sheet name="control" sheetId="21" state="hidden" r:id="rId1"/>
    <sheet name="Introduction" sheetId="11" r:id="rId2"/>
    <sheet name="Level1 Soil" sheetId="9" r:id="rId3"/>
    <sheet name="Level2 Soil" sheetId="7" r:id="rId4"/>
    <sheet name="Level3 Soil" sheetId="2" r:id="rId5"/>
    <sheet name="Soil Impact Results" sheetId="20" r:id="rId6"/>
    <sheet name="Level3 Groundwater" sheetId="13" r:id="rId7"/>
    <sheet name="Porosity Calculator" sheetId="22" r:id="rId8"/>
    <sheet name="Simple calcs" sheetId="18" r:id="rId9"/>
    <sheet name="Level1 Calc" sheetId="10" r:id="rId10"/>
    <sheet name="Level2 Calc" sheetId="8" r:id="rId11"/>
    <sheet name="Level3.1 Soil Calc" sheetId="3" r:id="rId12"/>
    <sheet name="Level3.2 Soil Calc" sheetId="4" r:id="rId13"/>
    <sheet name="Level3.3 Soil Calc" sheetId="5" r:id="rId14"/>
    <sheet name="Level3.1 G. Calc" sheetId="15" r:id="rId15"/>
    <sheet name="Level3.2 G. Calc" sheetId="16" r:id="rId16"/>
    <sheet name="Level3.3 G. Calc" sheetId="17" r:id="rId17"/>
  </sheets>
  <definedNames>
    <definedName name="_KOC1">#REF!</definedName>
    <definedName name="A_b">#REF!</definedName>
    <definedName name="A_crack">#REF!</definedName>
    <definedName name="A_source">#REF!</definedName>
    <definedName name="A_val">#REF!</definedName>
    <definedName name="air_cap">#REF!</definedName>
    <definedName name="air_content_cracks">#REF!</definedName>
    <definedName name="Air_mix_height">#REF!</definedName>
    <definedName name="air_porosity">#REF!</definedName>
    <definedName name="air_quality_standard">#REF!</definedName>
    <definedName name="airflow_foundation">#REF!</definedName>
    <definedName name="B_val">#REF!</definedName>
    <definedName name="Bp">#REF!</definedName>
    <definedName name="C_val">#REF!</definedName>
    <definedName name="Conc_gw">#REF!</definedName>
    <definedName name="crit">#REF!</definedName>
    <definedName name="Dair">#REF!</definedName>
    <definedName name="Dair_used">#REF!</definedName>
    <definedName name="DF_ambient">#REF!</definedName>
    <definedName name="Diff_coef_cap">#REF!</definedName>
    <definedName name="diff_coef_crack">#REF!</definedName>
    <definedName name="Diff_coef_gw">#REF!</definedName>
    <definedName name="Diff_coef_unsat">#REF!</definedName>
    <definedName name="Dwat">#REF!</definedName>
    <definedName name="Dwat_used">#REF!</definedName>
    <definedName name="enthrap">#REF!</definedName>
    <definedName name="EX_living">#REF!</definedName>
    <definedName name="g_acc">#REF!</definedName>
    <definedName name="Group_A">#REF!</definedName>
    <definedName name="Group_B">#REF!</definedName>
    <definedName name="H_cellar">#REF!</definedName>
    <definedName name="H_living">#REF!</definedName>
    <definedName name="hc">#REF!</definedName>
    <definedName name="Henrys">#REF!</definedName>
    <definedName name="Henrys_used">#REF!</definedName>
    <definedName name="hv">#REF!</definedName>
    <definedName name="k_i">#REF!</definedName>
    <definedName name="k_rg">#REF!</definedName>
    <definedName name="K_s">#REF!</definedName>
    <definedName name="L_crack">#REF!</definedName>
    <definedName name="Lb">#REF!</definedName>
    <definedName name="Length">#REF!</definedName>
    <definedName name="Lgw">#REF!</definedName>
    <definedName name="M_vg">#REF!</definedName>
    <definedName name="mean_grain_size">#REF!</definedName>
    <definedName name="mole_fraction">#REF!</definedName>
    <definedName name="Molecular_used">#REF!</definedName>
    <definedName name="molecular_wt">#REF!</definedName>
    <definedName name="n_crack">#REF!</definedName>
    <definedName name="PD">#REF!</definedName>
    <definedName name="Peclet">#REF!</definedName>
    <definedName name="_xlnm.Print_Area" localSheetId="1">Introduction!$A$1:$L$47</definedName>
    <definedName name="_xlnm.Print_Area" localSheetId="9">'Level1 Calc'!$A$1:$K$20</definedName>
    <definedName name="_xlnm.Print_Area" localSheetId="2">'Level1 Soil'!$A$1:$N$35</definedName>
    <definedName name="_xlnm.Print_Area" localSheetId="10">'Level2 Calc'!$A$1:$J$29</definedName>
    <definedName name="_xlnm.Print_Area" localSheetId="3">'Level2 Soil'!$B$2:$N$43</definedName>
    <definedName name="_xlnm.Print_Area" localSheetId="6">'Level3 Groundwater'!$A$1:$AA$60</definedName>
    <definedName name="_xlnm.Print_Area" localSheetId="4">'Level3 Soil'!$A$1:$Y$59</definedName>
    <definedName name="_xlnm.Print_Area" localSheetId="14">'Level3.1 G. Calc'!$A$1:$AC$48</definedName>
    <definedName name="_xlnm.Print_Area" localSheetId="11">'Level3.1 Soil Calc'!$A$1:$AC$48</definedName>
    <definedName name="_xlnm.Print_Area" localSheetId="15">'Level3.2 G. Calc'!$A$1:$W$49</definedName>
    <definedName name="_xlnm.Print_Area" localSheetId="12">'Level3.2 Soil Calc'!$A$1:$X$49</definedName>
    <definedName name="_xlnm.Print_Area" localSheetId="16">'Level3.3 G. Calc'!$A$1:$Y$49</definedName>
    <definedName name="_xlnm.Print_Area" localSheetId="7">'Porosity Calculator'!$B$1:$E$39</definedName>
    <definedName name="_xlnm.Print_Area" localSheetId="8">'Simple calcs'!$A$1:$L$26</definedName>
    <definedName name="_xlnm.Print_Area" localSheetId="5">'Soil Impact Results'!$A$1:$M$53</definedName>
    <definedName name="Q_b">#REF!</definedName>
    <definedName name="r_crack">#REF!</definedName>
    <definedName name="r_theta">#REF!</definedName>
    <definedName name="rho_w">#REF!</definedName>
    <definedName name="S_te">#REF!</definedName>
    <definedName name="soil">#REF!</definedName>
    <definedName name="soil_perm_vapour">#REF!</definedName>
    <definedName name="solubility">#REF!</definedName>
    <definedName name="solubility_used">#REF!</definedName>
    <definedName name="tier1_diss_gas">#REF!</definedName>
    <definedName name="Tier1_napl_gas">#REF!</definedName>
    <definedName name="total_porosity">#REF!</definedName>
    <definedName name="u_w">#REF!</definedName>
    <definedName name="Uair">#REF!</definedName>
    <definedName name="vapour_conc_ambient">#REF!</definedName>
    <definedName name="vapour_conc_enclosed">#REF!</definedName>
    <definedName name="vapour_pressure">#REF!</definedName>
    <definedName name="vapour_pressure_used">#REF!</definedName>
    <definedName name="vapour_viscosity">#REF!</definedName>
    <definedName name="VF_amb">#REF!</definedName>
    <definedName name="VF_enc">#REF!</definedName>
    <definedName name="Vp_ref">#REF!</definedName>
    <definedName name="VP_reftemp">#REF!</definedName>
    <definedName name="W">#REF!</definedName>
    <definedName name="W_crack">#REF!</definedName>
    <definedName name="water_cap">#REF!</definedName>
    <definedName name="water_content_cracks">#REF!</definedName>
    <definedName name="water_porosity">#REF!</definedName>
    <definedName name="Width">#REF!</definedName>
    <definedName name="X_crack">#REF!</definedName>
    <definedName name="Z_crack">#REF!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33" i="13" l="1"/>
  <c r="C21" i="5" l="1"/>
  <c r="D16" i="18"/>
  <c r="D7" i="18"/>
  <c r="D22" i="18" s="1"/>
  <c r="C11" i="8"/>
  <c r="C10" i="8"/>
  <c r="C14" i="8"/>
  <c r="C19" i="10"/>
  <c r="C15" i="10"/>
  <c r="C17" i="10"/>
  <c r="C18" i="10"/>
  <c r="C16" i="10"/>
  <c r="B18" i="10"/>
  <c r="G5" i="10"/>
  <c r="G19" i="10"/>
  <c r="G17" i="10"/>
  <c r="G16" i="10"/>
  <c r="C10" i="10"/>
  <c r="C9" i="10"/>
  <c r="C11" i="10"/>
  <c r="C12" i="10"/>
  <c r="C14" i="10"/>
  <c r="C13" i="10"/>
  <c r="B14" i="10"/>
  <c r="B15" i="10"/>
  <c r="B16" i="10"/>
  <c r="B17" i="10"/>
  <c r="G18" i="10"/>
  <c r="H7" i="9"/>
  <c r="D29" i="9" s="1"/>
  <c r="D14" i="20" s="1"/>
  <c r="D8" i="9"/>
  <c r="D9" i="9"/>
  <c r="D35" i="9" s="1"/>
  <c r="H8" i="9"/>
  <c r="H9" i="9"/>
  <c r="I35" i="9"/>
  <c r="I33" i="9"/>
  <c r="I32" i="9"/>
  <c r="J7" i="9"/>
  <c r="I34" i="9"/>
  <c r="C8" i="8"/>
  <c r="C12" i="8"/>
  <c r="B18" i="8"/>
  <c r="C18" i="8"/>
  <c r="C16" i="8"/>
  <c r="I4" i="8"/>
  <c r="I2" i="8"/>
  <c r="B2" i="8"/>
  <c r="B2" i="3" s="1"/>
  <c r="B2" i="4" s="1"/>
  <c r="B3" i="5" s="1"/>
  <c r="B16" i="8"/>
  <c r="B8" i="8"/>
  <c r="B9" i="8"/>
  <c r="C9" i="8"/>
  <c r="B10" i="8"/>
  <c r="B11" i="8"/>
  <c r="B12" i="8"/>
  <c r="B14" i="8"/>
  <c r="B19" i="8"/>
  <c r="C19" i="8"/>
  <c r="B7" i="8"/>
  <c r="I3" i="8"/>
  <c r="D7" i="7"/>
  <c r="C17" i="8" s="1"/>
  <c r="J18" i="7"/>
  <c r="D27" i="7"/>
  <c r="F43" i="7"/>
  <c r="L25" i="7"/>
  <c r="L24" i="7"/>
  <c r="K43" i="7"/>
  <c r="K41" i="7"/>
  <c r="K40" i="7"/>
  <c r="D6" i="7"/>
  <c r="K42" i="7"/>
  <c r="D22" i="13"/>
  <c r="N2" i="13"/>
  <c r="K21" i="13" s="1"/>
  <c r="D35" i="13" s="1"/>
  <c r="D43" i="13" s="1"/>
  <c r="C30" i="17" s="1"/>
  <c r="L29" i="13"/>
  <c r="D9" i="13"/>
  <c r="C5" i="16" s="1"/>
  <c r="B47" i="13"/>
  <c r="N3" i="13"/>
  <c r="N4" i="13"/>
  <c r="D52" i="13"/>
  <c r="L30" i="13"/>
  <c r="L31" i="13"/>
  <c r="X14" i="13"/>
  <c r="J38" i="13"/>
  <c r="J39" i="13"/>
  <c r="J40" i="13"/>
  <c r="B46" i="13"/>
  <c r="G40" i="13"/>
  <c r="G39" i="13"/>
  <c r="W10" i="13"/>
  <c r="F56" i="13"/>
  <c r="M29" i="13"/>
  <c r="M31" i="13" s="1"/>
  <c r="B52" i="13"/>
  <c r="Q50" i="13"/>
  <c r="Q48" i="13"/>
  <c r="Q47" i="13"/>
  <c r="D8" i="13"/>
  <c r="D54" i="13"/>
  <c r="P10" i="13"/>
  <c r="D42" i="13"/>
  <c r="C28" i="16" s="1"/>
  <c r="Q49" i="13"/>
  <c r="D50" i="13"/>
  <c r="A33" i="13"/>
  <c r="C17" i="15"/>
  <c r="F24" i="15" s="1"/>
  <c r="C25" i="15"/>
  <c r="C8" i="15"/>
  <c r="G48" i="15" s="1"/>
  <c r="C20" i="15"/>
  <c r="C18" i="15"/>
  <c r="C10" i="15"/>
  <c r="C19" i="15"/>
  <c r="C11" i="15"/>
  <c r="D27" i="2"/>
  <c r="C16" i="4" s="1"/>
  <c r="O1" i="2"/>
  <c r="O2" i="2"/>
  <c r="O3" i="2"/>
  <c r="D21" i="2"/>
  <c r="D43" i="2" s="1"/>
  <c r="C9" i="3" s="1"/>
  <c r="D22" i="2"/>
  <c r="C10" i="3" s="1"/>
  <c r="C19" i="2"/>
  <c r="X12" i="2"/>
  <c r="X13" i="2"/>
  <c r="E48" i="2"/>
  <c r="C48" i="2"/>
  <c r="B48" i="2"/>
  <c r="E19" i="2"/>
  <c r="B19" i="2"/>
  <c r="D38" i="2"/>
  <c r="M29" i="2"/>
  <c r="L29" i="2"/>
  <c r="L30" i="2"/>
  <c r="L31" i="2"/>
  <c r="D54" i="2"/>
  <c r="A27" i="2"/>
  <c r="D8" i="2"/>
  <c r="C6" i="5" s="1"/>
  <c r="B52" i="2"/>
  <c r="F55" i="2"/>
  <c r="J44" i="2"/>
  <c r="B56" i="2" s="1"/>
  <c r="V10" i="2"/>
  <c r="B51" i="2"/>
  <c r="P51" i="2"/>
  <c r="P49" i="2"/>
  <c r="P48" i="2"/>
  <c r="D7" i="2"/>
  <c r="D53" i="2"/>
  <c r="O9" i="2"/>
  <c r="P50" i="2"/>
  <c r="C17" i="3"/>
  <c r="F9" i="3" s="1"/>
  <c r="V19" i="2" s="1"/>
  <c r="D38" i="20" s="1"/>
  <c r="G29" i="3"/>
  <c r="C14" i="3"/>
  <c r="C20" i="3"/>
  <c r="C18" i="3"/>
  <c r="C19" i="3"/>
  <c r="G30" i="3"/>
  <c r="G31" i="3"/>
  <c r="G32" i="3"/>
  <c r="G33" i="3"/>
  <c r="G34" i="3"/>
  <c r="G35" i="3"/>
  <c r="G36" i="3"/>
  <c r="G37" i="3"/>
  <c r="G38" i="3"/>
  <c r="G39" i="3"/>
  <c r="G40" i="3"/>
  <c r="G41" i="3"/>
  <c r="G42" i="3"/>
  <c r="G43" i="3"/>
  <c r="G44" i="3"/>
  <c r="G45" i="3"/>
  <c r="G46" i="3"/>
  <c r="G47" i="3"/>
  <c r="G48" i="3"/>
  <c r="W65" i="15"/>
  <c r="C2" i="15"/>
  <c r="C16" i="15"/>
  <c r="C15" i="15"/>
  <c r="C14" i="15"/>
  <c r="C13" i="15"/>
  <c r="C48" i="15"/>
  <c r="C47" i="15"/>
  <c r="G5" i="3"/>
  <c r="G7" i="3"/>
  <c r="G24" i="3"/>
  <c r="G23" i="3"/>
  <c r="G22" i="3"/>
  <c r="G21" i="3"/>
  <c r="G20" i="3"/>
  <c r="G19" i="3"/>
  <c r="G18" i="3"/>
  <c r="G6" i="3"/>
  <c r="G8" i="3"/>
  <c r="G9" i="3"/>
  <c r="G10" i="3"/>
  <c r="G11" i="3"/>
  <c r="G12" i="3"/>
  <c r="G13" i="3"/>
  <c r="G14" i="3"/>
  <c r="G15" i="3"/>
  <c r="G16" i="3"/>
  <c r="G17" i="3"/>
  <c r="C48" i="3"/>
  <c r="C13" i="3"/>
  <c r="C47" i="3"/>
  <c r="C25" i="16"/>
  <c r="C8" i="16"/>
  <c r="G37" i="16" s="1"/>
  <c r="C17" i="16"/>
  <c r="F23" i="16" s="1"/>
  <c r="C10" i="16"/>
  <c r="C11" i="16"/>
  <c r="C2" i="16"/>
  <c r="C16" i="16"/>
  <c r="C15" i="16"/>
  <c r="C14" i="16"/>
  <c r="C13" i="16"/>
  <c r="C49" i="16"/>
  <c r="C48" i="16"/>
  <c r="C17" i="4"/>
  <c r="F37" i="4" s="1"/>
  <c r="G8" i="4"/>
  <c r="G24" i="4"/>
  <c r="G23" i="4"/>
  <c r="G22" i="4"/>
  <c r="G21" i="4"/>
  <c r="G20" i="4"/>
  <c r="G19" i="4"/>
  <c r="G18" i="4"/>
  <c r="G17" i="4"/>
  <c r="G16" i="4"/>
  <c r="G15" i="4"/>
  <c r="G14" i="4"/>
  <c r="G13" i="4"/>
  <c r="G12" i="4"/>
  <c r="G11" i="4"/>
  <c r="G10" i="4"/>
  <c r="G9" i="4"/>
  <c r="G7" i="4"/>
  <c r="G6" i="4"/>
  <c r="G5" i="4"/>
  <c r="G31" i="4"/>
  <c r="G32" i="4"/>
  <c r="G33" i="4"/>
  <c r="G34" i="4"/>
  <c r="G35" i="4"/>
  <c r="G36" i="4"/>
  <c r="G37" i="4"/>
  <c r="G38" i="4"/>
  <c r="G39" i="4"/>
  <c r="G40" i="4"/>
  <c r="G41" i="4"/>
  <c r="G42" i="4"/>
  <c r="G43" i="4"/>
  <c r="G44" i="4"/>
  <c r="G45" i="4"/>
  <c r="G46" i="4"/>
  <c r="G47" i="4"/>
  <c r="G48" i="4"/>
  <c r="G49" i="4"/>
  <c r="G30" i="4"/>
  <c r="C49" i="4"/>
  <c r="C14" i="4"/>
  <c r="C13" i="4"/>
  <c r="C48" i="4"/>
  <c r="C26" i="17"/>
  <c r="C9" i="17"/>
  <c r="G31" i="17" s="1"/>
  <c r="C18" i="17"/>
  <c r="F42" i="17" s="1"/>
  <c r="C21" i="17"/>
  <c r="C11" i="17"/>
  <c r="C12" i="17"/>
  <c r="C3" i="17"/>
  <c r="C17" i="17"/>
  <c r="C16" i="17"/>
  <c r="C15" i="17"/>
  <c r="C14" i="17"/>
  <c r="C49" i="17"/>
  <c r="C48" i="17"/>
  <c r="C18" i="5"/>
  <c r="F32" i="5" s="1"/>
  <c r="G8" i="5"/>
  <c r="G49" i="5"/>
  <c r="G48" i="5"/>
  <c r="G47" i="5"/>
  <c r="G46" i="5"/>
  <c r="G45" i="5"/>
  <c r="G44" i="5"/>
  <c r="G43" i="5"/>
  <c r="G42" i="5"/>
  <c r="G41" i="5"/>
  <c r="G40" i="5"/>
  <c r="G39" i="5"/>
  <c r="G38" i="5"/>
  <c r="G37" i="5"/>
  <c r="G36" i="5"/>
  <c r="G35" i="5"/>
  <c r="G34" i="5"/>
  <c r="G33" i="5"/>
  <c r="G32" i="5"/>
  <c r="G31" i="5"/>
  <c r="G30" i="5"/>
  <c r="G7" i="5"/>
  <c r="G9" i="5"/>
  <c r="G10" i="5"/>
  <c r="G11" i="5"/>
  <c r="G12" i="5"/>
  <c r="G13" i="5"/>
  <c r="G14" i="5"/>
  <c r="G15" i="5"/>
  <c r="G16" i="5"/>
  <c r="G17" i="5"/>
  <c r="G18" i="5"/>
  <c r="G19" i="5"/>
  <c r="G20" i="5"/>
  <c r="G21" i="5"/>
  <c r="G22" i="5"/>
  <c r="G23" i="5"/>
  <c r="G24" i="5"/>
  <c r="G25" i="5"/>
  <c r="G6" i="5"/>
  <c r="C49" i="5"/>
  <c r="C15" i="5"/>
  <c r="C14" i="5"/>
  <c r="C48" i="5"/>
  <c r="C30" i="22"/>
  <c r="C33" i="22" s="1"/>
  <c r="C12" i="22"/>
  <c r="C13" i="22" s="1"/>
  <c r="C16" i="22" s="1"/>
  <c r="C15" i="22"/>
  <c r="G24" i="18"/>
  <c r="G25" i="18" s="1"/>
  <c r="J20" i="18"/>
  <c r="J21" i="18" s="1"/>
  <c r="D10" i="20"/>
  <c r="D11" i="20"/>
  <c r="D12" i="20"/>
  <c r="B17" i="20"/>
  <c r="C17" i="20"/>
  <c r="C19" i="20"/>
  <c r="D13" i="20"/>
  <c r="Q61" i="16"/>
  <c r="G45" i="15"/>
  <c r="F30" i="16"/>
  <c r="E57" i="13"/>
  <c r="E56" i="2"/>
  <c r="F29" i="9"/>
  <c r="F44" i="15"/>
  <c r="F9" i="15"/>
  <c r="G9" i="15"/>
  <c r="G14" i="15"/>
  <c r="J12" i="10"/>
  <c r="C2" i="10"/>
  <c r="C2" i="8" s="1"/>
  <c r="C2" i="3" s="1"/>
  <c r="C2" i="4" s="1"/>
  <c r="C3" i="5" s="1"/>
  <c r="F8" i="16"/>
  <c r="F41" i="16"/>
  <c r="Q59" i="16"/>
  <c r="F32" i="16"/>
  <c r="F40" i="16"/>
  <c r="F48" i="16"/>
  <c r="Q68" i="16"/>
  <c r="Q69" i="16"/>
  <c r="Q60" i="16"/>
  <c r="F10" i="16"/>
  <c r="Q66" i="16"/>
  <c r="F42" i="16"/>
  <c r="F47" i="16"/>
  <c r="F15" i="16"/>
  <c r="F6" i="16"/>
  <c r="F22" i="16"/>
  <c r="F11" i="16"/>
  <c r="F18" i="16"/>
  <c r="F5" i="16"/>
  <c r="F34" i="16"/>
  <c r="F16" i="16"/>
  <c r="F38" i="16"/>
  <c r="F12" i="16"/>
  <c r="F24" i="16"/>
  <c r="F13" i="16"/>
  <c r="Q70" i="16"/>
  <c r="G33" i="15"/>
  <c r="F13" i="17"/>
  <c r="F48" i="17"/>
  <c r="F49" i="17"/>
  <c r="S72" i="17"/>
  <c r="S63" i="17"/>
  <c r="F7" i="17"/>
  <c r="S68" i="17"/>
  <c r="C7" i="10"/>
  <c r="F47" i="15"/>
  <c r="F17" i="15"/>
  <c r="F20" i="15"/>
  <c r="F42" i="15" l="1"/>
  <c r="F6" i="15"/>
  <c r="W16" i="13" s="1"/>
  <c r="F23" i="15"/>
  <c r="F14" i="15"/>
  <c r="W71" i="15"/>
  <c r="F39" i="15"/>
  <c r="F40" i="15"/>
  <c r="W69" i="15"/>
  <c r="W63" i="15"/>
  <c r="W66" i="15"/>
  <c r="F41" i="15"/>
  <c r="F5" i="15"/>
  <c r="F36" i="15"/>
  <c r="F43" i="15"/>
  <c r="F33" i="15"/>
  <c r="F21" i="15"/>
  <c r="F11" i="15"/>
  <c r="W56" i="15"/>
  <c r="F19" i="15"/>
  <c r="F12" i="15"/>
  <c r="W70" i="15"/>
  <c r="C28" i="15"/>
  <c r="C11" i="5"/>
  <c r="F37" i="15"/>
  <c r="G10" i="9"/>
  <c r="D57" i="13"/>
  <c r="G47" i="16"/>
  <c r="G43" i="16"/>
  <c r="C10" i="4"/>
  <c r="C5" i="4"/>
  <c r="G23" i="7"/>
  <c r="C5" i="3"/>
  <c r="G24" i="16"/>
  <c r="G7" i="16"/>
  <c r="G5" i="16"/>
  <c r="G15" i="16"/>
  <c r="G34" i="15"/>
  <c r="G42" i="15"/>
  <c r="G14" i="17"/>
  <c r="G36" i="16"/>
  <c r="G45" i="16"/>
  <c r="G41" i="16"/>
  <c r="G34" i="16"/>
  <c r="G19" i="15"/>
  <c r="G36" i="15"/>
  <c r="G21" i="15"/>
  <c r="G37" i="15"/>
  <c r="G15" i="15"/>
  <c r="G10" i="15"/>
  <c r="G24" i="15"/>
  <c r="G40" i="15"/>
  <c r="G22" i="17"/>
  <c r="G47" i="15"/>
  <c r="G39" i="15"/>
  <c r="G18" i="15"/>
  <c r="G13" i="15"/>
  <c r="G7" i="15"/>
  <c r="G41" i="15"/>
  <c r="G32" i="15"/>
  <c r="G46" i="15"/>
  <c r="G22" i="15"/>
  <c r="G5" i="15"/>
  <c r="G31" i="15"/>
  <c r="G38" i="15"/>
  <c r="G17" i="15"/>
  <c r="G11" i="15"/>
  <c r="G6" i="15"/>
  <c r="G29" i="15"/>
  <c r="G23" i="15"/>
  <c r="F30" i="15"/>
  <c r="F48" i="15"/>
  <c r="F45" i="17"/>
  <c r="F24" i="17"/>
  <c r="W33" i="13" s="1"/>
  <c r="W57" i="15"/>
  <c r="W59" i="15"/>
  <c r="F15" i="15"/>
  <c r="F35" i="15"/>
  <c r="F8" i="15"/>
  <c r="S73" i="17"/>
  <c r="W64" i="15"/>
  <c r="W68" i="15"/>
  <c r="F16" i="15"/>
  <c r="W61" i="15"/>
  <c r="W62" i="15"/>
  <c r="F22" i="15"/>
  <c r="W60" i="15"/>
  <c r="S67" i="17"/>
  <c r="S71" i="17"/>
  <c r="W67" i="15"/>
  <c r="F13" i="15"/>
  <c r="F10" i="15"/>
  <c r="W73" i="15"/>
  <c r="F29" i="15"/>
  <c r="F45" i="15"/>
  <c r="F18" i="15"/>
  <c r="F38" i="15"/>
  <c r="F30" i="17"/>
  <c r="F31" i="17"/>
  <c r="S64" i="17"/>
  <c r="F17" i="17"/>
  <c r="F18" i="17"/>
  <c r="F34" i="15"/>
  <c r="W74" i="15"/>
  <c r="F46" i="15"/>
  <c r="F31" i="15"/>
  <c r="W75" i="15"/>
  <c r="D34" i="2"/>
  <c r="C22" i="5" s="1"/>
  <c r="G8" i="10"/>
  <c r="H8" i="10"/>
  <c r="S65" i="17"/>
  <c r="S74" i="17"/>
  <c r="F9" i="17"/>
  <c r="W18" i="13" s="1"/>
  <c r="F47" i="17"/>
  <c r="F33" i="17"/>
  <c r="F44" i="17"/>
  <c r="S60" i="17"/>
  <c r="G24" i="7"/>
  <c r="S58" i="17"/>
  <c r="F34" i="17"/>
  <c r="F32" i="17"/>
  <c r="S69" i="17"/>
  <c r="F43" i="17"/>
  <c r="S70" i="17"/>
  <c r="C5" i="15"/>
  <c r="C6" i="17"/>
  <c r="F48" i="5"/>
  <c r="F14" i="4"/>
  <c r="F39" i="4"/>
  <c r="F32" i="4"/>
  <c r="F10" i="5"/>
  <c r="F30" i="5"/>
  <c r="F9" i="5"/>
  <c r="F37" i="5"/>
  <c r="F33" i="5"/>
  <c r="F7" i="5"/>
  <c r="F31" i="5"/>
  <c r="F19" i="5"/>
  <c r="F43" i="5"/>
  <c r="F47" i="4"/>
  <c r="F17" i="4"/>
  <c r="F38" i="4"/>
  <c r="F8" i="4"/>
  <c r="G22" i="18"/>
  <c r="D20" i="18"/>
  <c r="D21" i="18" s="1"/>
  <c r="J22" i="18"/>
  <c r="G20" i="18"/>
  <c r="G21" i="18" s="1"/>
  <c r="G6" i="17"/>
  <c r="G18" i="17"/>
  <c r="G10" i="17"/>
  <c r="G24" i="17"/>
  <c r="G16" i="17"/>
  <c r="G8" i="17"/>
  <c r="G20" i="17"/>
  <c r="G12" i="17"/>
  <c r="G30" i="15"/>
  <c r="G48" i="16"/>
  <c r="G17" i="16"/>
  <c r="G40" i="16"/>
  <c r="G14" i="16"/>
  <c r="G20" i="16"/>
  <c r="G48" i="17"/>
  <c r="G42" i="17"/>
  <c r="G34" i="17"/>
  <c r="G46" i="16"/>
  <c r="G11" i="17"/>
  <c r="G35" i="16"/>
  <c r="G6" i="16"/>
  <c r="G12" i="16"/>
  <c r="G42" i="16"/>
  <c r="G30" i="16"/>
  <c r="G30" i="17"/>
  <c r="G46" i="17"/>
  <c r="G44" i="17"/>
  <c r="G40" i="17"/>
  <c r="G38" i="17"/>
  <c r="G36" i="17"/>
  <c r="G32" i="17"/>
  <c r="G16" i="16"/>
  <c r="G33" i="16"/>
  <c r="G9" i="16"/>
  <c r="G10" i="16"/>
  <c r="G44" i="16"/>
  <c r="G13" i="16"/>
  <c r="G49" i="16"/>
  <c r="G21" i="16"/>
  <c r="G25" i="17"/>
  <c r="G23" i="17"/>
  <c r="G21" i="17"/>
  <c r="G19" i="17"/>
  <c r="G17" i="17"/>
  <c r="G15" i="17"/>
  <c r="G13" i="17"/>
  <c r="G9" i="17"/>
  <c r="G7" i="17"/>
  <c r="G23" i="16"/>
  <c r="G32" i="16"/>
  <c r="G38" i="16"/>
  <c r="G39" i="16"/>
  <c r="G19" i="16"/>
  <c r="G22" i="16"/>
  <c r="G8" i="16"/>
  <c r="G31" i="16"/>
  <c r="G18" i="16"/>
  <c r="G35" i="15"/>
  <c r="G20" i="15"/>
  <c r="G16" i="15"/>
  <c r="G12" i="15"/>
  <c r="G8" i="15"/>
  <c r="G43" i="15"/>
  <c r="G44" i="15"/>
  <c r="G49" i="17"/>
  <c r="G47" i="17"/>
  <c r="G45" i="17"/>
  <c r="G43" i="17"/>
  <c r="G41" i="17"/>
  <c r="G39" i="17"/>
  <c r="G37" i="17"/>
  <c r="G35" i="17"/>
  <c r="G33" i="17"/>
  <c r="G11" i="16"/>
  <c r="F32" i="15"/>
  <c r="D38" i="13"/>
  <c r="C23" i="16" s="1"/>
  <c r="P24" i="16" s="1"/>
  <c r="Q24" i="16" s="1"/>
  <c r="W22" i="13"/>
  <c r="F7" i="15"/>
  <c r="D36" i="13"/>
  <c r="C21" i="16" s="1"/>
  <c r="W20" i="13"/>
  <c r="B57" i="13"/>
  <c r="F20" i="5"/>
  <c r="F23" i="5"/>
  <c r="F18" i="5"/>
  <c r="F13" i="5"/>
  <c r="F47" i="5"/>
  <c r="F17" i="5"/>
  <c r="F8" i="5"/>
  <c r="F45" i="5"/>
  <c r="F46" i="5"/>
  <c r="F38" i="5"/>
  <c r="F39" i="5"/>
  <c r="F44" i="5"/>
  <c r="F24" i="5"/>
  <c r="F15" i="5"/>
  <c r="F12" i="5"/>
  <c r="F21" i="5"/>
  <c r="F16" i="5"/>
  <c r="F41" i="5"/>
  <c r="F6" i="5"/>
  <c r="F22" i="5"/>
  <c r="F34" i="5"/>
  <c r="F49" i="5"/>
  <c r="F25" i="5"/>
  <c r="F48" i="4"/>
  <c r="F10" i="4"/>
  <c r="F36" i="5"/>
  <c r="F42" i="5"/>
  <c r="F40" i="5"/>
  <c r="F35" i="5"/>
  <c r="F11" i="5"/>
  <c r="D56" i="2"/>
  <c r="C17" i="22"/>
  <c r="M30" i="13"/>
  <c r="D37" i="13" s="1"/>
  <c r="F10" i="17"/>
  <c r="F21" i="17"/>
  <c r="F39" i="17"/>
  <c r="F40" i="17"/>
  <c r="F46" i="17"/>
  <c r="F38" i="17"/>
  <c r="S56" i="17"/>
  <c r="S61" i="17"/>
  <c r="F22" i="17"/>
  <c r="F25" i="17"/>
  <c r="W34" i="13" s="1"/>
  <c r="F11" i="17"/>
  <c r="F35" i="17"/>
  <c r="F41" i="17"/>
  <c r="F7" i="16"/>
  <c r="Q57" i="16"/>
  <c r="Q62" i="16"/>
  <c r="Q73" i="16"/>
  <c r="Q58" i="16"/>
  <c r="Q72" i="16"/>
  <c r="Q63" i="16"/>
  <c r="F20" i="16"/>
  <c r="F14" i="16"/>
  <c r="F21" i="16"/>
  <c r="F17" i="16"/>
  <c r="Q75" i="16"/>
  <c r="F37" i="16"/>
  <c r="F6" i="17"/>
  <c r="W15" i="13" s="1"/>
  <c r="F36" i="17"/>
  <c r="F8" i="17"/>
  <c r="F16" i="17"/>
  <c r="S66" i="17"/>
  <c r="F20" i="17"/>
  <c r="F37" i="17"/>
  <c r="S62" i="17"/>
  <c r="F23" i="17"/>
  <c r="W32" i="13" s="1"/>
  <c r="S57" i="17"/>
  <c r="F12" i="17"/>
  <c r="W21" i="13" s="1"/>
  <c r="F15" i="17"/>
  <c r="F19" i="17"/>
  <c r="F14" i="17"/>
  <c r="S59" i="17"/>
  <c r="S75" i="17"/>
  <c r="Q71" i="16"/>
  <c r="F19" i="16"/>
  <c r="F46" i="16"/>
  <c r="Q56" i="16"/>
  <c r="F36" i="16"/>
  <c r="Q65" i="16"/>
  <c r="F39" i="16"/>
  <c r="F31" i="16"/>
  <c r="F45" i="16"/>
  <c r="Q67" i="16"/>
  <c r="F35" i="16"/>
  <c r="F44" i="16"/>
  <c r="F33" i="16"/>
  <c r="Q74" i="16"/>
  <c r="Q64" i="16"/>
  <c r="F43" i="16"/>
  <c r="F49" i="16"/>
  <c r="W72" i="15"/>
  <c r="W58" i="15"/>
  <c r="C29" i="17"/>
  <c r="C29" i="15"/>
  <c r="D44" i="13"/>
  <c r="C9" i="15" s="1"/>
  <c r="C13" i="17"/>
  <c r="C12" i="16"/>
  <c r="C12" i="15"/>
  <c r="F12" i="3"/>
  <c r="V22" i="2" s="1"/>
  <c r="D41" i="20" s="1"/>
  <c r="F19" i="4"/>
  <c r="F46" i="4"/>
  <c r="F5" i="4"/>
  <c r="F21" i="4"/>
  <c r="F11" i="4"/>
  <c r="F48" i="3"/>
  <c r="F16" i="4"/>
  <c r="F18" i="4"/>
  <c r="F20" i="4"/>
  <c r="F34" i="4"/>
  <c r="F24" i="4"/>
  <c r="F22" i="4"/>
  <c r="F9" i="4"/>
  <c r="F6" i="4"/>
  <c r="F6" i="3"/>
  <c r="V16" i="2" s="1"/>
  <c r="D35" i="20" s="1"/>
  <c r="F42" i="4"/>
  <c r="F45" i="4"/>
  <c r="F7" i="4"/>
  <c r="F13" i="4"/>
  <c r="F33" i="4"/>
  <c r="F36" i="3"/>
  <c r="F41" i="4"/>
  <c r="F44" i="4"/>
  <c r="F43" i="4"/>
  <c r="F40" i="4"/>
  <c r="F49" i="4"/>
  <c r="F30" i="4"/>
  <c r="F31" i="4"/>
  <c r="F12" i="4"/>
  <c r="F14" i="5"/>
  <c r="C10" i="5"/>
  <c r="C9" i="4"/>
  <c r="J24" i="18"/>
  <c r="J25" i="18" s="1"/>
  <c r="C17" i="5"/>
  <c r="D26" i="7"/>
  <c r="C16" i="3"/>
  <c r="C29" i="22"/>
  <c r="C31" i="22" s="1"/>
  <c r="C34" i="22" s="1"/>
  <c r="C35" i="22" s="1"/>
  <c r="F20" i="3"/>
  <c r="F23" i="3"/>
  <c r="F19" i="3"/>
  <c r="F15" i="3"/>
  <c r="F31" i="3"/>
  <c r="F47" i="3"/>
  <c r="F10" i="3"/>
  <c r="F41" i="3"/>
  <c r="F34" i="3"/>
  <c r="F24" i="3"/>
  <c r="F32" i="3"/>
  <c r="F40" i="3"/>
  <c r="F11" i="3"/>
  <c r="F7" i="3"/>
  <c r="F39" i="3"/>
  <c r="F8" i="3"/>
  <c r="F33" i="3"/>
  <c r="F13" i="3"/>
  <c r="F43" i="3"/>
  <c r="F22" i="3"/>
  <c r="F37" i="3"/>
  <c r="F42" i="3"/>
  <c r="F44" i="3"/>
  <c r="F16" i="3"/>
  <c r="F17" i="3"/>
  <c r="F5" i="3"/>
  <c r="F18" i="3"/>
  <c r="F45" i="3"/>
  <c r="F30" i="3"/>
  <c r="F38" i="3"/>
  <c r="F14" i="3"/>
  <c r="F21" i="3"/>
  <c r="F35" i="3"/>
  <c r="F29" i="3"/>
  <c r="F46" i="3"/>
  <c r="D45" i="13"/>
  <c r="C29" i="16"/>
  <c r="K22" i="2"/>
  <c r="D15" i="20"/>
  <c r="D22" i="20" s="1"/>
  <c r="C8" i="10"/>
  <c r="G12" i="10" s="1"/>
  <c r="D33" i="9" s="1"/>
  <c r="I10" i="10"/>
  <c r="I14" i="10" s="1"/>
  <c r="D48" i="2" s="1"/>
  <c r="D24" i="18"/>
  <c r="D25" i="18" s="1"/>
  <c r="F23" i="4"/>
  <c r="F36" i="4"/>
  <c r="F35" i="4"/>
  <c r="F15" i="4"/>
  <c r="M30" i="2"/>
  <c r="D35" i="2" s="1"/>
  <c r="M31" i="2"/>
  <c r="D36" i="2" s="1"/>
  <c r="F9" i="16"/>
  <c r="W25" i="13" l="1"/>
  <c r="W31" i="13"/>
  <c r="W28" i="13"/>
  <c r="W24" i="13"/>
  <c r="W17" i="13"/>
  <c r="W23" i="13"/>
  <c r="W26" i="13"/>
  <c r="C21" i="15"/>
  <c r="P34" i="16"/>
  <c r="Q34" i="16" s="1"/>
  <c r="N30" i="16"/>
  <c r="O30" i="16" s="1"/>
  <c r="P32" i="16"/>
  <c r="Q32" i="16" s="1"/>
  <c r="N31" i="16"/>
  <c r="O31" i="16" s="1"/>
  <c r="N41" i="16"/>
  <c r="O41" i="16" s="1"/>
  <c r="N5" i="16"/>
  <c r="O5" i="16" s="1"/>
  <c r="N39" i="16"/>
  <c r="O39" i="16" s="1"/>
  <c r="P18" i="16"/>
  <c r="Q18" i="16" s="1"/>
  <c r="P16" i="16"/>
  <c r="Q16" i="16" s="1"/>
  <c r="P48" i="16"/>
  <c r="Q48" i="16" s="1"/>
  <c r="D39" i="13"/>
  <c r="P17" i="16"/>
  <c r="Q17" i="16" s="1"/>
  <c r="P7" i="16"/>
  <c r="Q7" i="16" s="1"/>
  <c r="N49" i="16"/>
  <c r="O49" i="16" s="1"/>
  <c r="P33" i="16"/>
  <c r="Q33" i="16" s="1"/>
  <c r="P45" i="16"/>
  <c r="Q45" i="16" s="1"/>
  <c r="N36" i="16"/>
  <c r="O36" i="16" s="1"/>
  <c r="P10" i="16"/>
  <c r="Q10" i="16" s="1"/>
  <c r="N20" i="16"/>
  <c r="O20" i="16" s="1"/>
  <c r="P47" i="16"/>
  <c r="Q47" i="16" s="1"/>
  <c r="N22" i="16"/>
  <c r="O22" i="16" s="1"/>
  <c r="N16" i="16"/>
  <c r="O16" i="16" s="1"/>
  <c r="P11" i="16"/>
  <c r="Q11" i="16" s="1"/>
  <c r="P12" i="16"/>
  <c r="Q12" i="16" s="1"/>
  <c r="P31" i="16"/>
  <c r="Q31" i="16" s="1"/>
  <c r="P44" i="16"/>
  <c r="Q44" i="16" s="1"/>
  <c r="N13" i="16"/>
  <c r="O13" i="16" s="1"/>
  <c r="P6" i="16"/>
  <c r="Q6" i="16" s="1"/>
  <c r="N42" i="16"/>
  <c r="O42" i="16" s="1"/>
  <c r="N18" i="16"/>
  <c r="O18" i="16" s="1"/>
  <c r="N47" i="16"/>
  <c r="O47" i="16" s="1"/>
  <c r="C23" i="15"/>
  <c r="T34" i="15" s="1"/>
  <c r="U34" i="15" s="1"/>
  <c r="P23" i="16"/>
  <c r="Q23" i="16" s="1"/>
  <c r="P13" i="16"/>
  <c r="Q13" i="16" s="1"/>
  <c r="N7" i="16"/>
  <c r="O7" i="16" s="1"/>
  <c r="N43" i="16"/>
  <c r="O43" i="16" s="1"/>
  <c r="P14" i="16"/>
  <c r="Q14" i="16" s="1"/>
  <c r="N32" i="16"/>
  <c r="O32" i="16" s="1"/>
  <c r="N35" i="16"/>
  <c r="O35" i="16" s="1"/>
  <c r="P39" i="16"/>
  <c r="Q39" i="16" s="1"/>
  <c r="N14" i="16"/>
  <c r="O14" i="16" s="1"/>
  <c r="N11" i="16"/>
  <c r="O11" i="16" s="1"/>
  <c r="N38" i="16"/>
  <c r="O38" i="16" s="1"/>
  <c r="P38" i="16"/>
  <c r="Q38" i="16" s="1"/>
  <c r="C22" i="17"/>
  <c r="N12" i="16"/>
  <c r="O12" i="16" s="1"/>
  <c r="P40" i="16"/>
  <c r="Q40" i="16" s="1"/>
  <c r="N24" i="16"/>
  <c r="O24" i="16" s="1"/>
  <c r="N33" i="16"/>
  <c r="O33" i="16" s="1"/>
  <c r="N8" i="16"/>
  <c r="O8" i="16" s="1"/>
  <c r="P21" i="16"/>
  <c r="Q21" i="16" s="1"/>
  <c r="P36" i="16"/>
  <c r="Q36" i="16" s="1"/>
  <c r="P43" i="16"/>
  <c r="Q43" i="16" s="1"/>
  <c r="N6" i="16"/>
  <c r="O6" i="16" s="1"/>
  <c r="C24" i="17"/>
  <c r="R6" i="17" s="1"/>
  <c r="S6" i="17" s="1"/>
  <c r="N37" i="16"/>
  <c r="O37" i="16" s="1"/>
  <c r="P30" i="16"/>
  <c r="Q30" i="16" s="1"/>
  <c r="P15" i="16"/>
  <c r="Q15" i="16" s="1"/>
  <c r="N44" i="16"/>
  <c r="O44" i="16" s="1"/>
  <c r="P35" i="16"/>
  <c r="Q35" i="16" s="1"/>
  <c r="P8" i="16"/>
  <c r="Q8" i="16" s="1"/>
  <c r="P22" i="16"/>
  <c r="Q22" i="16" s="1"/>
  <c r="N19" i="16"/>
  <c r="O19" i="16" s="1"/>
  <c r="N40" i="16"/>
  <c r="O40" i="16" s="1"/>
  <c r="P42" i="16"/>
  <c r="Q42" i="16" s="1"/>
  <c r="P37" i="16"/>
  <c r="Q37" i="16" s="1"/>
  <c r="N23" i="16"/>
  <c r="O23" i="16" s="1"/>
  <c r="N15" i="16"/>
  <c r="O15" i="16" s="1"/>
  <c r="P41" i="16"/>
  <c r="Q41" i="16" s="1"/>
  <c r="C21" i="3"/>
  <c r="C20" i="4"/>
  <c r="C23" i="3"/>
  <c r="C24" i="5"/>
  <c r="C22" i="4"/>
  <c r="C23" i="5"/>
  <c r="N8" i="5" s="1"/>
  <c r="O8" i="5" s="1"/>
  <c r="C22" i="3"/>
  <c r="P47" i="3" s="1"/>
  <c r="Q47" i="3" s="1"/>
  <c r="C21" i="4"/>
  <c r="J20" i="4" s="1"/>
  <c r="K20" i="4" s="1"/>
  <c r="E33" i="22"/>
  <c r="I8" i="10"/>
  <c r="C22" i="15"/>
  <c r="R5" i="15" s="1"/>
  <c r="S5" i="15" s="1"/>
  <c r="C22" i="16"/>
  <c r="J9" i="16" s="1"/>
  <c r="K9" i="16" s="1"/>
  <c r="C23" i="17"/>
  <c r="L18" i="17" s="1"/>
  <c r="M18" i="17" s="1"/>
  <c r="P49" i="16"/>
  <c r="Q49" i="16" s="1"/>
  <c r="N10" i="16"/>
  <c r="O10" i="16" s="1"/>
  <c r="N48" i="16"/>
  <c r="O48" i="16" s="1"/>
  <c r="P5" i="16"/>
  <c r="Q5" i="16" s="1"/>
  <c r="N34" i="16"/>
  <c r="O34" i="16" s="1"/>
  <c r="L47" i="5"/>
  <c r="M47" i="5" s="1"/>
  <c r="W27" i="13"/>
  <c r="N17" i="16"/>
  <c r="O17" i="16" s="1"/>
  <c r="N46" i="16"/>
  <c r="O46" i="16" s="1"/>
  <c r="P46" i="16"/>
  <c r="Q46" i="16" s="1"/>
  <c r="W29" i="13"/>
  <c r="P19" i="16"/>
  <c r="Q19" i="16" s="1"/>
  <c r="N21" i="16"/>
  <c r="O21" i="16" s="1"/>
  <c r="P20" i="16"/>
  <c r="Q20" i="16" s="1"/>
  <c r="W30" i="13"/>
  <c r="N45" i="16"/>
  <c r="O45" i="16" s="1"/>
  <c r="C10" i="17"/>
  <c r="C9" i="16"/>
  <c r="D23" i="2"/>
  <c r="C7" i="8"/>
  <c r="C31" i="17"/>
  <c r="C30" i="15"/>
  <c r="C30" i="16"/>
  <c r="V21" i="2"/>
  <c r="D40" i="20" s="1"/>
  <c r="W19" i="13"/>
  <c r="N9" i="16"/>
  <c r="O9" i="16" s="1"/>
  <c r="V31" i="2"/>
  <c r="D50" i="20" s="1"/>
  <c r="V26" i="2"/>
  <c r="D45" i="20" s="1"/>
  <c r="V32" i="2"/>
  <c r="D51" i="20" s="1"/>
  <c r="V18" i="2"/>
  <c r="D37" i="20" s="1"/>
  <c r="V25" i="2"/>
  <c r="D44" i="20" s="1"/>
  <c r="P42" i="17"/>
  <c r="Q42" i="17" s="1"/>
  <c r="J5" i="4"/>
  <c r="K5" i="4" s="1"/>
  <c r="J30" i="4"/>
  <c r="K30" i="4" s="1"/>
  <c r="J11" i="4"/>
  <c r="K11" i="4" s="1"/>
  <c r="L21" i="4"/>
  <c r="M21" i="4" s="1"/>
  <c r="J37" i="4"/>
  <c r="K37" i="4" s="1"/>
  <c r="L45" i="4"/>
  <c r="M45" i="4" s="1"/>
  <c r="J32" i="4"/>
  <c r="K32" i="4" s="1"/>
  <c r="J45" i="4"/>
  <c r="K45" i="4" s="1"/>
  <c r="J48" i="4"/>
  <c r="K48" i="4" s="1"/>
  <c r="J39" i="4"/>
  <c r="K39" i="4" s="1"/>
  <c r="L49" i="4"/>
  <c r="M49" i="4" s="1"/>
  <c r="J33" i="4"/>
  <c r="K33" i="4" s="1"/>
  <c r="L7" i="4"/>
  <c r="M7" i="4" s="1"/>
  <c r="J38" i="4"/>
  <c r="K38" i="4" s="1"/>
  <c r="J47" i="4"/>
  <c r="K47" i="4" s="1"/>
  <c r="J14" i="4"/>
  <c r="K14" i="4" s="1"/>
  <c r="J40" i="4"/>
  <c r="K40" i="4" s="1"/>
  <c r="L43" i="4"/>
  <c r="M43" i="4" s="1"/>
  <c r="J34" i="4"/>
  <c r="K34" i="4" s="1"/>
  <c r="L5" i="4"/>
  <c r="M5" i="4" s="1"/>
  <c r="L41" i="4"/>
  <c r="M41" i="4" s="1"/>
  <c r="J15" i="4"/>
  <c r="K15" i="4" s="1"/>
  <c r="J17" i="4"/>
  <c r="K17" i="4" s="1"/>
  <c r="J24" i="4"/>
  <c r="K24" i="4" s="1"/>
  <c r="J49" i="4"/>
  <c r="K49" i="4" s="1"/>
  <c r="L23" i="4"/>
  <c r="M23" i="4" s="1"/>
  <c r="L35" i="4"/>
  <c r="M35" i="4" s="1"/>
  <c r="J9" i="4"/>
  <c r="K9" i="4" s="1"/>
  <c r="L48" i="4"/>
  <c r="M48" i="4" s="1"/>
  <c r="J23" i="4"/>
  <c r="K23" i="4" s="1"/>
  <c r="L47" i="4"/>
  <c r="M47" i="4" s="1"/>
  <c r="L16" i="4"/>
  <c r="M16" i="4" s="1"/>
  <c r="J8" i="4"/>
  <c r="K8" i="4" s="1"/>
  <c r="L34" i="4"/>
  <c r="M34" i="4" s="1"/>
  <c r="L12" i="4"/>
  <c r="M12" i="4" s="1"/>
  <c r="L31" i="4"/>
  <c r="M31" i="4" s="1"/>
  <c r="J31" i="4"/>
  <c r="K31" i="4" s="1"/>
  <c r="L17" i="4"/>
  <c r="M17" i="4" s="1"/>
  <c r="J7" i="4"/>
  <c r="K7" i="4" s="1"/>
  <c r="L40" i="4"/>
  <c r="M40" i="4" s="1"/>
  <c r="C12" i="3"/>
  <c r="C13" i="5"/>
  <c r="D33" i="2"/>
  <c r="D42" i="2" s="1"/>
  <c r="C12" i="4"/>
  <c r="V24" i="2"/>
  <c r="D43" i="20" s="1"/>
  <c r="V28" i="2"/>
  <c r="D47" i="20" s="1"/>
  <c r="V20" i="2"/>
  <c r="D39" i="20" s="1"/>
  <c r="V29" i="2"/>
  <c r="D48" i="20" s="1"/>
  <c r="P9" i="16"/>
  <c r="Q9" i="16" s="1"/>
  <c r="V27" i="2"/>
  <c r="D46" i="20" s="1"/>
  <c r="V30" i="2"/>
  <c r="D49" i="20" s="1"/>
  <c r="P9" i="3"/>
  <c r="Q9" i="3" s="1"/>
  <c r="P14" i="3"/>
  <c r="Q14" i="3" s="1"/>
  <c r="P24" i="3"/>
  <c r="Q24" i="3" s="1"/>
  <c r="L40" i="16"/>
  <c r="M40" i="16" s="1"/>
  <c r="J32" i="16"/>
  <c r="K32" i="16" s="1"/>
  <c r="V15" i="2"/>
  <c r="D34" i="20" s="1"/>
  <c r="V23" i="2"/>
  <c r="D42" i="20" s="1"/>
  <c r="V17" i="2"/>
  <c r="D36" i="20" s="1"/>
  <c r="V34" i="2"/>
  <c r="D53" i="20" s="1"/>
  <c r="V33" i="2"/>
  <c r="D52" i="20" s="1"/>
  <c r="P39" i="3" l="1"/>
  <c r="Q39" i="3" s="1"/>
  <c r="P30" i="3"/>
  <c r="Q30" i="3" s="1"/>
  <c r="P16" i="3"/>
  <c r="Q16" i="3" s="1"/>
  <c r="R48" i="3"/>
  <c r="S48" i="3" s="1"/>
  <c r="L9" i="5"/>
  <c r="M9" i="5" s="1"/>
  <c r="R43" i="3"/>
  <c r="S43" i="3" s="1"/>
  <c r="P22" i="3"/>
  <c r="Q22" i="3" s="1"/>
  <c r="R8" i="3"/>
  <c r="S8" i="3" s="1"/>
  <c r="R13" i="3"/>
  <c r="S13" i="3" s="1"/>
  <c r="R9" i="3"/>
  <c r="S9" i="3" s="1"/>
  <c r="L36" i="16"/>
  <c r="M36" i="16" s="1"/>
  <c r="J19" i="16"/>
  <c r="K19" i="16" s="1"/>
  <c r="N36" i="17"/>
  <c r="O36" i="17" s="1"/>
  <c r="J5" i="16"/>
  <c r="K5" i="16" s="1"/>
  <c r="L17" i="17"/>
  <c r="M17" i="17" s="1"/>
  <c r="V13" i="15"/>
  <c r="W13" i="15" s="1"/>
  <c r="V24" i="15"/>
  <c r="W24" i="15" s="1"/>
  <c r="L41" i="17"/>
  <c r="M41" i="17" s="1"/>
  <c r="L25" i="17"/>
  <c r="M25" i="17" s="1"/>
  <c r="L40" i="17"/>
  <c r="M40" i="17" s="1"/>
  <c r="L15" i="17"/>
  <c r="M15" i="17" s="1"/>
  <c r="L23" i="17"/>
  <c r="M23" i="17" s="1"/>
  <c r="N7" i="17"/>
  <c r="O7" i="17" s="1"/>
  <c r="L35" i="17"/>
  <c r="M35" i="17" s="1"/>
  <c r="R33" i="17"/>
  <c r="S33" i="17" s="1"/>
  <c r="T43" i="15"/>
  <c r="U43" i="15" s="1"/>
  <c r="T19" i="15"/>
  <c r="U19" i="15" s="1"/>
  <c r="V33" i="15"/>
  <c r="W33" i="15" s="1"/>
  <c r="V22" i="15"/>
  <c r="W22" i="15" s="1"/>
  <c r="T47" i="15"/>
  <c r="U47" i="15" s="1"/>
  <c r="R39" i="17"/>
  <c r="S39" i="17" s="1"/>
  <c r="T17" i="15"/>
  <c r="U17" i="15" s="1"/>
  <c r="T7" i="15"/>
  <c r="U7" i="15" s="1"/>
  <c r="T31" i="15"/>
  <c r="U31" i="15" s="1"/>
  <c r="J46" i="16"/>
  <c r="K46" i="16" s="1"/>
  <c r="J20" i="16"/>
  <c r="K20" i="16" s="1"/>
  <c r="L19" i="16"/>
  <c r="M19" i="16" s="1"/>
  <c r="L10" i="16"/>
  <c r="M10" i="16" s="1"/>
  <c r="J16" i="16"/>
  <c r="K16" i="16" s="1"/>
  <c r="J31" i="16"/>
  <c r="K31" i="16" s="1"/>
  <c r="L7" i="16"/>
  <c r="M7" i="16" s="1"/>
  <c r="J49" i="16"/>
  <c r="K49" i="16" s="1"/>
  <c r="L30" i="16"/>
  <c r="M30" i="16" s="1"/>
  <c r="L41" i="16"/>
  <c r="M41" i="16" s="1"/>
  <c r="L16" i="16"/>
  <c r="M16" i="16" s="1"/>
  <c r="J13" i="16"/>
  <c r="K13" i="16" s="1"/>
  <c r="L47" i="16"/>
  <c r="M47" i="16" s="1"/>
  <c r="J43" i="16"/>
  <c r="K43" i="16" s="1"/>
  <c r="J24" i="16"/>
  <c r="K24" i="16" s="1"/>
  <c r="P22" i="15"/>
  <c r="Q22" i="15" s="1"/>
  <c r="T18" i="15"/>
  <c r="U18" i="15" s="1"/>
  <c r="V29" i="15"/>
  <c r="W29" i="15" s="1"/>
  <c r="T8" i="15"/>
  <c r="U8" i="15" s="1"/>
  <c r="V15" i="15"/>
  <c r="W15" i="15" s="1"/>
  <c r="T9" i="15"/>
  <c r="U9" i="15" s="1"/>
  <c r="J41" i="16"/>
  <c r="K41" i="16" s="1"/>
  <c r="L20" i="16"/>
  <c r="M20" i="16" s="1"/>
  <c r="L38" i="16"/>
  <c r="M38" i="16" s="1"/>
  <c r="L23" i="16"/>
  <c r="M23" i="16" s="1"/>
  <c r="L33" i="16"/>
  <c r="M33" i="16" s="1"/>
  <c r="L49" i="16"/>
  <c r="M49" i="16" s="1"/>
  <c r="J47" i="16"/>
  <c r="K47" i="16" s="1"/>
  <c r="L35" i="16"/>
  <c r="M35" i="16" s="1"/>
  <c r="L18" i="16"/>
  <c r="M18" i="16" s="1"/>
  <c r="V47" i="15"/>
  <c r="W47" i="15" s="1"/>
  <c r="V10" i="15"/>
  <c r="W10" i="15" s="1"/>
  <c r="T39" i="15"/>
  <c r="U39" i="15" s="1"/>
  <c r="T6" i="15"/>
  <c r="U6" i="15" s="1"/>
  <c r="V36" i="15"/>
  <c r="W36" i="15" s="1"/>
  <c r="L6" i="16"/>
  <c r="M6" i="16" s="1"/>
  <c r="J18" i="16"/>
  <c r="K18" i="16" s="1"/>
  <c r="J15" i="16"/>
  <c r="K15" i="16" s="1"/>
  <c r="L12" i="16"/>
  <c r="M12" i="16" s="1"/>
  <c r="J44" i="16"/>
  <c r="K44" i="16" s="1"/>
  <c r="J10" i="16"/>
  <c r="K10" i="16" s="1"/>
  <c r="L39" i="16"/>
  <c r="M39" i="16" s="1"/>
  <c r="J45" i="16"/>
  <c r="K45" i="16" s="1"/>
  <c r="J7" i="16"/>
  <c r="K7" i="16" s="1"/>
  <c r="J34" i="16"/>
  <c r="K34" i="16" s="1"/>
  <c r="L8" i="16"/>
  <c r="M8" i="16" s="1"/>
  <c r="R40" i="17"/>
  <c r="S40" i="17" s="1"/>
  <c r="R32" i="17"/>
  <c r="S32" i="17" s="1"/>
  <c r="P25" i="17"/>
  <c r="Q25" i="17" s="1"/>
  <c r="R36" i="17"/>
  <c r="S36" i="17" s="1"/>
  <c r="R48" i="17"/>
  <c r="S48" i="17" s="1"/>
  <c r="R30" i="17"/>
  <c r="S30" i="17" s="1"/>
  <c r="R16" i="17"/>
  <c r="S16" i="17" s="1"/>
  <c r="N45" i="17"/>
  <c r="O45" i="17" s="1"/>
  <c r="L45" i="17"/>
  <c r="M45" i="17" s="1"/>
  <c r="N8" i="17"/>
  <c r="O8" i="17" s="1"/>
  <c r="N21" i="17"/>
  <c r="O21" i="17" s="1"/>
  <c r="L9" i="17"/>
  <c r="M9" i="17" s="1"/>
  <c r="L48" i="17"/>
  <c r="M48" i="17" s="1"/>
  <c r="L24" i="17"/>
  <c r="M24" i="17" s="1"/>
  <c r="L22" i="17"/>
  <c r="M22" i="17" s="1"/>
  <c r="L46" i="17"/>
  <c r="M46" i="17" s="1"/>
  <c r="L6" i="17"/>
  <c r="M6" i="17" s="1"/>
  <c r="N32" i="17"/>
  <c r="O32" i="17" s="1"/>
  <c r="L7" i="17"/>
  <c r="M7" i="17" s="1"/>
  <c r="N16" i="17"/>
  <c r="O16" i="17" s="1"/>
  <c r="N10" i="17"/>
  <c r="O10" i="17" s="1"/>
  <c r="N22" i="17"/>
  <c r="O22" i="17" s="1"/>
  <c r="N44" i="17"/>
  <c r="O44" i="17" s="1"/>
  <c r="N37" i="17"/>
  <c r="O37" i="17" s="1"/>
  <c r="N43" i="17"/>
  <c r="O43" i="17" s="1"/>
  <c r="N49" i="17"/>
  <c r="O49" i="17" s="1"/>
  <c r="N11" i="17"/>
  <c r="O11" i="17" s="1"/>
  <c r="L20" i="17"/>
  <c r="M20" i="17" s="1"/>
  <c r="N39" i="17"/>
  <c r="O39" i="17" s="1"/>
  <c r="N47" i="17"/>
  <c r="O47" i="17" s="1"/>
  <c r="L14" i="17"/>
  <c r="M14" i="17" s="1"/>
  <c r="N13" i="17"/>
  <c r="O13" i="17" s="1"/>
  <c r="N34" i="17"/>
  <c r="O34" i="17" s="1"/>
  <c r="L43" i="17"/>
  <c r="M43" i="17" s="1"/>
  <c r="L16" i="17"/>
  <c r="M16" i="17" s="1"/>
  <c r="N12" i="17"/>
  <c r="O12" i="17" s="1"/>
  <c r="J23" i="16"/>
  <c r="K23" i="16" s="1"/>
  <c r="N42" i="17"/>
  <c r="O42" i="17" s="1"/>
  <c r="N31" i="17"/>
  <c r="O31" i="17" s="1"/>
  <c r="L39" i="17"/>
  <c r="M39" i="17" s="1"/>
  <c r="L47" i="17"/>
  <c r="M47" i="17" s="1"/>
  <c r="L38" i="17"/>
  <c r="M38" i="17" s="1"/>
  <c r="N23" i="17"/>
  <c r="O23" i="17" s="1"/>
  <c r="L10" i="17"/>
  <c r="M10" i="17" s="1"/>
  <c r="N40" i="17"/>
  <c r="O40" i="17" s="1"/>
  <c r="L33" i="17"/>
  <c r="M33" i="17" s="1"/>
  <c r="N46" i="17"/>
  <c r="O46" i="17" s="1"/>
  <c r="N25" i="17"/>
  <c r="O25" i="17" s="1"/>
  <c r="N30" i="17"/>
  <c r="O30" i="17" s="1"/>
  <c r="L49" i="17"/>
  <c r="M49" i="17" s="1"/>
  <c r="N24" i="17"/>
  <c r="O24" i="17" s="1"/>
  <c r="L30" i="17"/>
  <c r="M30" i="17" s="1"/>
  <c r="N15" i="17"/>
  <c r="O15" i="17" s="1"/>
  <c r="L8" i="17"/>
  <c r="M8" i="17" s="1"/>
  <c r="N20" i="17"/>
  <c r="O20" i="17" s="1"/>
  <c r="L11" i="17"/>
  <c r="M11" i="17" s="1"/>
  <c r="L12" i="17"/>
  <c r="M12" i="17" s="1"/>
  <c r="L42" i="17"/>
  <c r="M42" i="17" s="1"/>
  <c r="R8" i="17"/>
  <c r="S8" i="17" s="1"/>
  <c r="P8" i="17"/>
  <c r="Q8" i="17" s="1"/>
  <c r="R22" i="17"/>
  <c r="S22" i="17" s="1"/>
  <c r="R17" i="17"/>
  <c r="S17" i="17" s="1"/>
  <c r="P6" i="17"/>
  <c r="Q6" i="17" s="1"/>
  <c r="L44" i="17"/>
  <c r="M44" i="17" s="1"/>
  <c r="L34" i="17"/>
  <c r="M34" i="17" s="1"/>
  <c r="N9" i="17"/>
  <c r="O9" i="17" s="1"/>
  <c r="L31" i="17"/>
  <c r="M31" i="17" s="1"/>
  <c r="L36" i="17"/>
  <c r="M36" i="17" s="1"/>
  <c r="L32" i="17"/>
  <c r="M32" i="17" s="1"/>
  <c r="L37" i="17"/>
  <c r="M37" i="17" s="1"/>
  <c r="L21" i="17"/>
  <c r="M21" i="17" s="1"/>
  <c r="N41" i="17"/>
  <c r="O41" i="17" s="1"/>
  <c r="L13" i="17"/>
  <c r="M13" i="17" s="1"/>
  <c r="N33" i="17"/>
  <c r="O33" i="17" s="1"/>
  <c r="N48" i="17"/>
  <c r="O48" i="17" s="1"/>
  <c r="N17" i="17"/>
  <c r="O17" i="17" s="1"/>
  <c r="N38" i="17"/>
  <c r="O38" i="17" s="1"/>
  <c r="N35" i="17"/>
  <c r="O35" i="17" s="1"/>
  <c r="N14" i="17"/>
  <c r="O14" i="17" s="1"/>
  <c r="N19" i="17"/>
  <c r="O19" i="17" s="1"/>
  <c r="N18" i="17"/>
  <c r="O18" i="17" s="1"/>
  <c r="N6" i="17"/>
  <c r="O6" i="17" s="1"/>
  <c r="L19" i="17"/>
  <c r="M19" i="17" s="1"/>
  <c r="P39" i="17"/>
  <c r="Q39" i="17" s="1"/>
  <c r="P37" i="17"/>
  <c r="Q37" i="17" s="1"/>
  <c r="P13" i="17"/>
  <c r="Q13" i="17" s="1"/>
  <c r="R42" i="17"/>
  <c r="S42" i="17" s="1"/>
  <c r="P44" i="17"/>
  <c r="Q44" i="17" s="1"/>
  <c r="R24" i="15"/>
  <c r="S24" i="15" s="1"/>
  <c r="P43" i="15"/>
  <c r="Q43" i="15" s="1"/>
  <c r="V23" i="15"/>
  <c r="W23" i="15" s="1"/>
  <c r="T22" i="15"/>
  <c r="U22" i="15" s="1"/>
  <c r="T14" i="15"/>
  <c r="U14" i="15" s="1"/>
  <c r="V38" i="15"/>
  <c r="W38" i="15" s="1"/>
  <c r="V17" i="15"/>
  <c r="W17" i="15" s="1"/>
  <c r="T37" i="15"/>
  <c r="U37" i="15" s="1"/>
  <c r="V12" i="15"/>
  <c r="W12" i="15" s="1"/>
  <c r="V31" i="15"/>
  <c r="W31" i="15" s="1"/>
  <c r="T46" i="15"/>
  <c r="U46" i="15" s="1"/>
  <c r="V37" i="15"/>
  <c r="W37" i="15" s="1"/>
  <c r="R33" i="15"/>
  <c r="S33" i="15" s="1"/>
  <c r="P40" i="15"/>
  <c r="Q40" i="15" s="1"/>
  <c r="P12" i="15"/>
  <c r="Q12" i="15" s="1"/>
  <c r="P39" i="15"/>
  <c r="Q39" i="15" s="1"/>
  <c r="V16" i="15"/>
  <c r="W16" i="15" s="1"/>
  <c r="T13" i="15"/>
  <c r="U13" i="15" s="1"/>
  <c r="T38" i="15"/>
  <c r="U38" i="15" s="1"/>
  <c r="V48" i="15"/>
  <c r="W48" i="15" s="1"/>
  <c r="V14" i="15"/>
  <c r="W14" i="15" s="1"/>
  <c r="T10" i="15"/>
  <c r="U10" i="15" s="1"/>
  <c r="T42" i="15"/>
  <c r="U42" i="15" s="1"/>
  <c r="V32" i="15"/>
  <c r="W32" i="15" s="1"/>
  <c r="V44" i="15"/>
  <c r="W44" i="15" s="1"/>
  <c r="V7" i="15"/>
  <c r="W7" i="15" s="1"/>
  <c r="P18" i="15"/>
  <c r="Q18" i="15" s="1"/>
  <c r="R31" i="15"/>
  <c r="S31" i="15" s="1"/>
  <c r="R34" i="15"/>
  <c r="S34" i="15" s="1"/>
  <c r="L38" i="5"/>
  <c r="M38" i="5" s="1"/>
  <c r="L36" i="5"/>
  <c r="M36" i="5" s="1"/>
  <c r="L42" i="5"/>
  <c r="M42" i="5" s="1"/>
  <c r="N43" i="5"/>
  <c r="O43" i="5" s="1"/>
  <c r="N39" i="5"/>
  <c r="O39" i="5" s="1"/>
  <c r="N7" i="5"/>
  <c r="O7" i="5" s="1"/>
  <c r="P46" i="17"/>
  <c r="Q46" i="17" s="1"/>
  <c r="P36" i="17"/>
  <c r="Q36" i="17" s="1"/>
  <c r="R23" i="17"/>
  <c r="S23" i="17" s="1"/>
  <c r="P40" i="17"/>
  <c r="Q40" i="17" s="1"/>
  <c r="P24" i="17"/>
  <c r="Q24" i="17" s="1"/>
  <c r="P10" i="17"/>
  <c r="Q10" i="17" s="1"/>
  <c r="R14" i="17"/>
  <c r="S14" i="17" s="1"/>
  <c r="P17" i="17"/>
  <c r="Q17" i="17" s="1"/>
  <c r="R49" i="17"/>
  <c r="S49" i="17" s="1"/>
  <c r="P48" i="15"/>
  <c r="Q48" i="15" s="1"/>
  <c r="R39" i="15"/>
  <c r="S39" i="15" s="1"/>
  <c r="R14" i="15"/>
  <c r="S14" i="15" s="1"/>
  <c r="P24" i="15"/>
  <c r="Q24" i="15" s="1"/>
  <c r="R7" i="15"/>
  <c r="S7" i="15" s="1"/>
  <c r="P7" i="17"/>
  <c r="Q7" i="17" s="1"/>
  <c r="P16" i="17"/>
  <c r="Q16" i="17" s="1"/>
  <c r="P38" i="17"/>
  <c r="Q38" i="17" s="1"/>
  <c r="R31" i="17"/>
  <c r="S31" i="17" s="1"/>
  <c r="P30" i="17"/>
  <c r="Q30" i="17" s="1"/>
  <c r="R9" i="17"/>
  <c r="S9" i="17" s="1"/>
  <c r="R47" i="17"/>
  <c r="S47" i="17" s="1"/>
  <c r="R21" i="17"/>
  <c r="S21" i="17" s="1"/>
  <c r="P15" i="17"/>
  <c r="Q15" i="17" s="1"/>
  <c r="P49" i="17"/>
  <c r="Q49" i="17" s="1"/>
  <c r="R45" i="17"/>
  <c r="S45" i="17" s="1"/>
  <c r="P41" i="17"/>
  <c r="Q41" i="17" s="1"/>
  <c r="R11" i="17"/>
  <c r="S11" i="17" s="1"/>
  <c r="P22" i="17"/>
  <c r="Q22" i="17" s="1"/>
  <c r="R37" i="17"/>
  <c r="S37" i="17" s="1"/>
  <c r="P11" i="17"/>
  <c r="Q11" i="17" s="1"/>
  <c r="P23" i="17"/>
  <c r="Q23" i="17" s="1"/>
  <c r="P14" i="17"/>
  <c r="Q14" i="17" s="1"/>
  <c r="P18" i="17"/>
  <c r="Q18" i="17" s="1"/>
  <c r="R41" i="17"/>
  <c r="S41" i="17" s="1"/>
  <c r="R30" i="15"/>
  <c r="S30" i="15" s="1"/>
  <c r="R38" i="15"/>
  <c r="S38" i="15" s="1"/>
  <c r="P38" i="15"/>
  <c r="Q38" i="15" s="1"/>
  <c r="R40" i="15"/>
  <c r="S40" i="15" s="1"/>
  <c r="P36" i="15"/>
  <c r="Q36" i="15" s="1"/>
  <c r="P23" i="15"/>
  <c r="Q23" i="15" s="1"/>
  <c r="R46" i="15"/>
  <c r="S46" i="15" s="1"/>
  <c r="P37" i="15"/>
  <c r="Q37" i="15" s="1"/>
  <c r="P19" i="15"/>
  <c r="Q19" i="15" s="1"/>
  <c r="P8" i="15"/>
  <c r="Q8" i="15" s="1"/>
  <c r="P34" i="17"/>
  <c r="Q34" i="17" s="1"/>
  <c r="P47" i="17"/>
  <c r="Q47" i="17" s="1"/>
  <c r="R34" i="17"/>
  <c r="S34" i="17" s="1"/>
  <c r="R7" i="17"/>
  <c r="S7" i="17" s="1"/>
  <c r="R18" i="17"/>
  <c r="S18" i="17" s="1"/>
  <c r="P21" i="17"/>
  <c r="Q21" i="17" s="1"/>
  <c r="P35" i="17"/>
  <c r="Q35" i="17" s="1"/>
  <c r="R35" i="17"/>
  <c r="S35" i="17" s="1"/>
  <c r="R10" i="17"/>
  <c r="S10" i="17" s="1"/>
  <c r="R24" i="17"/>
  <c r="S24" i="17" s="1"/>
  <c r="R25" i="17"/>
  <c r="S25" i="17" s="1"/>
  <c r="R16" i="15"/>
  <c r="S16" i="15" s="1"/>
  <c r="R22" i="15"/>
  <c r="S22" i="15" s="1"/>
  <c r="P44" i="15"/>
  <c r="Q44" i="15" s="1"/>
  <c r="R12" i="15"/>
  <c r="S12" i="15" s="1"/>
  <c r="R8" i="15"/>
  <c r="S8" i="15" s="1"/>
  <c r="P20" i="17"/>
  <c r="Q20" i="17" s="1"/>
  <c r="P31" i="17"/>
  <c r="Q31" i="17" s="1"/>
  <c r="R46" i="17"/>
  <c r="S46" i="17" s="1"/>
  <c r="P32" i="17"/>
  <c r="Q32" i="17" s="1"/>
  <c r="R38" i="17"/>
  <c r="S38" i="17" s="1"/>
  <c r="R20" i="17"/>
  <c r="S20" i="17" s="1"/>
  <c r="P9" i="17"/>
  <c r="Q9" i="17" s="1"/>
  <c r="P43" i="17"/>
  <c r="Q43" i="17" s="1"/>
  <c r="R15" i="17"/>
  <c r="S15" i="17" s="1"/>
  <c r="P48" i="17"/>
  <c r="Q48" i="17" s="1"/>
  <c r="P45" i="17"/>
  <c r="Q45" i="17" s="1"/>
  <c r="R19" i="17"/>
  <c r="S19" i="17" s="1"/>
  <c r="P12" i="17"/>
  <c r="Q12" i="17" s="1"/>
  <c r="P19" i="17"/>
  <c r="Q19" i="17" s="1"/>
  <c r="R43" i="17"/>
  <c r="S43" i="17" s="1"/>
  <c r="R12" i="17"/>
  <c r="S12" i="17" s="1"/>
  <c r="R44" i="17"/>
  <c r="S44" i="17" s="1"/>
  <c r="R13" i="17"/>
  <c r="S13" i="17" s="1"/>
  <c r="P33" i="17"/>
  <c r="Q33" i="17" s="1"/>
  <c r="R11" i="15"/>
  <c r="S11" i="15" s="1"/>
  <c r="P42" i="15"/>
  <c r="Q42" i="15" s="1"/>
  <c r="P29" i="15"/>
  <c r="Q29" i="15" s="1"/>
  <c r="R23" i="15"/>
  <c r="S23" i="15" s="1"/>
  <c r="P11" i="15"/>
  <c r="Q11" i="15" s="1"/>
  <c r="R47" i="15"/>
  <c r="S47" i="15" s="1"/>
  <c r="R9" i="15"/>
  <c r="S9" i="15" s="1"/>
  <c r="P41" i="15"/>
  <c r="Q41" i="15" s="1"/>
  <c r="P7" i="15"/>
  <c r="Q7" i="15" s="1"/>
  <c r="P46" i="15"/>
  <c r="Q46" i="15" s="1"/>
  <c r="V40" i="15"/>
  <c r="W40" i="15" s="1"/>
  <c r="T30" i="15"/>
  <c r="U30" i="15" s="1"/>
  <c r="T45" i="15"/>
  <c r="U45" i="15" s="1"/>
  <c r="T33" i="15"/>
  <c r="U33" i="15" s="1"/>
  <c r="T21" i="15"/>
  <c r="U21" i="15" s="1"/>
  <c r="V43" i="15"/>
  <c r="W43" i="15" s="1"/>
  <c r="V45" i="15"/>
  <c r="W45" i="15" s="1"/>
  <c r="V20" i="15"/>
  <c r="W20" i="15" s="1"/>
  <c r="T44" i="15"/>
  <c r="U44" i="15" s="1"/>
  <c r="T16" i="15"/>
  <c r="U16" i="15" s="1"/>
  <c r="T20" i="15"/>
  <c r="U20" i="15" s="1"/>
  <c r="V35" i="15"/>
  <c r="W35" i="15" s="1"/>
  <c r="T40" i="15"/>
  <c r="U40" i="15" s="1"/>
  <c r="T15" i="15"/>
  <c r="U15" i="15" s="1"/>
  <c r="V5" i="15"/>
  <c r="W5" i="15" s="1"/>
  <c r="T32" i="15"/>
  <c r="U32" i="15" s="1"/>
  <c r="T5" i="15"/>
  <c r="U5" i="15" s="1"/>
  <c r="V8" i="15"/>
  <c r="W8" i="15" s="1"/>
  <c r="T35" i="15"/>
  <c r="U35" i="15" s="1"/>
  <c r="T12" i="15"/>
  <c r="U12" i="15" s="1"/>
  <c r="L22" i="16"/>
  <c r="M22" i="16" s="1"/>
  <c r="J12" i="16"/>
  <c r="K12" i="16" s="1"/>
  <c r="L45" i="16"/>
  <c r="M45" i="16" s="1"/>
  <c r="J11" i="16"/>
  <c r="K11" i="16" s="1"/>
  <c r="L13" i="16"/>
  <c r="M13" i="16" s="1"/>
  <c r="J39" i="16"/>
  <c r="K39" i="16" s="1"/>
  <c r="L11" i="16"/>
  <c r="M11" i="16" s="1"/>
  <c r="J42" i="16"/>
  <c r="K42" i="16" s="1"/>
  <c r="L5" i="16"/>
  <c r="M5" i="16" s="1"/>
  <c r="J37" i="16"/>
  <c r="K37" i="16" s="1"/>
  <c r="J14" i="16"/>
  <c r="K14" i="16" s="1"/>
  <c r="J6" i="16"/>
  <c r="K6" i="16" s="1"/>
  <c r="L9" i="16"/>
  <c r="M9" i="16" s="1"/>
  <c r="L21" i="16"/>
  <c r="M21" i="16" s="1"/>
  <c r="J8" i="16"/>
  <c r="K8" i="16" s="1"/>
  <c r="L34" i="16"/>
  <c r="M34" i="16" s="1"/>
  <c r="L17" i="16"/>
  <c r="M17" i="16" s="1"/>
  <c r="L43" i="16"/>
  <c r="M43" i="16" s="1"/>
  <c r="J48" i="16"/>
  <c r="K48" i="16" s="1"/>
  <c r="T23" i="15"/>
  <c r="U23" i="15" s="1"/>
  <c r="T29" i="15"/>
  <c r="U29" i="15" s="1"/>
  <c r="V6" i="15"/>
  <c r="W6" i="15" s="1"/>
  <c r="V18" i="15"/>
  <c r="W18" i="15" s="1"/>
  <c r="T11" i="15"/>
  <c r="U11" i="15" s="1"/>
  <c r="V21" i="15"/>
  <c r="W21" i="15" s="1"/>
  <c r="V42" i="15"/>
  <c r="W42" i="15" s="1"/>
  <c r="V11" i="15"/>
  <c r="W11" i="15" s="1"/>
  <c r="T48" i="15"/>
  <c r="U48" i="15" s="1"/>
  <c r="V9" i="15"/>
  <c r="W9" i="15" s="1"/>
  <c r="T41" i="15"/>
  <c r="U41" i="15" s="1"/>
  <c r="V41" i="15"/>
  <c r="W41" i="15" s="1"/>
  <c r="V30" i="15"/>
  <c r="W30" i="15" s="1"/>
  <c r="T24" i="15"/>
  <c r="U24" i="15" s="1"/>
  <c r="T36" i="15"/>
  <c r="U36" i="15" s="1"/>
  <c r="V34" i="15"/>
  <c r="W34" i="15" s="1"/>
  <c r="V46" i="15"/>
  <c r="W46" i="15" s="1"/>
  <c r="V19" i="15"/>
  <c r="W19" i="15" s="1"/>
  <c r="V39" i="15"/>
  <c r="W39" i="15" s="1"/>
  <c r="L15" i="16"/>
  <c r="M15" i="16" s="1"/>
  <c r="L32" i="16"/>
  <c r="M32" i="16" s="1"/>
  <c r="J17" i="16"/>
  <c r="K17" i="16" s="1"/>
  <c r="L37" i="16"/>
  <c r="M37" i="16" s="1"/>
  <c r="L24" i="16"/>
  <c r="M24" i="16" s="1"/>
  <c r="J35" i="16"/>
  <c r="K35" i="16" s="1"/>
  <c r="J30" i="16"/>
  <c r="K30" i="16" s="1"/>
  <c r="L31" i="16"/>
  <c r="M31" i="16" s="1"/>
  <c r="J38" i="16"/>
  <c r="K38" i="16" s="1"/>
  <c r="J22" i="16"/>
  <c r="K22" i="16" s="1"/>
  <c r="L44" i="16"/>
  <c r="M44" i="16" s="1"/>
  <c r="L14" i="16"/>
  <c r="M14" i="16" s="1"/>
  <c r="J33" i="16"/>
  <c r="K33" i="16" s="1"/>
  <c r="J36" i="16"/>
  <c r="K36" i="16" s="1"/>
  <c r="J40" i="16"/>
  <c r="K40" i="16" s="1"/>
  <c r="L48" i="16"/>
  <c r="M48" i="16" s="1"/>
  <c r="J21" i="16"/>
  <c r="K21" i="16" s="1"/>
  <c r="L46" i="16"/>
  <c r="M46" i="16" s="1"/>
  <c r="L42" i="16"/>
  <c r="M42" i="16" s="1"/>
  <c r="J10" i="4"/>
  <c r="K10" i="4" s="1"/>
  <c r="J44" i="4"/>
  <c r="K44" i="4" s="1"/>
  <c r="L22" i="4"/>
  <c r="M22" i="4" s="1"/>
  <c r="J22" i="4"/>
  <c r="K22" i="4" s="1"/>
  <c r="L18" i="4"/>
  <c r="M18" i="4" s="1"/>
  <c r="L10" i="4"/>
  <c r="M10" i="4" s="1"/>
  <c r="J43" i="4"/>
  <c r="K43" i="4" s="1"/>
  <c r="J36" i="4"/>
  <c r="K36" i="4" s="1"/>
  <c r="L30" i="4"/>
  <c r="M30" i="4" s="1"/>
  <c r="L44" i="4"/>
  <c r="M44" i="4" s="1"/>
  <c r="L14" i="4"/>
  <c r="M14" i="4" s="1"/>
  <c r="L15" i="4"/>
  <c r="M15" i="4" s="1"/>
  <c r="J18" i="4"/>
  <c r="K18" i="4" s="1"/>
  <c r="L8" i="4"/>
  <c r="M8" i="4" s="1"/>
  <c r="L46" i="4"/>
  <c r="M46" i="4" s="1"/>
  <c r="J42" i="4"/>
  <c r="K42" i="4" s="1"/>
  <c r="J19" i="4"/>
  <c r="K19" i="4" s="1"/>
  <c r="L33" i="4"/>
  <c r="M33" i="4" s="1"/>
  <c r="L39" i="4"/>
  <c r="M39" i="4" s="1"/>
  <c r="J46" i="4"/>
  <c r="K46" i="4" s="1"/>
  <c r="R44" i="3"/>
  <c r="S44" i="3" s="1"/>
  <c r="R37" i="3"/>
  <c r="S37" i="3" s="1"/>
  <c r="P43" i="3"/>
  <c r="Q43" i="3" s="1"/>
  <c r="R19" i="3"/>
  <c r="S19" i="3" s="1"/>
  <c r="L24" i="4"/>
  <c r="M24" i="4" s="1"/>
  <c r="L37" i="4"/>
  <c r="M37" i="4" s="1"/>
  <c r="L38" i="4"/>
  <c r="M38" i="4" s="1"/>
  <c r="J12" i="4"/>
  <c r="K12" i="4" s="1"/>
  <c r="L20" i="4"/>
  <c r="M20" i="4" s="1"/>
  <c r="L32" i="4"/>
  <c r="M32" i="4" s="1"/>
  <c r="L13" i="4"/>
  <c r="M13" i="4" s="1"/>
  <c r="L6" i="4"/>
  <c r="M6" i="4" s="1"/>
  <c r="L36" i="4"/>
  <c r="M36" i="4" s="1"/>
  <c r="J6" i="4"/>
  <c r="K6" i="4" s="1"/>
  <c r="J16" i="4"/>
  <c r="K16" i="4" s="1"/>
  <c r="J35" i="4"/>
  <c r="K35" i="4" s="1"/>
  <c r="L11" i="4"/>
  <c r="M11" i="4" s="1"/>
  <c r="L19" i="4"/>
  <c r="M19" i="4" s="1"/>
  <c r="J13" i="4"/>
  <c r="K13" i="4" s="1"/>
  <c r="J21" i="4"/>
  <c r="K21" i="4" s="1"/>
  <c r="L42" i="4"/>
  <c r="M42" i="4" s="1"/>
  <c r="L9" i="4"/>
  <c r="M9" i="4" s="1"/>
  <c r="J41" i="4"/>
  <c r="K41" i="4" s="1"/>
  <c r="N6" i="5"/>
  <c r="O6" i="5" s="1"/>
  <c r="N35" i="5"/>
  <c r="O35" i="5" s="1"/>
  <c r="N9" i="5"/>
  <c r="O9" i="5" s="1"/>
  <c r="N13" i="5"/>
  <c r="O13" i="5" s="1"/>
  <c r="N31" i="5"/>
  <c r="O31" i="5" s="1"/>
  <c r="L34" i="5"/>
  <c r="M34" i="5" s="1"/>
  <c r="L44" i="5"/>
  <c r="M44" i="5" s="1"/>
  <c r="L11" i="5"/>
  <c r="M11" i="5" s="1"/>
  <c r="N19" i="5"/>
  <c r="O19" i="5" s="1"/>
  <c r="N48" i="5"/>
  <c r="O48" i="5" s="1"/>
  <c r="L8" i="5"/>
  <c r="M8" i="5" s="1"/>
  <c r="L21" i="5"/>
  <c r="M21" i="5" s="1"/>
  <c r="N24" i="5"/>
  <c r="O24" i="5" s="1"/>
  <c r="N38" i="5"/>
  <c r="O38" i="5" s="1"/>
  <c r="N18" i="5"/>
  <c r="O18" i="5" s="1"/>
  <c r="N17" i="5"/>
  <c r="O17" i="5" s="1"/>
  <c r="N33" i="5"/>
  <c r="O33" i="5" s="1"/>
  <c r="L20" i="5"/>
  <c r="M20" i="5" s="1"/>
  <c r="N11" i="5"/>
  <c r="O11" i="5" s="1"/>
  <c r="L25" i="5"/>
  <c r="M25" i="5" s="1"/>
  <c r="N14" i="5"/>
  <c r="O14" i="5" s="1"/>
  <c r="L46" i="5"/>
  <c r="M46" i="5" s="1"/>
  <c r="L41" i="5"/>
  <c r="M41" i="5" s="1"/>
  <c r="N12" i="5"/>
  <c r="O12" i="5" s="1"/>
  <c r="L37" i="5"/>
  <c r="M37" i="5" s="1"/>
  <c r="L10" i="5"/>
  <c r="M10" i="5" s="1"/>
  <c r="L48" i="5"/>
  <c r="M48" i="5" s="1"/>
  <c r="N22" i="5"/>
  <c r="O22" i="5" s="1"/>
  <c r="L16" i="5"/>
  <c r="M16" i="5" s="1"/>
  <c r="N15" i="5"/>
  <c r="O15" i="5" s="1"/>
  <c r="P19" i="3"/>
  <c r="Q19" i="3" s="1"/>
  <c r="P34" i="3"/>
  <c r="Q34" i="3" s="1"/>
  <c r="R33" i="3"/>
  <c r="S33" i="3" s="1"/>
  <c r="R39" i="3"/>
  <c r="S39" i="3" s="1"/>
  <c r="R11" i="3"/>
  <c r="S11" i="3" s="1"/>
  <c r="P18" i="3"/>
  <c r="Q18" i="3" s="1"/>
  <c r="R31" i="3"/>
  <c r="S31" i="3" s="1"/>
  <c r="R20" i="3"/>
  <c r="S20" i="3" s="1"/>
  <c r="R40" i="3"/>
  <c r="S40" i="3" s="1"/>
  <c r="P32" i="3"/>
  <c r="Q32" i="3" s="1"/>
  <c r="R6" i="3"/>
  <c r="S6" i="3" s="1"/>
  <c r="P5" i="3"/>
  <c r="Q5" i="3" s="1"/>
  <c r="R5" i="3"/>
  <c r="S5" i="3" s="1"/>
  <c r="P35" i="3"/>
  <c r="Q35" i="3" s="1"/>
  <c r="P23" i="3"/>
  <c r="Q23" i="3" s="1"/>
  <c r="P38" i="3"/>
  <c r="Q38" i="3" s="1"/>
  <c r="R29" i="3"/>
  <c r="S29" i="3" s="1"/>
  <c r="P11" i="3"/>
  <c r="Q11" i="3" s="1"/>
  <c r="P21" i="3"/>
  <c r="Q21" i="3" s="1"/>
  <c r="P17" i="3"/>
  <c r="Q17" i="3" s="1"/>
  <c r="R23" i="3"/>
  <c r="S23" i="3" s="1"/>
  <c r="P33" i="3"/>
  <c r="Q33" i="3" s="1"/>
  <c r="R35" i="3"/>
  <c r="S35" i="3" s="1"/>
  <c r="P12" i="3"/>
  <c r="Q12" i="3" s="1"/>
  <c r="R46" i="3"/>
  <c r="S46" i="3" s="1"/>
  <c r="R21" i="3"/>
  <c r="S21" i="3" s="1"/>
  <c r="P10" i="3"/>
  <c r="Q10" i="3" s="1"/>
  <c r="R42" i="3"/>
  <c r="S42" i="3" s="1"/>
  <c r="R34" i="3"/>
  <c r="S34" i="3" s="1"/>
  <c r="P6" i="3"/>
  <c r="Q6" i="3" s="1"/>
  <c r="R36" i="3"/>
  <c r="S36" i="3" s="1"/>
  <c r="P48" i="3"/>
  <c r="Q48" i="3" s="1"/>
  <c r="R30" i="3"/>
  <c r="S30" i="3" s="1"/>
  <c r="P36" i="3"/>
  <c r="Q36" i="3" s="1"/>
  <c r="R18" i="3"/>
  <c r="S18" i="3" s="1"/>
  <c r="P13" i="3"/>
  <c r="Q13" i="3" s="1"/>
  <c r="P40" i="3"/>
  <c r="Q40" i="3" s="1"/>
  <c r="R10" i="3"/>
  <c r="S10" i="3" s="1"/>
  <c r="P7" i="3"/>
  <c r="Q7" i="3" s="1"/>
  <c r="P41" i="3"/>
  <c r="Q41" i="3" s="1"/>
  <c r="R38" i="3"/>
  <c r="S38" i="3" s="1"/>
  <c r="P20" i="3"/>
  <c r="Q20" i="3" s="1"/>
  <c r="P45" i="3"/>
  <c r="Q45" i="3" s="1"/>
  <c r="R32" i="3"/>
  <c r="S32" i="3" s="1"/>
  <c r="R41" i="3"/>
  <c r="S41" i="3" s="1"/>
  <c r="P46" i="3"/>
  <c r="Q46" i="3" s="1"/>
  <c r="R17" i="3"/>
  <c r="S17" i="3" s="1"/>
  <c r="R45" i="3"/>
  <c r="S45" i="3" s="1"/>
  <c r="P15" i="3"/>
  <c r="Q15" i="3" s="1"/>
  <c r="R24" i="3"/>
  <c r="S24" i="3" s="1"/>
  <c r="R16" i="3"/>
  <c r="S16" i="3" s="1"/>
  <c r="P42" i="3"/>
  <c r="Q42" i="3" s="1"/>
  <c r="P44" i="3"/>
  <c r="Q44" i="3" s="1"/>
  <c r="P37" i="3"/>
  <c r="Q37" i="3" s="1"/>
  <c r="R22" i="3"/>
  <c r="S22" i="3" s="1"/>
  <c r="R7" i="3"/>
  <c r="S7" i="3" s="1"/>
  <c r="P8" i="3"/>
  <c r="Q8" i="3" s="1"/>
  <c r="R14" i="3"/>
  <c r="S14" i="3" s="1"/>
  <c r="P29" i="3"/>
  <c r="Q29" i="3" s="1"/>
  <c r="P31" i="3"/>
  <c r="Q31" i="3" s="1"/>
  <c r="R15" i="3"/>
  <c r="S15" i="3" s="1"/>
  <c r="R47" i="3"/>
  <c r="S47" i="3" s="1"/>
  <c r="R12" i="3"/>
  <c r="S12" i="3" s="1"/>
  <c r="L43" i="5"/>
  <c r="M43" i="5" s="1"/>
  <c r="N32" i="5"/>
  <c r="O32" i="5" s="1"/>
  <c r="L32" i="5"/>
  <c r="M32" i="5" s="1"/>
  <c r="L22" i="5"/>
  <c r="M22" i="5" s="1"/>
  <c r="L24" i="5"/>
  <c r="M24" i="5" s="1"/>
  <c r="N20" i="5"/>
  <c r="O20" i="5" s="1"/>
  <c r="L23" i="5"/>
  <c r="M23" i="5" s="1"/>
  <c r="L18" i="5"/>
  <c r="M18" i="5" s="1"/>
  <c r="L6" i="5"/>
  <c r="M6" i="5" s="1"/>
  <c r="N45" i="5"/>
  <c r="O45" i="5" s="1"/>
  <c r="N40" i="5"/>
  <c r="O40" i="5" s="1"/>
  <c r="N21" i="5"/>
  <c r="O21" i="5" s="1"/>
  <c r="N10" i="5"/>
  <c r="O10" i="5" s="1"/>
  <c r="L45" i="5"/>
  <c r="M45" i="5" s="1"/>
  <c r="L40" i="5"/>
  <c r="M40" i="5" s="1"/>
  <c r="N47" i="5"/>
  <c r="O47" i="5" s="1"/>
  <c r="N34" i="5"/>
  <c r="O34" i="5" s="1"/>
  <c r="N23" i="5"/>
  <c r="O23" i="5" s="1"/>
  <c r="N41" i="5"/>
  <c r="O41" i="5" s="1"/>
  <c r="N37" i="5"/>
  <c r="O37" i="5" s="1"/>
  <c r="L39" i="5"/>
  <c r="M39" i="5" s="1"/>
  <c r="N42" i="5"/>
  <c r="O42" i="5" s="1"/>
  <c r="L14" i="5"/>
  <c r="M14" i="5" s="1"/>
  <c r="N36" i="5"/>
  <c r="O36" i="5" s="1"/>
  <c r="N16" i="5"/>
  <c r="O16" i="5" s="1"/>
  <c r="L13" i="5"/>
  <c r="M13" i="5" s="1"/>
  <c r="L15" i="5"/>
  <c r="M15" i="5" s="1"/>
  <c r="L7" i="5"/>
  <c r="M7" i="5" s="1"/>
  <c r="N25" i="5"/>
  <c r="O25" i="5" s="1"/>
  <c r="L31" i="5"/>
  <c r="M31" i="5" s="1"/>
  <c r="N30" i="5"/>
  <c r="O30" i="5" s="1"/>
  <c r="L49" i="5"/>
  <c r="M49" i="5" s="1"/>
  <c r="L33" i="5"/>
  <c r="M33" i="5" s="1"/>
  <c r="N44" i="5"/>
  <c r="O44" i="5" s="1"/>
  <c r="L30" i="5"/>
  <c r="M30" i="5" s="1"/>
  <c r="N46" i="5"/>
  <c r="O46" i="5" s="1"/>
  <c r="L35" i="5"/>
  <c r="M35" i="5" s="1"/>
  <c r="L17" i="5"/>
  <c r="M17" i="5" s="1"/>
  <c r="N49" i="5"/>
  <c r="O49" i="5" s="1"/>
  <c r="L19" i="5"/>
  <c r="M19" i="5" s="1"/>
  <c r="L12" i="5"/>
  <c r="M12" i="5" s="1"/>
  <c r="H9" i="16"/>
  <c r="I9" i="16" s="1"/>
  <c r="R6" i="15"/>
  <c r="S6" i="15" s="1"/>
  <c r="R29" i="15"/>
  <c r="S29" i="15" s="1"/>
  <c r="R45" i="15"/>
  <c r="S45" i="15" s="1"/>
  <c r="R48" i="15"/>
  <c r="S48" i="15" s="1"/>
  <c r="P45" i="15"/>
  <c r="Q45" i="15" s="1"/>
  <c r="R10" i="15"/>
  <c r="S10" i="15" s="1"/>
  <c r="R21" i="15"/>
  <c r="S21" i="15" s="1"/>
  <c r="P47" i="15"/>
  <c r="Q47" i="15" s="1"/>
  <c r="P20" i="15"/>
  <c r="Q20" i="15" s="1"/>
  <c r="R43" i="15"/>
  <c r="S43" i="15" s="1"/>
  <c r="P5" i="15"/>
  <c r="Q5" i="15" s="1"/>
  <c r="P21" i="15"/>
  <c r="Q21" i="15" s="1"/>
  <c r="P14" i="15"/>
  <c r="Q14" i="15" s="1"/>
  <c r="P34" i="15"/>
  <c r="Q34" i="15" s="1"/>
  <c r="P35" i="15"/>
  <c r="Q35" i="15" s="1"/>
  <c r="P31" i="15"/>
  <c r="Q31" i="15" s="1"/>
  <c r="P9" i="15"/>
  <c r="Q9" i="15" s="1"/>
  <c r="R37" i="15"/>
  <c r="S37" i="15" s="1"/>
  <c r="R36" i="15"/>
  <c r="S36" i="15" s="1"/>
  <c r="R41" i="15"/>
  <c r="S41" i="15" s="1"/>
  <c r="R13" i="15"/>
  <c r="S13" i="15" s="1"/>
  <c r="P17" i="15"/>
  <c r="Q17" i="15" s="1"/>
  <c r="P13" i="15"/>
  <c r="Q13" i="15" s="1"/>
  <c r="P10" i="15"/>
  <c r="Q10" i="15" s="1"/>
  <c r="P30" i="15"/>
  <c r="Q30" i="15" s="1"/>
  <c r="P33" i="15"/>
  <c r="Q33" i="15" s="1"/>
  <c r="R32" i="15"/>
  <c r="S32" i="15" s="1"/>
  <c r="R42" i="15"/>
  <c r="S42" i="15" s="1"/>
  <c r="R17" i="15"/>
  <c r="S17" i="15" s="1"/>
  <c r="R18" i="15"/>
  <c r="S18" i="15" s="1"/>
  <c r="P6" i="15"/>
  <c r="Q6" i="15" s="1"/>
  <c r="P16" i="15"/>
  <c r="Q16" i="15" s="1"/>
  <c r="R15" i="15"/>
  <c r="S15" i="15" s="1"/>
  <c r="P32" i="15"/>
  <c r="Q32" i="15" s="1"/>
  <c r="R19" i="15"/>
  <c r="S19" i="15" s="1"/>
  <c r="R35" i="15"/>
  <c r="S35" i="15" s="1"/>
  <c r="R44" i="15"/>
  <c r="S44" i="15" s="1"/>
  <c r="P15" i="15"/>
  <c r="Q15" i="15" s="1"/>
  <c r="R20" i="15"/>
  <c r="S20" i="15" s="1"/>
  <c r="G12" i="8"/>
  <c r="D31" i="7" s="1"/>
  <c r="G14" i="8"/>
  <c r="C11" i="4"/>
  <c r="C12" i="5"/>
  <c r="C11" i="3"/>
  <c r="J17" i="17"/>
  <c r="K17" i="17" s="1"/>
  <c r="H6" i="17"/>
  <c r="I6" i="17" s="1"/>
  <c r="H12" i="17"/>
  <c r="I12" i="17" s="1"/>
  <c r="J22" i="17"/>
  <c r="K22" i="17" s="1"/>
  <c r="H42" i="17"/>
  <c r="I42" i="17" s="1"/>
  <c r="J41" i="17"/>
  <c r="K41" i="17" s="1"/>
  <c r="J42" i="17"/>
  <c r="K42" i="17" s="1"/>
  <c r="H44" i="17"/>
  <c r="I44" i="17" s="1"/>
  <c r="H11" i="17"/>
  <c r="I11" i="17" s="1"/>
  <c r="J38" i="17"/>
  <c r="K38" i="17" s="1"/>
  <c r="J37" i="17"/>
  <c r="K37" i="17" s="1"/>
  <c r="J44" i="17"/>
  <c r="K44" i="17" s="1"/>
  <c r="J18" i="17"/>
  <c r="K18" i="17" s="1"/>
  <c r="J11" i="17"/>
  <c r="K11" i="17" s="1"/>
  <c r="H35" i="17"/>
  <c r="I35" i="17" s="1"/>
  <c r="J35" i="17"/>
  <c r="K35" i="17" s="1"/>
  <c r="H22" i="17"/>
  <c r="I22" i="17" s="1"/>
  <c r="H41" i="17"/>
  <c r="I41" i="17" s="1"/>
  <c r="J12" i="17"/>
  <c r="K12" i="17" s="1"/>
  <c r="H47" i="17"/>
  <c r="I47" i="17" s="1"/>
  <c r="J48" i="17"/>
  <c r="K48" i="17" s="1"/>
  <c r="H18" i="17"/>
  <c r="I18" i="17" s="1"/>
  <c r="H19" i="17"/>
  <c r="I19" i="17" s="1"/>
  <c r="J30" i="17"/>
  <c r="K30" i="17" s="1"/>
  <c r="H17" i="17"/>
  <c r="I17" i="17" s="1"/>
  <c r="H15" i="17"/>
  <c r="I15" i="17" s="1"/>
  <c r="H43" i="17"/>
  <c r="I43" i="17" s="1"/>
  <c r="J43" i="17"/>
  <c r="K43" i="17" s="1"/>
  <c r="J25" i="17"/>
  <c r="K25" i="17" s="1"/>
  <c r="J16" i="17"/>
  <c r="K16" i="17" s="1"/>
  <c r="J14" i="17"/>
  <c r="K14" i="17" s="1"/>
  <c r="J34" i="17"/>
  <c r="K34" i="17" s="1"/>
  <c r="J13" i="17"/>
  <c r="K13" i="17" s="1"/>
  <c r="H24" i="17"/>
  <c r="I24" i="17" s="1"/>
  <c r="H14" i="17"/>
  <c r="I14" i="17" s="1"/>
  <c r="J19" i="17"/>
  <c r="K19" i="17" s="1"/>
  <c r="H45" i="17"/>
  <c r="I45" i="17" s="1"/>
  <c r="H48" i="17"/>
  <c r="I48" i="17" s="1"/>
  <c r="J49" i="17"/>
  <c r="K49" i="17" s="1"/>
  <c r="H49" i="17"/>
  <c r="I49" i="17" s="1"/>
  <c r="J33" i="17"/>
  <c r="K33" i="17" s="1"/>
  <c r="J10" i="17"/>
  <c r="K10" i="17" s="1"/>
  <c r="H10" i="17"/>
  <c r="I10" i="17" s="1"/>
  <c r="J21" i="17"/>
  <c r="K21" i="17" s="1"/>
  <c r="H21" i="17"/>
  <c r="I21" i="17" s="1"/>
  <c r="J40" i="17"/>
  <c r="K40" i="17" s="1"/>
  <c r="H40" i="17"/>
  <c r="I40" i="17" s="1"/>
  <c r="H25" i="17"/>
  <c r="I25" i="17" s="1"/>
  <c r="J24" i="17"/>
  <c r="K24" i="17" s="1"/>
  <c r="J15" i="17"/>
  <c r="K15" i="17" s="1"/>
  <c r="H33" i="17"/>
  <c r="I33" i="17" s="1"/>
  <c r="H13" i="17"/>
  <c r="I13" i="17" s="1"/>
  <c r="J45" i="17"/>
  <c r="K45" i="17" s="1"/>
  <c r="H9" i="17"/>
  <c r="I9" i="17" s="1"/>
  <c r="J9" i="17"/>
  <c r="K9" i="17" s="1"/>
  <c r="H46" i="17"/>
  <c r="I46" i="17" s="1"/>
  <c r="J46" i="17"/>
  <c r="K46" i="17" s="1"/>
  <c r="H36" i="17"/>
  <c r="I36" i="17" s="1"/>
  <c r="H20" i="17"/>
  <c r="I20" i="17" s="1"/>
  <c r="H8" i="17"/>
  <c r="I8" i="17" s="1"/>
  <c r="J47" i="17"/>
  <c r="K47" i="17" s="1"/>
  <c r="H39" i="17"/>
  <c r="I39" i="17" s="1"/>
  <c r="J39" i="17"/>
  <c r="K39" i="17" s="1"/>
  <c r="H7" i="17"/>
  <c r="I7" i="17" s="1"/>
  <c r="H32" i="17"/>
  <c r="I32" i="17" s="1"/>
  <c r="J31" i="17"/>
  <c r="K31" i="17" s="1"/>
  <c r="H16" i="17"/>
  <c r="I16" i="17" s="1"/>
  <c r="J20" i="17"/>
  <c r="K20" i="17" s="1"/>
  <c r="J23" i="17"/>
  <c r="K23" i="17" s="1"/>
  <c r="J8" i="17"/>
  <c r="K8" i="17" s="1"/>
  <c r="H34" i="17"/>
  <c r="I34" i="17" s="1"/>
  <c r="J32" i="17"/>
  <c r="K32" i="17" s="1"/>
  <c r="H37" i="17"/>
  <c r="I37" i="17" s="1"/>
  <c r="H38" i="17"/>
  <c r="I38" i="17" s="1"/>
  <c r="H31" i="17"/>
  <c r="I31" i="17" s="1"/>
  <c r="J36" i="17"/>
  <c r="K36" i="17" s="1"/>
  <c r="H23" i="17"/>
  <c r="I23" i="17" s="1"/>
  <c r="H30" i="17"/>
  <c r="I30" i="17" s="1"/>
  <c r="J7" i="17"/>
  <c r="K7" i="17" s="1"/>
  <c r="J6" i="17"/>
  <c r="K6" i="17" s="1"/>
  <c r="C30" i="5"/>
  <c r="C29" i="3"/>
  <c r="C29" i="4"/>
  <c r="H45" i="16"/>
  <c r="I45" i="16" s="1"/>
  <c r="H15" i="16"/>
  <c r="I15" i="16" s="1"/>
  <c r="H38" i="16"/>
  <c r="I38" i="16" s="1"/>
  <c r="H5" i="16"/>
  <c r="I5" i="16" s="1"/>
  <c r="H11" i="16"/>
  <c r="I11" i="16" s="1"/>
  <c r="H33" i="16"/>
  <c r="I33" i="16" s="1"/>
  <c r="H47" i="16"/>
  <c r="I47" i="16" s="1"/>
  <c r="H8" i="16"/>
  <c r="I8" i="16" s="1"/>
  <c r="H6" i="16"/>
  <c r="I6" i="16" s="1"/>
  <c r="H30" i="16"/>
  <c r="I30" i="16" s="1"/>
  <c r="H21" i="16"/>
  <c r="I21" i="16" s="1"/>
  <c r="H13" i="16"/>
  <c r="I13" i="16" s="1"/>
  <c r="H14" i="16"/>
  <c r="I14" i="16" s="1"/>
  <c r="H7" i="16"/>
  <c r="I7" i="16" s="1"/>
  <c r="H31" i="16"/>
  <c r="I31" i="16" s="1"/>
  <c r="H20" i="16"/>
  <c r="I20" i="16" s="1"/>
  <c r="H48" i="16"/>
  <c r="I48" i="16" s="1"/>
  <c r="H16" i="16"/>
  <c r="I16" i="16" s="1"/>
  <c r="H35" i="16"/>
  <c r="I35" i="16" s="1"/>
  <c r="H37" i="16"/>
  <c r="I37" i="16" s="1"/>
  <c r="H34" i="16"/>
  <c r="I34" i="16" s="1"/>
  <c r="H44" i="16"/>
  <c r="I44" i="16" s="1"/>
  <c r="H42" i="16"/>
  <c r="I42" i="16" s="1"/>
  <c r="H43" i="16"/>
  <c r="I43" i="16" s="1"/>
  <c r="H46" i="16"/>
  <c r="I46" i="16" s="1"/>
  <c r="H40" i="16"/>
  <c r="I40" i="16" s="1"/>
  <c r="H24" i="16"/>
  <c r="I24" i="16" s="1"/>
  <c r="H49" i="16"/>
  <c r="I49" i="16" s="1"/>
  <c r="H18" i="16"/>
  <c r="I18" i="16" s="1"/>
  <c r="H12" i="16"/>
  <c r="I12" i="16" s="1"/>
  <c r="H17" i="16"/>
  <c r="I17" i="16" s="1"/>
  <c r="R17" i="16" s="1"/>
  <c r="H23" i="16"/>
  <c r="I23" i="16" s="1"/>
  <c r="H39" i="16"/>
  <c r="I39" i="16" s="1"/>
  <c r="H36" i="16"/>
  <c r="I36" i="16" s="1"/>
  <c r="R36" i="16" s="1"/>
  <c r="R62" i="16" s="1"/>
  <c r="H22" i="16"/>
  <c r="I22" i="16" s="1"/>
  <c r="H19" i="16"/>
  <c r="I19" i="16" s="1"/>
  <c r="H10" i="16"/>
  <c r="I10" i="16" s="1"/>
  <c r="H32" i="16"/>
  <c r="I32" i="16" s="1"/>
  <c r="R32" i="16" s="1"/>
  <c r="R58" i="16" s="1"/>
  <c r="H41" i="16"/>
  <c r="I41" i="16" s="1"/>
  <c r="H35" i="15"/>
  <c r="I35" i="15" s="1"/>
  <c r="H32" i="15"/>
  <c r="I32" i="15" s="1"/>
  <c r="L44" i="15"/>
  <c r="M44" i="15" s="1"/>
  <c r="J46" i="15"/>
  <c r="K46" i="15" s="1"/>
  <c r="J35" i="15"/>
  <c r="K35" i="15" s="1"/>
  <c r="J37" i="15"/>
  <c r="K37" i="15" s="1"/>
  <c r="N32" i="15"/>
  <c r="O32" i="15" s="1"/>
  <c r="N19" i="15"/>
  <c r="O19" i="15" s="1"/>
  <c r="H9" i="15"/>
  <c r="I9" i="15" s="1"/>
  <c r="L8" i="15"/>
  <c r="M8" i="15" s="1"/>
  <c r="L41" i="15"/>
  <c r="M41" i="15" s="1"/>
  <c r="H34" i="15"/>
  <c r="I34" i="15" s="1"/>
  <c r="J39" i="15"/>
  <c r="K39" i="15" s="1"/>
  <c r="J19" i="15"/>
  <c r="K19" i="15" s="1"/>
  <c r="L39" i="15"/>
  <c r="M39" i="15" s="1"/>
  <c r="N9" i="15"/>
  <c r="O9" i="15" s="1"/>
  <c r="N34" i="15"/>
  <c r="O34" i="15" s="1"/>
  <c r="N41" i="15"/>
  <c r="O41" i="15" s="1"/>
  <c r="L35" i="15"/>
  <c r="M35" i="15" s="1"/>
  <c r="N35" i="15"/>
  <c r="O35" i="15" s="1"/>
  <c r="J8" i="15"/>
  <c r="K8" i="15" s="1"/>
  <c r="J34" i="15"/>
  <c r="K34" i="15" s="1"/>
  <c r="N44" i="15"/>
  <c r="O44" i="15" s="1"/>
  <c r="N39" i="15"/>
  <c r="O39" i="15" s="1"/>
  <c r="L34" i="15"/>
  <c r="M34" i="15" s="1"/>
  <c r="L15" i="15"/>
  <c r="M15" i="15" s="1"/>
  <c r="H15" i="15"/>
  <c r="I15" i="15" s="1"/>
  <c r="L46" i="15"/>
  <c r="M46" i="15" s="1"/>
  <c r="L37" i="15"/>
  <c r="M37" i="15" s="1"/>
  <c r="L24" i="15"/>
  <c r="M24" i="15" s="1"/>
  <c r="N8" i="15"/>
  <c r="O8" i="15" s="1"/>
  <c r="N36" i="15"/>
  <c r="O36" i="15" s="1"/>
  <c r="J9" i="15"/>
  <c r="K9" i="15" s="1"/>
  <c r="J36" i="15"/>
  <c r="K36" i="15" s="1"/>
  <c r="J44" i="15"/>
  <c r="K44" i="15" s="1"/>
  <c r="N7" i="15"/>
  <c r="O7" i="15" s="1"/>
  <c r="H31" i="15"/>
  <c r="I31" i="15" s="1"/>
  <c r="J41" i="15"/>
  <c r="K41" i="15" s="1"/>
  <c r="H46" i="15"/>
  <c r="I46" i="15" s="1"/>
  <c r="H8" i="15"/>
  <c r="I8" i="15" s="1"/>
  <c r="H39" i="15"/>
  <c r="I39" i="15" s="1"/>
  <c r="H5" i="15"/>
  <c r="I5" i="15" s="1"/>
  <c r="N24" i="15"/>
  <c r="O24" i="15" s="1"/>
  <c r="N15" i="15"/>
  <c r="O15" i="15" s="1"/>
  <c r="L7" i="15"/>
  <c r="M7" i="15" s="1"/>
  <c r="L12" i="15"/>
  <c r="M12" i="15" s="1"/>
  <c r="H12" i="15"/>
  <c r="I12" i="15" s="1"/>
  <c r="J31" i="15"/>
  <c r="K31" i="15" s="1"/>
  <c r="J24" i="15"/>
  <c r="K24" i="15" s="1"/>
  <c r="J15" i="15"/>
  <c r="K15" i="15" s="1"/>
  <c r="N46" i="15"/>
  <c r="O46" i="15" s="1"/>
  <c r="J32" i="15"/>
  <c r="K32" i="15" s="1"/>
  <c r="H24" i="15"/>
  <c r="I24" i="15" s="1"/>
  <c r="H7" i="15"/>
  <c r="I7" i="15" s="1"/>
  <c r="N12" i="15"/>
  <c r="O12" i="15" s="1"/>
  <c r="J5" i="15"/>
  <c r="K5" i="15" s="1"/>
  <c r="H37" i="15"/>
  <c r="I37" i="15" s="1"/>
  <c r="J12" i="15"/>
  <c r="K12" i="15" s="1"/>
  <c r="J7" i="15"/>
  <c r="K7" i="15" s="1"/>
  <c r="N13" i="15"/>
  <c r="O13" i="15" s="1"/>
  <c r="J14" i="15"/>
  <c r="K14" i="15" s="1"/>
  <c r="N5" i="15"/>
  <c r="O5" i="15" s="1"/>
  <c r="L32" i="15"/>
  <c r="M32" i="15" s="1"/>
  <c r="L19" i="15"/>
  <c r="M19" i="15" s="1"/>
  <c r="L5" i="15"/>
  <c r="M5" i="15" s="1"/>
  <c r="N37" i="15"/>
  <c r="O37" i="15" s="1"/>
  <c r="H10" i="15"/>
  <c r="I10" i="15" s="1"/>
  <c r="N45" i="15"/>
  <c r="O45" i="15" s="1"/>
  <c r="H45" i="15"/>
  <c r="I45" i="15" s="1"/>
  <c r="N31" i="15"/>
  <c r="O31" i="15" s="1"/>
  <c r="L10" i="15"/>
  <c r="M10" i="15" s="1"/>
  <c r="J29" i="15"/>
  <c r="K29" i="15" s="1"/>
  <c r="J45" i="15"/>
  <c r="K45" i="15" s="1"/>
  <c r="J38" i="15"/>
  <c r="K38" i="15" s="1"/>
  <c r="H30" i="15"/>
  <c r="I30" i="15" s="1"/>
  <c r="N30" i="15"/>
  <c r="O30" i="15" s="1"/>
  <c r="N16" i="15"/>
  <c r="O16" i="15" s="1"/>
  <c r="H16" i="15"/>
  <c r="I16" i="15" s="1"/>
  <c r="H48" i="15"/>
  <c r="I48" i="15" s="1"/>
  <c r="J22" i="15"/>
  <c r="K22" i="15" s="1"/>
  <c r="L22" i="15"/>
  <c r="M22" i="15" s="1"/>
  <c r="L29" i="15"/>
  <c r="M29" i="15" s="1"/>
  <c r="N29" i="15"/>
  <c r="O29" i="15" s="1"/>
  <c r="L38" i="15"/>
  <c r="M38" i="15" s="1"/>
  <c r="H38" i="15"/>
  <c r="I38" i="15" s="1"/>
  <c r="J10" i="15"/>
  <c r="K10" i="15" s="1"/>
  <c r="H29" i="15"/>
  <c r="I29" i="15" s="1"/>
  <c r="L45" i="15"/>
  <c r="M45" i="15" s="1"/>
  <c r="N38" i="15"/>
  <c r="O38" i="15" s="1"/>
  <c r="L30" i="15"/>
  <c r="M30" i="15" s="1"/>
  <c r="J30" i="15"/>
  <c r="K30" i="15" s="1"/>
  <c r="J16" i="15"/>
  <c r="K16" i="15" s="1"/>
  <c r="L16" i="15"/>
  <c r="M16" i="15" s="1"/>
  <c r="L48" i="15"/>
  <c r="M48" i="15" s="1"/>
  <c r="N48" i="15"/>
  <c r="O48" i="15" s="1"/>
  <c r="H22" i="15"/>
  <c r="I22" i="15" s="1"/>
  <c r="N22" i="15"/>
  <c r="O22" i="15" s="1"/>
  <c r="L42" i="15"/>
  <c r="M42" i="15" s="1"/>
  <c r="J43" i="15"/>
  <c r="K43" i="15" s="1"/>
  <c r="J6" i="15"/>
  <c r="K6" i="15" s="1"/>
  <c r="J33" i="15"/>
  <c r="K33" i="15" s="1"/>
  <c r="J23" i="15"/>
  <c r="K23" i="15" s="1"/>
  <c r="H21" i="15"/>
  <c r="I21" i="15" s="1"/>
  <c r="J21" i="15"/>
  <c r="K21" i="15" s="1"/>
  <c r="J42" i="15"/>
  <c r="K42" i="15" s="1"/>
  <c r="L6" i="15"/>
  <c r="M6" i="15" s="1"/>
  <c r="H33" i="15"/>
  <c r="I33" i="15" s="1"/>
  <c r="H23" i="15"/>
  <c r="I23" i="15" s="1"/>
  <c r="N21" i="15"/>
  <c r="O21" i="15" s="1"/>
  <c r="H14" i="15"/>
  <c r="I14" i="15" s="1"/>
  <c r="H11" i="15"/>
  <c r="I11" i="15" s="1"/>
  <c r="J11" i="15"/>
  <c r="K11" i="15" s="1"/>
  <c r="J48" i="15"/>
  <c r="K48" i="15" s="1"/>
  <c r="L13" i="15"/>
  <c r="M13" i="15" s="1"/>
  <c r="L18" i="15"/>
  <c r="M18" i="15" s="1"/>
  <c r="H18" i="15"/>
  <c r="I18" i="15" s="1"/>
  <c r="L40" i="15"/>
  <c r="M40" i="15" s="1"/>
  <c r="N40" i="15"/>
  <c r="O40" i="15" s="1"/>
  <c r="J20" i="15"/>
  <c r="K20" i="15" s="1"/>
  <c r="N20" i="15"/>
  <c r="O20" i="15" s="1"/>
  <c r="J17" i="15"/>
  <c r="K17" i="15" s="1"/>
  <c r="L17" i="15"/>
  <c r="M17" i="15" s="1"/>
  <c r="J47" i="15"/>
  <c r="K47" i="15" s="1"/>
  <c r="N47" i="15"/>
  <c r="O47" i="15" s="1"/>
  <c r="L47" i="15"/>
  <c r="M47" i="15" s="1"/>
  <c r="N42" i="15"/>
  <c r="O42" i="15" s="1"/>
  <c r="N43" i="15"/>
  <c r="O43" i="15" s="1"/>
  <c r="H43" i="15"/>
  <c r="I43" i="15" s="1"/>
  <c r="N6" i="15"/>
  <c r="O6" i="15" s="1"/>
  <c r="L33" i="15"/>
  <c r="M33" i="15" s="1"/>
  <c r="N23" i="15"/>
  <c r="O23" i="15" s="1"/>
  <c r="N14" i="15"/>
  <c r="O14" i="15" s="1"/>
  <c r="N11" i="15"/>
  <c r="O11" i="15" s="1"/>
  <c r="H6" i="15"/>
  <c r="I6" i="15" s="1"/>
  <c r="L21" i="15"/>
  <c r="M21" i="15" s="1"/>
  <c r="N10" i="15"/>
  <c r="O10" i="15" s="1"/>
  <c r="J18" i="15"/>
  <c r="K18" i="15" s="1"/>
  <c r="H20" i="15"/>
  <c r="I20" i="15" s="1"/>
  <c r="N33" i="15"/>
  <c r="O33" i="15" s="1"/>
  <c r="L14" i="15"/>
  <c r="M14" i="15" s="1"/>
  <c r="J13" i="15"/>
  <c r="K13" i="15" s="1"/>
  <c r="J40" i="15"/>
  <c r="K40" i="15" s="1"/>
  <c r="L20" i="15"/>
  <c r="M20" i="15" s="1"/>
  <c r="H47" i="15"/>
  <c r="I47" i="15" s="1"/>
  <c r="H42" i="15"/>
  <c r="I42" i="15" s="1"/>
  <c r="L23" i="15"/>
  <c r="M23" i="15" s="1"/>
  <c r="L11" i="15"/>
  <c r="M11" i="15" s="1"/>
  <c r="H13" i="15"/>
  <c r="I13" i="15" s="1"/>
  <c r="H40" i="15"/>
  <c r="I40" i="15" s="1"/>
  <c r="H17" i="15"/>
  <c r="I17" i="15" s="1"/>
  <c r="L43" i="15"/>
  <c r="M43" i="15" s="1"/>
  <c r="N18" i="15"/>
  <c r="O18" i="15" s="1"/>
  <c r="N17" i="15"/>
  <c r="O17" i="15" s="1"/>
  <c r="H44" i="15"/>
  <c r="I44" i="15" s="1"/>
  <c r="H19" i="15"/>
  <c r="I19" i="15" s="1"/>
  <c r="L36" i="15"/>
  <c r="M36" i="15" s="1"/>
  <c r="L9" i="15"/>
  <c r="M9" i="15" s="1"/>
  <c r="L31" i="15"/>
  <c r="M31" i="15" s="1"/>
  <c r="H36" i="15"/>
  <c r="I36" i="15" s="1"/>
  <c r="H41" i="15"/>
  <c r="I41" i="15" s="1"/>
  <c r="R41" i="16" l="1"/>
  <c r="R67" i="16" s="1"/>
  <c r="R47" i="16"/>
  <c r="R73" i="16" s="1"/>
  <c r="R10" i="16"/>
  <c r="R16" i="16"/>
  <c r="R19" i="16"/>
  <c r="R7" i="16"/>
  <c r="R18" i="16"/>
  <c r="R45" i="16"/>
  <c r="R71" i="16" s="1"/>
  <c r="R23" i="16"/>
  <c r="R49" i="16"/>
  <c r="R75" i="16" s="1"/>
  <c r="R20" i="16"/>
  <c r="T41" i="17"/>
  <c r="T67" i="17" s="1"/>
  <c r="T38" i="17"/>
  <c r="T64" i="17" s="1"/>
  <c r="R22" i="16"/>
  <c r="R42" i="16"/>
  <c r="R68" i="16" s="1"/>
  <c r="R35" i="16"/>
  <c r="R61" i="16" s="1"/>
  <c r="R46" i="16"/>
  <c r="R72" i="16" s="1"/>
  <c r="R34" i="16"/>
  <c r="R60" i="16" s="1"/>
  <c r="R6" i="16"/>
  <c r="R11" i="16"/>
  <c r="R40" i="16"/>
  <c r="R66" i="16" s="1"/>
  <c r="R44" i="16"/>
  <c r="R70" i="16" s="1"/>
  <c r="R30" i="16"/>
  <c r="R56" i="16" s="1"/>
  <c r="R8" i="16"/>
  <c r="R24" i="16"/>
  <c r="R31" i="16"/>
  <c r="R57" i="16" s="1"/>
  <c r="R21" i="16"/>
  <c r="R38" i="16"/>
  <c r="R64" i="16" s="1"/>
  <c r="R33" i="16"/>
  <c r="R59" i="16" s="1"/>
  <c r="R15" i="16"/>
  <c r="T17" i="17"/>
  <c r="R9" i="16"/>
  <c r="R39" i="16"/>
  <c r="R65" i="16" s="1"/>
  <c r="R48" i="16"/>
  <c r="R74" i="16" s="1"/>
  <c r="R14" i="16"/>
  <c r="R12" i="16"/>
  <c r="R43" i="16"/>
  <c r="R69" i="16" s="1"/>
  <c r="R37" i="16"/>
  <c r="R63" i="16" s="1"/>
  <c r="R13" i="16"/>
  <c r="R5" i="16"/>
  <c r="T14" i="17"/>
  <c r="T23" i="17"/>
  <c r="T13" i="17"/>
  <c r="T30" i="17"/>
  <c r="T56" i="17" s="1"/>
  <c r="T48" i="17"/>
  <c r="T74" i="17" s="1"/>
  <c r="T18" i="17"/>
  <c r="T25" i="17"/>
  <c r="T33" i="17"/>
  <c r="T59" i="17" s="1"/>
  <c r="X44" i="15"/>
  <c r="X71" i="15" s="1"/>
  <c r="X17" i="15"/>
  <c r="T22" i="17"/>
  <c r="X41" i="15"/>
  <c r="X68" i="15" s="1"/>
  <c r="X13" i="15"/>
  <c r="X47" i="15"/>
  <c r="X74" i="15" s="1"/>
  <c r="X43" i="15"/>
  <c r="X70" i="15" s="1"/>
  <c r="X23" i="15"/>
  <c r="X22" i="15"/>
  <c r="X8" i="15"/>
  <c r="X34" i="15"/>
  <c r="X61" i="15" s="1"/>
  <c r="T31" i="17"/>
  <c r="T57" i="17" s="1"/>
  <c r="T34" i="17"/>
  <c r="T60" i="17" s="1"/>
  <c r="T16" i="17"/>
  <c r="T20" i="17"/>
  <c r="T40" i="17"/>
  <c r="T66" i="17" s="1"/>
  <c r="T10" i="17"/>
  <c r="T43" i="17"/>
  <c r="T69" i="17" s="1"/>
  <c r="T19" i="17"/>
  <c r="T35" i="17"/>
  <c r="T61" i="17" s="1"/>
  <c r="R6" i="5"/>
  <c r="S6" i="5" s="1"/>
  <c r="P49" i="5"/>
  <c r="Q49" i="5" s="1"/>
  <c r="P6" i="5"/>
  <c r="Q6" i="5" s="1"/>
  <c r="R8" i="5"/>
  <c r="S8" i="5" s="1"/>
  <c r="P17" i="5"/>
  <c r="Q17" i="5" s="1"/>
  <c r="P38" i="5"/>
  <c r="Q38" i="5" s="1"/>
  <c r="P7" i="5"/>
  <c r="Q7" i="5" s="1"/>
  <c r="R49" i="5"/>
  <c r="S49" i="5" s="1"/>
  <c r="R11" i="5"/>
  <c r="S11" i="5" s="1"/>
  <c r="R34" i="5"/>
  <c r="S34" i="5" s="1"/>
  <c r="R18" i="5"/>
  <c r="S18" i="5" s="1"/>
  <c r="R35" i="5"/>
  <c r="S35" i="5" s="1"/>
  <c r="P21" i="5"/>
  <c r="Q21" i="5" s="1"/>
  <c r="P15" i="5"/>
  <c r="Q15" i="5" s="1"/>
  <c r="P11" i="5"/>
  <c r="Q11" i="5" s="1"/>
  <c r="P14" i="5"/>
  <c r="Q14" i="5" s="1"/>
  <c r="P43" i="5"/>
  <c r="Q43" i="5" s="1"/>
  <c r="R7" i="5"/>
  <c r="S7" i="5" s="1"/>
  <c r="R42" i="5"/>
  <c r="S42" i="5" s="1"/>
  <c r="R43" i="5"/>
  <c r="S43" i="5" s="1"/>
  <c r="R9" i="5"/>
  <c r="S9" i="5" s="1"/>
  <c r="R24" i="5"/>
  <c r="S24" i="5" s="1"/>
  <c r="R10" i="5"/>
  <c r="S10" i="5" s="1"/>
  <c r="P35" i="5"/>
  <c r="Q35" i="5" s="1"/>
  <c r="P22" i="5"/>
  <c r="Q22" i="5" s="1"/>
  <c r="P37" i="5"/>
  <c r="Q37" i="5" s="1"/>
  <c r="R21" i="5"/>
  <c r="S21" i="5" s="1"/>
  <c r="P44" i="5"/>
  <c r="Q44" i="5" s="1"/>
  <c r="P16" i="5"/>
  <c r="Q16" i="5" s="1"/>
  <c r="P24" i="5"/>
  <c r="Q24" i="5" s="1"/>
  <c r="P12" i="5"/>
  <c r="Q12" i="5" s="1"/>
  <c r="P25" i="5"/>
  <c r="Q25" i="5" s="1"/>
  <c r="P23" i="5"/>
  <c r="Q23" i="5" s="1"/>
  <c r="P9" i="5"/>
  <c r="Q9" i="5" s="1"/>
  <c r="P8" i="5"/>
  <c r="Q8" i="5" s="1"/>
  <c r="R17" i="5"/>
  <c r="S17" i="5" s="1"/>
  <c r="R25" i="5"/>
  <c r="S25" i="5" s="1"/>
  <c r="R44" i="5"/>
  <c r="S44" i="5" s="1"/>
  <c r="P46" i="5"/>
  <c r="Q46" i="5" s="1"/>
  <c r="R14" i="5"/>
  <c r="S14" i="5" s="1"/>
  <c r="R15" i="5"/>
  <c r="S15" i="5" s="1"/>
  <c r="P45" i="5"/>
  <c r="Q45" i="5" s="1"/>
  <c r="R33" i="5"/>
  <c r="S33" i="5" s="1"/>
  <c r="R16" i="5"/>
  <c r="S16" i="5" s="1"/>
  <c r="R37" i="5"/>
  <c r="S37" i="5" s="1"/>
  <c r="P19" i="5"/>
  <c r="Q19" i="5" s="1"/>
  <c r="P41" i="5"/>
  <c r="Q41" i="5" s="1"/>
  <c r="P40" i="5"/>
  <c r="Q40" i="5" s="1"/>
  <c r="R32" i="5"/>
  <c r="S32" i="5" s="1"/>
  <c r="P13" i="5"/>
  <c r="Q13" i="5" s="1"/>
  <c r="P48" i="5"/>
  <c r="Q48" i="5" s="1"/>
  <c r="R23" i="5"/>
  <c r="S23" i="5" s="1"/>
  <c r="R36" i="5"/>
  <c r="S36" i="5" s="1"/>
  <c r="P47" i="5"/>
  <c r="Q47" i="5" s="1"/>
  <c r="P34" i="5"/>
  <c r="Q34" i="5" s="1"/>
  <c r="P10" i="5"/>
  <c r="Q10" i="5" s="1"/>
  <c r="R20" i="5"/>
  <c r="S20" i="5" s="1"/>
  <c r="R47" i="5"/>
  <c r="S47" i="5" s="1"/>
  <c r="R48" i="5"/>
  <c r="S48" i="5" s="1"/>
  <c r="P20" i="5"/>
  <c r="Q20" i="5" s="1"/>
  <c r="R41" i="5"/>
  <c r="S41" i="5" s="1"/>
  <c r="R13" i="5"/>
  <c r="S13" i="5" s="1"/>
  <c r="R39" i="5"/>
  <c r="S39" i="5" s="1"/>
  <c r="P42" i="5"/>
  <c r="Q42" i="5" s="1"/>
  <c r="R22" i="5"/>
  <c r="S22" i="5" s="1"/>
  <c r="P31" i="5"/>
  <c r="Q31" i="5" s="1"/>
  <c r="R31" i="5"/>
  <c r="S31" i="5" s="1"/>
  <c r="P33" i="5"/>
  <c r="Q33" i="5" s="1"/>
  <c r="P18" i="5"/>
  <c r="Q18" i="5" s="1"/>
  <c r="R19" i="5"/>
  <c r="S19" i="5" s="1"/>
  <c r="P36" i="5"/>
  <c r="Q36" i="5" s="1"/>
  <c r="P30" i="5"/>
  <c r="Q30" i="5" s="1"/>
  <c r="R38" i="5"/>
  <c r="S38" i="5" s="1"/>
  <c r="R30" i="5"/>
  <c r="S30" i="5" s="1"/>
  <c r="R12" i="5"/>
  <c r="S12" i="5" s="1"/>
  <c r="R45" i="5"/>
  <c r="S45" i="5" s="1"/>
  <c r="P39" i="5"/>
  <c r="Q39" i="5" s="1"/>
  <c r="P32" i="5"/>
  <c r="Q32" i="5" s="1"/>
  <c r="R46" i="5"/>
  <c r="S46" i="5" s="1"/>
  <c r="R40" i="5"/>
  <c r="S40" i="5" s="1"/>
  <c r="N37" i="4"/>
  <c r="O37" i="4" s="1"/>
  <c r="P8" i="4"/>
  <c r="Q8" i="4" s="1"/>
  <c r="P12" i="4"/>
  <c r="Q12" i="4" s="1"/>
  <c r="N12" i="4"/>
  <c r="O12" i="4" s="1"/>
  <c r="P18" i="4"/>
  <c r="Q18" i="4" s="1"/>
  <c r="N30" i="4"/>
  <c r="O30" i="4" s="1"/>
  <c r="N43" i="4"/>
  <c r="O43" i="4" s="1"/>
  <c r="P38" i="4"/>
  <c r="Q38" i="4" s="1"/>
  <c r="N42" i="4"/>
  <c r="O42" i="4" s="1"/>
  <c r="P37" i="4"/>
  <c r="Q37" i="4" s="1"/>
  <c r="P7" i="4"/>
  <c r="Q7" i="4" s="1"/>
  <c r="P39" i="4"/>
  <c r="Q39" i="4" s="1"/>
  <c r="P43" i="4"/>
  <c r="Q43" i="4" s="1"/>
  <c r="N34" i="4"/>
  <c r="O34" i="4" s="1"/>
  <c r="P33" i="4"/>
  <c r="Q33" i="4" s="1"/>
  <c r="N32" i="4"/>
  <c r="O32" i="4" s="1"/>
  <c r="N46" i="4"/>
  <c r="O46" i="4" s="1"/>
  <c r="N41" i="4"/>
  <c r="O41" i="4" s="1"/>
  <c r="N14" i="4"/>
  <c r="O14" i="4" s="1"/>
  <c r="N17" i="4"/>
  <c r="O17" i="4" s="1"/>
  <c r="N45" i="4"/>
  <c r="O45" i="4" s="1"/>
  <c r="P41" i="4"/>
  <c r="Q41" i="4" s="1"/>
  <c r="P21" i="4"/>
  <c r="Q21" i="4" s="1"/>
  <c r="P45" i="4"/>
  <c r="Q45" i="4" s="1"/>
  <c r="P24" i="4"/>
  <c r="Q24" i="4" s="1"/>
  <c r="N21" i="4"/>
  <c r="O21" i="4" s="1"/>
  <c r="N38" i="4"/>
  <c r="O38" i="4" s="1"/>
  <c r="P9" i="4"/>
  <c r="Q9" i="4" s="1"/>
  <c r="N16" i="4"/>
  <c r="O16" i="4" s="1"/>
  <c r="P11" i="4"/>
  <c r="Q11" i="4" s="1"/>
  <c r="P49" i="4"/>
  <c r="Q49" i="4" s="1"/>
  <c r="N11" i="4"/>
  <c r="O11" i="4" s="1"/>
  <c r="P46" i="4"/>
  <c r="Q46" i="4" s="1"/>
  <c r="N18" i="4"/>
  <c r="O18" i="4" s="1"/>
  <c r="N6" i="4"/>
  <c r="O6" i="4" s="1"/>
  <c r="P10" i="4"/>
  <c r="Q10" i="4" s="1"/>
  <c r="P32" i="4"/>
  <c r="Q32" i="4" s="1"/>
  <c r="N8" i="4"/>
  <c r="O8" i="4" s="1"/>
  <c r="N13" i="4"/>
  <c r="O13" i="4" s="1"/>
  <c r="N44" i="4"/>
  <c r="O44" i="4" s="1"/>
  <c r="P13" i="4"/>
  <c r="Q13" i="4" s="1"/>
  <c r="P20" i="4"/>
  <c r="Q20" i="4" s="1"/>
  <c r="N33" i="4"/>
  <c r="O33" i="4" s="1"/>
  <c r="N24" i="4"/>
  <c r="O24" i="4" s="1"/>
  <c r="P42" i="4"/>
  <c r="Q42" i="4" s="1"/>
  <c r="N19" i="4"/>
  <c r="O19" i="4" s="1"/>
  <c r="N20" i="4"/>
  <c r="O20" i="4" s="1"/>
  <c r="N10" i="4"/>
  <c r="O10" i="4" s="1"/>
  <c r="P40" i="4"/>
  <c r="Q40" i="4" s="1"/>
  <c r="P17" i="4"/>
  <c r="Q17" i="4" s="1"/>
  <c r="P44" i="4"/>
  <c r="Q44" i="4" s="1"/>
  <c r="P14" i="4"/>
  <c r="Q14" i="4" s="1"/>
  <c r="P48" i="4"/>
  <c r="Q48" i="4" s="1"/>
  <c r="P5" i="4"/>
  <c r="Q5" i="4" s="1"/>
  <c r="P6" i="4"/>
  <c r="Q6" i="4" s="1"/>
  <c r="N9" i="4"/>
  <c r="O9" i="4" s="1"/>
  <c r="N39" i="4"/>
  <c r="O39" i="4" s="1"/>
  <c r="P47" i="4"/>
  <c r="Q47" i="4" s="1"/>
  <c r="P19" i="4"/>
  <c r="Q19" i="4" s="1"/>
  <c r="N48" i="4"/>
  <c r="O48" i="4" s="1"/>
  <c r="P34" i="4"/>
  <c r="Q34" i="4" s="1"/>
  <c r="N40" i="4"/>
  <c r="O40" i="4" s="1"/>
  <c r="N5" i="4"/>
  <c r="O5" i="4" s="1"/>
  <c r="N49" i="4"/>
  <c r="O49" i="4" s="1"/>
  <c r="P31" i="4"/>
  <c r="Q31" i="4" s="1"/>
  <c r="P30" i="4"/>
  <c r="Q30" i="4" s="1"/>
  <c r="P16" i="4"/>
  <c r="Q16" i="4" s="1"/>
  <c r="N31" i="4"/>
  <c r="O31" i="4" s="1"/>
  <c r="P22" i="4"/>
  <c r="Q22" i="4" s="1"/>
  <c r="N47" i="4"/>
  <c r="O47" i="4" s="1"/>
  <c r="N7" i="4"/>
  <c r="O7" i="4" s="1"/>
  <c r="N22" i="4"/>
  <c r="O22" i="4" s="1"/>
  <c r="N15" i="4"/>
  <c r="O15" i="4" s="1"/>
  <c r="P36" i="4"/>
  <c r="Q36" i="4" s="1"/>
  <c r="P15" i="4"/>
  <c r="Q15" i="4" s="1"/>
  <c r="P35" i="4"/>
  <c r="Q35" i="4" s="1"/>
  <c r="N36" i="4"/>
  <c r="O36" i="4" s="1"/>
  <c r="P23" i="4"/>
  <c r="Q23" i="4" s="1"/>
  <c r="N35" i="4"/>
  <c r="O35" i="4" s="1"/>
  <c r="N23" i="4"/>
  <c r="O23" i="4" s="1"/>
  <c r="T18" i="3"/>
  <c r="U18" i="3" s="1"/>
  <c r="V9" i="3"/>
  <c r="W9" i="3" s="1"/>
  <c r="T6" i="3"/>
  <c r="U6" i="3" s="1"/>
  <c r="T11" i="3"/>
  <c r="U11" i="3" s="1"/>
  <c r="T45" i="3"/>
  <c r="U45" i="3" s="1"/>
  <c r="T8" i="3"/>
  <c r="U8" i="3" s="1"/>
  <c r="T41" i="3"/>
  <c r="U41" i="3" s="1"/>
  <c r="T15" i="3"/>
  <c r="U15" i="3" s="1"/>
  <c r="T37" i="3"/>
  <c r="U37" i="3" s="1"/>
  <c r="V46" i="3"/>
  <c r="W46" i="3" s="1"/>
  <c r="T43" i="3"/>
  <c r="U43" i="3" s="1"/>
  <c r="V32" i="3"/>
  <c r="W32" i="3" s="1"/>
  <c r="V10" i="3"/>
  <c r="W10" i="3" s="1"/>
  <c r="V33" i="3"/>
  <c r="W33" i="3" s="1"/>
  <c r="V31" i="3"/>
  <c r="W31" i="3" s="1"/>
  <c r="V38" i="3"/>
  <c r="W38" i="3" s="1"/>
  <c r="V5" i="3"/>
  <c r="W5" i="3" s="1"/>
  <c r="T13" i="3"/>
  <c r="U13" i="3" s="1"/>
  <c r="V7" i="3"/>
  <c r="W7" i="3" s="1"/>
  <c r="T47" i="3"/>
  <c r="U47" i="3" s="1"/>
  <c r="T23" i="3"/>
  <c r="U23" i="3" s="1"/>
  <c r="T12" i="3"/>
  <c r="U12" i="3" s="1"/>
  <c r="T36" i="3"/>
  <c r="U36" i="3" s="1"/>
  <c r="V11" i="3"/>
  <c r="W11" i="3" s="1"/>
  <c r="V21" i="3"/>
  <c r="W21" i="3" s="1"/>
  <c r="T22" i="3"/>
  <c r="U22" i="3" s="1"/>
  <c r="V8" i="3"/>
  <c r="W8" i="3" s="1"/>
  <c r="V41" i="3"/>
  <c r="W41" i="3" s="1"/>
  <c r="V30" i="3"/>
  <c r="W30" i="3" s="1"/>
  <c r="T46" i="3"/>
  <c r="U46" i="3" s="1"/>
  <c r="V18" i="3"/>
  <c r="W18" i="3" s="1"/>
  <c r="V43" i="3"/>
  <c r="W43" i="3" s="1"/>
  <c r="T32" i="3"/>
  <c r="U32" i="3" s="1"/>
  <c r="V17" i="3"/>
  <c r="W17" i="3" s="1"/>
  <c r="V34" i="3"/>
  <c r="W34" i="3" s="1"/>
  <c r="V12" i="3"/>
  <c r="W12" i="3" s="1"/>
  <c r="V36" i="3"/>
  <c r="W36" i="3" s="1"/>
  <c r="T9" i="3"/>
  <c r="U9" i="3" s="1"/>
  <c r="T21" i="3"/>
  <c r="U21" i="3" s="1"/>
  <c r="V16" i="3"/>
  <c r="W16" i="3" s="1"/>
  <c r="V22" i="3"/>
  <c r="W22" i="3" s="1"/>
  <c r="V40" i="3"/>
  <c r="W40" i="3" s="1"/>
  <c r="T30" i="3"/>
  <c r="U30" i="3" s="1"/>
  <c r="V44" i="3"/>
  <c r="W44" i="3" s="1"/>
  <c r="T39" i="3"/>
  <c r="U39" i="3" s="1"/>
  <c r="T19" i="3"/>
  <c r="U19" i="3" s="1"/>
  <c r="V35" i="3"/>
  <c r="W35" i="3" s="1"/>
  <c r="T17" i="3"/>
  <c r="U17" i="3" s="1"/>
  <c r="T34" i="3"/>
  <c r="U34" i="3" s="1"/>
  <c r="V20" i="3"/>
  <c r="W20" i="3" s="1"/>
  <c r="V29" i="3"/>
  <c r="W29" i="3" s="1"/>
  <c r="T42" i="3"/>
  <c r="U42" i="3" s="1"/>
  <c r="V24" i="3"/>
  <c r="W24" i="3" s="1"/>
  <c r="T14" i="3"/>
  <c r="U14" i="3" s="1"/>
  <c r="V6" i="3"/>
  <c r="W6" i="3" s="1"/>
  <c r="T48" i="3"/>
  <c r="U48" i="3" s="1"/>
  <c r="V48" i="3"/>
  <c r="W48" i="3" s="1"/>
  <c r="V45" i="3"/>
  <c r="W45" i="3" s="1"/>
  <c r="T16" i="3"/>
  <c r="U16" i="3" s="1"/>
  <c r="T40" i="3"/>
  <c r="U40" i="3" s="1"/>
  <c r="V15" i="3"/>
  <c r="W15" i="3" s="1"/>
  <c r="V37" i="3"/>
  <c r="W37" i="3" s="1"/>
  <c r="V14" i="3"/>
  <c r="W14" i="3" s="1"/>
  <c r="T44" i="3"/>
  <c r="U44" i="3" s="1"/>
  <c r="V39" i="3"/>
  <c r="W39" i="3" s="1"/>
  <c r="T10" i="3"/>
  <c r="U10" i="3" s="1"/>
  <c r="V19" i="3"/>
  <c r="W19" i="3" s="1"/>
  <c r="T35" i="3"/>
  <c r="U35" i="3" s="1"/>
  <c r="T33" i="3"/>
  <c r="U33" i="3" s="1"/>
  <c r="T31" i="3"/>
  <c r="U31" i="3" s="1"/>
  <c r="T20" i="3"/>
  <c r="U20" i="3" s="1"/>
  <c r="T29" i="3"/>
  <c r="U29" i="3" s="1"/>
  <c r="T5" i="3"/>
  <c r="U5" i="3" s="1"/>
  <c r="T7" i="3"/>
  <c r="U7" i="3" s="1"/>
  <c r="T24" i="3"/>
  <c r="U24" i="3" s="1"/>
  <c r="T38" i="3"/>
  <c r="U38" i="3" s="1"/>
  <c r="V13" i="3"/>
  <c r="W13" i="3" s="1"/>
  <c r="V23" i="3"/>
  <c r="W23" i="3" s="1"/>
  <c r="V42" i="3"/>
  <c r="W42" i="3" s="1"/>
  <c r="V47" i="3"/>
  <c r="W47" i="3" s="1"/>
  <c r="D43" i="7"/>
  <c r="D9" i="2"/>
  <c r="D33" i="7"/>
  <c r="D17" i="20"/>
  <c r="D24" i="20" s="1"/>
  <c r="E33" i="20" s="1"/>
  <c r="D35" i="7"/>
  <c r="T32" i="17"/>
  <c r="T58" i="17" s="1"/>
  <c r="T21" i="17"/>
  <c r="X42" i="15"/>
  <c r="X69" i="15" s="1"/>
  <c r="X36" i="15"/>
  <c r="X63" i="15" s="1"/>
  <c r="X40" i="15"/>
  <c r="X67" i="15" s="1"/>
  <c r="X38" i="15"/>
  <c r="X65" i="15" s="1"/>
  <c r="X45" i="15"/>
  <c r="X72" i="15" s="1"/>
  <c r="X37" i="15"/>
  <c r="X64" i="15" s="1"/>
  <c r="X23" i="13" s="1"/>
  <c r="X24" i="15"/>
  <c r="X39" i="15"/>
  <c r="X66" i="15" s="1"/>
  <c r="X31" i="15"/>
  <c r="X58" i="15" s="1"/>
  <c r="X9" i="15"/>
  <c r="X35" i="15"/>
  <c r="X62" i="15" s="1"/>
  <c r="T7" i="17"/>
  <c r="T8" i="17"/>
  <c r="T46" i="17"/>
  <c r="T72" i="17" s="1"/>
  <c r="T49" i="17"/>
  <c r="T75" i="17" s="1"/>
  <c r="T47" i="17"/>
  <c r="T73" i="17" s="1"/>
  <c r="T44" i="17"/>
  <c r="T70" i="17" s="1"/>
  <c r="T12" i="17"/>
  <c r="X18" i="15"/>
  <c r="X19" i="15"/>
  <c r="X11" i="15"/>
  <c r="X33" i="15"/>
  <c r="X60" i="15" s="1"/>
  <c r="X19" i="13" s="1"/>
  <c r="X21" i="15"/>
  <c r="X29" i="15"/>
  <c r="X56" i="15" s="1"/>
  <c r="X48" i="15"/>
  <c r="X75" i="15" s="1"/>
  <c r="X30" i="15"/>
  <c r="X57" i="15" s="1"/>
  <c r="X10" i="15"/>
  <c r="X12" i="15"/>
  <c r="X46" i="15"/>
  <c r="X73" i="15" s="1"/>
  <c r="X15" i="15"/>
  <c r="T39" i="17"/>
  <c r="T65" i="17" s="1"/>
  <c r="T36" i="17"/>
  <c r="T62" i="17" s="1"/>
  <c r="T9" i="17"/>
  <c r="T24" i="17"/>
  <c r="T15" i="17"/>
  <c r="T6" i="17"/>
  <c r="X20" i="15"/>
  <c r="X6" i="15"/>
  <c r="X14" i="15"/>
  <c r="X16" i="15"/>
  <c r="X7" i="15"/>
  <c r="X5" i="15"/>
  <c r="X32" i="15"/>
  <c r="X59" i="15" s="1"/>
  <c r="T37" i="17"/>
  <c r="T63" i="17" s="1"/>
  <c r="T45" i="17"/>
  <c r="T71" i="17" s="1"/>
  <c r="T11" i="17"/>
  <c r="T42" i="17"/>
  <c r="T68" i="17" s="1"/>
  <c r="X26" i="13" l="1"/>
  <c r="X18" i="13"/>
  <c r="X33" i="13"/>
  <c r="X16" i="13"/>
  <c r="X15" i="13"/>
  <c r="X25" i="13"/>
  <c r="X24" i="13"/>
  <c r="X20" i="13"/>
  <c r="X29" i="13"/>
  <c r="X21" i="13"/>
  <c r="X22" i="13"/>
  <c r="X30" i="13"/>
  <c r="X32" i="13"/>
  <c r="X34" i="13"/>
  <c r="D46" i="13" s="1"/>
  <c r="X17" i="13"/>
  <c r="X31" i="13"/>
  <c r="X28" i="13"/>
  <c r="X27" i="13"/>
  <c r="D44" i="2"/>
  <c r="X14" i="2"/>
  <c r="C7" i="5"/>
  <c r="C6" i="4"/>
  <c r="C6" i="3"/>
  <c r="D47" i="13" l="1"/>
  <c r="D49" i="13" s="1"/>
  <c r="D56" i="13"/>
  <c r="C15" i="3"/>
  <c r="C28" i="3" s="1"/>
  <c r="D26" i="2"/>
  <c r="C16" i="5"/>
  <c r="C29" i="5" s="1"/>
  <c r="C31" i="5" s="1"/>
  <c r="C15" i="4"/>
  <c r="C28" i="4" s="1"/>
  <c r="C30" i="4" s="1"/>
  <c r="D51" i="13" l="1"/>
  <c r="H49" i="4"/>
  <c r="I49" i="4" s="1"/>
  <c r="R49" i="4" s="1"/>
  <c r="H16" i="4"/>
  <c r="I16" i="4" s="1"/>
  <c r="R16" i="4" s="1"/>
  <c r="H48" i="4"/>
  <c r="I48" i="4" s="1"/>
  <c r="R48" i="4" s="1"/>
  <c r="H24" i="4"/>
  <c r="I24" i="4" s="1"/>
  <c r="R24" i="4" s="1"/>
  <c r="H21" i="4"/>
  <c r="I21" i="4" s="1"/>
  <c r="R21" i="4" s="1"/>
  <c r="H6" i="4"/>
  <c r="I6" i="4" s="1"/>
  <c r="R6" i="4" s="1"/>
  <c r="H37" i="4"/>
  <c r="I37" i="4" s="1"/>
  <c r="R37" i="4" s="1"/>
  <c r="H41" i="4"/>
  <c r="I41" i="4" s="1"/>
  <c r="R41" i="4" s="1"/>
  <c r="H42" i="4"/>
  <c r="I42" i="4" s="1"/>
  <c r="R42" i="4" s="1"/>
  <c r="H20" i="4"/>
  <c r="I20" i="4" s="1"/>
  <c r="R20" i="4" s="1"/>
  <c r="H38" i="4"/>
  <c r="I38" i="4" s="1"/>
  <c r="R38" i="4" s="1"/>
  <c r="H31" i="4"/>
  <c r="I31" i="4" s="1"/>
  <c r="R31" i="4" s="1"/>
  <c r="H43" i="4"/>
  <c r="I43" i="4" s="1"/>
  <c r="R43" i="4" s="1"/>
  <c r="H30" i="4"/>
  <c r="I30" i="4" s="1"/>
  <c r="R30" i="4" s="1"/>
  <c r="H22" i="4"/>
  <c r="I22" i="4" s="1"/>
  <c r="R22" i="4" s="1"/>
  <c r="H9" i="4"/>
  <c r="I9" i="4" s="1"/>
  <c r="R9" i="4" s="1"/>
  <c r="H35" i="4"/>
  <c r="I35" i="4" s="1"/>
  <c r="R35" i="4" s="1"/>
  <c r="H14" i="4"/>
  <c r="I14" i="4" s="1"/>
  <c r="R14" i="4" s="1"/>
  <c r="H44" i="4"/>
  <c r="I44" i="4" s="1"/>
  <c r="R44" i="4" s="1"/>
  <c r="H8" i="4"/>
  <c r="I8" i="4" s="1"/>
  <c r="R8" i="4" s="1"/>
  <c r="H32" i="4"/>
  <c r="I32" i="4" s="1"/>
  <c r="R32" i="4" s="1"/>
  <c r="H12" i="4"/>
  <c r="I12" i="4" s="1"/>
  <c r="R12" i="4" s="1"/>
  <c r="H15" i="4"/>
  <c r="I15" i="4" s="1"/>
  <c r="R15" i="4" s="1"/>
  <c r="H34" i="4"/>
  <c r="I34" i="4" s="1"/>
  <c r="R34" i="4" s="1"/>
  <c r="H46" i="4"/>
  <c r="I46" i="4" s="1"/>
  <c r="R46" i="4" s="1"/>
  <c r="H7" i="4"/>
  <c r="I7" i="4" s="1"/>
  <c r="R7" i="4" s="1"/>
  <c r="H36" i="4"/>
  <c r="I36" i="4" s="1"/>
  <c r="R36" i="4" s="1"/>
  <c r="H33" i="4"/>
  <c r="I33" i="4" s="1"/>
  <c r="R33" i="4" s="1"/>
  <c r="H45" i="4"/>
  <c r="I45" i="4" s="1"/>
  <c r="R45" i="4" s="1"/>
  <c r="H5" i="4"/>
  <c r="I5" i="4" s="1"/>
  <c r="R5" i="4" s="1"/>
  <c r="H18" i="4"/>
  <c r="I18" i="4" s="1"/>
  <c r="R18" i="4" s="1"/>
  <c r="H47" i="4"/>
  <c r="I47" i="4" s="1"/>
  <c r="R47" i="4" s="1"/>
  <c r="H11" i="4"/>
  <c r="I11" i="4" s="1"/>
  <c r="R11" i="4" s="1"/>
  <c r="H19" i="4"/>
  <c r="I19" i="4" s="1"/>
  <c r="R19" i="4" s="1"/>
  <c r="H17" i="4"/>
  <c r="I17" i="4" s="1"/>
  <c r="R17" i="4" s="1"/>
  <c r="H10" i="4"/>
  <c r="I10" i="4" s="1"/>
  <c r="R10" i="4" s="1"/>
  <c r="H23" i="4"/>
  <c r="I23" i="4" s="1"/>
  <c r="R23" i="4" s="1"/>
  <c r="H40" i="4"/>
  <c r="I40" i="4" s="1"/>
  <c r="R40" i="4" s="1"/>
  <c r="H13" i="4"/>
  <c r="I13" i="4" s="1"/>
  <c r="R13" i="4" s="1"/>
  <c r="H39" i="4"/>
  <c r="I39" i="4" s="1"/>
  <c r="R39" i="4" s="1"/>
  <c r="H40" i="5"/>
  <c r="I40" i="5" s="1"/>
  <c r="J37" i="5"/>
  <c r="K37" i="5" s="1"/>
  <c r="H31" i="5"/>
  <c r="I31" i="5" s="1"/>
  <c r="J43" i="5"/>
  <c r="K43" i="5" s="1"/>
  <c r="J30" i="5"/>
  <c r="K30" i="5" s="1"/>
  <c r="J6" i="5"/>
  <c r="K6" i="5" s="1"/>
  <c r="H15" i="5"/>
  <c r="I15" i="5" s="1"/>
  <c r="J17" i="5"/>
  <c r="K17" i="5" s="1"/>
  <c r="J10" i="5"/>
  <c r="K10" i="5" s="1"/>
  <c r="J33" i="5"/>
  <c r="K33" i="5" s="1"/>
  <c r="H33" i="5"/>
  <c r="I33" i="5" s="1"/>
  <c r="J11" i="5"/>
  <c r="K11" i="5" s="1"/>
  <c r="H8" i="5"/>
  <c r="I8" i="5" s="1"/>
  <c r="H14" i="5"/>
  <c r="I14" i="5" s="1"/>
  <c r="H18" i="5"/>
  <c r="I18" i="5" s="1"/>
  <c r="J36" i="5"/>
  <c r="K36" i="5" s="1"/>
  <c r="J23" i="5"/>
  <c r="K23" i="5" s="1"/>
  <c r="H9" i="5"/>
  <c r="I9" i="5" s="1"/>
  <c r="H17" i="5"/>
  <c r="I17" i="5" s="1"/>
  <c r="J47" i="5"/>
  <c r="K47" i="5" s="1"/>
  <c r="H47" i="5"/>
  <c r="I47" i="5" s="1"/>
  <c r="H43" i="5"/>
  <c r="I43" i="5" s="1"/>
  <c r="H7" i="5"/>
  <c r="I7" i="5" s="1"/>
  <c r="J22" i="5"/>
  <c r="K22" i="5" s="1"/>
  <c r="J19" i="5"/>
  <c r="K19" i="5" s="1"/>
  <c r="J34" i="5"/>
  <c r="K34" i="5" s="1"/>
  <c r="J38" i="5"/>
  <c r="K38" i="5" s="1"/>
  <c r="J35" i="5"/>
  <c r="K35" i="5" s="1"/>
  <c r="H36" i="5"/>
  <c r="I36" i="5" s="1"/>
  <c r="H11" i="5"/>
  <c r="I11" i="5" s="1"/>
  <c r="H49" i="5"/>
  <c r="I49" i="5" s="1"/>
  <c r="H25" i="5"/>
  <c r="I25" i="5" s="1"/>
  <c r="H13" i="5"/>
  <c r="I13" i="5" s="1"/>
  <c r="J18" i="5"/>
  <c r="K18" i="5" s="1"/>
  <c r="H42" i="5"/>
  <c r="I42" i="5" s="1"/>
  <c r="H38" i="5"/>
  <c r="I38" i="5" s="1"/>
  <c r="J9" i="5"/>
  <c r="K9" i="5" s="1"/>
  <c r="H44" i="5"/>
  <c r="I44" i="5" s="1"/>
  <c r="H32" i="5"/>
  <c r="I32" i="5" s="1"/>
  <c r="H20" i="5"/>
  <c r="I20" i="5" s="1"/>
  <c r="J45" i="5"/>
  <c r="K45" i="5" s="1"/>
  <c r="H24" i="5"/>
  <c r="I24" i="5" s="1"/>
  <c r="J21" i="5"/>
  <c r="K21" i="5" s="1"/>
  <c r="J8" i="5"/>
  <c r="K8" i="5" s="1"/>
  <c r="H48" i="5"/>
  <c r="I48" i="5" s="1"/>
  <c r="J48" i="5"/>
  <c r="K48" i="5" s="1"/>
  <c r="H21" i="5"/>
  <c r="I21" i="5" s="1"/>
  <c r="H6" i="5"/>
  <c r="I6" i="5" s="1"/>
  <c r="H35" i="5"/>
  <c r="I35" i="5" s="1"/>
  <c r="J49" i="5"/>
  <c r="K49" i="5" s="1"/>
  <c r="H12" i="5"/>
  <c r="I12" i="5" s="1"/>
  <c r="H10" i="5"/>
  <c r="I10" i="5" s="1"/>
  <c r="J14" i="5"/>
  <c r="K14" i="5" s="1"/>
  <c r="H23" i="5"/>
  <c r="I23" i="5" s="1"/>
  <c r="H34" i="5"/>
  <c r="I34" i="5" s="1"/>
  <c r="J42" i="5"/>
  <c r="K42" i="5" s="1"/>
  <c r="J41" i="5"/>
  <c r="K41" i="5" s="1"/>
  <c r="J16" i="5"/>
  <c r="K16" i="5" s="1"/>
  <c r="H45" i="5"/>
  <c r="I45" i="5" s="1"/>
  <c r="J7" i="5"/>
  <c r="K7" i="5" s="1"/>
  <c r="J24" i="5"/>
  <c r="K24" i="5" s="1"/>
  <c r="J31" i="5"/>
  <c r="K31" i="5" s="1"/>
  <c r="H46" i="5"/>
  <c r="I46" i="5" s="1"/>
  <c r="J15" i="5"/>
  <c r="K15" i="5" s="1"/>
  <c r="J46" i="5"/>
  <c r="K46" i="5" s="1"/>
  <c r="J40" i="5"/>
  <c r="K40" i="5" s="1"/>
  <c r="H16" i="5"/>
  <c r="I16" i="5" s="1"/>
  <c r="H39" i="5"/>
  <c r="I39" i="5" s="1"/>
  <c r="H19" i="5"/>
  <c r="I19" i="5" s="1"/>
  <c r="J32" i="5"/>
  <c r="K32" i="5" s="1"/>
  <c r="H22" i="5"/>
  <c r="I22" i="5" s="1"/>
  <c r="J12" i="5"/>
  <c r="K12" i="5" s="1"/>
  <c r="J13" i="5"/>
  <c r="K13" i="5" s="1"/>
  <c r="J44" i="5"/>
  <c r="K44" i="5" s="1"/>
  <c r="J39" i="5"/>
  <c r="K39" i="5" s="1"/>
  <c r="H30" i="5"/>
  <c r="I30" i="5" s="1"/>
  <c r="J25" i="5"/>
  <c r="K25" i="5" s="1"/>
  <c r="H41" i="5"/>
  <c r="I41" i="5" s="1"/>
  <c r="J20" i="5"/>
  <c r="K20" i="5" s="1"/>
  <c r="H37" i="5"/>
  <c r="I37" i="5" s="1"/>
  <c r="D41" i="2"/>
  <c r="C30" i="3"/>
  <c r="T19" i="5" l="1"/>
  <c r="T37" i="5"/>
  <c r="T6" i="5"/>
  <c r="T39" i="5"/>
  <c r="T20" i="5"/>
  <c r="T38" i="5"/>
  <c r="T30" i="5"/>
  <c r="T25" i="5"/>
  <c r="T10" i="5"/>
  <c r="T45" i="5"/>
  <c r="T41" i="5"/>
  <c r="T23" i="5"/>
  <c r="T16" i="5"/>
  <c r="T46" i="5"/>
  <c r="T34" i="5"/>
  <c r="T32" i="5"/>
  <c r="T49" i="5"/>
  <c r="T18" i="5"/>
  <c r="T33" i="5"/>
  <c r="T31" i="5"/>
  <c r="T48" i="5"/>
  <c r="T21" i="5"/>
  <c r="T7" i="5"/>
  <c r="T17" i="5"/>
  <c r="D45" i="2"/>
  <c r="H21" i="3"/>
  <c r="I21" i="3" s="1"/>
  <c r="N43" i="3"/>
  <c r="O43" i="3" s="1"/>
  <c r="J13" i="3"/>
  <c r="K13" i="3" s="1"/>
  <c r="L38" i="3"/>
  <c r="M38" i="3" s="1"/>
  <c r="H12" i="3"/>
  <c r="I12" i="3" s="1"/>
  <c r="L31" i="3"/>
  <c r="M31" i="3" s="1"/>
  <c r="H30" i="3"/>
  <c r="I30" i="3" s="1"/>
  <c r="N5" i="3"/>
  <c r="O5" i="3" s="1"/>
  <c r="L5" i="3"/>
  <c r="M5" i="3" s="1"/>
  <c r="L33" i="3"/>
  <c r="M33" i="3" s="1"/>
  <c r="J20" i="3"/>
  <c r="K20" i="3" s="1"/>
  <c r="L9" i="3"/>
  <c r="M9" i="3" s="1"/>
  <c r="H32" i="3"/>
  <c r="I32" i="3" s="1"/>
  <c r="L22" i="3"/>
  <c r="M22" i="3" s="1"/>
  <c r="J9" i="3"/>
  <c r="K9" i="3" s="1"/>
  <c r="J19" i="3"/>
  <c r="K19" i="3" s="1"/>
  <c r="J18" i="3"/>
  <c r="K18" i="3" s="1"/>
  <c r="L11" i="3"/>
  <c r="M11" i="3" s="1"/>
  <c r="H18" i="3"/>
  <c r="I18" i="3" s="1"/>
  <c r="J24" i="3"/>
  <c r="K24" i="3" s="1"/>
  <c r="L30" i="3"/>
  <c r="M30" i="3" s="1"/>
  <c r="N36" i="3"/>
  <c r="O36" i="3" s="1"/>
  <c r="H6" i="3"/>
  <c r="I6" i="3" s="1"/>
  <c r="L18" i="3"/>
  <c r="M18" i="3" s="1"/>
  <c r="N39" i="3"/>
  <c r="O39" i="3" s="1"/>
  <c r="J30" i="3"/>
  <c r="K30" i="3" s="1"/>
  <c r="H36" i="3"/>
  <c r="I36" i="3" s="1"/>
  <c r="H43" i="3"/>
  <c r="I43" i="3" s="1"/>
  <c r="H31" i="3"/>
  <c r="I31" i="3" s="1"/>
  <c r="N18" i="3"/>
  <c r="O18" i="3" s="1"/>
  <c r="L23" i="3"/>
  <c r="M23" i="3" s="1"/>
  <c r="J16" i="3"/>
  <c r="K16" i="3" s="1"/>
  <c r="H46" i="3"/>
  <c r="I46" i="3" s="1"/>
  <c r="H13" i="3"/>
  <c r="I13" i="3" s="1"/>
  <c r="J31" i="3"/>
  <c r="K31" i="3" s="1"/>
  <c r="N13" i="3"/>
  <c r="O13" i="3" s="1"/>
  <c r="N47" i="3"/>
  <c r="O47" i="3" s="1"/>
  <c r="H39" i="3"/>
  <c r="I39" i="3" s="1"/>
  <c r="N8" i="3"/>
  <c r="O8" i="3" s="1"/>
  <c r="N29" i="3"/>
  <c r="O29" i="3" s="1"/>
  <c r="H14" i="3"/>
  <c r="I14" i="3" s="1"/>
  <c r="H9" i="3"/>
  <c r="I9" i="3" s="1"/>
  <c r="L7" i="3"/>
  <c r="M7" i="3" s="1"/>
  <c r="J10" i="3"/>
  <c r="K10" i="3" s="1"/>
  <c r="N12" i="3"/>
  <c r="O12" i="3" s="1"/>
  <c r="J8" i="3"/>
  <c r="K8" i="3" s="1"/>
  <c r="N6" i="3"/>
  <c r="O6" i="3" s="1"/>
  <c r="H10" i="3"/>
  <c r="I10" i="3" s="1"/>
  <c r="N30" i="3"/>
  <c r="O30" i="3" s="1"/>
  <c r="N21" i="3"/>
  <c r="O21" i="3" s="1"/>
  <c r="H44" i="3"/>
  <c r="I44" i="3" s="1"/>
  <c r="J34" i="3"/>
  <c r="K34" i="3" s="1"/>
  <c r="H35" i="3"/>
  <c r="I35" i="3" s="1"/>
  <c r="J38" i="3"/>
  <c r="K38" i="3" s="1"/>
  <c r="J32" i="3"/>
  <c r="K32" i="3" s="1"/>
  <c r="H8" i="3"/>
  <c r="I8" i="3" s="1"/>
  <c r="N35" i="3"/>
  <c r="O35" i="3" s="1"/>
  <c r="H19" i="3"/>
  <c r="I19" i="3" s="1"/>
  <c r="L32" i="3"/>
  <c r="M32" i="3" s="1"/>
  <c r="J12" i="3"/>
  <c r="K12" i="3" s="1"/>
  <c r="L41" i="3"/>
  <c r="M41" i="3" s="1"/>
  <c r="L10" i="3"/>
  <c r="M10" i="3" s="1"/>
  <c r="N22" i="3"/>
  <c r="O22" i="3" s="1"/>
  <c r="H16" i="3"/>
  <c r="I16" i="3" s="1"/>
  <c r="H33" i="3"/>
  <c r="I33" i="3" s="1"/>
  <c r="L21" i="3"/>
  <c r="M21" i="3" s="1"/>
  <c r="L42" i="3"/>
  <c r="M42" i="3" s="1"/>
  <c r="N31" i="3"/>
  <c r="O31" i="3" s="1"/>
  <c r="N14" i="3"/>
  <c r="O14" i="3" s="1"/>
  <c r="L16" i="3"/>
  <c r="M16" i="3" s="1"/>
  <c r="L15" i="3"/>
  <c r="M15" i="3" s="1"/>
  <c r="N20" i="3"/>
  <c r="O20" i="3" s="1"/>
  <c r="H17" i="3"/>
  <c r="I17" i="3" s="1"/>
  <c r="L14" i="3"/>
  <c r="M14" i="3" s="1"/>
  <c r="J33" i="3"/>
  <c r="K33" i="3" s="1"/>
  <c r="H34" i="3"/>
  <c r="I34" i="3" s="1"/>
  <c r="H22" i="3"/>
  <c r="I22" i="3" s="1"/>
  <c r="J36" i="3"/>
  <c r="K36" i="3" s="1"/>
  <c r="L34" i="3"/>
  <c r="M34" i="3" s="1"/>
  <c r="J21" i="3"/>
  <c r="K21" i="3" s="1"/>
  <c r="H42" i="3"/>
  <c r="I42" i="3" s="1"/>
  <c r="N41" i="3"/>
  <c r="O41" i="3" s="1"/>
  <c r="L13" i="3"/>
  <c r="M13" i="3" s="1"/>
  <c r="L44" i="3"/>
  <c r="M44" i="3" s="1"/>
  <c r="J39" i="3"/>
  <c r="K39" i="3" s="1"/>
  <c r="J14" i="3"/>
  <c r="K14" i="3" s="1"/>
  <c r="H37" i="3"/>
  <c r="I37" i="3" s="1"/>
  <c r="J23" i="3"/>
  <c r="K23" i="3" s="1"/>
  <c r="L20" i="3"/>
  <c r="M20" i="3" s="1"/>
  <c r="J46" i="3"/>
  <c r="K46" i="3" s="1"/>
  <c r="N38" i="3"/>
  <c r="O38" i="3" s="1"/>
  <c r="H7" i="3"/>
  <c r="I7" i="3" s="1"/>
  <c r="J40" i="3"/>
  <c r="K40" i="3" s="1"/>
  <c r="J41" i="3"/>
  <c r="K41" i="3" s="1"/>
  <c r="L19" i="3"/>
  <c r="M19" i="3" s="1"/>
  <c r="J5" i="3"/>
  <c r="K5" i="3" s="1"/>
  <c r="L35" i="3"/>
  <c r="M35" i="3" s="1"/>
  <c r="N24" i="3"/>
  <c r="O24" i="3" s="1"/>
  <c r="J44" i="3"/>
  <c r="K44" i="3" s="1"/>
  <c r="J35" i="3"/>
  <c r="K35" i="3" s="1"/>
  <c r="J11" i="3"/>
  <c r="K11" i="3" s="1"/>
  <c r="L43" i="3"/>
  <c r="M43" i="3" s="1"/>
  <c r="J42" i="3"/>
  <c r="K42" i="3" s="1"/>
  <c r="N42" i="3"/>
  <c r="O42" i="3" s="1"/>
  <c r="N16" i="3"/>
  <c r="O16" i="3" s="1"/>
  <c r="L45" i="3"/>
  <c r="M45" i="3" s="1"/>
  <c r="N17" i="3"/>
  <c r="O17" i="3" s="1"/>
  <c r="L24" i="3"/>
  <c r="M24" i="3" s="1"/>
  <c r="H41" i="3"/>
  <c r="I41" i="3" s="1"/>
  <c r="N45" i="3"/>
  <c r="O45" i="3" s="1"/>
  <c r="H38" i="3"/>
  <c r="I38" i="3" s="1"/>
  <c r="J22" i="3"/>
  <c r="K22" i="3" s="1"/>
  <c r="N46" i="3"/>
  <c r="O46" i="3" s="1"/>
  <c r="H15" i="3"/>
  <c r="I15" i="3" s="1"/>
  <c r="N23" i="3"/>
  <c r="O23" i="3" s="1"/>
  <c r="H40" i="3"/>
  <c r="I40" i="3" s="1"/>
  <c r="J6" i="3"/>
  <c r="K6" i="3" s="1"/>
  <c r="H23" i="3"/>
  <c r="I23" i="3" s="1"/>
  <c r="L37" i="3"/>
  <c r="M37" i="3" s="1"/>
  <c r="N33" i="3"/>
  <c r="O33" i="3" s="1"/>
  <c r="H24" i="3"/>
  <c r="I24" i="3" s="1"/>
  <c r="L36" i="3"/>
  <c r="M36" i="3" s="1"/>
  <c r="J17" i="3"/>
  <c r="K17" i="3" s="1"/>
  <c r="L17" i="3"/>
  <c r="M17" i="3" s="1"/>
  <c r="J48" i="3"/>
  <c r="K48" i="3" s="1"/>
  <c r="L47" i="3"/>
  <c r="M47" i="3" s="1"/>
  <c r="N32" i="3"/>
  <c r="O32" i="3" s="1"/>
  <c r="J45" i="3"/>
  <c r="K45" i="3" s="1"/>
  <c r="J37" i="3"/>
  <c r="K37" i="3" s="1"/>
  <c r="J47" i="3"/>
  <c r="K47" i="3" s="1"/>
  <c r="N48" i="3"/>
  <c r="O48" i="3" s="1"/>
  <c r="L46" i="3"/>
  <c r="M46" i="3" s="1"/>
  <c r="H47" i="3"/>
  <c r="I47" i="3" s="1"/>
  <c r="L6" i="3"/>
  <c r="M6" i="3" s="1"/>
  <c r="N37" i="3"/>
  <c r="O37" i="3" s="1"/>
  <c r="J15" i="3"/>
  <c r="K15" i="3" s="1"/>
  <c r="L40" i="3"/>
  <c r="M40" i="3" s="1"/>
  <c r="L29" i="3"/>
  <c r="M29" i="3" s="1"/>
  <c r="N15" i="3"/>
  <c r="O15" i="3" s="1"/>
  <c r="N9" i="3"/>
  <c r="O9" i="3" s="1"/>
  <c r="N19" i="3"/>
  <c r="O19" i="3" s="1"/>
  <c r="N34" i="3"/>
  <c r="O34" i="3" s="1"/>
  <c r="H29" i="3"/>
  <c r="I29" i="3" s="1"/>
  <c r="L48" i="3"/>
  <c r="M48" i="3" s="1"/>
  <c r="N44" i="3"/>
  <c r="O44" i="3" s="1"/>
  <c r="L39" i="3"/>
  <c r="M39" i="3" s="1"/>
  <c r="N11" i="3"/>
  <c r="O11" i="3" s="1"/>
  <c r="H11" i="3"/>
  <c r="I11" i="3" s="1"/>
  <c r="L12" i="3"/>
  <c r="M12" i="3" s="1"/>
  <c r="N10" i="3"/>
  <c r="O10" i="3" s="1"/>
  <c r="H48" i="3"/>
  <c r="I48" i="3" s="1"/>
  <c r="J29" i="3"/>
  <c r="K29" i="3" s="1"/>
  <c r="H5" i="3"/>
  <c r="I5" i="3" s="1"/>
  <c r="L8" i="3"/>
  <c r="M8" i="3" s="1"/>
  <c r="J43" i="3"/>
  <c r="K43" i="3" s="1"/>
  <c r="H20" i="3"/>
  <c r="I20" i="3" s="1"/>
  <c r="N7" i="3"/>
  <c r="O7" i="3" s="1"/>
  <c r="J7" i="3"/>
  <c r="K7" i="3" s="1"/>
  <c r="H45" i="3"/>
  <c r="I45" i="3" s="1"/>
  <c r="N40" i="3"/>
  <c r="O40" i="3" s="1"/>
  <c r="T24" i="5"/>
  <c r="T44" i="5"/>
  <c r="T11" i="5"/>
  <c r="T43" i="5"/>
  <c r="T9" i="5"/>
  <c r="T14" i="5"/>
  <c r="T22" i="5"/>
  <c r="T12" i="5"/>
  <c r="T42" i="5"/>
  <c r="T15" i="5"/>
  <c r="T35" i="5"/>
  <c r="T13" i="5"/>
  <c r="T36" i="5"/>
  <c r="T47" i="5"/>
  <c r="T8" i="5"/>
  <c r="T40" i="5"/>
  <c r="X36" i="3" l="1"/>
  <c r="W22" i="2" s="1"/>
  <c r="X22" i="2" s="1"/>
  <c r="X20" i="3"/>
  <c r="X11" i="3"/>
  <c r="X33" i="3"/>
  <c r="W19" i="2" s="1"/>
  <c r="X19" i="2" s="1"/>
  <c r="X22" i="3"/>
  <c r="X34" i="3"/>
  <c r="W20" i="2" s="1"/>
  <c r="E39" i="20" s="1"/>
  <c r="X13" i="3"/>
  <c r="X43" i="3"/>
  <c r="W29" i="2" s="1"/>
  <c r="E48" i="20" s="1"/>
  <c r="X10" i="3"/>
  <c r="X48" i="3"/>
  <c r="X32" i="3"/>
  <c r="W18" i="2" s="1"/>
  <c r="X44" i="3"/>
  <c r="W30" i="2" s="1"/>
  <c r="X7" i="3"/>
  <c r="X6" i="3"/>
  <c r="X16" i="3"/>
  <c r="X29" i="3"/>
  <c r="W15" i="2" s="1"/>
  <c r="X38" i="3"/>
  <c r="W24" i="2" s="1"/>
  <c r="X15" i="3"/>
  <c r="X40" i="3"/>
  <c r="W26" i="2" s="1"/>
  <c r="X45" i="3"/>
  <c r="W31" i="2" s="1"/>
  <c r="X37" i="3"/>
  <c r="W23" i="2" s="1"/>
  <c r="X23" i="3"/>
  <c r="X19" i="3"/>
  <c r="X21" i="3"/>
  <c r="X8" i="3"/>
  <c r="X9" i="3"/>
  <c r="X39" i="3"/>
  <c r="W25" i="2" s="1"/>
  <c r="X18" i="3"/>
  <c r="X5" i="3"/>
  <c r="X24" i="3"/>
  <c r="X41" i="3"/>
  <c r="W27" i="2" s="1"/>
  <c r="X42" i="3"/>
  <c r="W28" i="2" s="1"/>
  <c r="X17" i="3"/>
  <c r="X35" i="3"/>
  <c r="W21" i="2" s="1"/>
  <c r="X30" i="3"/>
  <c r="W16" i="2" s="1"/>
  <c r="X14" i="3"/>
  <c r="X47" i="3"/>
  <c r="W33" i="2" s="1"/>
  <c r="X46" i="3"/>
  <c r="W32" i="2" s="1"/>
  <c r="X31" i="3"/>
  <c r="W17" i="2" s="1"/>
  <c r="X12" i="3"/>
  <c r="X20" i="2" l="1"/>
  <c r="E41" i="20"/>
  <c r="E38" i="20"/>
  <c r="X29" i="2"/>
  <c r="X28" i="2"/>
  <c r="E47" i="20"/>
  <c r="X15" i="2"/>
  <c r="E34" i="20"/>
  <c r="D46" i="2"/>
  <c r="W34" i="2"/>
  <c r="D55" i="2"/>
  <c r="E36" i="20"/>
  <c r="X17" i="2"/>
  <c r="X16" i="2"/>
  <c r="E35" i="20"/>
  <c r="X27" i="2"/>
  <c r="E46" i="20"/>
  <c r="E44" i="20"/>
  <c r="X25" i="2"/>
  <c r="X31" i="2"/>
  <c r="E50" i="20"/>
  <c r="E51" i="20"/>
  <c r="X32" i="2"/>
  <c r="E40" i="20"/>
  <c r="X21" i="2"/>
  <c r="E49" i="20"/>
  <c r="X30" i="2"/>
  <c r="X33" i="2"/>
  <c r="E52" i="20"/>
  <c r="X23" i="2"/>
  <c r="E42" i="20"/>
  <c r="E45" i="20"/>
  <c r="X26" i="2"/>
  <c r="X24" i="2"/>
  <c r="E43" i="20"/>
  <c r="E37" i="20"/>
  <c r="X18" i="2"/>
  <c r="E53" i="20" l="1"/>
  <c r="X34" i="2"/>
  <c r="D47" i="2"/>
  <c r="D19" i="20" s="1"/>
  <c r="D26" i="20" s="1"/>
  <c r="D52" i="2" l="1"/>
  <c r="D5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A35" authorId="0" shapeId="0" xr:uid="{00000000-0006-0000-0100-000001000000}">
      <text>
        <r>
          <rPr>
            <sz val="10"/>
            <color indexed="81"/>
            <rFont val="Tahoma"/>
            <family val="2"/>
          </rPr>
          <t>Target concentration will typically be the natural background concentration, a drinking water standard, environmental quality standard, or other relevant use-based standard for the particular pollutant.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Environment Agency</author>
    <author>Entec</author>
    <author>Alwyn Hart</author>
  </authors>
  <commentList>
    <comment ref="B13" authorId="0" shapeId="0" xr:uid="{00000000-0006-0000-0200-000001000000}">
      <text>
        <r>
          <rPr>
            <sz val="10"/>
            <color indexed="81"/>
            <rFont val="Tahoma"/>
            <family val="2"/>
          </rPr>
          <t xml:space="preserve">Water filled porosity can be determined from a moisture content measurement by multiplying the moisture content by the density of the soil:
</t>
        </r>
        <r>
          <rPr>
            <sz val="10"/>
            <color indexed="81"/>
            <rFont val="Symbol"/>
            <family val="1"/>
            <charset val="2"/>
          </rPr>
          <t>q</t>
        </r>
        <r>
          <rPr>
            <sz val="10"/>
            <color indexed="81"/>
            <rFont val="Tahoma"/>
            <family val="2"/>
          </rPr>
          <t xml:space="preserve">w = Mcontent * </t>
        </r>
        <r>
          <rPr>
            <sz val="10"/>
            <color indexed="81"/>
            <rFont val="Symbol"/>
            <family val="1"/>
            <charset val="2"/>
          </rPr>
          <t>r</t>
        </r>
        <r>
          <rPr>
            <sz val="10"/>
            <color indexed="81"/>
            <rFont val="Tahoma"/>
            <family val="2"/>
          </rPr>
          <t>soil</t>
        </r>
      </text>
    </comment>
    <comment ref="B16" authorId="1" shapeId="0" xr:uid="{00000000-0006-0000-0200-000002000000}">
      <text>
        <r>
          <rPr>
            <b/>
            <sz val="10"/>
            <color indexed="81"/>
            <rFont val="Tahoma"/>
            <family val="2"/>
          </rPr>
          <t>For non volatile compounds  Henry's Law Constant should be set at zero</t>
        </r>
        <r>
          <rPr>
            <sz val="8"/>
            <color indexed="81"/>
            <rFont val="Tahoma"/>
            <family val="2"/>
          </rPr>
          <t xml:space="preserve">
</t>
        </r>
      </text>
    </comment>
    <comment ref="B17" authorId="2" shapeId="0" xr:uid="{00000000-0006-0000-0200-000003000000}">
      <text>
        <r>
          <rPr>
            <sz val="10"/>
            <color indexed="81"/>
            <rFont val="Tahoma"/>
            <family val="2"/>
          </rPr>
          <t>Ensure appropriate Kd value is selected, taking account of soil pH and soil organic matter content.</t>
        </r>
      </text>
    </comment>
    <comment ref="B19" authorId="2" shapeId="0" xr:uid="{00000000-0006-0000-0200-000004000000}">
      <text>
        <r>
          <rPr>
            <sz val="10"/>
            <color indexed="81"/>
            <rFont val="Tahoma"/>
            <family val="2"/>
          </rPr>
          <t xml:space="preserve">Calculates Kd as:
Kd = Koc . foc
</t>
        </r>
      </text>
    </comment>
    <comment ref="B22" authorId="2" shapeId="0" xr:uid="{00000000-0006-0000-0200-000005000000}">
      <text>
        <r>
          <rPr>
            <sz val="10"/>
            <color indexed="81"/>
            <rFont val="Tahoma"/>
            <family val="2"/>
          </rPr>
          <t>Calculates Kd as:
Kd =foc.{ Koc,n(1 + 10</t>
        </r>
        <r>
          <rPr>
            <vertAlign val="superscript"/>
            <sz val="10"/>
            <color indexed="81"/>
            <rFont val="Tahoma"/>
            <family val="2"/>
          </rPr>
          <t>pH-pKa</t>
        </r>
        <r>
          <rPr>
            <sz val="10"/>
            <color indexed="81"/>
            <rFont val="Tahoma"/>
            <family val="2"/>
          </rPr>
          <t>)</t>
        </r>
        <r>
          <rPr>
            <vertAlign val="superscript"/>
            <sz val="10"/>
            <color indexed="81"/>
            <rFont val="Tahoma"/>
            <family val="2"/>
          </rPr>
          <t xml:space="preserve">-1 </t>
        </r>
        <r>
          <rPr>
            <sz val="10"/>
            <color indexed="81"/>
            <rFont val="Tahoma"/>
            <family val="2"/>
          </rPr>
          <t>+ Koc,i[1-(1 + 10</t>
        </r>
        <r>
          <rPr>
            <vertAlign val="superscript"/>
            <sz val="10"/>
            <color indexed="81"/>
            <rFont val="Tahoma"/>
            <family val="2"/>
          </rPr>
          <t>pH-pKa</t>
        </r>
        <r>
          <rPr>
            <sz val="10"/>
            <color indexed="81"/>
            <rFont val="Tahoma"/>
            <family val="2"/>
          </rPr>
          <t>)</t>
        </r>
        <r>
          <rPr>
            <vertAlign val="superscript"/>
            <sz val="10"/>
            <color indexed="81"/>
            <rFont val="Tahoma"/>
            <family val="2"/>
          </rPr>
          <t>-1</t>
        </r>
        <r>
          <rPr>
            <sz val="10"/>
            <color indexed="81"/>
            <rFont val="Tahoma"/>
            <family val="2"/>
          </rPr>
          <t>]}</t>
        </r>
      </text>
    </comment>
    <comment ref="B33" authorId="0" shapeId="0" xr:uid="{00000000-0006-0000-0200-000006000000}">
      <text>
        <r>
          <rPr>
            <sz val="10"/>
            <color indexed="81"/>
            <rFont val="Tahoma"/>
            <family val="2"/>
          </rPr>
          <t>Soil concentration, C</t>
        </r>
        <r>
          <rPr>
            <vertAlign val="subscript"/>
            <sz val="10"/>
            <color indexed="81"/>
            <rFont val="Tahoma"/>
            <family val="2"/>
          </rPr>
          <t>S</t>
        </r>
        <r>
          <rPr>
            <sz val="10"/>
            <color indexed="81"/>
            <rFont val="Tahoma"/>
            <family val="2"/>
          </rPr>
          <t>, calculated as:
C</t>
        </r>
        <r>
          <rPr>
            <vertAlign val="subscript"/>
            <sz val="10"/>
            <color indexed="81"/>
            <rFont val="Tahoma"/>
            <family val="2"/>
          </rPr>
          <t>S</t>
        </r>
        <r>
          <rPr>
            <sz val="10"/>
            <color indexed="81"/>
            <rFont val="Tahoma"/>
            <family val="2"/>
          </rPr>
          <t xml:space="preserve"> = C</t>
        </r>
        <r>
          <rPr>
            <vertAlign val="subscript"/>
            <sz val="10"/>
            <color indexed="81"/>
            <rFont val="Tahoma"/>
            <family val="2"/>
          </rPr>
          <t>T</t>
        </r>
        <r>
          <rPr>
            <sz val="10"/>
            <color indexed="81"/>
            <rFont val="Tahoma"/>
            <family val="2"/>
          </rPr>
          <t>. [Kd + (</t>
        </r>
        <r>
          <rPr>
            <sz val="10"/>
            <color indexed="81"/>
            <rFont val="Symbol"/>
            <family val="1"/>
            <charset val="2"/>
          </rPr>
          <t>q</t>
        </r>
        <r>
          <rPr>
            <sz val="10"/>
            <color indexed="81"/>
            <rFont val="Tahoma"/>
            <family val="2"/>
          </rPr>
          <t xml:space="preserve">w + </t>
        </r>
        <r>
          <rPr>
            <sz val="10"/>
            <color indexed="81"/>
            <rFont val="Symbol"/>
            <family val="1"/>
            <charset val="2"/>
          </rPr>
          <t>q</t>
        </r>
        <r>
          <rPr>
            <sz val="10"/>
            <color indexed="81"/>
            <rFont val="Tahoma"/>
            <family val="2"/>
          </rPr>
          <t xml:space="preserve">a.H) / </t>
        </r>
        <r>
          <rPr>
            <sz val="10"/>
            <color indexed="81"/>
            <rFont val="Symbol"/>
            <family val="1"/>
            <charset val="2"/>
          </rPr>
          <t>r</t>
        </r>
        <r>
          <rPr>
            <sz val="10"/>
            <color indexed="81"/>
            <rFont val="Tahoma"/>
            <family val="2"/>
          </rPr>
          <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Faherty</author>
  </authors>
  <commentList>
    <comment ref="B17" authorId="0" shapeId="0" xr:uid="{00000000-0006-0000-0300-000001000000}">
      <text>
        <r>
          <rPr>
            <sz val="10"/>
            <color indexed="81"/>
            <rFont val="Tahoma"/>
            <family val="2"/>
          </rPr>
          <t>Dilution Factor, DF, calculated as:
DF = [(k.i.Mz + L.Inf).C</t>
        </r>
        <r>
          <rPr>
            <vertAlign val="subscript"/>
            <sz val="10"/>
            <color indexed="81"/>
            <rFont val="Tahoma"/>
            <family val="2"/>
          </rPr>
          <t>T</t>
        </r>
        <r>
          <rPr>
            <sz val="10"/>
            <color indexed="81"/>
            <rFont val="Tahoma"/>
            <family val="2"/>
          </rPr>
          <t xml:space="preserve"> - (k.i.Mz.C</t>
        </r>
        <r>
          <rPr>
            <vertAlign val="subscript"/>
            <sz val="10"/>
            <color indexed="81"/>
            <rFont val="Tahoma"/>
            <family val="2"/>
          </rPr>
          <t>U</t>
        </r>
        <r>
          <rPr>
            <sz val="10"/>
            <color indexed="81"/>
            <rFont val="Tahoma"/>
            <family val="2"/>
          </rPr>
          <t>)] / L.Inf.C</t>
        </r>
        <r>
          <rPr>
            <vertAlign val="subscript"/>
            <sz val="10"/>
            <color indexed="81"/>
            <rFont val="Tahoma"/>
            <family val="2"/>
          </rPr>
          <t>T</t>
        </r>
      </text>
    </comment>
    <comment ref="B22" authorId="1" shapeId="0" xr:uid="{00000000-0006-0000-0300-000002000000}">
      <text>
        <r>
          <rPr>
            <b/>
            <sz val="10"/>
            <color indexed="81"/>
            <rFont val="Tahoma"/>
            <family val="2"/>
          </rPr>
          <t>Width of contaminant source does not affect dilution factor, but is used as width of plume in Tier 3</t>
        </r>
        <r>
          <rPr>
            <sz val="8"/>
            <color indexed="81"/>
            <rFont val="Tahoma"/>
            <family val="2"/>
          </rPr>
          <t xml:space="preserve">
</t>
        </r>
      </text>
    </comment>
    <comment ref="B39" authorId="2" shapeId="0" xr:uid="{00000000-0006-0000-0300-000003000000}">
      <text>
        <r>
          <rPr>
            <sz val="10"/>
            <color indexed="81"/>
            <rFont val="Tahoma"/>
            <family val="2"/>
          </rPr>
          <t>The 'target' calculations, above, derive a 'Dilution Factor' that is the ratio of the source and target concentrations, and then uses the target concentration to calculate Remedial Target (LTC2).   These 'Additional option' calculations predict a target concentration for a given source concentration.</t>
        </r>
        <r>
          <rPr>
            <sz val="8"/>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Entec</author>
    <author>Default</author>
    <author>Alwyn Hart</author>
    <author>Environment Agency</author>
  </authors>
  <commentList>
    <comment ref="J5" authorId="0" shapeId="0" xr:uid="{00000000-0006-0000-0400-000001000000}">
      <text>
        <r>
          <rPr>
            <b/>
            <sz val="8"/>
            <color indexed="81"/>
            <rFont val="Tahoma"/>
            <family val="2"/>
          </rPr>
          <t>Ensure appropriate Kd value is selected, taking account of aquifer pH and aquifer organic matter content.
Calculates Kd as:
Kd = Koc . Foc
Calculates Kd as:
Kd = foc . (Koc,n(1 + 10pH-pKa)-1 + Koc,i[1-(1 + 10pH-pKa)-1])</t>
        </r>
        <r>
          <rPr>
            <sz val="8"/>
            <color indexed="81"/>
            <rFont val="Tahoma"/>
            <family val="2"/>
          </rPr>
          <t xml:space="preserve">
</t>
        </r>
      </text>
    </comment>
    <comment ref="B15" authorId="0" shapeId="0" xr:uid="{00000000-0006-0000-04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18" authorId="0" shapeId="0" xr:uid="{00000000-0006-0000-0400-000003000000}">
      <text>
        <r>
          <rPr>
            <b/>
            <sz val="10"/>
            <color indexed="81"/>
            <rFont val="Tahoma"/>
            <family val="2"/>
          </rPr>
          <t>The source concentration can be defined as:
- soil leaching test concentration (mg/l)
OR
- soil concentration (mg/kg) in which case a soil leachate concentration is calculated;
OR
- source concentration assumed to be unity and concentrations are calculated as a relative concentration.</t>
        </r>
      </text>
    </comment>
    <comment ref="B20" authorId="1" shapeId="0" xr:uid="{00000000-0006-0000-0400-000004000000}">
      <text>
        <r>
          <rPr>
            <sz val="10"/>
            <color indexed="81"/>
            <rFont val="Tahoma"/>
            <family val="2"/>
          </rPr>
          <t>Half-life of contaminant in days (assumed to be a first order decay rate). If contaminant does not degrade, enter a very large number e.g. 9E+99</t>
        </r>
      </text>
    </comment>
    <comment ref="B21" authorId="2" shapeId="0" xr:uid="{00000000-0006-0000-0400-000005000000}">
      <text>
        <r>
          <rPr>
            <sz val="10"/>
            <color indexed="81"/>
            <rFont val="Arial"/>
            <family val="2"/>
          </rPr>
          <t xml:space="preserve">First order decay rate:
</t>
        </r>
        <r>
          <rPr>
            <sz val="10"/>
            <color indexed="81"/>
            <rFont val="Symbol"/>
            <family val="1"/>
            <charset val="2"/>
          </rPr>
          <t>l</t>
        </r>
        <r>
          <rPr>
            <sz val="10"/>
            <color indexed="81"/>
            <rFont val="Arial"/>
            <family val="2"/>
          </rPr>
          <t xml:space="preserve"> = 0.693 / t</t>
        </r>
        <r>
          <rPr>
            <vertAlign val="subscript"/>
            <sz val="10"/>
            <color indexed="81"/>
            <rFont val="Arial"/>
            <family val="2"/>
          </rPr>
          <t xml:space="preserve">1/2
</t>
        </r>
        <r>
          <rPr>
            <sz val="10"/>
            <color indexed="81"/>
            <rFont val="Arial"/>
            <family val="2"/>
          </rPr>
          <t xml:space="preserve">Note: This will subsequently be modified to </t>
        </r>
        <r>
          <rPr>
            <sz val="10"/>
            <color indexed="81"/>
            <rFont val="Symbol"/>
            <family val="1"/>
            <charset val="2"/>
          </rPr>
          <t>l</t>
        </r>
        <r>
          <rPr>
            <sz val="10"/>
            <color indexed="81"/>
            <rFont val="Arial"/>
            <family val="2"/>
          </rPr>
          <t>/R if biodegradation is being modelled to account for the fact the biodegradation takes place in the dissolved phase,but not sorbed.</t>
        </r>
      </text>
    </comment>
    <comment ref="B22" authorId="0" shapeId="0" xr:uid="{00000000-0006-0000-0400-000006000000}">
      <text>
        <r>
          <rPr>
            <b/>
            <sz val="10"/>
            <color indexed="81"/>
            <rFont val="Tahoma"/>
            <family val="2"/>
          </rPr>
          <t>Width of plume carried forwards from Tier 2 and is set as width of contamiant source</t>
        </r>
        <r>
          <rPr>
            <sz val="8"/>
            <color indexed="81"/>
            <rFont val="Tahoma"/>
            <family val="2"/>
          </rPr>
          <t xml:space="preserve">
</t>
        </r>
      </text>
    </comment>
    <comment ref="B23" authorId="0" shapeId="0" xr:uid="{00000000-0006-0000-0400-000007000000}">
      <text>
        <r>
          <rPr>
            <b/>
            <sz val="10"/>
            <color indexed="81"/>
            <rFont val="Tahoma"/>
            <family val="2"/>
          </rPr>
          <t>Plume thickness set as mixing thickness from Tier 2</t>
        </r>
        <r>
          <rPr>
            <b/>
            <sz val="8"/>
            <color indexed="81"/>
            <rFont val="Tahoma"/>
            <family val="2"/>
          </rPr>
          <t xml:space="preserve">
</t>
        </r>
        <r>
          <rPr>
            <sz val="8"/>
            <color indexed="81"/>
            <rFont val="Tahoma"/>
            <family val="2"/>
          </rPr>
          <t xml:space="preserve">
</t>
        </r>
      </text>
    </comment>
    <comment ref="B26" authorId="0" shapeId="0" xr:uid="{00000000-0006-0000-0400-000008000000}">
      <text>
        <r>
          <rPr>
            <b/>
            <sz val="8"/>
            <color indexed="81"/>
            <rFont val="Tahoma"/>
            <family val="2"/>
          </rPr>
          <t xml:space="preserve">Hydraulic gradient reclaculated from Tier 2 to include infiltration over site
</t>
        </r>
        <r>
          <rPr>
            <sz val="8"/>
            <color indexed="81"/>
            <rFont val="Tahoma"/>
            <family val="2"/>
          </rPr>
          <t xml:space="preserve">
</t>
        </r>
      </text>
    </comment>
    <comment ref="B27" authorId="0" shapeId="0" xr:uid="{00000000-0006-0000-0400-000009000000}">
      <text>
        <r>
          <rPr>
            <b/>
            <sz val="10"/>
            <color indexed="81"/>
            <rFont val="Tahoma"/>
            <family val="2"/>
          </rPr>
          <t>Hydraulic conductivity carried forward from Tier 2</t>
        </r>
        <r>
          <rPr>
            <b/>
            <sz val="8"/>
            <color indexed="81"/>
            <rFont val="Tahoma"/>
            <family val="2"/>
          </rPr>
          <t xml:space="preserve">
</t>
        </r>
        <r>
          <rPr>
            <sz val="8"/>
            <color indexed="81"/>
            <rFont val="Tahoma"/>
            <family val="2"/>
          </rPr>
          <t xml:space="preserve">
</t>
        </r>
      </text>
    </comment>
    <comment ref="B29" authorId="1" shapeId="0" xr:uid="{00000000-0006-0000-0400-00000A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0" authorId="1" shapeId="0" xr:uid="{00000000-0006-0000-0400-00000B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1" authorId="1" shapeId="0" xr:uid="{00000000-0006-0000-0400-00000C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3" authorId="3" shapeId="0" xr:uid="{00000000-0006-0000-0400-00000D000000}">
      <text>
        <r>
          <rPr>
            <sz val="9"/>
            <color indexed="81"/>
            <rFont val="Tahoma"/>
            <family val="2"/>
          </rPr>
          <t xml:space="preserve">If biodegradation rate for the contaminant in water (no solid material present) is selected, the degradation rate used is </t>
        </r>
        <r>
          <rPr>
            <sz val="9"/>
            <color indexed="81"/>
            <rFont val="Symbol"/>
            <family val="1"/>
            <charset val="2"/>
          </rPr>
          <t>l</t>
        </r>
        <r>
          <rPr>
            <sz val="9"/>
            <color indexed="81"/>
            <rFont val="Tahoma"/>
            <family val="2"/>
          </rPr>
          <t>/Rf</t>
        </r>
      </text>
    </comment>
    <comment ref="B44" authorId="3" shapeId="0" xr:uid="{00000000-0006-0000-0400-00000E000000}">
      <text>
        <r>
          <rPr>
            <sz val="10"/>
            <color indexed="81"/>
            <rFont val="Tahoma"/>
            <family val="2"/>
          </rPr>
          <t>If dilution within the underlying aquifer is selected at Tier 2, a corrected hydraulic gradient is applied at tier 3 to ensure mass balance as follows:
i</t>
        </r>
        <r>
          <rPr>
            <vertAlign val="subscript"/>
            <sz val="10"/>
            <color indexed="81"/>
            <rFont val="Tahoma"/>
            <family val="2"/>
          </rPr>
          <t>tier3</t>
        </r>
        <r>
          <rPr>
            <sz val="10"/>
            <color indexed="81"/>
            <rFont val="Tahoma"/>
            <family val="2"/>
          </rPr>
          <t xml:space="preserve"> = i</t>
        </r>
        <r>
          <rPr>
            <vertAlign val="subscript"/>
            <sz val="10"/>
            <color indexed="81"/>
            <rFont val="Tahoma"/>
            <family val="2"/>
          </rPr>
          <t>tier 2</t>
        </r>
        <r>
          <rPr>
            <sz val="10"/>
            <color indexed="81"/>
            <rFont val="Tahoma"/>
            <family val="2"/>
          </rPr>
          <t xml:space="preserve"> * (DF / DF-1)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Alwyn Hart</author>
    <author>Entec</author>
    <author>Default</author>
  </authors>
  <commentList>
    <comment ref="K6" authorId="0" shapeId="0" xr:uid="{00000000-0006-0000-0600-000001000000}">
      <text>
        <r>
          <rPr>
            <sz val="10"/>
            <color indexed="81"/>
            <rFont val="Tahoma"/>
            <family val="2"/>
          </rPr>
          <t>Ensure appropriate Kd value is selected, taking account of aquifer pH and aquifer organic matter content.
Calculates Kd as:
Kd = Koc . Foc
Calculates Kd as:
Kd = Koc,n(1 + 10pH-pKa)-1 + Koc,i[1-(1 + 10pH-pKa)-1]</t>
        </r>
      </text>
    </comment>
    <comment ref="B18" authorId="1" shapeId="0" xr:uid="{00000000-0006-0000-0600-000002000000}">
      <text>
        <r>
          <rPr>
            <b/>
            <sz val="10"/>
            <color indexed="81"/>
            <rFont val="Tahoma"/>
            <family val="2"/>
          </rPr>
          <t>A first order degradation process is assumed, however, biological processes will only degrade contaminants in the dissolved phase (not the sorbed phase). 
If degradation rate is derived for the pollutant in water (e.g. from lab studies of pollutant degradation in water) biological decay rate is calculated as l/Rf, however, if the decay rate is derived from field observation of whole system decay rates (i.e. analysis of field data from aquifer studies) , a degradation rate l is applied.
If you are using literature data but do not know the origin / basis of the data, select degradation of dissolved phase only. Literature data should be used only with extreme caution. Guidance on assessing degradation rates from field data is presented in Environment Agency R&amp;D Publication 95.</t>
        </r>
        <r>
          <rPr>
            <sz val="8"/>
            <color indexed="81"/>
            <rFont val="Tahoma"/>
            <family val="2"/>
          </rPr>
          <t xml:space="preserve">
</t>
        </r>
      </text>
    </comment>
    <comment ref="B21" authorId="2" shapeId="0" xr:uid="{00000000-0006-0000-0600-000003000000}">
      <text>
        <r>
          <rPr>
            <sz val="10"/>
            <color indexed="81"/>
            <rFont val="Tahoma"/>
            <family val="2"/>
          </rPr>
          <t>Half-life of contaminant in days (assumed to be a first order decay rate). If contaminant does not degrade, enter a very large number e.g. 9E+99</t>
        </r>
      </text>
    </comment>
    <comment ref="B22" authorId="0" shapeId="0" xr:uid="{00000000-0006-0000-0600-000004000000}">
      <text>
        <r>
          <rPr>
            <sz val="10"/>
            <color indexed="81"/>
            <rFont val="Tahoma"/>
            <family val="2"/>
          </rPr>
          <t xml:space="preserve">First order decay rate:
</t>
        </r>
        <r>
          <rPr>
            <sz val="10"/>
            <color indexed="81"/>
            <rFont val="Symbol"/>
            <family val="1"/>
            <charset val="2"/>
          </rPr>
          <t>l</t>
        </r>
        <r>
          <rPr>
            <sz val="10"/>
            <color indexed="81"/>
            <rFont val="Tahoma"/>
            <family val="2"/>
          </rPr>
          <t xml:space="preserve"> = 0.693 / t</t>
        </r>
        <r>
          <rPr>
            <vertAlign val="subscript"/>
            <sz val="10"/>
            <color indexed="81"/>
            <rFont val="Tahoma"/>
            <family val="2"/>
          </rPr>
          <t xml:space="preserve">1/2
</t>
        </r>
        <r>
          <rPr>
            <sz val="10"/>
            <color indexed="81"/>
            <rFont val="Tahoma"/>
            <family val="2"/>
          </rPr>
          <t>If the decay rate relates to degradation in water, the value used in fate and transport equations will be further divided by the retardation rate, Rf.</t>
        </r>
      </text>
    </comment>
    <comment ref="B31" authorId="2" shapeId="0" xr:uid="{00000000-0006-0000-0600-000005000000}">
      <text>
        <r>
          <rPr>
            <sz val="10"/>
            <color indexed="81"/>
            <rFont val="Tahoma"/>
            <family val="2"/>
          </rPr>
          <t>When calculating remedial targets, the lateral off-set should be set as zero, other than in exceptional situations.  A value other than zero simulates a point that is located away from the centre-line of the plume.</t>
        </r>
      </text>
    </comment>
    <comment ref="B32" authorId="2" shapeId="0" xr:uid="{00000000-0006-0000-0600-000006000000}">
      <text>
        <r>
          <rPr>
            <sz val="10"/>
            <color indexed="81"/>
            <rFont val="Tahoma"/>
            <family val="2"/>
          </rPr>
          <t>When calculating remedial targets, the vertical off-set should be set as zero, other than in exceptional situations.  A value other than zero simulates a point that is located away from the centre-line of the plume.</t>
        </r>
      </text>
    </comment>
    <comment ref="B33" authorId="2" shapeId="0" xr:uid="{00000000-0006-0000-0600-000007000000}">
      <text>
        <r>
          <rPr>
            <sz val="10"/>
            <color indexed="81"/>
            <rFont val="Tahoma"/>
            <family val="2"/>
          </rPr>
          <t>When calculating remedial targets the time should be set to a large number (e.g. 9.9E99) which will simulate steady-state conditions and avoid calculating overly optimistic remedial targets.
Changing the time allows assessment of the time-variant behaviour of the pollutant plume in an aquifer. For example you can predict how far a plume will migrate in  an aquifer in a given duration after a spill.</t>
        </r>
      </text>
    </comment>
    <comment ref="B44" authorId="2" shapeId="0" xr:uid="{00000000-0006-0000-0600-000008000000}">
      <text>
        <r>
          <rPr>
            <sz val="10"/>
            <color indexed="81"/>
            <rFont val="Tahoma"/>
            <family val="2"/>
          </rPr>
          <t xml:space="preserve">If biodegradation rate for the contaminant in water (no solid material present) is selected, the degradation rate used is </t>
        </r>
        <r>
          <rPr>
            <sz val="10"/>
            <color indexed="81"/>
            <rFont val="Symbol"/>
            <family val="1"/>
            <charset val="2"/>
          </rPr>
          <t>l</t>
        </r>
        <r>
          <rPr>
            <sz val="10"/>
            <color indexed="81"/>
            <rFont val="Tahoma"/>
            <family val="2"/>
          </rPr>
          <t>/Rf</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parmstrong</author>
  </authors>
  <commentList>
    <comment ref="B8" authorId="0" shapeId="0" xr:uid="{00000000-0006-0000-0700-000001000000}">
      <text>
        <r>
          <rPr>
            <sz val="8"/>
            <color indexed="81"/>
            <rFont val="Tahoma"/>
            <family val="2"/>
          </rPr>
          <t>This number should only be changed if you have specific information</t>
        </r>
      </text>
    </comment>
    <comment ref="B25" authorId="0" shapeId="0" xr:uid="{00000000-0006-0000-0700-000002000000}">
      <text>
        <r>
          <rPr>
            <sz val="8"/>
            <color indexed="81"/>
            <rFont val="Tahoma"/>
            <family val="2"/>
          </rPr>
          <t>This number should be changed only if you have specific information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Jonathan Smith</author>
  </authors>
  <commentList>
    <comment ref="B7" authorId="0" shapeId="0" xr:uid="{00000000-0006-0000-0800-000001000000}">
      <text>
        <r>
          <rPr>
            <b/>
            <sz val="8"/>
            <color indexed="81"/>
            <rFont val="Tahoma"/>
            <family val="2"/>
          </rPr>
          <t xml:space="preserve">Aquifer hydraulic conductivity is best obtained from field pumping test analyses. Hydraulic conductivities obtained from cores should be treated with caution as the results  will not reflect the impacts of larger scale features such as fissures and fractures present in the aquifer. </t>
        </r>
      </text>
    </comment>
    <comment ref="B9" authorId="0" shapeId="0" xr:uid="{00000000-0006-0000-0800-000002000000}">
      <text>
        <r>
          <rPr>
            <b/>
            <sz val="8"/>
            <color indexed="81"/>
            <rFont val="Tahoma"/>
            <family val="2"/>
          </rPr>
          <t>Porosity is expressed as a fraction between 0 and 1 (generally between 0.02 and 0.4, depending on rock type). In fissured aquifers and dual porosity aquifers use fissure porosity available for flow, sometimes called kinematic porosity.</t>
        </r>
      </text>
    </comment>
    <comment ref="B13" authorId="0" shapeId="0" xr:uid="{00000000-0006-0000-0800-000003000000}">
      <text>
        <r>
          <rPr>
            <b/>
            <sz val="8"/>
            <color indexed="81"/>
            <rFont val="Tahoma"/>
            <family val="2"/>
          </rPr>
          <t>Distance to an identified receptor, compliance point, or other location of interest within the aquifer down-hydraulic gradient of the source.</t>
        </r>
      </text>
    </comment>
    <comment ref="B16" authorId="0" shapeId="0" xr:uid="{00000000-0006-0000-0800-000004000000}">
      <text>
        <r>
          <rPr>
            <b/>
            <sz val="8"/>
            <color indexed="81"/>
            <rFont val="Tahoma"/>
            <family val="2"/>
          </rPr>
          <t xml:space="preserve">Retardation factor, R, describes the  flow velocity of a contaminant relative to groundwater. A conservative contaminant that flows at the same velocity as groundwater has R=1. Other contaminants which are retarded as a result of sorption processes to aquifer minerals and organic matter have R&gt;1.
R is calculated from the expression:
R = 1 + (Kd . </t>
        </r>
        <r>
          <rPr>
            <b/>
            <sz val="8"/>
            <color indexed="81"/>
            <rFont val="Symbol"/>
            <family val="1"/>
            <charset val="2"/>
          </rPr>
          <t>r</t>
        </r>
        <r>
          <rPr>
            <b/>
            <sz val="8"/>
            <color indexed="81"/>
            <rFont val="Tahoma"/>
            <family val="2"/>
          </rPr>
          <t>)/n</t>
        </r>
      </text>
    </comment>
    <comment ref="B20" authorId="0" shapeId="0" xr:uid="{00000000-0006-0000-0800-000005000000}">
      <text>
        <r>
          <rPr>
            <b/>
            <sz val="8"/>
            <color indexed="81"/>
            <rFont val="Tahoma"/>
            <family val="2"/>
          </rPr>
          <t>Groundwater flow based on darcian hydraulics:
v = K.i/n</t>
        </r>
      </text>
    </comment>
    <comment ref="B21" authorId="0" shapeId="0" xr:uid="{00000000-0006-0000-0800-000006000000}">
      <text>
        <r>
          <rPr>
            <b/>
            <sz val="8"/>
            <color indexed="81"/>
            <rFont val="Tahoma"/>
            <family val="2"/>
          </rPr>
          <t>Calculates travel time assuming darcian flow:
t(GW) = x.n / K.i</t>
        </r>
      </text>
    </comment>
    <comment ref="B22" authorId="0" shapeId="0" xr:uid="{00000000-0006-0000-0800-000007000000}">
      <text>
        <r>
          <rPr>
            <b/>
            <sz val="8"/>
            <color indexed="81"/>
            <rFont val="Tahoma"/>
            <family val="2"/>
          </rPr>
          <t>Calculates flow based on Darcy's Law:
Q = K.A.i,
where A = b.x</t>
        </r>
      </text>
    </comment>
    <comment ref="B24" authorId="0" shapeId="0" xr:uid="{00000000-0006-0000-0800-000008000000}">
      <text>
        <r>
          <rPr>
            <b/>
            <sz val="8"/>
            <color indexed="81"/>
            <rFont val="Tahoma"/>
            <family val="2"/>
          </rPr>
          <t>Contaminant flow velocity calculated assuming darcian hydraulics by:
v(contam) = K.i / n.R</t>
        </r>
      </text>
    </comment>
    <comment ref="B25" authorId="0" shapeId="0" xr:uid="{00000000-0006-0000-0800-000009000000}">
      <text>
        <r>
          <rPr>
            <b/>
            <sz val="8"/>
            <color indexed="81"/>
            <rFont val="Tahoma"/>
            <family val="2"/>
          </rPr>
          <t>Time for contaminant to flow to receptor assuming darcian hydraulics:
t(contam) = x.n.R / K.i
Note: This simple calculation ignores the effects of (longitudinal) dispersion and will therefore OVER-ESTIMATE the time to break-through. (i.e. break-through will actually occur more quickly than calculated with this solution).</t>
        </r>
      </text>
    </comment>
  </commentList>
</comments>
</file>

<file path=xl/sharedStrings.xml><?xml version="1.0" encoding="utf-8"?>
<sst xmlns="http://schemas.openxmlformats.org/spreadsheetml/2006/main" count="1309" uniqueCount="406">
  <si>
    <t>Rc</t>
  </si>
  <si>
    <t>n</t>
  </si>
  <si>
    <t>Ogata Banks</t>
  </si>
  <si>
    <t>Domenico - Steady state</t>
  </si>
  <si>
    <t>Domenico - Time Variant</t>
  </si>
  <si>
    <t>Input Parameters</t>
  </si>
  <si>
    <t>Target Concentration</t>
  </si>
  <si>
    <t>Dilution Factor</t>
  </si>
  <si>
    <t>DF</t>
  </si>
  <si>
    <t>Co</t>
  </si>
  <si>
    <t>Unit</t>
  </si>
  <si>
    <t>Value</t>
  </si>
  <si>
    <t>Source</t>
  </si>
  <si>
    <t>Kd</t>
  </si>
  <si>
    <t>x</t>
  </si>
  <si>
    <t>y</t>
  </si>
  <si>
    <t>z</t>
  </si>
  <si>
    <t>t</t>
  </si>
  <si>
    <t>ax</t>
  </si>
  <si>
    <t>ay</t>
  </si>
  <si>
    <t>az</t>
  </si>
  <si>
    <t>days</t>
  </si>
  <si>
    <t>mg/l</t>
  </si>
  <si>
    <t>l/kg</t>
  </si>
  <si>
    <t>g/cm3</t>
  </si>
  <si>
    <t>m/d</t>
  </si>
  <si>
    <t>m</t>
  </si>
  <si>
    <t>Partition coefficient</t>
  </si>
  <si>
    <t>Bulk density</t>
  </si>
  <si>
    <t>Hydraulic gradient</t>
  </si>
  <si>
    <t>Distance to compliance point</t>
  </si>
  <si>
    <t>Hydraulic conductivity</t>
  </si>
  <si>
    <t>Distance (lateral) to compliance point perpendicular to flow direction</t>
  </si>
  <si>
    <t>Distance (depth) to compliance point perpendicular to flow direction</t>
  </si>
  <si>
    <t xml:space="preserve">l </t>
  </si>
  <si>
    <t>r</t>
  </si>
  <si>
    <t>Calculated Parameters</t>
  </si>
  <si>
    <t>Variable</t>
  </si>
  <si>
    <t>v</t>
  </si>
  <si>
    <t>Retardation factor</t>
  </si>
  <si>
    <t>Rate of contaminant flow due to retardation</t>
  </si>
  <si>
    <t>u</t>
  </si>
  <si>
    <t>AF</t>
  </si>
  <si>
    <t>Remedial Target</t>
  </si>
  <si>
    <t>i</t>
  </si>
  <si>
    <t>Calc</t>
  </si>
  <si>
    <t>Input</t>
  </si>
  <si>
    <t>EXP</t>
  </si>
  <si>
    <t>ERFC</t>
  </si>
  <si>
    <t>ERF</t>
  </si>
  <si>
    <t>Sz</t>
  </si>
  <si>
    <r>
      <t>C</t>
    </r>
    <r>
      <rPr>
        <vertAlign val="subscript"/>
        <sz val="10"/>
        <rFont val="Arial"/>
        <family val="2"/>
      </rPr>
      <t>ED</t>
    </r>
  </si>
  <si>
    <t>X</t>
  </si>
  <si>
    <t>foc</t>
  </si>
  <si>
    <t>koc</t>
  </si>
  <si>
    <t>Organic carbon partition coefficient</t>
  </si>
  <si>
    <t>see options</t>
  </si>
  <si>
    <t>OGATA BANKS SOLUTION</t>
  </si>
  <si>
    <t>DOMENICO (STEADY STATE)</t>
  </si>
  <si>
    <t>DOMENICO (TIME VARIANT)</t>
  </si>
  <si>
    <t>Mz</t>
  </si>
  <si>
    <t>L</t>
  </si>
  <si>
    <t>da</t>
  </si>
  <si>
    <t>Inf</t>
  </si>
  <si>
    <t>Q</t>
  </si>
  <si>
    <t>A</t>
  </si>
  <si>
    <t>Cc</t>
  </si>
  <si>
    <t>Cu</t>
  </si>
  <si>
    <t>w</t>
  </si>
  <si>
    <t>m3/d</t>
  </si>
  <si>
    <t>m2</t>
  </si>
  <si>
    <t>Length of contaminant source in direction of groundwater flow</t>
  </si>
  <si>
    <t>Infiltration</t>
  </si>
  <si>
    <t>Area of contaminant source</t>
  </si>
  <si>
    <t>Target concentration</t>
  </si>
  <si>
    <t>Henry's Law constant</t>
  </si>
  <si>
    <t>pH value</t>
  </si>
  <si>
    <t>acid dissociation constant</t>
  </si>
  <si>
    <t>mg/kg</t>
  </si>
  <si>
    <t>fraction</t>
  </si>
  <si>
    <t>dimensionless</t>
  </si>
  <si>
    <r>
      <t>g/cm</t>
    </r>
    <r>
      <rPr>
        <vertAlign val="superscript"/>
        <sz val="10"/>
        <rFont val="Arial"/>
        <family val="2"/>
      </rPr>
      <t>3</t>
    </r>
  </si>
  <si>
    <t>H</t>
  </si>
  <si>
    <t>pH</t>
  </si>
  <si>
    <t>pKa</t>
  </si>
  <si>
    <r>
      <t>K</t>
    </r>
    <r>
      <rPr>
        <vertAlign val="subscript"/>
        <sz val="11"/>
        <rFont val="Arial"/>
        <family val="2"/>
      </rPr>
      <t>oc,n</t>
    </r>
  </si>
  <si>
    <r>
      <t>K</t>
    </r>
    <r>
      <rPr>
        <vertAlign val="subscript"/>
        <sz val="11"/>
        <rFont val="Arial"/>
        <family val="2"/>
      </rPr>
      <t>oc,i</t>
    </r>
  </si>
  <si>
    <r>
      <t>q</t>
    </r>
    <r>
      <rPr>
        <sz val="11"/>
        <rFont val="Arial"/>
        <family val="2"/>
      </rPr>
      <t>a</t>
    </r>
  </si>
  <si>
    <t xml:space="preserve">Dilution Factor </t>
  </si>
  <si>
    <t>Contaminant</t>
  </si>
  <si>
    <t>Soil water partition coefficient</t>
  </si>
  <si>
    <t>Entry for ionic organic chemicals (option)</t>
  </si>
  <si>
    <t>Entry for non-polar organic chemicals (option)</t>
  </si>
  <si>
    <t>Calculate for non-polar organic chemicals</t>
  </si>
  <si>
    <t xml:space="preserve"> </t>
  </si>
  <si>
    <t>calc</t>
  </si>
  <si>
    <t>Calc Kd</t>
  </si>
  <si>
    <r>
      <t>C</t>
    </r>
    <r>
      <rPr>
        <b/>
        <vertAlign val="subscript"/>
        <sz val="11"/>
        <rFont val="Arial"/>
        <family val="2"/>
      </rPr>
      <t>T</t>
    </r>
  </si>
  <si>
    <t>Entry for groundwater flow below site</t>
  </si>
  <si>
    <t>Standard entry</t>
  </si>
  <si>
    <t>Source of parameter value</t>
  </si>
  <si>
    <t>Entry if specify partition coefficient (option)</t>
  </si>
  <si>
    <t>Parameter</t>
  </si>
  <si>
    <t>(carried over from input sheet)</t>
  </si>
  <si>
    <t>Calculated Remedial Target</t>
  </si>
  <si>
    <t>Calculation of  partition coefficient</t>
  </si>
  <si>
    <t>for ionic organic chemical</t>
  </si>
  <si>
    <t>Calculation based on observed contaminant concentration</t>
  </si>
  <si>
    <t>Calculation based on target concentration</t>
  </si>
  <si>
    <t>Calculated decay rate</t>
  </si>
  <si>
    <t>Parameters values determined from options</t>
  </si>
  <si>
    <t>time variant options only</t>
  </si>
  <si>
    <t>Calc value</t>
  </si>
  <si>
    <t>Enter value</t>
  </si>
  <si>
    <t>Concentration of contaminant at compliance point</t>
  </si>
  <si>
    <t>Remedial Targets</t>
  </si>
  <si>
    <t>Distance</t>
  </si>
  <si>
    <t>Concentration</t>
  </si>
  <si>
    <t>From calculation sheet</t>
  </si>
  <si>
    <t>Calculation of impact on receptor</t>
  </si>
  <si>
    <t>Additional option</t>
  </si>
  <si>
    <t>Term 1</t>
  </si>
  <si>
    <t>Term 2</t>
  </si>
  <si>
    <t>Term 3</t>
  </si>
  <si>
    <t>Term 4</t>
  </si>
  <si>
    <t>Term 5</t>
  </si>
  <si>
    <t>Term 6a</t>
  </si>
  <si>
    <t>Term 6b</t>
  </si>
  <si>
    <t>Term 7a</t>
  </si>
  <si>
    <t>Term 7b</t>
  </si>
  <si>
    <t>Term 4A</t>
  </si>
  <si>
    <t>Term 4B</t>
  </si>
  <si>
    <t>Term 3A</t>
  </si>
  <si>
    <t>Term 3B</t>
  </si>
  <si>
    <t>Term 5A</t>
  </si>
  <si>
    <t>Term 5B</t>
  </si>
  <si>
    <t>Selected option</t>
  </si>
  <si>
    <r>
      <t>q</t>
    </r>
    <r>
      <rPr>
        <vertAlign val="subscript"/>
        <sz val="11"/>
        <rFont val="Arial"/>
        <family val="2"/>
      </rPr>
      <t>W</t>
    </r>
  </si>
  <si>
    <t>pH units</t>
  </si>
  <si>
    <t>Site Name:</t>
  </si>
  <si>
    <t>Site Address:</t>
  </si>
  <si>
    <t>Completed by:</t>
  </si>
  <si>
    <t>Date:</t>
  </si>
  <si>
    <t>Site being assessed:</t>
  </si>
  <si>
    <t xml:space="preserve">for </t>
  </si>
  <si>
    <t>Saturated aquifer thickness</t>
  </si>
  <si>
    <t>Calculated concentration within receptor (dilution only)</t>
  </si>
  <si>
    <t>For comparison with measured soil concentration. This</t>
  </si>
  <si>
    <t>partitioning equation.</t>
  </si>
  <si>
    <t>or</t>
  </si>
  <si>
    <t>Calculated</t>
  </si>
  <si>
    <r>
      <t>days</t>
    </r>
    <r>
      <rPr>
        <vertAlign val="superscript"/>
        <sz val="10"/>
        <rFont val="Arial"/>
        <family val="2"/>
      </rPr>
      <t>-1</t>
    </r>
  </si>
  <si>
    <r>
      <t>t</t>
    </r>
    <r>
      <rPr>
        <vertAlign val="subscript"/>
        <sz val="11"/>
        <rFont val="Arial"/>
        <family val="2"/>
      </rPr>
      <t>1/2</t>
    </r>
  </si>
  <si>
    <t>Sy</t>
  </si>
  <si>
    <t>Fraction of organic carbon in aquifer</t>
  </si>
  <si>
    <t>For calculated value, assumes ax = 0.1 *x, az = 0.01 * x, ay = 0.001 * x</t>
  </si>
  <si>
    <t xml:space="preserve">The measured groundwater concentration should be compared </t>
  </si>
  <si>
    <t>Details to be completed for each assessment</t>
  </si>
  <si>
    <t>Version:</t>
  </si>
  <si>
    <t>Units</t>
  </si>
  <si>
    <t>Site assessed:</t>
  </si>
  <si>
    <t>For comparison with measured pore water concentration.</t>
  </si>
  <si>
    <t xml:space="preserve">Calculated concentrations for </t>
  </si>
  <si>
    <t>distance-concentration graph</t>
  </si>
  <si>
    <t>Calculations (Refer toTable 4.3, R&amp;D Publication 20)</t>
  </si>
  <si>
    <t>Background concentration of contaminant in groundwater beneath site</t>
  </si>
  <si>
    <t>Longitudinal dispersivity</t>
  </si>
  <si>
    <t>Transverse dispersivity</t>
  </si>
  <si>
    <t>Vertical dispersivity</t>
  </si>
  <si>
    <t>Care should be used when calculating remedial targets using the time variant options as this may result in an overestimate of the remedial target.</t>
  </si>
  <si>
    <t>Ratio of Compliance Point to Source Concentration</t>
  </si>
  <si>
    <t xml:space="preserve">  </t>
  </si>
  <si>
    <r>
      <t>Target Concentration (C</t>
    </r>
    <r>
      <rPr>
        <b/>
        <vertAlign val="subscript"/>
        <sz val="10"/>
        <color indexed="10"/>
        <rFont val="Arial"/>
        <family val="2"/>
      </rPr>
      <t>T</t>
    </r>
    <r>
      <rPr>
        <b/>
        <sz val="10"/>
        <color indexed="10"/>
        <rFont val="Arial"/>
        <family val="2"/>
      </rPr>
      <t>)</t>
    </r>
  </si>
  <si>
    <t>Note if contaminant is not subject to first order degradation, then set half life as 9.0E+99.</t>
  </si>
  <si>
    <t>For comparison with measured groundwater concentration.</t>
  </si>
  <si>
    <t>Koc</t>
  </si>
  <si>
    <t>Fraction of organic carbon (in soil)</t>
  </si>
  <si>
    <t>Water filled soil porosity</t>
  </si>
  <si>
    <t>Air filled soil porosity</t>
  </si>
  <si>
    <t>Sorption coefficient for neutral species</t>
  </si>
  <si>
    <t>Sorption coefficient for ionised species</t>
  </si>
  <si>
    <t>Acid dissociation constant</t>
  </si>
  <si>
    <t>Sorption coefficient for related species</t>
  </si>
  <si>
    <t>Concentration of contaminant in contaminated discharge (entering receptor)</t>
  </si>
  <si>
    <t>Simple hydrogeological calculations</t>
  </si>
  <si>
    <t>(These are not specific to, or required in, the Remedial Targets Methodology)</t>
  </si>
  <si>
    <t>symbol</t>
  </si>
  <si>
    <t>unit</t>
  </si>
  <si>
    <t>justification</t>
  </si>
  <si>
    <t>K</t>
  </si>
  <si>
    <t>m/day</t>
  </si>
  <si>
    <t xml:space="preserve">i </t>
  </si>
  <si>
    <t>unitless</t>
  </si>
  <si>
    <t>Effective porosity of aquifer</t>
  </si>
  <si>
    <t>Thickness of saturated aquifer</t>
  </si>
  <si>
    <t>b</t>
  </si>
  <si>
    <t>Width of aquifer perpendicular to flow</t>
  </si>
  <si>
    <t>Distance to receptor</t>
  </si>
  <si>
    <t>Retardation factor of pollutant</t>
  </si>
  <si>
    <t>R</t>
  </si>
  <si>
    <t>Groundwater flow velocity</t>
  </si>
  <si>
    <t>v(GW)</t>
  </si>
  <si>
    <t>Time for groundwater to reach receptor</t>
  </si>
  <si>
    <t>t(GW)</t>
  </si>
  <si>
    <t>Contaminant flow velocity</t>
  </si>
  <si>
    <t>v(contam)</t>
  </si>
  <si>
    <t>Time for contaminant to reach receptor</t>
  </si>
  <si>
    <t>t(contam)</t>
  </si>
  <si>
    <t>All rights reserved. You will not modify, reverse compile or otherwise dis-assemble the worksheet.</t>
  </si>
  <si>
    <t>It is recommended that a copy of the original worksheet is saved (all data fields in the original copy are blank).</t>
  </si>
  <si>
    <t>m/year</t>
  </si>
  <si>
    <t>years</t>
  </si>
  <si>
    <t>m/s</t>
  </si>
  <si>
    <t>seconds</t>
  </si>
  <si>
    <r>
      <t>m</t>
    </r>
    <r>
      <rPr>
        <vertAlign val="superscript"/>
        <sz val="10"/>
        <rFont val="Arial"/>
        <family val="2"/>
      </rPr>
      <t>3</t>
    </r>
    <r>
      <rPr>
        <sz val="10"/>
        <rFont val="Arial"/>
        <family val="2"/>
      </rPr>
      <t>/s</t>
    </r>
  </si>
  <si>
    <r>
      <t>m</t>
    </r>
    <r>
      <rPr>
        <vertAlign val="superscript"/>
        <sz val="9"/>
        <rFont val="Arial"/>
        <family val="2"/>
      </rPr>
      <t>3</t>
    </r>
    <r>
      <rPr>
        <sz val="9"/>
        <rFont val="Arial"/>
        <family val="2"/>
      </rPr>
      <t>/day</t>
    </r>
  </si>
  <si>
    <r>
      <t>m</t>
    </r>
    <r>
      <rPr>
        <vertAlign val="superscript"/>
        <sz val="10"/>
        <rFont val="Arial"/>
        <family val="2"/>
      </rPr>
      <t>3</t>
    </r>
    <r>
      <rPr>
        <sz val="10"/>
        <rFont val="Arial"/>
        <family val="2"/>
      </rPr>
      <t>/year</t>
    </r>
  </si>
  <si>
    <r>
      <t>m</t>
    </r>
    <r>
      <rPr>
        <vertAlign val="superscript"/>
        <sz val="10"/>
        <rFont val="Arial"/>
        <family val="2"/>
      </rPr>
      <t>2</t>
    </r>
  </si>
  <si>
    <r>
      <t>Origin of C</t>
    </r>
    <r>
      <rPr>
        <b/>
        <vertAlign val="subscript"/>
        <sz val="10"/>
        <color indexed="10"/>
        <rFont val="Arial"/>
        <family val="2"/>
      </rPr>
      <t>T</t>
    </r>
    <r>
      <rPr>
        <b/>
        <sz val="10"/>
        <color indexed="10"/>
        <rFont val="Arial"/>
        <family val="2"/>
      </rPr>
      <t>:</t>
    </r>
  </si>
  <si>
    <t>Data origin / justification should be noted in cells coloured yellow and fully documented in subsequent reports.</t>
  </si>
  <si>
    <t>Note if contaminant is not subject to first order degradation, then set half life as 9.9E+99.</t>
  </si>
  <si>
    <t>Width of plume in aquifer at source</t>
  </si>
  <si>
    <t>Plume thickness at source</t>
  </si>
  <si>
    <t>Calculations for source located in centre of aquifer (ie vertical dispersion in two directions)</t>
  </si>
  <si>
    <t xml:space="preserve">Calculations for source located in centre of aquifer (ie vertical dispersion in two directions) </t>
  </si>
  <si>
    <t>Soil contaminant concentration</t>
  </si>
  <si>
    <t>Factor (partitioning between soil and water)</t>
  </si>
  <si>
    <t>Only input required is Soil Contaminant Concentration</t>
  </si>
  <si>
    <t>C</t>
  </si>
  <si>
    <t>Dilution taken into account</t>
  </si>
  <si>
    <t>No dilution or attenuation</t>
  </si>
  <si>
    <t>Dilution and attenuation taken into account</t>
  </si>
  <si>
    <r>
      <t>C</t>
    </r>
    <r>
      <rPr>
        <vertAlign val="subscript"/>
        <sz val="11"/>
        <rFont val="Arial"/>
        <family val="2"/>
      </rPr>
      <t>0</t>
    </r>
  </si>
  <si>
    <t xml:space="preserve">Calculated (relative) concentrations for </t>
  </si>
  <si>
    <t>Relative concentration</t>
  </si>
  <si>
    <t>Decay rate used</t>
  </si>
  <si>
    <t>l</t>
  </si>
  <si>
    <t>Xu &amp; Eckstein</t>
  </si>
  <si>
    <r>
      <t>Xu &amp; Eckstein (1995) report ax = 0.83(log</t>
    </r>
    <r>
      <rPr>
        <vertAlign val="subscript"/>
        <sz val="10"/>
        <rFont val="Arial"/>
        <family val="2"/>
      </rPr>
      <t>10</t>
    </r>
    <r>
      <rPr>
        <sz val="10"/>
        <rFont val="Arial"/>
        <family val="2"/>
      </rPr>
      <t>x)</t>
    </r>
    <r>
      <rPr>
        <vertAlign val="superscript"/>
        <sz val="10"/>
        <rFont val="Arial"/>
        <family val="2"/>
      </rPr>
      <t xml:space="preserve">2.414 </t>
    </r>
    <r>
      <rPr>
        <sz val="10"/>
        <rFont val="Arial"/>
        <family val="2"/>
      </rPr>
      <t>; az = ax/10, ay = ax/100 are assumed</t>
    </r>
  </si>
  <si>
    <r>
      <t>d</t>
    </r>
    <r>
      <rPr>
        <vertAlign val="superscript"/>
        <sz val="10"/>
        <rFont val="Arial"/>
        <family val="2"/>
      </rPr>
      <t>-1</t>
    </r>
  </si>
  <si>
    <t>Calculation of contaminant concentration in groundwater from a soil source</t>
  </si>
  <si>
    <t>Half life for degradation of contaminant in water</t>
  </si>
  <si>
    <t>Time since pollutant entered groundwater</t>
  </si>
  <si>
    <t>Soil-water partition co-efficient</t>
  </si>
  <si>
    <r>
      <t>g/cm</t>
    </r>
    <r>
      <rPr>
        <vertAlign val="superscript"/>
        <sz val="9"/>
        <rFont val="Arial"/>
        <family val="2"/>
      </rPr>
      <t>3</t>
    </r>
  </si>
  <si>
    <r>
      <t>"</t>
    </r>
    <r>
      <rPr>
        <sz val="10"/>
        <rFont val="Arial"/>
        <family val="2"/>
      </rPr>
      <t>i</t>
    </r>
    <r>
      <rPr>
        <sz val="10"/>
        <color indexed="9"/>
        <rFont val="Arial"/>
        <family val="2"/>
      </rPr>
      <t>"</t>
    </r>
  </si>
  <si>
    <t>Hydraulic gradient used in aquifer flow down-gradient</t>
  </si>
  <si>
    <t>Rf</t>
  </si>
  <si>
    <t>Bulk density of aquifer materials</t>
  </si>
  <si>
    <t>Bulk density of soil zone material</t>
  </si>
  <si>
    <r>
      <t xml:space="preserve">IMPORTANT: To enable MS Excel worksheet, click </t>
    </r>
    <r>
      <rPr>
        <u/>
        <sz val="14"/>
        <rFont val="Arial"/>
        <family val="2"/>
      </rPr>
      <t>T</t>
    </r>
    <r>
      <rPr>
        <sz val="14"/>
        <rFont val="Arial"/>
        <family val="2"/>
      </rPr>
      <t>ools, Add -</t>
    </r>
    <r>
      <rPr>
        <u/>
        <sz val="14"/>
        <rFont val="Arial"/>
        <family val="2"/>
      </rPr>
      <t>I</t>
    </r>
    <r>
      <rPr>
        <sz val="14"/>
        <rFont val="Arial"/>
        <family val="2"/>
      </rPr>
      <t>ns, Analysis Tool Pak and Analysis Tool Pak-VBA (to calculate error functions).</t>
    </r>
  </si>
  <si>
    <t>Predicted concentrations at compliance point</t>
  </si>
  <si>
    <t>Hydraulic Conductivity of aquifer in which dilution occurs</t>
  </si>
  <si>
    <t>Hydraulic gradient of water table</t>
  </si>
  <si>
    <t>User specified value for partition coefficient</t>
  </si>
  <si>
    <t>The recommended value for time when calculating the remedial target is 9.9E+99</t>
  </si>
  <si>
    <t>The recommended value for time when calculating the remedial target is 9.9E+99.</t>
  </si>
  <si>
    <t xml:space="preserve">Calculate </t>
  </si>
  <si>
    <t xml:space="preserve">Specify </t>
  </si>
  <si>
    <t>Width of contaminant source perpendicular to groundwater flow</t>
  </si>
  <si>
    <t>(No units)</t>
  </si>
  <si>
    <t>Note: 'Relative concentration' is the ratio of calculated concentation at a given position compared to the source concentration. The calculations assume plume disperses from the top of the aquifer. An alternative solution assuming the centre of the plume is located at the mid-depth of the aquifer is presented in the calculation sheets.</t>
  </si>
  <si>
    <t>Width of plume in aquifer at source (perpendicular to flow)</t>
  </si>
  <si>
    <t>Note graph assumes plume disperses vertically in one direction only. An alternative solution assuming the centre of the plume is located at the mid-depth of the aquifer is presented in the calculation sheets.</t>
  </si>
  <si>
    <t>By setting a long travel time it will give the steady state solution, which should be used to calculate remedial targets.</t>
  </si>
  <si>
    <t>Rate of groundwater flow through aquifer</t>
  </si>
  <si>
    <t>but your chains</t>
  </si>
  <si>
    <t>Define mixing zone depth by specifying or calculating depth (using pull down list)</t>
  </si>
  <si>
    <t>Enter method of defining partition co-efficient (using pull down list)</t>
  </si>
  <si>
    <t>Select Method for deriving Partition Co-efficient (using pull down menu)</t>
  </si>
  <si>
    <t>Input Parameters (using pull down menu)</t>
  </si>
  <si>
    <t xml:space="preserve">Relative Concentration </t>
  </si>
  <si>
    <t>Hydraulic conductivity of saturated aquifer</t>
  </si>
  <si>
    <t>Hydraulic conductivity of aquifer</t>
  </si>
  <si>
    <t>Plume thickness in aquifer at source</t>
  </si>
  <si>
    <t>Initial contaminant concentration in groundwater at plume core</t>
  </si>
  <si>
    <t>(for comparison with soil analyses)</t>
  </si>
  <si>
    <t>(for comparison with leachate test results)</t>
  </si>
  <si>
    <t>Select analytical solution (click on brown cell below, then on pull-down menu)</t>
  </si>
  <si>
    <t>Select nature of decay rate (click on brown cell below, then on pull-down menu)</t>
  </si>
  <si>
    <t>Define dispersivity (click brown cell and use pull down list)</t>
  </si>
  <si>
    <r>
      <t>C</t>
    </r>
    <r>
      <rPr>
        <vertAlign val="subscript"/>
        <sz val="10"/>
        <rFont val="Arial"/>
        <family val="2"/>
      </rPr>
      <t>ED</t>
    </r>
    <r>
      <rPr>
        <sz val="10"/>
        <rFont val="Arial"/>
        <family val="2"/>
      </rPr>
      <t>/C</t>
    </r>
    <r>
      <rPr>
        <vertAlign val="subscript"/>
        <sz val="10"/>
        <rFont val="Arial"/>
        <family val="2"/>
      </rPr>
      <t>0</t>
    </r>
  </si>
  <si>
    <r>
      <t>C</t>
    </r>
    <r>
      <rPr>
        <b/>
        <vertAlign val="subscript"/>
        <sz val="10"/>
        <rFont val="Arial"/>
        <family val="2"/>
      </rPr>
      <t>ED</t>
    </r>
    <r>
      <rPr>
        <b/>
        <sz val="10"/>
        <rFont val="Arial"/>
        <family val="2"/>
      </rPr>
      <t>/C</t>
    </r>
    <r>
      <rPr>
        <b/>
        <vertAlign val="subscript"/>
        <sz val="10"/>
        <rFont val="Arial"/>
        <family val="2"/>
      </rPr>
      <t>0</t>
    </r>
  </si>
  <si>
    <t>The calculation of equations in this worksheet has been independently checked by Entec (UK) Ltd on behalf of the Environment Agency.</t>
  </si>
  <si>
    <t>Liability: The Environment Agency does not promise that the worksheet will provide any particular facilities or functions. You must ensure that the worksheet meets your needs and you remain solely responsible for the competent use of the worksheet. You are entirely responsible for the consequences of any use of the worksheet and the Agency provides no warranty about the fitness for purpose or performance of any part of the worksheet. We do not promise that the media will always be free from defects, computer viruses, software locks or other similar code or that the operation of the worksheet will be uninterrupted or error free. You should carry out all necessary virus checks prior to installing on your computing system.</t>
  </si>
  <si>
    <t>foc (ionic)</t>
  </si>
  <si>
    <t>Porosity Calculator</t>
  </si>
  <si>
    <t>DRY BULK DENSITY DATA</t>
  </si>
  <si>
    <t>Natural Moisture Content</t>
  </si>
  <si>
    <t>% wt</t>
  </si>
  <si>
    <t>Particle Density</t>
  </si>
  <si>
    <t>Dry Bulk Density</t>
  </si>
  <si>
    <t>Voids Ratio</t>
  </si>
  <si>
    <t>Initial Saturation</t>
  </si>
  <si>
    <t>%</t>
  </si>
  <si>
    <t>Total porosity</t>
  </si>
  <si>
    <t>Air Filled Porosity</t>
  </si>
  <si>
    <t>Water Filled Porosity</t>
  </si>
  <si>
    <t>WET BULK DENSITY DATA</t>
  </si>
  <si>
    <t>Moisture Content</t>
  </si>
  <si>
    <t>Actual (wet) Bulk Density ( i.e. at natural MC)</t>
  </si>
  <si>
    <t>dry bulk density</t>
  </si>
  <si>
    <t>Analytical solutions provided by David Hall, Golder Associates (UK) Ltd</t>
  </si>
  <si>
    <t>These results are not carried through to any of the other worksheets</t>
  </si>
  <si>
    <t xml:space="preserve">Approach for simulating degradation of pollutants:  </t>
  </si>
  <si>
    <t>Dispersivity based on Xu &amp; Eckstein (1995)</t>
  </si>
  <si>
    <t>Dispersivities 10%, 1%, 0.1% of pathway length</t>
  </si>
  <si>
    <t>User defined values for dispersivity</t>
  </si>
  <si>
    <t>Apply degradation rate to dissolved pollutants only</t>
  </si>
  <si>
    <t>Concentration mg/l</t>
  </si>
  <si>
    <t xml:space="preserve">Approach for simulating vertical dispersion:  </t>
  </si>
  <si>
    <t>Simulate vertical dispersion in 1 direction</t>
  </si>
  <si>
    <t>Simulate vertical dispersion in 2 directions</t>
  </si>
  <si>
    <t>(Change this number only if you have specific information)</t>
  </si>
  <si>
    <t>Enter mixing zone thickness</t>
  </si>
  <si>
    <t>Calculated mixing zone thickness</t>
  </si>
  <si>
    <t>Worksheet options are identified by brown background and employ a pull-down menus. Data entry are identified as blue background.</t>
  </si>
  <si>
    <r>
      <t>Attenuation factor (C</t>
    </r>
    <r>
      <rPr>
        <b/>
        <vertAlign val="subscript"/>
        <sz val="10"/>
        <rFont val="Arial"/>
        <family val="2"/>
      </rPr>
      <t>O</t>
    </r>
    <r>
      <rPr>
        <b/>
        <sz val="10"/>
        <rFont val="Arial"/>
        <family val="2"/>
      </rPr>
      <t>/C</t>
    </r>
    <r>
      <rPr>
        <b/>
        <vertAlign val="subscript"/>
        <sz val="10"/>
        <rFont val="Arial"/>
        <family val="2"/>
      </rPr>
      <t>ED</t>
    </r>
    <r>
      <rPr>
        <b/>
        <sz val="10"/>
        <rFont val="Arial"/>
        <family val="2"/>
      </rPr>
      <t>)</t>
    </r>
  </si>
  <si>
    <t>Distance m</t>
  </si>
  <si>
    <t>Vertical dispersion option</t>
  </si>
  <si>
    <t>Data carried forward from an earlier worksheet are identified by a light green background</t>
  </si>
  <si>
    <t>Calculate for ionic organic chemicals (acids)</t>
  </si>
  <si>
    <t>calculated</t>
  </si>
  <si>
    <t>Not used in calculation</t>
  </si>
  <si>
    <t>The spreadsheet also includes a porosity calculation worksheet, a soil impact calculation worksheet and a worksheet that performs some simple hydrogeological calculations.</t>
  </si>
  <si>
    <t>Level 2 Calculation Sheet</t>
  </si>
  <si>
    <t>Level 1 Calculation Sheet</t>
  </si>
  <si>
    <t>Calculations for source located at top of aquifer (ie vertical dispersion in one direction) -USED FOR LEVEL ASSESSMENT</t>
  </si>
  <si>
    <t>Calculations for source located at top of aquifer (ie vertical dispersion in one direction) - USED FOR LEVEL ASSESSMENT</t>
  </si>
  <si>
    <t>Calculations for source located at top of aquifer (ie vertical dispersion in one direction only) - USED FOR LEVEL ASSESSMENT</t>
  </si>
  <si>
    <t>Values carried through to Level 3 Groundwater</t>
  </si>
  <si>
    <t>Level 3 - Groundwater</t>
  </si>
  <si>
    <t>This sheet calculates the Level 3 remedial target for groundwater, based on the distance to the receptor or compliance located down hydraulic gradient of the source Three solution methods are included, the preferred option is Ogata Banks.</t>
  </si>
  <si>
    <t>with the Level 3 remedial target to determine the need for further action.</t>
  </si>
  <si>
    <t>Level 1 - Soil</t>
  </si>
  <si>
    <t>This sheet calculates the Level 1 remedial target for soils(mg/kg) based on a selected target concentration and theoretical calculation of soil water partitioning. Three options are included for determining the partition coefficient.</t>
  </si>
  <si>
    <t>The measured soil concentration as mg/kg should be compared with the Level 1 remedial target to determine the need for further action.</t>
  </si>
  <si>
    <t>Soil water partition coefficient used in Level Assessment</t>
  </si>
  <si>
    <t>Level 1 Remedial Target</t>
  </si>
  <si>
    <t>Level 2 - Soil</t>
  </si>
  <si>
    <t xml:space="preserve">This sheet calculates the Level 2 remedial target for soils (mg/kg) or for pore water (mg/l). </t>
  </si>
  <si>
    <t>Level 2 Remedial Target</t>
  </si>
  <si>
    <t>For comparison with measured pore water concentration. This assumes Level 1 Remedial Target is based on Target Concentration.</t>
  </si>
  <si>
    <t>For comparison with measured soil concentration. This assumes Level 1 Remedial Target calculated from soil-water</t>
  </si>
  <si>
    <t>from Level 1</t>
  </si>
  <si>
    <t>Level 3 - Soil</t>
  </si>
  <si>
    <t>from Level 2</t>
  </si>
  <si>
    <t>from Level 2 (adjusted)</t>
  </si>
  <si>
    <t>Level 3 Remedial Target</t>
  </si>
  <si>
    <t>This assumes Level 1 Remedial Target is based on Target Concentration.</t>
  </si>
  <si>
    <t>assumes Level 1 Remedial Target calculated from soil-water</t>
  </si>
  <si>
    <t>This sheet calculates the Level 3 remedial target for soils(mg/kg) or for pore water (mg/l), based on the distance to the receptor or compliance located down hydraulic gradient of the source Three solution methods are included, the preferred option is Ogata Banks.By setting a long travel time (e.g. 9E99) it will give the steady state solution, which should always be used when calculating remedial targets.</t>
  </si>
  <si>
    <t>The measured soil concentration as mg/kg or pore water concentration should be compared with the Level 3 remedial target to determine the need for further action.</t>
  </si>
  <si>
    <t>Parameter values should be checked against Level 1 and 2</t>
  </si>
  <si>
    <t>Enter source concentration</t>
  </si>
  <si>
    <t>Soil concentration as mg/kg</t>
  </si>
  <si>
    <t>Soil leachate concentration as mg/l</t>
  </si>
  <si>
    <t>Determine remedial target based on assumed concentration</t>
  </si>
  <si>
    <t>Partition coefficient used in Level 1 Assessment</t>
  </si>
  <si>
    <t>Users of this worksheet should always refer to the User Manual to the Remedial Targets Methodology and to relevant guidance on UK legislation and policy, in order to understand how this procedure should be applied in an appropriate context.</t>
  </si>
  <si>
    <t>Level 1 Parameters</t>
  </si>
  <si>
    <t>Level 2 Parameters</t>
  </si>
  <si>
    <t>Level 3 Parameters</t>
  </si>
  <si>
    <t>Level 1</t>
  </si>
  <si>
    <t>Level 2</t>
  </si>
  <si>
    <t>Level 3</t>
  </si>
  <si>
    <t>Predicted concentrations between source and compliance point - Level 3</t>
  </si>
  <si>
    <t>Hydrogeological risk assessment for land contamination</t>
  </si>
  <si>
    <t>This worksheet has been produced in combination with the document 'Remedial Targets Methodology: Hydrogeological risk assessment for land contamination ( Environment Agency 2006).</t>
  </si>
  <si>
    <t>© Environment Agency, 2006. (Produced by the Environment Agency's Science Group)</t>
  </si>
  <si>
    <t xml:space="preserve">This worksheet can be used to determine remedial targets for soils (Worksheets Level 1 Soil, Level 2 and Level 3 Soil) or to determine remedial targets for groundwater (Level 3 Groundwater). For Level 3, parameter values must be entered separately dependent on whether the assessment is for soil or groundwater. For soil, remedial targets are calculated as either mg/kg (for comparision with soil measurements) or mg/l (for comparison with leaching tests or pore water concentrations). </t>
  </si>
  <si>
    <t>Site details entered on this page are automatically copied to Level 1, 2 and 3  Worksheets.</t>
  </si>
  <si>
    <t>Select the method of calculating the soil water Partition Co-efficient by using the pull down menu below</t>
  </si>
  <si>
    <t>The measured soil concentration as mg/kg or pore water concentration should be compared with the Level 2 remedial target to determine the need for further action. Equations presented in 'Hydrogeological risk assessment for land contamiantion' (Environment Agency 2006)</t>
  </si>
  <si>
    <t>Note</t>
  </si>
  <si>
    <t>See Note</t>
  </si>
  <si>
    <t>See  Note</t>
  </si>
  <si>
    <r>
      <t>tonnes/m</t>
    </r>
    <r>
      <rPr>
        <vertAlign val="superscript"/>
        <sz val="10"/>
        <rFont val="Arial"/>
        <family val="2"/>
      </rPr>
      <t>3</t>
    </r>
  </si>
  <si>
    <t>Apply degradation rate to pollutants in all phases (e.g. field derived value, laboratory study for aquifer + water mix, radioactive decay)</t>
  </si>
  <si>
    <t>Equations in HRA publication</t>
  </si>
  <si>
    <t>Note values of dispersivity must be &gt; 0</t>
  </si>
  <si>
    <r>
      <t>This worksheet should be used if pollutant transport and degradation is best described by a first order reaction.  If degradation is best desribed by an electron limited degradation such as oxidation by O</t>
    </r>
    <r>
      <rPr>
        <vertAlign val="subscript"/>
        <sz val="10"/>
        <rFont val="Arial"/>
        <family val="2"/>
      </rPr>
      <t>2</t>
    </r>
    <r>
      <rPr>
        <sz val="10"/>
        <rFont val="Arial"/>
        <family val="2"/>
      </rPr>
      <t>, NO</t>
    </r>
    <r>
      <rPr>
        <vertAlign val="subscript"/>
        <sz val="10"/>
        <rFont val="Arial"/>
        <family val="2"/>
      </rPr>
      <t>3</t>
    </r>
    <r>
      <rPr>
        <sz val="10"/>
        <rFont val="Arial"/>
        <family val="2"/>
      </rPr>
      <t>, SO</t>
    </r>
    <r>
      <rPr>
        <vertAlign val="subscript"/>
        <sz val="10"/>
        <rFont val="Arial"/>
        <family val="2"/>
      </rPr>
      <t>4</t>
    </r>
    <r>
      <rPr>
        <sz val="10"/>
        <rFont val="Arial"/>
        <family val="2"/>
      </rPr>
      <t xml:space="preserve"> etc than an alternative solution should be used</t>
    </r>
  </si>
  <si>
    <t>This worksheet should be used if pollutant transport and degradation is best described by a first order reaction.  If degradation is best desribed by an electron limited degradation such as oxidation by O2, NO3, SO4 etc than an alternative solution should be used</t>
  </si>
  <si>
    <t>Remedial Targets Worksheet , Release 3.2</t>
  </si>
  <si>
    <t>R&amp;D Publication 20 Remedial Targets Worksheet, Release 3.2</t>
  </si>
  <si>
    <t>First released: 2006. Version 3.2: January 2013</t>
  </si>
  <si>
    <t>Clay liner  1x 10-8 cm/s</t>
  </si>
  <si>
    <t>Verticle =1</t>
  </si>
  <si>
    <t>30% Fetter</t>
  </si>
  <si>
    <t>Bulk Density for Stiff - firm Clay</t>
  </si>
  <si>
    <t>Effective Porosity for Stiff-firm Clay</t>
  </si>
  <si>
    <t>Depth of Clay Liner</t>
  </si>
  <si>
    <t>EQS</t>
  </si>
  <si>
    <t>Inert WAC</t>
  </si>
  <si>
    <t>No degradation</t>
  </si>
  <si>
    <t>no effect on breakthrough</t>
  </si>
  <si>
    <t>Verticle thickness of mineral liner</t>
  </si>
  <si>
    <t>From trixaxial permeability</t>
  </si>
  <si>
    <t>Default from Hydr. Contain. Model</t>
  </si>
  <si>
    <t>Vertyicle flow</t>
  </si>
  <si>
    <t>Cp on outer surface of minerl liner</t>
  </si>
  <si>
    <t>SO4</t>
  </si>
  <si>
    <t>A R Morris</t>
  </si>
  <si>
    <t>Average permeability 1.67E-9m/s</t>
  </si>
  <si>
    <t>Parrys Quarry HRA</t>
  </si>
  <si>
    <t>Parrys Quarry Landfill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</si>
</sst>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
    <numFmt numFmtId="165" formatCode="0.0000"/>
    <numFmt numFmtId="166" formatCode="0.000"/>
    <numFmt numFmtId="167" formatCode="0.0E+00"/>
    <numFmt numFmtId="168" formatCode="0.000E+00"/>
    <numFmt numFmtId="169" formatCode="0.0000E+00"/>
  </numFmts>
  <fonts count="80" x14ac:knownFonts="1">
    <font>
      <sz val="10"/>
      <name val="Arial"/>
    </font>
    <font>
      <b/>
      <sz val="12"/>
      <name val="Arial"/>
      <family val="2"/>
    </font>
    <font>
      <b/>
      <sz val="10"/>
      <name val="Arial"/>
      <family val="2"/>
    </font>
    <font>
      <sz val="11"/>
      <name val="Arial"/>
      <family val="2"/>
    </font>
    <font>
      <sz val="11"/>
      <name val="Symbol"/>
      <family val="1"/>
      <charset val="2"/>
    </font>
    <font>
      <sz val="10"/>
      <color indexed="10"/>
      <name val="Arial"/>
      <family val="2"/>
    </font>
    <font>
      <sz val="10"/>
      <color indexed="12"/>
      <name val="Arial"/>
      <family val="2"/>
    </font>
    <font>
      <sz val="10"/>
      <color indexed="12"/>
      <name val="Century Schoolbook"/>
      <family val="1"/>
    </font>
    <font>
      <sz val="10"/>
      <color indexed="20"/>
      <name val="Arial"/>
      <family val="2"/>
    </font>
    <font>
      <b/>
      <sz val="16"/>
      <name val="Arial"/>
      <family val="2"/>
    </font>
    <font>
      <sz val="10"/>
      <name val="Arial"/>
      <family val="2"/>
    </font>
    <font>
      <vertAlign val="subscript"/>
      <sz val="10"/>
      <name val="Arial"/>
      <family val="2"/>
    </font>
    <font>
      <sz val="10"/>
      <name val="Century Schoolbook"/>
      <family val="1"/>
    </font>
    <font>
      <b/>
      <i/>
      <sz val="10"/>
      <color indexed="10"/>
      <name val="Arial"/>
      <family val="2"/>
    </font>
    <font>
      <sz val="10"/>
      <color indexed="17"/>
      <name val="Arial"/>
      <family val="2"/>
    </font>
    <font>
      <b/>
      <sz val="16"/>
      <color indexed="8"/>
      <name val="Arial"/>
      <family val="2"/>
    </font>
    <font>
      <sz val="10"/>
      <color indexed="12"/>
      <name val="Arial"/>
      <family val="2"/>
    </font>
    <font>
      <b/>
      <sz val="10"/>
      <color indexed="12"/>
      <name val="Arial"/>
      <family val="2"/>
    </font>
    <font>
      <sz val="10"/>
      <color indexed="18"/>
      <name val="Arial"/>
      <family val="2"/>
    </font>
    <font>
      <b/>
      <sz val="10"/>
      <color indexed="18"/>
      <name val="Arial"/>
      <family val="2"/>
    </font>
    <font>
      <b/>
      <sz val="12"/>
      <color indexed="20"/>
      <name val="Arial"/>
      <family val="2"/>
    </font>
    <font>
      <i/>
      <sz val="10"/>
      <name val="Arial"/>
      <family val="2"/>
    </font>
    <font>
      <sz val="11"/>
      <name val="Arial"/>
      <family val="2"/>
    </font>
    <font>
      <vertAlign val="superscript"/>
      <sz val="10"/>
      <name val="Arial"/>
      <family val="2"/>
    </font>
    <font>
      <sz val="10"/>
      <color indexed="8"/>
      <name val="Arial"/>
      <family val="2"/>
    </font>
    <font>
      <b/>
      <sz val="10"/>
      <color indexed="8"/>
      <name val="Arial"/>
      <family val="2"/>
    </font>
    <font>
      <b/>
      <sz val="12"/>
      <color indexed="8"/>
      <name val="Arial"/>
      <family val="2"/>
    </font>
    <font>
      <sz val="11"/>
      <color indexed="8"/>
      <name val="Arial"/>
      <family val="2"/>
    </font>
    <font>
      <sz val="10"/>
      <color indexed="8"/>
      <name val="Arial"/>
      <family val="2"/>
    </font>
    <font>
      <sz val="10"/>
      <color indexed="8"/>
      <name val="Century Schoolbook"/>
      <family val="1"/>
    </font>
    <font>
      <vertAlign val="subscript"/>
      <sz val="11"/>
      <name val="Arial"/>
      <family val="2"/>
    </font>
    <font>
      <b/>
      <sz val="11"/>
      <name val="Arial"/>
      <family val="2"/>
    </font>
    <font>
      <b/>
      <vertAlign val="subscript"/>
      <sz val="11"/>
      <name val="Arial"/>
      <family val="2"/>
    </font>
    <font>
      <b/>
      <sz val="11"/>
      <color indexed="8"/>
      <name val="Arial"/>
      <family val="2"/>
    </font>
    <font>
      <sz val="11"/>
      <color indexed="10"/>
      <name val="Arial"/>
      <family val="2"/>
    </font>
    <font>
      <b/>
      <sz val="12"/>
      <color indexed="12"/>
      <name val="Arial"/>
      <family val="2"/>
    </font>
    <font>
      <sz val="12"/>
      <name val="Arial"/>
      <family val="2"/>
    </font>
    <font>
      <b/>
      <i/>
      <sz val="10"/>
      <color indexed="18"/>
      <name val="Arial"/>
      <family val="2"/>
    </font>
    <font>
      <i/>
      <sz val="10"/>
      <color indexed="12"/>
      <name val="Arial"/>
      <family val="2"/>
    </font>
    <font>
      <i/>
      <sz val="11"/>
      <color indexed="8"/>
      <name val="Arial"/>
      <family val="2"/>
    </font>
    <font>
      <b/>
      <sz val="10"/>
      <color indexed="10"/>
      <name val="Arial"/>
      <family val="2"/>
    </font>
    <font>
      <b/>
      <i/>
      <sz val="10"/>
      <color indexed="12"/>
      <name val="Arial"/>
      <family val="2"/>
    </font>
    <font>
      <b/>
      <i/>
      <sz val="12"/>
      <color indexed="12"/>
      <name val="Arial"/>
      <family val="2"/>
    </font>
    <font>
      <b/>
      <i/>
      <sz val="10"/>
      <name val="Arial"/>
      <family val="2"/>
    </font>
    <font>
      <b/>
      <vertAlign val="subscript"/>
      <sz val="10"/>
      <color indexed="10"/>
      <name val="Arial"/>
      <family val="2"/>
    </font>
    <font>
      <sz val="10"/>
      <color indexed="9"/>
      <name val="Arial"/>
      <family val="2"/>
    </font>
    <font>
      <sz val="9"/>
      <name val="Arial"/>
      <family val="2"/>
    </font>
    <font>
      <b/>
      <sz val="8"/>
      <color indexed="81"/>
      <name val="Tahoma"/>
      <family val="2"/>
    </font>
    <font>
      <vertAlign val="superscript"/>
      <sz val="9"/>
      <name val="Arial"/>
      <family val="2"/>
    </font>
    <font>
      <b/>
      <sz val="8"/>
      <color indexed="81"/>
      <name val="Symbol"/>
      <family val="1"/>
      <charset val="2"/>
    </font>
    <font>
      <sz val="8"/>
      <name val="Arial"/>
      <family val="2"/>
    </font>
    <font>
      <b/>
      <sz val="14"/>
      <name val="Arial"/>
      <family val="2"/>
    </font>
    <font>
      <sz val="9"/>
      <color indexed="81"/>
      <name val="Tahoma"/>
      <family val="2"/>
    </font>
    <font>
      <sz val="9"/>
      <color indexed="81"/>
      <name val="Symbol"/>
      <family val="1"/>
      <charset val="2"/>
    </font>
    <font>
      <b/>
      <u/>
      <sz val="10"/>
      <color indexed="10"/>
      <name val="Arial"/>
      <family val="2"/>
    </font>
    <font>
      <sz val="10"/>
      <color indexed="81"/>
      <name val="Tahoma"/>
      <family val="2"/>
    </font>
    <font>
      <sz val="9"/>
      <name val="Symbol"/>
      <family val="1"/>
      <charset val="2"/>
    </font>
    <font>
      <vertAlign val="subscript"/>
      <sz val="10"/>
      <color indexed="81"/>
      <name val="Tahoma"/>
      <family val="2"/>
    </font>
    <font>
      <sz val="14"/>
      <name val="Arial"/>
      <family val="2"/>
    </font>
    <font>
      <u/>
      <sz val="14"/>
      <name val="Arial"/>
      <family val="2"/>
    </font>
    <font>
      <b/>
      <sz val="8"/>
      <name val="Arial"/>
      <family val="2"/>
    </font>
    <font>
      <sz val="10"/>
      <color indexed="81"/>
      <name val="Symbol"/>
      <family val="1"/>
      <charset val="2"/>
    </font>
    <font>
      <b/>
      <sz val="10"/>
      <color indexed="9"/>
      <name val="Arial"/>
      <family val="2"/>
    </font>
    <font>
      <vertAlign val="superscript"/>
      <sz val="10"/>
      <color indexed="81"/>
      <name val="Tahoma"/>
      <family val="2"/>
    </font>
    <font>
      <sz val="10"/>
      <color indexed="81"/>
      <name val="Arial"/>
      <family val="2"/>
    </font>
    <font>
      <vertAlign val="subscript"/>
      <sz val="10"/>
      <color indexed="81"/>
      <name val="Arial"/>
      <family val="2"/>
    </font>
    <font>
      <sz val="8"/>
      <color indexed="8"/>
      <name val="Arial"/>
      <family val="2"/>
    </font>
    <font>
      <b/>
      <vertAlign val="subscript"/>
      <sz val="10"/>
      <name val="Arial"/>
      <family val="2"/>
    </font>
    <font>
      <sz val="10"/>
      <color indexed="48"/>
      <name val="Arial"/>
      <family val="2"/>
    </font>
    <font>
      <sz val="8"/>
      <color indexed="81"/>
      <name val="Tahoma"/>
      <family val="2"/>
    </font>
    <font>
      <b/>
      <sz val="10"/>
      <color indexed="20"/>
      <name val="Arial"/>
      <family val="2"/>
    </font>
    <font>
      <sz val="10"/>
      <color indexed="25"/>
      <name val="Arial"/>
      <family val="2"/>
    </font>
    <font>
      <b/>
      <sz val="10"/>
      <color indexed="81"/>
      <name val="Tahoma"/>
      <family val="2"/>
    </font>
    <font>
      <sz val="10"/>
      <color indexed="57"/>
      <name val="Arial"/>
      <family val="2"/>
    </font>
    <font>
      <b/>
      <sz val="14"/>
      <color indexed="10"/>
      <name val="Arial"/>
      <family val="2"/>
    </font>
    <font>
      <i/>
      <sz val="10"/>
      <color indexed="20"/>
      <name val="Arial"/>
      <family val="2"/>
    </font>
    <font>
      <sz val="11"/>
      <color indexed="9"/>
      <name val="Arial"/>
      <family val="2"/>
    </font>
    <font>
      <b/>
      <i/>
      <sz val="10"/>
      <color indexed="20"/>
      <name val="Arial"/>
      <family val="2"/>
    </font>
    <font>
      <sz val="9"/>
      <color indexed="10"/>
      <name val="Arial"/>
      <family val="2"/>
    </font>
    <font>
      <b/>
      <sz val="12"/>
      <color rgb="FF000000"/>
      <name val="Arial"/>
      <family val="2"/>
    </font>
  </fonts>
  <fills count="11">
    <fill>
      <patternFill patternType="none"/>
    </fill>
    <fill>
      <patternFill patternType="gray125"/>
    </fill>
    <fill>
      <patternFill patternType="solid">
        <fgColor indexed="41"/>
        <bgColor indexed="64"/>
      </patternFill>
    </fill>
    <fill>
      <patternFill patternType="solid">
        <fgColor indexed="27"/>
        <bgColor indexed="64"/>
      </patternFill>
    </fill>
    <fill>
      <patternFill patternType="solid">
        <fgColor indexed="22"/>
        <bgColor indexed="64"/>
      </patternFill>
    </fill>
    <fill>
      <patternFill patternType="solid">
        <fgColor indexed="9"/>
        <bgColor indexed="64"/>
      </patternFill>
    </fill>
    <fill>
      <patternFill patternType="solid">
        <fgColor indexed="26"/>
        <bgColor indexed="64"/>
      </patternFill>
    </fill>
    <fill>
      <patternFill patternType="solid">
        <fgColor indexed="47"/>
        <bgColor indexed="64"/>
      </patternFill>
    </fill>
    <fill>
      <patternFill patternType="solid">
        <fgColor indexed="42"/>
        <bgColor indexed="64"/>
      </patternFill>
    </fill>
    <fill>
      <patternFill patternType="solid">
        <fgColor indexed="40"/>
        <bgColor indexed="64"/>
      </patternFill>
    </fill>
    <fill>
      <patternFill patternType="solid">
        <fgColor indexed="13"/>
        <bgColor indexed="64"/>
      </patternFill>
    </fill>
  </fills>
  <borders count="2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547">
    <xf numFmtId="0" fontId="0" fillId="0" borderId="0" xfId="0"/>
    <xf numFmtId="0" fontId="0" fillId="0" borderId="0" xfId="0" applyAlignment="1">
      <alignment horizontal="right"/>
    </xf>
    <xf numFmtId="0" fontId="0" fillId="0" borderId="0" xfId="0" applyAlignment="1">
      <alignment horizontal="center"/>
    </xf>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xf>
    <xf numFmtId="0" fontId="0" fillId="0" borderId="0" xfId="0" applyAlignment="1">
      <alignment horizontal="right" wrapText="1"/>
    </xf>
    <xf numFmtId="0" fontId="0" fillId="0" borderId="0" xfId="0" applyAlignment="1">
      <alignment horizontal="center" vertical="center"/>
    </xf>
    <xf numFmtId="0" fontId="1" fillId="0" borderId="0" xfId="0" applyFont="1" applyAlignment="1">
      <alignment horizontal="center"/>
    </xf>
    <xf numFmtId="0" fontId="5" fillId="0" borderId="0" xfId="0" applyFont="1"/>
    <xf numFmtId="0" fontId="5" fillId="0" borderId="0" xfId="0" applyFont="1" applyAlignment="1">
      <alignment horizontal="center"/>
    </xf>
    <xf numFmtId="0" fontId="6" fillId="0" borderId="0" xfId="0" applyFont="1"/>
    <xf numFmtId="0" fontId="6" fillId="0" borderId="0" xfId="0" applyFont="1" applyAlignment="1">
      <alignment horizontal="center"/>
    </xf>
    <xf numFmtId="0" fontId="7" fillId="0" borderId="0" xfId="0" applyFont="1"/>
    <xf numFmtId="0" fontId="8" fillId="0" borderId="0" xfId="0" applyFont="1"/>
    <xf numFmtId="0" fontId="2" fillId="0" borderId="0" xfId="0" applyFont="1"/>
    <xf numFmtId="0" fontId="9" fillId="0" borderId="0" xfId="0" applyFont="1"/>
    <xf numFmtId="0" fontId="12" fillId="0" borderId="0" xfId="0" applyFont="1"/>
    <xf numFmtId="0" fontId="15" fillId="0" borderId="0" xfId="0" applyFont="1" applyAlignment="1">
      <alignment horizontal="center"/>
    </xf>
    <xf numFmtId="0" fontId="16" fillId="0" borderId="0" xfId="0" applyFont="1"/>
    <xf numFmtId="0" fontId="16" fillId="0" borderId="0" xfId="0" applyFont="1" applyBorder="1"/>
    <xf numFmtId="0" fontId="16" fillId="0" borderId="0" xfId="0" applyFont="1" applyAlignment="1">
      <alignment horizontal="center"/>
    </xf>
    <xf numFmtId="0" fontId="18" fillId="0" borderId="0" xfId="0" applyFont="1" applyAlignment="1"/>
    <xf numFmtId="0" fontId="18" fillId="0" borderId="0" xfId="0" applyFont="1"/>
    <xf numFmtId="0" fontId="18" fillId="0" borderId="0" xfId="0" applyFont="1" applyBorder="1"/>
    <xf numFmtId="0" fontId="18" fillId="0" borderId="0" xfId="0" applyFont="1" applyAlignment="1">
      <alignment horizontal="center"/>
    </xf>
    <xf numFmtId="0" fontId="19" fillId="0" borderId="0" xfId="0" applyFont="1"/>
    <xf numFmtId="0" fontId="19" fillId="0" borderId="0" xfId="0" applyFont="1" applyAlignment="1">
      <alignment horizontal="center"/>
    </xf>
    <xf numFmtId="0" fontId="20" fillId="0" borderId="0" xfId="0" applyFont="1" applyAlignment="1">
      <alignment horizontal="right"/>
    </xf>
    <xf numFmtId="0" fontId="19" fillId="0" borderId="0" xfId="0" applyFont="1" applyAlignment="1"/>
    <xf numFmtId="0" fontId="0" fillId="0" borderId="0" xfId="0" applyAlignment="1">
      <alignment horizontal="left"/>
    </xf>
    <xf numFmtId="0" fontId="2" fillId="0" borderId="0" xfId="0" applyFont="1" applyAlignment="1">
      <alignment horizontal="left"/>
    </xf>
    <xf numFmtId="0" fontId="21" fillId="0" borderId="0" xfId="0" applyFont="1" applyAlignment="1">
      <alignment horizontal="left"/>
    </xf>
    <xf numFmtId="0" fontId="22" fillId="0" borderId="0" xfId="0" applyFont="1" applyAlignment="1">
      <alignment horizontal="center" vertical="center"/>
    </xf>
    <xf numFmtId="0" fontId="24" fillId="0" borderId="0" xfId="0" applyFont="1" applyAlignment="1">
      <alignment horizontal="center"/>
    </xf>
    <xf numFmtId="0" fontId="24" fillId="0" borderId="0" xfId="0" applyFont="1"/>
    <xf numFmtId="0" fontId="25" fillId="0" borderId="0" xfId="0" applyFont="1"/>
    <xf numFmtId="0" fontId="25" fillId="0" borderId="0" xfId="0" applyFont="1" applyAlignment="1">
      <alignment horizontal="center"/>
    </xf>
    <xf numFmtId="0" fontId="27" fillId="0" borderId="0" xfId="0" applyFont="1" applyAlignment="1">
      <alignment horizontal="center"/>
    </xf>
    <xf numFmtId="0" fontId="24" fillId="0" borderId="0" xfId="0" applyFont="1" applyAlignment="1">
      <alignment horizontal="left"/>
    </xf>
    <xf numFmtId="0" fontId="28" fillId="0" borderId="0" xfId="0" applyFont="1"/>
    <xf numFmtId="0" fontId="28" fillId="0" borderId="0" xfId="0" applyFont="1" applyAlignment="1">
      <alignment horizontal="center"/>
    </xf>
    <xf numFmtId="0" fontId="24" fillId="0" borderId="0" xfId="0" applyFont="1" applyAlignment="1">
      <alignment horizontal="center" vertical="center"/>
    </xf>
    <xf numFmtId="0" fontId="29" fillId="0" borderId="0" xfId="0" applyFont="1"/>
    <xf numFmtId="0" fontId="25" fillId="0" borderId="0" xfId="0" applyFont="1" applyAlignment="1">
      <alignment horizontal="left"/>
    </xf>
    <xf numFmtId="0" fontId="25" fillId="0" borderId="0" xfId="0" applyFont="1" applyAlignment="1">
      <alignment horizontal="center" vertical="center"/>
    </xf>
    <xf numFmtId="0" fontId="10" fillId="0" borderId="0" xfId="0" applyFont="1" applyAlignment="1">
      <alignment horizontal="left"/>
    </xf>
    <xf numFmtId="0" fontId="28" fillId="0" borderId="0" xfId="0" quotePrefix="1" applyFont="1"/>
    <xf numFmtId="0" fontId="0" fillId="0" borderId="0" xfId="0" applyAlignment="1"/>
    <xf numFmtId="0" fontId="28" fillId="0" borderId="0" xfId="0" applyFont="1" applyAlignment="1">
      <alignment horizontal="right"/>
    </xf>
    <xf numFmtId="0" fontId="31" fillId="0" borderId="0" xfId="0" applyFont="1" applyAlignment="1">
      <alignment horizontal="center" vertical="center"/>
    </xf>
    <xf numFmtId="0" fontId="26" fillId="0" borderId="0" xfId="0" applyFont="1" applyAlignment="1">
      <alignment horizontal="left"/>
    </xf>
    <xf numFmtId="0" fontId="31" fillId="0" borderId="0" xfId="0" applyFont="1" applyAlignment="1">
      <alignment horizontal="center"/>
    </xf>
    <xf numFmtId="0" fontId="31" fillId="0" borderId="0" xfId="0" applyFont="1" applyAlignment="1">
      <alignment horizontal="right"/>
    </xf>
    <xf numFmtId="0" fontId="21" fillId="0" borderId="0" xfId="0" applyFont="1" applyAlignment="1">
      <alignment horizontal="right" wrapText="1"/>
    </xf>
    <xf numFmtId="0" fontId="0" fillId="0" borderId="0" xfId="0" applyAlignment="1">
      <alignment horizontal="left" vertical="center"/>
    </xf>
    <xf numFmtId="0" fontId="28" fillId="0" borderId="0" xfId="0" applyFont="1" applyAlignment="1">
      <alignment horizontal="left"/>
    </xf>
    <xf numFmtId="0" fontId="10" fillId="0" borderId="0" xfId="0" applyFont="1" applyAlignment="1">
      <alignment horizontal="right"/>
    </xf>
    <xf numFmtId="165" fontId="0" fillId="0" borderId="0" xfId="0" applyNumberFormat="1" applyAlignment="1">
      <alignment horizontal="center"/>
    </xf>
    <xf numFmtId="164" fontId="31" fillId="0" borderId="0" xfId="0" applyNumberFormat="1" applyFont="1" applyAlignment="1">
      <alignment horizontal="center"/>
    </xf>
    <xf numFmtId="0" fontId="31" fillId="0" borderId="0" xfId="0" applyFont="1" applyAlignment="1">
      <alignment horizontal="right" wrapText="1"/>
    </xf>
    <xf numFmtId="0" fontId="35" fillId="0" borderId="0" xfId="0" applyFont="1"/>
    <xf numFmtId="0" fontId="31" fillId="0" borderId="0" xfId="0" applyFont="1"/>
    <xf numFmtId="0" fontId="10" fillId="0" borderId="0" xfId="0" applyFont="1" applyAlignment="1">
      <alignment horizontal="center"/>
    </xf>
    <xf numFmtId="0" fontId="1" fillId="0" borderId="0" xfId="0" applyFont="1" applyAlignment="1">
      <alignment horizontal="center" vertical="center"/>
    </xf>
    <xf numFmtId="0" fontId="36" fillId="0" borderId="0" xfId="0" applyFont="1" applyAlignment="1">
      <alignment horizontal="center"/>
    </xf>
    <xf numFmtId="0" fontId="36" fillId="0" borderId="0" xfId="0" applyFont="1" applyAlignment="1">
      <alignment horizontal="center" vertical="center"/>
    </xf>
    <xf numFmtId="165" fontId="0" fillId="0" borderId="0" xfId="0" applyNumberFormat="1"/>
    <xf numFmtId="0" fontId="37" fillId="0" borderId="0" xfId="0" applyFont="1"/>
    <xf numFmtId="0" fontId="18" fillId="0" borderId="0" xfId="0" applyFont="1" applyAlignment="1">
      <alignment horizontal="left"/>
    </xf>
    <xf numFmtId="0" fontId="19" fillId="0" borderId="0" xfId="0" applyFont="1" applyAlignment="1">
      <alignment horizontal="left"/>
    </xf>
    <xf numFmtId="0" fontId="25" fillId="0" borderId="0" xfId="0" applyFont="1" applyAlignment="1">
      <alignment horizontal="right"/>
    </xf>
    <xf numFmtId="164" fontId="24" fillId="0" borderId="0" xfId="0" applyNumberFormat="1" applyFont="1" applyAlignment="1">
      <alignment horizontal="center"/>
    </xf>
    <xf numFmtId="0" fontId="18" fillId="0" borderId="1" xfId="0" applyFont="1" applyBorder="1"/>
    <xf numFmtId="0" fontId="18" fillId="0" borderId="2" xfId="0" applyFont="1" applyBorder="1"/>
    <xf numFmtId="0" fontId="18" fillId="0" borderId="3" xfId="0" applyFont="1" applyBorder="1" applyAlignment="1">
      <alignment horizontal="left"/>
    </xf>
    <xf numFmtId="0" fontId="18" fillId="0" borderId="4" xfId="0" applyFont="1" applyBorder="1"/>
    <xf numFmtId="0" fontId="18" fillId="0" borderId="5" xfId="0" applyFont="1" applyBorder="1"/>
    <xf numFmtId="0" fontId="18" fillId="0" borderId="6" xfId="0" applyFont="1" applyBorder="1"/>
    <xf numFmtId="2" fontId="0" fillId="0" borderId="0" xfId="0" applyNumberFormat="1" applyAlignment="1">
      <alignment horizontal="center" vertical="center"/>
    </xf>
    <xf numFmtId="0" fontId="10" fillId="0" borderId="0" xfId="0" applyFont="1"/>
    <xf numFmtId="0" fontId="33" fillId="0" borderId="0" xfId="0" applyFont="1" applyAlignment="1">
      <alignment horizontal="left"/>
    </xf>
    <xf numFmtId="0" fontId="0" fillId="0" borderId="6" xfId="0" applyBorder="1"/>
    <xf numFmtId="0" fontId="0" fillId="0" borderId="0" xfId="0" applyBorder="1"/>
    <xf numFmtId="0" fontId="0" fillId="0" borderId="7" xfId="0" applyBorder="1"/>
    <xf numFmtId="1" fontId="31" fillId="0" borderId="0" xfId="0" applyNumberFormat="1" applyFont="1" applyAlignment="1">
      <alignment horizontal="center"/>
    </xf>
    <xf numFmtId="0" fontId="0" fillId="0" borderId="0" xfId="0" applyNumberFormat="1" applyAlignment="1" applyProtection="1">
      <alignment horizontal="right" wrapText="1"/>
    </xf>
    <xf numFmtId="0" fontId="2" fillId="0" borderId="0" xfId="0" applyFont="1" applyBorder="1" applyAlignment="1">
      <alignment horizontal="left"/>
    </xf>
    <xf numFmtId="0" fontId="22" fillId="0" borderId="0" xfId="0" applyFont="1" applyAlignment="1">
      <alignment horizontal="center"/>
    </xf>
    <xf numFmtId="0" fontId="4" fillId="0" borderId="0" xfId="0" applyFont="1" applyAlignment="1">
      <alignment horizontal="center"/>
    </xf>
    <xf numFmtId="0" fontId="0" fillId="0" borderId="8" xfId="0" applyBorder="1"/>
    <xf numFmtId="0" fontId="25" fillId="0" borderId="9" xfId="0" applyFont="1" applyBorder="1" applyAlignment="1">
      <alignment horizontal="left"/>
    </xf>
    <xf numFmtId="0" fontId="25" fillId="0" borderId="10" xfId="0" applyFont="1" applyBorder="1"/>
    <xf numFmtId="0" fontId="25" fillId="0" borderId="10" xfId="0" applyFont="1" applyBorder="1" applyAlignment="1">
      <alignment horizontal="right"/>
    </xf>
    <xf numFmtId="14" fontId="18" fillId="0" borderId="0" xfId="0" applyNumberFormat="1" applyFont="1" applyBorder="1" applyAlignment="1">
      <alignment horizontal="left"/>
    </xf>
    <xf numFmtId="0" fontId="2" fillId="0" borderId="0" xfId="0" applyFont="1" applyBorder="1" applyAlignment="1">
      <alignment horizontal="center"/>
    </xf>
    <xf numFmtId="0" fontId="33" fillId="0" borderId="0" xfId="0" applyFont="1" applyAlignment="1">
      <alignment horizontal="center"/>
    </xf>
    <xf numFmtId="0" fontId="0" fillId="0" borderId="11" xfId="0" applyBorder="1"/>
    <xf numFmtId="0" fontId="14" fillId="0" borderId="10" xfId="0" applyFont="1" applyBorder="1" applyAlignment="1">
      <alignment horizontal="center"/>
    </xf>
    <xf numFmtId="0" fontId="43" fillId="0" borderId="0" xfId="0" applyFont="1" applyAlignment="1">
      <alignment horizontal="left" vertical="center"/>
    </xf>
    <xf numFmtId="0" fontId="14" fillId="0" borderId="6" xfId="0" applyFont="1" applyBorder="1" applyAlignment="1">
      <alignment horizontal="center" vertical="center"/>
    </xf>
    <xf numFmtId="0" fontId="14" fillId="0" borderId="10" xfId="0" applyFont="1" applyBorder="1" applyAlignment="1">
      <alignment horizontal="center" vertical="center"/>
    </xf>
    <xf numFmtId="0" fontId="0" fillId="0" borderId="1" xfId="0" applyBorder="1" applyAlignment="1">
      <alignment horizontal="left"/>
    </xf>
    <xf numFmtId="0" fontId="0" fillId="0" borderId="5" xfId="0" applyBorder="1" applyAlignment="1">
      <alignment horizontal="left"/>
    </xf>
    <xf numFmtId="0" fontId="18" fillId="0" borderId="6" xfId="0" applyFont="1" applyBorder="1" applyAlignment="1">
      <alignment horizontal="left"/>
    </xf>
    <xf numFmtId="0" fontId="25" fillId="0" borderId="12" xfId="0" applyFont="1" applyBorder="1"/>
    <xf numFmtId="0" fontId="0" fillId="0" borderId="8" xfId="0" applyBorder="1" applyAlignment="1">
      <alignment horizontal="left"/>
    </xf>
    <xf numFmtId="14" fontId="0" fillId="0" borderId="3" xfId="0" applyNumberFormat="1" applyBorder="1" applyAlignment="1">
      <alignment horizontal="left"/>
    </xf>
    <xf numFmtId="165" fontId="0" fillId="0" borderId="0" xfId="0" applyNumberFormat="1" applyAlignment="1">
      <alignment horizontal="center" vertical="center"/>
    </xf>
    <xf numFmtId="14" fontId="0" fillId="0" borderId="0" xfId="0" applyNumberFormat="1" applyBorder="1" applyAlignment="1">
      <alignment horizontal="left"/>
    </xf>
    <xf numFmtId="0" fontId="0" fillId="0" borderId="0" xfId="0" applyBorder="1" applyAlignment="1">
      <alignment horizontal="left"/>
    </xf>
    <xf numFmtId="165" fontId="5" fillId="0" borderId="0" xfId="0" applyNumberFormat="1" applyFont="1" applyAlignment="1">
      <alignment horizontal="center"/>
    </xf>
    <xf numFmtId="165" fontId="5" fillId="0" borderId="0" xfId="0" applyNumberFormat="1" applyFont="1"/>
    <xf numFmtId="166" fontId="16" fillId="0" borderId="0" xfId="0" applyNumberFormat="1" applyFont="1" applyAlignment="1">
      <alignment horizontal="center"/>
    </xf>
    <xf numFmtId="166" fontId="0" fillId="0" borderId="0" xfId="0" applyNumberFormat="1" applyAlignment="1">
      <alignment horizontal="center" vertical="center"/>
    </xf>
    <xf numFmtId="0" fontId="2" fillId="2" borderId="0" xfId="0" applyFont="1" applyFill="1" applyAlignment="1" applyProtection="1">
      <alignment horizontal="left"/>
      <protection locked="0"/>
    </xf>
    <xf numFmtId="15" fontId="2" fillId="2" borderId="0" xfId="0" applyNumberFormat="1" applyFont="1" applyFill="1" applyAlignment="1" applyProtection="1">
      <alignment horizontal="left"/>
      <protection locked="0"/>
    </xf>
    <xf numFmtId="0" fontId="0" fillId="0" borderId="0" xfId="0" applyProtection="1"/>
    <xf numFmtId="0" fontId="0" fillId="0" borderId="0" xfId="0" applyAlignment="1" applyProtection="1">
      <alignment horizontal="center"/>
    </xf>
    <xf numFmtId="0" fontId="0" fillId="0" borderId="0" xfId="0" applyAlignment="1" applyProtection="1">
      <alignment horizontal="left"/>
    </xf>
    <xf numFmtId="0" fontId="2" fillId="0" borderId="0" xfId="0" applyFont="1" applyAlignment="1" applyProtection="1">
      <alignment horizontal="left"/>
    </xf>
    <xf numFmtId="0" fontId="20" fillId="0" borderId="0" xfId="0" applyFont="1" applyAlignment="1" applyProtection="1"/>
    <xf numFmtId="0" fontId="20" fillId="0" borderId="0" xfId="0" applyFont="1" applyAlignment="1" applyProtection="1">
      <alignment horizontal="right"/>
    </xf>
    <xf numFmtId="0" fontId="16" fillId="0" borderId="0" xfId="0" applyFont="1" applyProtection="1"/>
    <xf numFmtId="0" fontId="0" fillId="0" borderId="0" xfId="0" applyAlignment="1" applyProtection="1">
      <alignment horizontal="right"/>
    </xf>
    <xf numFmtId="0" fontId="22" fillId="0" borderId="0" xfId="0" applyFont="1" applyAlignment="1" applyProtection="1">
      <alignment horizontal="center" vertical="center"/>
    </xf>
    <xf numFmtId="0" fontId="21" fillId="0" borderId="0" xfId="0" applyFont="1" applyAlignment="1" applyProtection="1">
      <alignment horizontal="left"/>
    </xf>
    <xf numFmtId="0" fontId="2" fillId="0" borderId="0" xfId="0" applyFont="1" applyAlignment="1" applyProtection="1">
      <alignment horizontal="center" vertical="center"/>
    </xf>
    <xf numFmtId="167" fontId="31" fillId="0" borderId="0" xfId="0" applyNumberFormat="1" applyFont="1" applyAlignment="1">
      <alignment horizontal="center"/>
    </xf>
    <xf numFmtId="11" fontId="10" fillId="0" borderId="0" xfId="0" applyNumberFormat="1" applyFont="1" applyAlignment="1">
      <alignment horizontal="center"/>
    </xf>
    <xf numFmtId="11" fontId="0" fillId="0" borderId="0" xfId="0" applyNumberFormat="1" applyAlignment="1">
      <alignment horizontal="center"/>
    </xf>
    <xf numFmtId="11" fontId="5" fillId="0" borderId="0" xfId="0" applyNumberFormat="1" applyFont="1" applyAlignment="1">
      <alignment horizontal="center"/>
    </xf>
    <xf numFmtId="11" fontId="16" fillId="0" borderId="0" xfId="0" applyNumberFormat="1" applyFont="1" applyAlignment="1">
      <alignment horizontal="center"/>
    </xf>
    <xf numFmtId="167" fontId="5" fillId="0" borderId="0" xfId="0" applyNumberFormat="1" applyFont="1" applyAlignment="1">
      <alignment horizontal="center"/>
    </xf>
    <xf numFmtId="167" fontId="16" fillId="0" borderId="0" xfId="0" applyNumberFormat="1" applyFont="1" applyAlignment="1">
      <alignment horizontal="center"/>
    </xf>
    <xf numFmtId="166" fontId="0" fillId="0" borderId="0" xfId="0" applyNumberFormat="1"/>
    <xf numFmtId="166" fontId="5" fillId="0" borderId="0" xfId="0" applyNumberFormat="1" applyFont="1" applyAlignment="1">
      <alignment horizontal="center"/>
    </xf>
    <xf numFmtId="166" fontId="5" fillId="0" borderId="0" xfId="0" applyNumberFormat="1" applyFont="1"/>
    <xf numFmtId="166" fontId="6" fillId="0" borderId="0" xfId="0" applyNumberFormat="1" applyFont="1" applyAlignment="1">
      <alignment horizontal="center"/>
    </xf>
    <xf numFmtId="166" fontId="7" fillId="0" borderId="0" xfId="0" applyNumberFormat="1" applyFont="1"/>
    <xf numFmtId="2" fontId="5" fillId="0" borderId="0" xfId="0" applyNumberFormat="1" applyFont="1" applyAlignment="1">
      <alignment horizontal="center"/>
    </xf>
    <xf numFmtId="11" fontId="28" fillId="2" borderId="13" xfId="0" applyNumberFormat="1" applyFont="1" applyFill="1" applyBorder="1" applyAlignment="1" applyProtection="1">
      <alignment horizontal="center"/>
      <protection locked="0"/>
    </xf>
    <xf numFmtId="11" fontId="31" fillId="0" borderId="0" xfId="0" applyNumberFormat="1" applyFont="1" applyAlignment="1">
      <alignment horizontal="center"/>
    </xf>
    <xf numFmtId="168" fontId="0" fillId="0" borderId="0" xfId="0" applyNumberFormat="1" applyAlignment="1">
      <alignment horizontal="center"/>
    </xf>
    <xf numFmtId="166" fontId="16" fillId="0" borderId="0" xfId="0" applyNumberFormat="1" applyFont="1"/>
    <xf numFmtId="11" fontId="16" fillId="0" borderId="0" xfId="0" applyNumberFormat="1" applyFont="1"/>
    <xf numFmtId="0" fontId="21" fillId="0" borderId="0" xfId="0" applyFont="1" applyAlignment="1" applyProtection="1">
      <alignment horizontal="left"/>
      <protection locked="0"/>
    </xf>
    <xf numFmtId="11" fontId="28" fillId="2" borderId="13" xfId="0" applyNumberFormat="1" applyFont="1" applyFill="1" applyBorder="1" applyAlignment="1" applyProtection="1">
      <alignment horizontal="center" vertical="center"/>
      <protection locked="0"/>
    </xf>
    <xf numFmtId="0" fontId="2" fillId="3" borderId="0" xfId="0" applyFont="1" applyFill="1" applyProtection="1">
      <protection locked="0"/>
    </xf>
    <xf numFmtId="0" fontId="1" fillId="0" borderId="0" xfId="0" applyFont="1"/>
    <xf numFmtId="0" fontId="31" fillId="4" borderId="0" xfId="0" applyFont="1" applyFill="1" applyBorder="1" applyAlignment="1">
      <alignment horizontal="center"/>
    </xf>
    <xf numFmtId="0" fontId="31" fillId="4" borderId="7" xfId="0" applyFont="1" applyFill="1" applyBorder="1" applyAlignment="1">
      <alignment horizontal="center"/>
    </xf>
    <xf numFmtId="0" fontId="0" fillId="4" borderId="4" xfId="0" applyFill="1" applyBorder="1" applyAlignment="1">
      <alignment horizontal="right"/>
    </xf>
    <xf numFmtId="0" fontId="31" fillId="4" borderId="8" xfId="0" applyFont="1" applyFill="1" applyBorder="1" applyAlignment="1">
      <alignment horizontal="center"/>
    </xf>
    <xf numFmtId="0" fontId="31" fillId="4" borderId="1" xfId="0" applyFont="1" applyFill="1" applyBorder="1" applyAlignment="1">
      <alignment horizontal="right"/>
    </xf>
    <xf numFmtId="0" fontId="31" fillId="4" borderId="2" xfId="0" applyFont="1" applyFill="1" applyBorder="1" applyAlignment="1">
      <alignment horizontal="center"/>
    </xf>
    <xf numFmtId="0" fontId="31" fillId="4" borderId="3" xfId="0" applyFont="1" applyFill="1" applyBorder="1" applyAlignment="1">
      <alignment horizontal="center"/>
    </xf>
    <xf numFmtId="164" fontId="31" fillId="4" borderId="0" xfId="0" applyNumberFormat="1" applyFont="1" applyFill="1" applyBorder="1" applyAlignment="1">
      <alignment horizontal="center"/>
    </xf>
    <xf numFmtId="0" fontId="0" fillId="4" borderId="5" xfId="0" applyFill="1" applyBorder="1" applyAlignment="1">
      <alignment horizontal="right"/>
    </xf>
    <xf numFmtId="0" fontId="31" fillId="4" borderId="6" xfId="0" applyFont="1" applyFill="1" applyBorder="1" applyAlignment="1">
      <alignment horizontal="center"/>
    </xf>
    <xf numFmtId="0" fontId="31" fillId="4" borderId="9" xfId="0" applyFont="1" applyFill="1" applyBorder="1" applyAlignment="1">
      <alignment horizontal="right"/>
    </xf>
    <xf numFmtId="0" fontId="31" fillId="4" borderId="10" xfId="0" applyFont="1" applyFill="1" applyBorder="1" applyAlignment="1">
      <alignment horizontal="center"/>
    </xf>
    <xf numFmtId="0" fontId="31" fillId="4" borderId="12" xfId="0" applyFont="1" applyFill="1" applyBorder="1" applyAlignment="1">
      <alignment horizontal="center"/>
    </xf>
    <xf numFmtId="0" fontId="46" fillId="0" borderId="0" xfId="0" applyFont="1" applyAlignment="1">
      <alignment horizontal="right"/>
    </xf>
    <xf numFmtId="0" fontId="46" fillId="0" borderId="0" xfId="0" applyFont="1" applyAlignment="1">
      <alignment horizontal="center"/>
    </xf>
    <xf numFmtId="0" fontId="46" fillId="0" borderId="0" xfId="0" applyFont="1"/>
    <xf numFmtId="0" fontId="46" fillId="4" borderId="13" xfId="0" applyFont="1" applyFill="1" applyBorder="1" applyAlignment="1">
      <alignment horizontal="right"/>
    </xf>
    <xf numFmtId="0" fontId="46" fillId="4" borderId="13" xfId="0" applyFont="1" applyFill="1" applyBorder="1" applyAlignment="1">
      <alignment horizontal="center"/>
    </xf>
    <xf numFmtId="11" fontId="46" fillId="4" borderId="13" xfId="0" applyNumberFormat="1" applyFont="1" applyFill="1" applyBorder="1" applyAlignment="1">
      <alignment horizontal="center"/>
    </xf>
    <xf numFmtId="0" fontId="46" fillId="4" borderId="13" xfId="0" applyFont="1" applyFill="1" applyBorder="1"/>
    <xf numFmtId="11" fontId="46" fillId="0" borderId="0" xfId="0" applyNumberFormat="1" applyFont="1" applyAlignment="1">
      <alignment horizontal="center"/>
    </xf>
    <xf numFmtId="0" fontId="0" fillId="0" borderId="0" xfId="0" applyFill="1" applyProtection="1"/>
    <xf numFmtId="0" fontId="46" fillId="5" borderId="0" xfId="0" applyFont="1" applyFill="1" applyBorder="1"/>
    <xf numFmtId="0" fontId="46" fillId="5" borderId="0" xfId="0" applyFont="1" applyFill="1"/>
    <xf numFmtId="0" fontId="46" fillId="4" borderId="12" xfId="0" applyFont="1" applyFill="1" applyBorder="1"/>
    <xf numFmtId="11" fontId="46" fillId="4" borderId="9" xfId="0" applyNumberFormat="1" applyFont="1" applyFill="1" applyBorder="1" applyAlignment="1">
      <alignment horizontal="center"/>
    </xf>
    <xf numFmtId="0" fontId="0" fillId="4" borderId="12" xfId="0" applyFill="1" applyBorder="1"/>
    <xf numFmtId="11" fontId="46" fillId="3" borderId="13" xfId="0" applyNumberFormat="1" applyFont="1" applyFill="1" applyBorder="1" applyAlignment="1" applyProtection="1">
      <alignment horizontal="center"/>
      <protection locked="0"/>
    </xf>
    <xf numFmtId="0" fontId="0" fillId="6" borderId="13" xfId="0" applyFill="1" applyBorder="1" applyAlignment="1" applyProtection="1">
      <alignment horizontal="left"/>
      <protection locked="0"/>
    </xf>
    <xf numFmtId="0" fontId="21" fillId="6" borderId="13" xfId="0" applyFont="1" applyFill="1" applyBorder="1" applyAlignment="1" applyProtection="1">
      <alignment horizontal="left"/>
      <protection locked="0"/>
    </xf>
    <xf numFmtId="0" fontId="50" fillId="0" borderId="0" xfId="0" applyFont="1" applyProtection="1"/>
    <xf numFmtId="0" fontId="0" fillId="0" borderId="0" xfId="0" applyProtection="1">
      <protection locked="0"/>
    </xf>
    <xf numFmtId="11" fontId="10" fillId="0" borderId="0" xfId="0" applyNumberFormat="1" applyFont="1" applyAlignment="1" applyProtection="1">
      <alignment horizontal="center" vertical="center"/>
    </xf>
    <xf numFmtId="0" fontId="28" fillId="0" borderId="0" xfId="0" applyFont="1" applyFill="1" applyBorder="1" applyAlignment="1" applyProtection="1">
      <alignment horizontal="center"/>
      <protection locked="0"/>
    </xf>
    <xf numFmtId="11" fontId="28" fillId="0" borderId="13" xfId="0" applyNumberFormat="1" applyFont="1" applyFill="1" applyBorder="1" applyAlignment="1" applyProtection="1">
      <alignment horizontal="center"/>
    </xf>
    <xf numFmtId="11" fontId="0" fillId="0" borderId="0" xfId="0" applyNumberFormat="1" applyAlignment="1">
      <alignment horizontal="center" vertical="center"/>
    </xf>
    <xf numFmtId="166" fontId="28" fillId="0" borderId="13" xfId="0" applyNumberFormat="1" applyFont="1" applyBorder="1" applyAlignment="1">
      <alignment horizontal="center"/>
    </xf>
    <xf numFmtId="0" fontId="56" fillId="0" borderId="0" xfId="0" applyFont="1" applyAlignment="1">
      <alignment horizontal="center"/>
    </xf>
    <xf numFmtId="0" fontId="46" fillId="0" borderId="0" xfId="0" applyFont="1" applyAlignment="1" applyProtection="1">
      <alignment horizontal="center"/>
      <protection locked="0"/>
    </xf>
    <xf numFmtId="0" fontId="2" fillId="0" borderId="0" xfId="0" applyFont="1" applyAlignment="1" applyProtection="1">
      <alignment horizontal="center"/>
      <protection locked="0"/>
    </xf>
    <xf numFmtId="0" fontId="19" fillId="0" borderId="0" xfId="0" applyFont="1" applyProtection="1">
      <protection locked="0"/>
    </xf>
    <xf numFmtId="0" fontId="46" fillId="0" borderId="0" xfId="0" applyFont="1" applyProtection="1">
      <protection locked="0"/>
    </xf>
    <xf numFmtId="0" fontId="45" fillId="0" borderId="0" xfId="0" applyFont="1"/>
    <xf numFmtId="0" fontId="0" fillId="0" borderId="0" xfId="0" applyFont="1" applyAlignment="1">
      <alignment horizontal="center" vertical="center"/>
    </xf>
    <xf numFmtId="0" fontId="45" fillId="0" borderId="0" xfId="0" applyFont="1" applyAlignment="1">
      <alignment horizontal="center"/>
    </xf>
    <xf numFmtId="11" fontId="0" fillId="0" borderId="0" xfId="0" applyNumberFormat="1" applyFill="1" applyAlignment="1">
      <alignment horizontal="center"/>
    </xf>
    <xf numFmtId="168" fontId="0" fillId="0" borderId="0" xfId="0" applyNumberFormat="1" applyAlignment="1">
      <alignment horizontal="center" vertical="center"/>
    </xf>
    <xf numFmtId="168" fontId="0" fillId="0" borderId="0" xfId="0" applyNumberFormat="1"/>
    <xf numFmtId="0" fontId="43" fillId="0" borderId="0" xfId="0" applyFont="1" applyAlignment="1">
      <alignment horizontal="left"/>
    </xf>
    <xf numFmtId="0" fontId="5" fillId="0" borderId="0" xfId="0" applyFont="1" applyAlignment="1">
      <alignment horizontal="left"/>
    </xf>
    <xf numFmtId="0" fontId="58" fillId="0" borderId="0" xfId="0" applyFont="1" applyProtection="1"/>
    <xf numFmtId="0" fontId="13" fillId="0" borderId="0" xfId="0" applyFont="1" applyAlignment="1">
      <alignment horizontal="left"/>
    </xf>
    <xf numFmtId="11" fontId="62" fillId="0" borderId="6" xfId="0" applyNumberFormat="1" applyFont="1" applyFill="1" applyBorder="1" applyAlignment="1">
      <alignment horizontal="center"/>
    </xf>
    <xf numFmtId="11" fontId="62" fillId="0" borderId="0" xfId="0" applyNumberFormat="1" applyFont="1" applyFill="1" applyBorder="1" applyAlignment="1">
      <alignment horizontal="center"/>
    </xf>
    <xf numFmtId="0" fontId="0" fillId="0" borderId="0" xfId="0" applyProtection="1">
      <protection hidden="1"/>
    </xf>
    <xf numFmtId="0" fontId="50" fillId="0" borderId="0" xfId="0" applyFont="1" applyProtection="1">
      <protection hidden="1"/>
    </xf>
    <xf numFmtId="0" fontId="10" fillId="0" borderId="0" xfId="0" applyFont="1" applyProtection="1">
      <protection hidden="1"/>
    </xf>
    <xf numFmtId="0" fontId="60" fillId="0" borderId="0" xfId="0" applyFont="1" applyProtection="1">
      <protection hidden="1"/>
    </xf>
    <xf numFmtId="0" fontId="2" fillId="0" borderId="0" xfId="0" applyFont="1" applyProtection="1">
      <protection hidden="1"/>
    </xf>
    <xf numFmtId="0" fontId="2" fillId="0" borderId="0" xfId="0" applyFont="1" applyFill="1" applyProtection="1">
      <protection hidden="1"/>
    </xf>
    <xf numFmtId="0" fontId="0" fillId="0" borderId="0" xfId="0" applyFill="1" applyProtection="1">
      <protection hidden="1"/>
    </xf>
    <xf numFmtId="0" fontId="54" fillId="0" borderId="1" xfId="0" applyFont="1" applyBorder="1" applyProtection="1">
      <protection hidden="1"/>
    </xf>
    <xf numFmtId="0" fontId="0" fillId="0" borderId="2" xfId="0" applyBorder="1" applyProtection="1">
      <protection hidden="1"/>
    </xf>
    <xf numFmtId="0" fontId="0" fillId="0" borderId="3" xfId="0" applyBorder="1" applyProtection="1">
      <protection hidden="1"/>
    </xf>
    <xf numFmtId="0" fontId="40" fillId="0" borderId="4" xfId="0" applyFont="1" applyBorder="1" applyProtection="1">
      <protection hidden="1"/>
    </xf>
    <xf numFmtId="0" fontId="0" fillId="0" borderId="7" xfId="0" applyBorder="1" applyProtection="1">
      <protection hidden="1"/>
    </xf>
    <xf numFmtId="0" fontId="2" fillId="0" borderId="0" xfId="0" applyFont="1" applyAlignment="1" applyProtection="1">
      <alignment horizontal="center"/>
      <protection hidden="1"/>
    </xf>
    <xf numFmtId="0" fontId="40" fillId="0" borderId="0" xfId="0" applyFont="1" applyProtection="1">
      <protection hidden="1"/>
    </xf>
    <xf numFmtId="0" fontId="0" fillId="0" borderId="4" xfId="0" applyBorder="1" applyProtection="1">
      <protection hidden="1"/>
    </xf>
    <xf numFmtId="0" fontId="40" fillId="0" borderId="5" xfId="0" applyFont="1" applyBorder="1" applyProtection="1">
      <protection hidden="1"/>
    </xf>
    <xf numFmtId="0" fontId="2" fillId="0" borderId="6" xfId="0" applyFont="1" applyBorder="1" applyProtection="1">
      <protection hidden="1"/>
    </xf>
    <xf numFmtId="0" fontId="40" fillId="0" borderId="6" xfId="0" applyFont="1" applyBorder="1" applyProtection="1">
      <protection hidden="1"/>
    </xf>
    <xf numFmtId="0" fontId="10" fillId="0" borderId="0" xfId="0" applyFont="1" applyAlignment="1" applyProtection="1">
      <alignment horizontal="left" wrapText="1"/>
      <protection hidden="1"/>
    </xf>
    <xf numFmtId="0" fontId="0" fillId="0" borderId="0" xfId="0" applyAlignment="1" applyProtection="1">
      <alignment horizontal="center"/>
      <protection hidden="1"/>
    </xf>
    <xf numFmtId="0" fontId="0" fillId="0" borderId="0" xfId="0" applyAlignment="1" applyProtection="1">
      <alignment horizontal="left"/>
      <protection hidden="1"/>
    </xf>
    <xf numFmtId="0" fontId="15" fillId="0" borderId="0" xfId="0" applyFont="1" applyAlignment="1" applyProtection="1">
      <alignment horizontal="center"/>
      <protection hidden="1"/>
    </xf>
    <xf numFmtId="0" fontId="2" fillId="0" borderId="0" xfId="0" applyFont="1" applyAlignment="1" applyProtection="1">
      <alignment horizontal="right"/>
      <protection hidden="1"/>
    </xf>
    <xf numFmtId="0" fontId="2" fillId="0" borderId="0" xfId="0" applyFont="1" applyAlignment="1" applyProtection="1">
      <alignment horizontal="left"/>
      <protection hidden="1"/>
    </xf>
    <xf numFmtId="0" fontId="20" fillId="0" borderId="0" xfId="0" applyFont="1" applyAlignment="1" applyProtection="1">
      <alignment horizontal="right"/>
      <protection hidden="1"/>
    </xf>
    <xf numFmtId="0" fontId="16" fillId="0" borderId="0" xfId="0" applyFont="1" applyProtection="1">
      <protection hidden="1"/>
    </xf>
    <xf numFmtId="0" fontId="45" fillId="0" borderId="0" xfId="0" applyFont="1" applyAlignment="1" applyProtection="1">
      <alignment horizontal="left"/>
      <protection hidden="1"/>
    </xf>
    <xf numFmtId="0" fontId="31" fillId="0" borderId="0" xfId="0" applyFont="1" applyAlignment="1" applyProtection="1">
      <alignment horizontal="center" vertical="center"/>
      <protection hidden="1"/>
    </xf>
    <xf numFmtId="0" fontId="2" fillId="0" borderId="0" xfId="0" applyFont="1" applyAlignment="1" applyProtection="1">
      <protection hidden="1"/>
    </xf>
    <xf numFmtId="0" fontId="34" fillId="0" borderId="0" xfId="0" applyFont="1" applyAlignment="1" applyProtection="1">
      <alignment horizontal="center"/>
      <protection hidden="1"/>
    </xf>
    <xf numFmtId="0" fontId="22" fillId="0" borderId="0" xfId="0" applyFont="1" applyAlignment="1" applyProtection="1">
      <alignment horizontal="center" vertical="center"/>
      <protection hidden="1"/>
    </xf>
    <xf numFmtId="0" fontId="0" fillId="0" borderId="0" xfId="0" applyAlignment="1" applyProtection="1">
      <protection hidden="1"/>
    </xf>
    <xf numFmtId="0" fontId="41" fillId="0" borderId="0" xfId="0" applyFont="1" applyAlignment="1" applyProtection="1">
      <alignment horizontal="right" vertical="center"/>
      <protection hidden="1"/>
    </xf>
    <xf numFmtId="0" fontId="0" fillId="0" borderId="0" xfId="0" applyAlignment="1" applyProtection="1">
      <alignment horizontal="right" vertical="center"/>
      <protection hidden="1"/>
    </xf>
    <xf numFmtId="0" fontId="4" fillId="0" borderId="0" xfId="0" applyFont="1" applyAlignment="1" applyProtection="1">
      <alignment horizontal="center" vertical="center"/>
      <protection hidden="1"/>
    </xf>
    <xf numFmtId="0" fontId="14" fillId="0" borderId="10" xfId="0" applyFont="1" applyBorder="1" applyAlignment="1" applyProtection="1">
      <alignment horizontal="center" vertical="center"/>
      <protection hidden="1"/>
    </xf>
    <xf numFmtId="0" fontId="21" fillId="0" borderId="0" xfId="0" applyFont="1" applyAlignment="1" applyProtection="1">
      <alignment horizontal="left"/>
      <protection hidden="1"/>
    </xf>
    <xf numFmtId="0" fontId="0" fillId="0" borderId="0" xfId="0" applyAlignment="1" applyProtection="1">
      <alignment horizontal="center" vertical="center"/>
      <protection hidden="1"/>
    </xf>
    <xf numFmtId="0" fontId="28" fillId="0" borderId="0" xfId="0" applyFont="1" applyAlignment="1" applyProtection="1">
      <alignment horizontal="right"/>
      <protection hidden="1"/>
    </xf>
    <xf numFmtId="0" fontId="28" fillId="0" borderId="0" xfId="0" applyFont="1" applyAlignment="1" applyProtection="1">
      <alignment horizontal="center"/>
      <protection hidden="1"/>
    </xf>
    <xf numFmtId="0" fontId="14" fillId="0" borderId="0" xfId="0" applyFont="1" applyBorder="1" applyAlignment="1" applyProtection="1">
      <alignment horizontal="center" vertical="center"/>
      <protection hidden="1"/>
    </xf>
    <xf numFmtId="0" fontId="2" fillId="0" borderId="0" xfId="0" applyFont="1" applyAlignment="1" applyProtection="1">
      <alignment horizontal="right" vertical="center"/>
      <protection hidden="1"/>
    </xf>
    <xf numFmtId="0" fontId="2" fillId="0" borderId="0" xfId="0" applyFont="1" applyAlignment="1" applyProtection="1">
      <alignment horizontal="center" vertical="center"/>
      <protection hidden="1"/>
    </xf>
    <xf numFmtId="11" fontId="2" fillId="0" borderId="0" xfId="0" applyNumberFormat="1" applyFont="1" applyAlignment="1" applyProtection="1">
      <alignment horizontal="center" vertical="center"/>
      <protection hidden="1"/>
    </xf>
    <xf numFmtId="0" fontId="2" fillId="0" borderId="0" xfId="0" applyFont="1" applyAlignment="1" applyProtection="1">
      <alignment horizontal="left" vertical="top"/>
      <protection hidden="1"/>
    </xf>
    <xf numFmtId="0" fontId="2" fillId="0" borderId="0" xfId="0" applyFont="1" applyBorder="1" applyAlignment="1" applyProtection="1">
      <alignment horizontal="center"/>
      <protection hidden="1"/>
    </xf>
    <xf numFmtId="0" fontId="0" fillId="6" borderId="13" xfId="0" applyFill="1" applyBorder="1" applyAlignment="1" applyProtection="1">
      <alignment horizontal="left"/>
      <protection locked="0" hidden="1"/>
    </xf>
    <xf numFmtId="0" fontId="10" fillId="6" borderId="13" xfId="0" applyFont="1" applyFill="1" applyBorder="1" applyAlignment="1" applyProtection="1">
      <alignment horizontal="left"/>
      <protection locked="0" hidden="1"/>
    </xf>
    <xf numFmtId="0" fontId="21" fillId="6" borderId="13" xfId="0" applyFont="1" applyFill="1" applyBorder="1" applyAlignment="1" applyProtection="1">
      <alignment horizontal="left"/>
      <protection locked="0" hidden="1"/>
    </xf>
    <xf numFmtId="0" fontId="0" fillId="6" borderId="13" xfId="0" applyFill="1" applyBorder="1" applyProtection="1">
      <protection locked="0"/>
    </xf>
    <xf numFmtId="0" fontId="15" fillId="0" borderId="0" xfId="0" applyFont="1" applyAlignment="1" applyProtection="1">
      <alignment horizontal="center"/>
    </xf>
    <xf numFmtId="0" fontId="2" fillId="0" borderId="0" xfId="0" applyFont="1" applyAlignment="1" applyProtection="1">
      <alignment horizontal="right"/>
    </xf>
    <xf numFmtId="0" fontId="2" fillId="0" borderId="0" xfId="0" applyFont="1" applyProtection="1"/>
    <xf numFmtId="0" fontId="2" fillId="0" borderId="0" xfId="0" applyFont="1" applyAlignment="1" applyProtection="1">
      <alignment horizontal="center"/>
    </xf>
    <xf numFmtId="0" fontId="31" fillId="0" borderId="0" xfId="0" applyFont="1" applyAlignment="1" applyProtection="1">
      <alignment horizontal="center" vertical="center"/>
    </xf>
    <xf numFmtId="0" fontId="34" fillId="0" borderId="0" xfId="0" applyFont="1" applyAlignment="1" applyProtection="1">
      <alignment horizontal="center"/>
    </xf>
    <xf numFmtId="0" fontId="18" fillId="0" borderId="0" xfId="0" applyFont="1" applyProtection="1"/>
    <xf numFmtId="0" fontId="18" fillId="0" borderId="0" xfId="0" applyFont="1" applyAlignment="1" applyProtection="1">
      <alignment horizontal="center"/>
    </xf>
    <xf numFmtId="0" fontId="38" fillId="0" borderId="0" xfId="0" applyFont="1" applyProtection="1"/>
    <xf numFmtId="0" fontId="22" fillId="0" borderId="0" xfId="0" applyFont="1" applyAlignment="1" applyProtection="1">
      <alignment horizontal="center"/>
    </xf>
    <xf numFmtId="0" fontId="3" fillId="0" borderId="0" xfId="0" applyFont="1" applyAlignment="1" applyProtection="1">
      <alignment horizontal="center"/>
    </xf>
    <xf numFmtId="0" fontId="18" fillId="0" borderId="0" xfId="0" applyFont="1" applyAlignment="1" applyProtection="1"/>
    <xf numFmtId="0" fontId="18" fillId="0" borderId="0" xfId="0" applyFont="1" applyBorder="1" applyProtection="1"/>
    <xf numFmtId="0" fontId="0" fillId="0" borderId="6" xfId="0" applyBorder="1" applyAlignment="1" applyProtection="1">
      <alignment horizontal="left"/>
    </xf>
    <xf numFmtId="0" fontId="19" fillId="0" borderId="0" xfId="0" applyFont="1" applyBorder="1" applyAlignment="1" applyProtection="1">
      <alignment horizontal="center"/>
    </xf>
    <xf numFmtId="0" fontId="0" fillId="0" borderId="0" xfId="0" applyAlignment="1" applyProtection="1">
      <alignment horizontal="right" wrapText="1"/>
    </xf>
    <xf numFmtId="0" fontId="39" fillId="0" borderId="0" xfId="0" applyFont="1" applyAlignment="1" applyProtection="1">
      <alignment horizontal="left"/>
    </xf>
    <xf numFmtId="0" fontId="10" fillId="0" borderId="0" xfId="0" applyFont="1" applyProtection="1"/>
    <xf numFmtId="0" fontId="10" fillId="0" borderId="0" xfId="0" applyFont="1" applyAlignment="1" applyProtection="1">
      <alignment horizontal="left"/>
    </xf>
    <xf numFmtId="0" fontId="2" fillId="4" borderId="1" xfId="0" applyFont="1" applyFill="1" applyBorder="1" applyAlignment="1" applyProtection="1">
      <alignment horizontal="right"/>
    </xf>
    <xf numFmtId="0" fontId="31" fillId="4" borderId="2" xfId="0" applyFont="1" applyFill="1" applyBorder="1" applyAlignment="1" applyProtection="1">
      <alignment horizontal="center" vertical="center"/>
    </xf>
    <xf numFmtId="165" fontId="2" fillId="4" borderId="3" xfId="0" applyNumberFormat="1" applyFont="1" applyFill="1" applyBorder="1" applyAlignment="1" applyProtection="1">
      <alignment horizontal="center"/>
    </xf>
    <xf numFmtId="0" fontId="0" fillId="4" borderId="4" xfId="0" applyFill="1" applyBorder="1" applyProtection="1"/>
    <xf numFmtId="0" fontId="3" fillId="4" borderId="0" xfId="0" applyFont="1" applyFill="1" applyBorder="1" applyAlignment="1" applyProtection="1">
      <alignment horizontal="center" vertical="center"/>
    </xf>
    <xf numFmtId="0" fontId="2" fillId="4" borderId="0" xfId="0" applyFont="1" applyFill="1" applyBorder="1" applyAlignment="1" applyProtection="1">
      <alignment horizontal="center"/>
    </xf>
    <xf numFmtId="0" fontId="2" fillId="4" borderId="7" xfId="0" applyFont="1" applyFill="1" applyBorder="1" applyAlignment="1" applyProtection="1">
      <alignment horizontal="center"/>
    </xf>
    <xf numFmtId="0" fontId="31" fillId="4" borderId="4" xfId="0" applyFont="1" applyFill="1" applyBorder="1" applyAlignment="1" applyProtection="1">
      <alignment horizontal="right"/>
    </xf>
    <xf numFmtId="0" fontId="31" fillId="4" borderId="0" xfId="0" applyFont="1" applyFill="1" applyBorder="1" applyAlignment="1" applyProtection="1">
      <alignment horizontal="center"/>
    </xf>
    <xf numFmtId="11" fontId="31" fillId="4" borderId="0" xfId="0" applyNumberFormat="1" applyFont="1" applyFill="1" applyBorder="1" applyAlignment="1" applyProtection="1">
      <alignment horizontal="center"/>
    </xf>
    <xf numFmtId="0" fontId="31" fillId="4" borderId="7" xfId="0" applyFont="1" applyFill="1" applyBorder="1" applyAlignment="1" applyProtection="1">
      <alignment horizontal="center"/>
    </xf>
    <xf numFmtId="0" fontId="0" fillId="4" borderId="4" xfId="0" applyFill="1" applyBorder="1" applyAlignment="1" applyProtection="1">
      <alignment horizontal="right"/>
    </xf>
    <xf numFmtId="2" fontId="31" fillId="4" borderId="0" xfId="0" applyNumberFormat="1" applyFont="1" applyFill="1" applyBorder="1" applyAlignment="1" applyProtection="1">
      <alignment horizontal="center"/>
    </xf>
    <xf numFmtId="0" fontId="0" fillId="4" borderId="5" xfId="0" applyFill="1" applyBorder="1" applyProtection="1"/>
    <xf numFmtId="0" fontId="0" fillId="4" borderId="6" xfId="0" applyFill="1" applyBorder="1" applyAlignment="1" applyProtection="1">
      <alignment horizontal="center"/>
    </xf>
    <xf numFmtId="11" fontId="31" fillId="4" borderId="6" xfId="0" applyNumberFormat="1" applyFont="1" applyFill="1" applyBorder="1" applyAlignment="1" applyProtection="1">
      <alignment horizontal="center"/>
    </xf>
    <xf numFmtId="0" fontId="31" fillId="4" borderId="8" xfId="0" applyFont="1" applyFill="1" applyBorder="1" applyAlignment="1" applyProtection="1">
      <alignment horizontal="center"/>
    </xf>
    <xf numFmtId="0" fontId="42" fillId="0" borderId="0" xfId="0" applyFont="1" applyAlignment="1" applyProtection="1">
      <alignment horizontal="left"/>
    </xf>
    <xf numFmtId="0" fontId="17" fillId="0" borderId="0" xfId="0" applyFont="1" applyAlignment="1" applyProtection="1">
      <alignment horizontal="right"/>
    </xf>
    <xf numFmtId="0" fontId="36" fillId="0" borderId="0" xfId="0" applyFont="1" applyProtection="1"/>
    <xf numFmtId="0" fontId="45" fillId="0" borderId="0" xfId="0" applyFont="1" applyProtection="1"/>
    <xf numFmtId="11" fontId="28" fillId="0" borderId="0" xfId="0" applyNumberFormat="1" applyFont="1" applyAlignment="1">
      <alignment horizontal="center"/>
    </xf>
    <xf numFmtId="4" fontId="0" fillId="0" borderId="0" xfId="0" applyNumberFormat="1"/>
    <xf numFmtId="4" fontId="0" fillId="0" borderId="0" xfId="0" applyNumberFormat="1" applyAlignment="1">
      <alignment horizontal="center"/>
    </xf>
    <xf numFmtId="4" fontId="2" fillId="0" borderId="0" xfId="0" applyNumberFormat="1" applyFont="1" applyAlignment="1">
      <alignment horizontal="left"/>
    </xf>
    <xf numFmtId="4" fontId="0" fillId="0" borderId="0" xfId="0" applyNumberFormat="1" applyAlignment="1">
      <alignment horizontal="right"/>
    </xf>
    <xf numFmtId="4" fontId="3" fillId="0" borderId="0" xfId="0" applyNumberFormat="1" applyFont="1" applyAlignment="1">
      <alignment horizontal="center"/>
    </xf>
    <xf numFmtId="4" fontId="0" fillId="0" borderId="0" xfId="0" applyNumberFormat="1" applyAlignment="1"/>
    <xf numFmtId="4" fontId="4" fillId="0" borderId="0" xfId="0" applyNumberFormat="1" applyFont="1" applyAlignment="1">
      <alignment horizontal="center"/>
    </xf>
    <xf numFmtId="4" fontId="10" fillId="0" borderId="0" xfId="0" applyNumberFormat="1" applyFont="1" applyAlignment="1" applyProtection="1">
      <alignment horizontal="center" vertical="center"/>
    </xf>
    <xf numFmtId="4" fontId="0" fillId="0" borderId="0" xfId="0" applyNumberFormat="1" applyAlignment="1" applyProtection="1">
      <alignment horizontal="right" vertical="center"/>
    </xf>
    <xf numFmtId="4" fontId="4" fillId="0" borderId="0" xfId="0" applyNumberFormat="1" applyFont="1" applyAlignment="1" applyProtection="1">
      <alignment horizontal="center" vertical="center"/>
    </xf>
    <xf numFmtId="4" fontId="0" fillId="0" borderId="0" xfId="0" applyNumberFormat="1" applyAlignment="1" applyProtection="1"/>
    <xf numFmtId="4" fontId="22" fillId="0" borderId="0" xfId="0" applyNumberFormat="1" applyFont="1" applyAlignment="1" applyProtection="1">
      <alignment horizontal="center" vertical="center"/>
    </xf>
    <xf numFmtId="4" fontId="10" fillId="0" borderId="0" xfId="0" applyNumberFormat="1" applyFont="1" applyAlignment="1" applyProtection="1">
      <alignment horizontal="right" vertical="center"/>
    </xf>
    <xf numFmtId="4" fontId="10" fillId="0" borderId="0" xfId="0" applyNumberFormat="1" applyFont="1" applyAlignment="1" applyProtection="1">
      <alignment vertical="center"/>
    </xf>
    <xf numFmtId="4" fontId="2" fillId="0" borderId="0" xfId="0" applyNumberFormat="1" applyFont="1" applyAlignment="1">
      <alignment horizontal="right"/>
    </xf>
    <xf numFmtId="4" fontId="22" fillId="0" borderId="0" xfId="0" applyNumberFormat="1" applyFont="1" applyAlignment="1">
      <alignment horizontal="center"/>
    </xf>
    <xf numFmtId="4" fontId="35" fillId="0" borderId="0" xfId="0" applyNumberFormat="1" applyFont="1"/>
    <xf numFmtId="4" fontId="2" fillId="0" borderId="0" xfId="0" applyNumberFormat="1" applyFont="1"/>
    <xf numFmtId="0" fontId="66" fillId="0" borderId="0" xfId="0" applyFont="1" applyAlignment="1">
      <alignment horizontal="left"/>
    </xf>
    <xf numFmtId="11" fontId="28" fillId="5" borderId="13" xfId="0" applyNumberFormat="1" applyFont="1" applyFill="1" applyBorder="1" applyAlignment="1" applyProtection="1">
      <alignment horizontal="center"/>
    </xf>
    <xf numFmtId="11" fontId="28" fillId="0" borderId="13" xfId="0" applyNumberFormat="1" applyFont="1" applyBorder="1" applyAlignment="1">
      <alignment horizontal="center"/>
    </xf>
    <xf numFmtId="11" fontId="28" fillId="0" borderId="13" xfId="0" applyNumberFormat="1" applyFont="1" applyBorder="1" applyAlignment="1" applyProtection="1">
      <alignment horizontal="center" vertical="center"/>
    </xf>
    <xf numFmtId="0" fontId="8" fillId="0" borderId="0" xfId="0" applyFont="1" applyAlignment="1">
      <alignment horizontal="right"/>
    </xf>
    <xf numFmtId="0" fontId="45" fillId="0" borderId="0" xfId="0" applyFont="1" applyAlignment="1">
      <alignment horizontal="right"/>
    </xf>
    <xf numFmtId="0" fontId="45" fillId="0" borderId="0" xfId="0" applyFont="1" applyAlignment="1">
      <alignment horizontal="left"/>
    </xf>
    <xf numFmtId="0" fontId="45" fillId="0" borderId="0" xfId="0" applyFont="1" applyAlignment="1">
      <alignment horizontal="right" vertical="center"/>
    </xf>
    <xf numFmtId="0" fontId="16" fillId="0" borderId="4" xfId="0" applyFont="1" applyBorder="1"/>
    <xf numFmtId="11" fontId="0" fillId="0" borderId="0" xfId="0" applyNumberFormat="1" applyAlignment="1" applyProtection="1">
      <alignment horizontal="center"/>
    </xf>
    <xf numFmtId="0" fontId="45" fillId="0" borderId="0" xfId="0" applyFont="1" applyProtection="1">
      <protection hidden="1"/>
    </xf>
    <xf numFmtId="0" fontId="70" fillId="0" borderId="0" xfId="0" applyFont="1"/>
    <xf numFmtId="11" fontId="10" fillId="3" borderId="13" xfId="0" applyNumberFormat="1" applyFont="1" applyFill="1" applyBorder="1" applyAlignment="1" applyProtection="1">
      <alignment horizontal="center" vertical="center"/>
      <protection locked="0"/>
    </xf>
    <xf numFmtId="11" fontId="14" fillId="0" borderId="0" xfId="0" applyNumberFormat="1" applyFont="1" applyAlignment="1">
      <alignment horizontal="center" vertical="center"/>
    </xf>
    <xf numFmtId="11" fontId="14" fillId="0" borderId="0" xfId="0" applyNumberFormat="1" applyFont="1" applyBorder="1" applyAlignment="1">
      <alignment horizontal="center" vertical="center"/>
    </xf>
    <xf numFmtId="11" fontId="18" fillId="0" borderId="0" xfId="0" applyNumberFormat="1" applyFont="1" applyAlignment="1">
      <alignment horizontal="center"/>
    </xf>
    <xf numFmtId="11" fontId="28" fillId="0" borderId="13" xfId="0" applyNumberFormat="1" applyFont="1" applyBorder="1" applyAlignment="1">
      <alignment horizontal="center" vertical="center"/>
    </xf>
    <xf numFmtId="11" fontId="0" fillId="0" borderId="13" xfId="0" applyNumberFormat="1" applyBorder="1" applyAlignment="1">
      <alignment horizontal="center"/>
    </xf>
    <xf numFmtId="0" fontId="71" fillId="0" borderId="0" xfId="0" applyFont="1" applyAlignment="1">
      <alignment horizontal="right"/>
    </xf>
    <xf numFmtId="0" fontId="31" fillId="4" borderId="1" xfId="0" applyFont="1" applyFill="1" applyBorder="1" applyAlignment="1" applyProtection="1">
      <alignment horizontal="right" vertical="center"/>
    </xf>
    <xf numFmtId="11" fontId="33" fillId="4" borderId="2" xfId="0" applyNumberFormat="1" applyFont="1" applyFill="1" applyBorder="1" applyAlignment="1" applyProtection="1">
      <alignment horizontal="center" vertical="center"/>
    </xf>
    <xf numFmtId="0" fontId="31" fillId="4" borderId="3" xfId="0" applyFont="1" applyFill="1" applyBorder="1" applyAlignment="1" applyProtection="1">
      <alignment horizontal="center" vertical="center"/>
    </xf>
    <xf numFmtId="0" fontId="31" fillId="4" borderId="6" xfId="0" applyFont="1" applyFill="1" applyBorder="1" applyAlignment="1" applyProtection="1">
      <alignment horizontal="center"/>
    </xf>
    <xf numFmtId="0" fontId="2" fillId="4" borderId="6" xfId="0" applyFont="1" applyFill="1" applyBorder="1" applyAlignment="1" applyProtection="1">
      <alignment horizontal="center"/>
    </xf>
    <xf numFmtId="0" fontId="20" fillId="0" borderId="0" xfId="0" applyFont="1" applyAlignment="1" applyProtection="1">
      <alignment horizontal="left"/>
    </xf>
    <xf numFmtId="0" fontId="20" fillId="0" borderId="0" xfId="0" applyFont="1" applyAlignment="1">
      <alignment horizontal="left"/>
    </xf>
    <xf numFmtId="11" fontId="2" fillId="4" borderId="2" xfId="0" applyNumberFormat="1" applyFont="1" applyFill="1" applyBorder="1" applyAlignment="1" applyProtection="1">
      <alignment horizontal="center"/>
    </xf>
    <xf numFmtId="11" fontId="21" fillId="6" borderId="13" xfId="0" applyNumberFormat="1" applyFont="1" applyFill="1" applyBorder="1" applyAlignment="1" applyProtection="1">
      <alignment horizontal="left"/>
      <protection locked="0"/>
    </xf>
    <xf numFmtId="0" fontId="26" fillId="7" borderId="13" xfId="0" applyFont="1" applyFill="1" applyBorder="1" applyAlignment="1" applyProtection="1">
      <alignment horizontal="center"/>
      <protection locked="0"/>
    </xf>
    <xf numFmtId="0" fontId="36" fillId="0" borderId="0" xfId="0" applyFont="1" applyProtection="1">
      <protection hidden="1"/>
    </xf>
    <xf numFmtId="0" fontId="31" fillId="0" borderId="0" xfId="0" applyFont="1" applyProtection="1">
      <protection hidden="1"/>
    </xf>
    <xf numFmtId="0" fontId="31" fillId="0" borderId="0" xfId="0" applyFont="1" applyProtection="1"/>
    <xf numFmtId="0" fontId="45" fillId="0" borderId="0" xfId="0" applyFont="1" applyAlignment="1"/>
    <xf numFmtId="0" fontId="2" fillId="0" borderId="0" xfId="0" applyFont="1" applyAlignment="1" applyProtection="1">
      <alignment horizontal="left" vertical="center"/>
    </xf>
    <xf numFmtId="0" fontId="28" fillId="0" borderId="0" xfId="0" applyFont="1" applyAlignment="1">
      <alignment horizontal="center" vertical="center"/>
    </xf>
    <xf numFmtId="11" fontId="73" fillId="0" borderId="0" xfId="0" applyNumberFormat="1" applyFont="1" applyAlignment="1">
      <alignment horizontal="center" vertical="center"/>
    </xf>
    <xf numFmtId="0" fontId="10" fillId="5" borderId="0" xfId="0" applyFont="1" applyFill="1"/>
    <xf numFmtId="0" fontId="74" fillId="5" borderId="0" xfId="0" applyFont="1" applyFill="1" applyBorder="1"/>
    <xf numFmtId="0" fontId="10" fillId="5" borderId="0" xfId="0" applyFont="1" applyFill="1" applyBorder="1" applyAlignment="1">
      <alignment horizontal="center"/>
    </xf>
    <xf numFmtId="0" fontId="10" fillId="5" borderId="0" xfId="0" applyFont="1" applyFill="1" applyBorder="1"/>
    <xf numFmtId="0" fontId="20" fillId="5" borderId="0" xfId="0" applyFont="1" applyFill="1" applyBorder="1" applyAlignment="1">
      <alignment horizontal="left"/>
    </xf>
    <xf numFmtId="0" fontId="2" fillId="5" borderId="0" xfId="0" applyFont="1" applyFill="1" applyAlignment="1" applyProtection="1">
      <alignment horizontal="right"/>
      <protection hidden="1"/>
    </xf>
    <xf numFmtId="0" fontId="2" fillId="5" borderId="0" xfId="0" applyFont="1" applyFill="1" applyAlignment="1" applyProtection="1">
      <alignment horizontal="center"/>
      <protection hidden="1"/>
    </xf>
    <xf numFmtId="0" fontId="2" fillId="5" borderId="0" xfId="0" applyFont="1" applyFill="1" applyAlignment="1" applyProtection="1">
      <alignment horizontal="left"/>
      <protection hidden="1"/>
    </xf>
    <xf numFmtId="0" fontId="10" fillId="5" borderId="0" xfId="0" applyFont="1" applyFill="1" applyProtection="1">
      <protection hidden="1"/>
    </xf>
    <xf numFmtId="0" fontId="10" fillId="5" borderId="0" xfId="0" applyFont="1" applyFill="1" applyBorder="1" applyProtection="1">
      <protection hidden="1"/>
    </xf>
    <xf numFmtId="0" fontId="10" fillId="5" borderId="0" xfId="0" applyFont="1" applyFill="1" applyBorder="1" applyAlignment="1">
      <alignment horizontal="right"/>
    </xf>
    <xf numFmtId="2" fontId="10" fillId="2" borderId="0" xfId="0" applyNumberFormat="1" applyFont="1" applyFill="1" applyBorder="1" applyAlignment="1" applyProtection="1">
      <alignment horizontal="center"/>
      <protection locked="0"/>
    </xf>
    <xf numFmtId="2" fontId="10" fillId="5" borderId="0" xfId="0" applyNumberFormat="1" applyFont="1" applyFill="1" applyBorder="1"/>
    <xf numFmtId="0" fontId="10" fillId="2" borderId="0" xfId="0" applyFont="1" applyFill="1" applyBorder="1" applyAlignment="1" applyProtection="1">
      <alignment horizontal="center"/>
      <protection locked="0"/>
    </xf>
    <xf numFmtId="0" fontId="75" fillId="0" borderId="0" xfId="0" applyFont="1" applyAlignment="1" applyProtection="1">
      <alignment horizontal="right"/>
    </xf>
    <xf numFmtId="0" fontId="10" fillId="5" borderId="0" xfId="0" applyFont="1" applyFill="1" applyBorder="1" applyAlignment="1" applyProtection="1">
      <alignment horizontal="right"/>
      <protection hidden="1"/>
    </xf>
    <xf numFmtId="2" fontId="10" fillId="5" borderId="0" xfId="0" applyNumberFormat="1" applyFont="1" applyFill="1" applyBorder="1" applyAlignment="1" applyProtection="1">
      <alignment horizontal="center"/>
    </xf>
    <xf numFmtId="0" fontId="21" fillId="5" borderId="0" xfId="0" applyFont="1" applyFill="1" applyBorder="1" applyProtection="1">
      <protection hidden="1"/>
    </xf>
    <xf numFmtId="2" fontId="21" fillId="5" borderId="0" xfId="0" applyNumberFormat="1" applyFont="1" applyFill="1" applyBorder="1" applyProtection="1">
      <protection hidden="1"/>
    </xf>
    <xf numFmtId="0" fontId="21" fillId="5" borderId="0" xfId="0" applyFont="1" applyFill="1" applyProtection="1">
      <protection hidden="1"/>
    </xf>
    <xf numFmtId="166" fontId="10" fillId="5" borderId="0" xfId="0" applyNumberFormat="1" applyFont="1" applyFill="1" applyBorder="1" applyAlignment="1" applyProtection="1">
      <alignment horizontal="center"/>
      <protection hidden="1"/>
    </xf>
    <xf numFmtId="0" fontId="2" fillId="4" borderId="14" xfId="0" applyFont="1" applyFill="1" applyBorder="1" applyAlignment="1" applyProtection="1">
      <alignment horizontal="right"/>
      <protection hidden="1"/>
    </xf>
    <xf numFmtId="166" fontId="2" fillId="4" borderId="15" xfId="0" applyNumberFormat="1" applyFont="1" applyFill="1" applyBorder="1" applyAlignment="1" applyProtection="1">
      <alignment horizontal="center"/>
    </xf>
    <xf numFmtId="0" fontId="2" fillId="4" borderId="16" xfId="0" applyFont="1" applyFill="1" applyBorder="1"/>
    <xf numFmtId="0" fontId="40" fillId="5" borderId="0" xfId="0" applyFont="1" applyFill="1" applyBorder="1" applyProtection="1"/>
    <xf numFmtId="0" fontId="2" fillId="4" borderId="17" xfId="0" applyFont="1" applyFill="1" applyBorder="1" applyAlignment="1" applyProtection="1">
      <alignment horizontal="right"/>
      <protection hidden="1"/>
    </xf>
    <xf numFmtId="166" fontId="2" fillId="4" borderId="0" xfId="0" applyNumberFormat="1" applyFont="1" applyFill="1" applyBorder="1" applyAlignment="1" applyProtection="1">
      <alignment horizontal="center"/>
    </xf>
    <xf numFmtId="0" fontId="2" fillId="4" borderId="18" xfId="0" applyFont="1" applyFill="1" applyBorder="1"/>
    <xf numFmtId="166" fontId="2" fillId="0" borderId="0" xfId="0" applyNumberFormat="1" applyFont="1" applyFill="1" applyBorder="1" applyAlignment="1" applyProtection="1">
      <alignment horizontal="center"/>
    </xf>
    <xf numFmtId="0" fontId="2" fillId="4" borderId="19" xfId="0" applyFont="1" applyFill="1" applyBorder="1" applyAlignment="1" applyProtection="1">
      <alignment horizontal="right"/>
      <protection hidden="1"/>
    </xf>
    <xf numFmtId="166" fontId="2" fillId="4" borderId="20" xfId="0" applyNumberFormat="1" applyFont="1" applyFill="1" applyBorder="1" applyAlignment="1" applyProtection="1">
      <alignment horizontal="center"/>
    </xf>
    <xf numFmtId="0" fontId="2" fillId="4" borderId="21" xfId="0" applyFont="1" applyFill="1" applyBorder="1"/>
    <xf numFmtId="0" fontId="2" fillId="5" borderId="0" xfId="0" applyFont="1" applyFill="1" applyBorder="1" applyAlignment="1" applyProtection="1">
      <alignment horizontal="right"/>
      <protection hidden="1"/>
    </xf>
    <xf numFmtId="166" fontId="2" fillId="5" borderId="0" xfId="0" applyNumberFormat="1" applyFont="1" applyFill="1" applyBorder="1" applyAlignment="1" applyProtection="1">
      <alignment horizontal="center"/>
      <protection hidden="1"/>
    </xf>
    <xf numFmtId="0" fontId="2" fillId="5" borderId="0" xfId="0" applyFont="1" applyFill="1" applyBorder="1"/>
    <xf numFmtId="0" fontId="10" fillId="5" borderId="0" xfId="0" applyFont="1" applyFill="1" applyBorder="1" applyAlignment="1" applyProtection="1">
      <alignment horizontal="center"/>
      <protection hidden="1"/>
    </xf>
    <xf numFmtId="0" fontId="21" fillId="5" borderId="0" xfId="0" applyFont="1" applyFill="1" applyBorder="1"/>
    <xf numFmtId="0" fontId="10" fillId="5" borderId="0" xfId="0" applyFont="1" applyFill="1" applyAlignment="1">
      <alignment horizontal="center"/>
    </xf>
    <xf numFmtId="0" fontId="10" fillId="6" borderId="0" xfId="0" applyFont="1" applyFill="1" applyBorder="1"/>
    <xf numFmtId="0" fontId="25" fillId="8" borderId="22" xfId="0" applyFont="1" applyFill="1" applyBorder="1" applyAlignment="1" applyProtection="1">
      <alignment horizontal="center"/>
      <protection hidden="1"/>
    </xf>
    <xf numFmtId="0" fontId="25" fillId="8" borderId="22" xfId="0" applyFont="1" applyFill="1" applyBorder="1" applyAlignment="1" applyProtection="1">
      <alignment horizontal="center"/>
    </xf>
    <xf numFmtId="0" fontId="31" fillId="4" borderId="4" xfId="0" applyFont="1" applyFill="1" applyBorder="1" applyAlignment="1" applyProtection="1">
      <alignment horizontal="right" vertical="center"/>
    </xf>
    <xf numFmtId="0" fontId="31" fillId="4" borderId="0" xfId="0" applyFont="1" applyFill="1" applyBorder="1" applyAlignment="1" applyProtection="1">
      <alignment horizontal="center" vertical="center"/>
    </xf>
    <xf numFmtId="11" fontId="33" fillId="4" borderId="0" xfId="0" applyNumberFormat="1" applyFont="1" applyFill="1" applyBorder="1" applyAlignment="1" applyProtection="1">
      <alignment horizontal="center" vertical="center"/>
    </xf>
    <xf numFmtId="0" fontId="31" fillId="4" borderId="7" xfId="0" applyFont="1" applyFill="1" applyBorder="1" applyAlignment="1" applyProtection="1">
      <alignment horizontal="center" vertical="center"/>
    </xf>
    <xf numFmtId="0" fontId="2" fillId="0" borderId="0" xfId="0" applyFont="1" applyAlignment="1" applyProtection="1">
      <alignment wrapText="1"/>
    </xf>
    <xf numFmtId="0" fontId="45" fillId="0" borderId="0" xfId="0" applyFont="1" applyAlignment="1">
      <alignment horizontal="left" vertical="center"/>
    </xf>
    <xf numFmtId="0" fontId="76" fillId="0" borderId="0" xfId="0" applyFont="1" applyAlignment="1">
      <alignment horizontal="left"/>
    </xf>
    <xf numFmtId="0" fontId="22" fillId="0" borderId="0" xfId="0" applyFont="1"/>
    <xf numFmtId="0" fontId="25" fillId="8" borderId="22" xfId="0" applyFont="1" applyFill="1" applyBorder="1" applyAlignment="1">
      <alignment horizontal="center"/>
    </xf>
    <xf numFmtId="11" fontId="25" fillId="8" borderId="13" xfId="0" applyNumberFormat="1" applyFont="1" applyFill="1" applyBorder="1" applyAlignment="1">
      <alignment horizontal="center"/>
    </xf>
    <xf numFmtId="11" fontId="0" fillId="0" borderId="0" xfId="0" applyNumberFormat="1"/>
    <xf numFmtId="11" fontId="25" fillId="8" borderId="22" xfId="0" applyNumberFormat="1" applyFont="1" applyFill="1" applyBorder="1" applyAlignment="1">
      <alignment horizontal="center"/>
    </xf>
    <xf numFmtId="0" fontId="45" fillId="0" borderId="0" xfId="0" applyFont="1" applyAlignment="1" applyProtection="1">
      <alignment horizontal="left"/>
    </xf>
    <xf numFmtId="164" fontId="0" fillId="0" borderId="0" xfId="0" applyNumberFormat="1"/>
    <xf numFmtId="0" fontId="0" fillId="0" borderId="6" xfId="0" applyBorder="1" applyProtection="1"/>
    <xf numFmtId="0" fontId="28" fillId="9" borderId="1" xfId="0" applyFont="1" applyFill="1" applyBorder="1" applyProtection="1">
      <protection hidden="1"/>
    </xf>
    <xf numFmtId="0" fontId="28" fillId="9" borderId="2" xfId="0" applyFont="1" applyFill="1" applyBorder="1" applyProtection="1">
      <protection hidden="1"/>
    </xf>
    <xf numFmtId="0" fontId="28" fillId="9" borderId="2" xfId="0" applyFont="1" applyFill="1" applyBorder="1" applyAlignment="1" applyProtection="1">
      <alignment horizontal="left"/>
      <protection hidden="1"/>
    </xf>
    <xf numFmtId="0" fontId="28" fillId="9" borderId="0" xfId="0" applyFont="1" applyFill="1" applyBorder="1" applyProtection="1">
      <protection hidden="1"/>
    </xf>
    <xf numFmtId="0" fontId="28" fillId="9" borderId="3" xfId="0" applyFont="1" applyFill="1" applyBorder="1" applyProtection="1">
      <protection hidden="1"/>
    </xf>
    <xf numFmtId="0" fontId="28" fillId="9" borderId="4" xfId="0" applyFont="1" applyFill="1" applyBorder="1" applyProtection="1">
      <protection hidden="1"/>
    </xf>
    <xf numFmtId="0" fontId="28" fillId="9" borderId="0" xfId="0" applyFont="1" applyFill="1" applyBorder="1" applyAlignment="1" applyProtection="1">
      <alignment horizontal="left"/>
      <protection hidden="1"/>
    </xf>
    <xf numFmtId="0" fontId="28" fillId="9" borderId="0" xfId="0" applyFont="1" applyFill="1" applyProtection="1">
      <protection hidden="1"/>
    </xf>
    <xf numFmtId="0" fontId="28" fillId="9" borderId="7" xfId="0" applyFont="1" applyFill="1" applyBorder="1" applyProtection="1">
      <protection hidden="1"/>
    </xf>
    <xf numFmtId="15" fontId="28" fillId="9" borderId="0" xfId="0" applyNumberFormat="1" applyFont="1" applyFill="1" applyBorder="1" applyAlignment="1" applyProtection="1">
      <alignment horizontal="left"/>
      <protection hidden="1"/>
    </xf>
    <xf numFmtId="0" fontId="28" fillId="9" borderId="5" xfId="0" applyFont="1" applyFill="1" applyBorder="1" applyProtection="1">
      <protection hidden="1"/>
    </xf>
    <xf numFmtId="0" fontId="28" fillId="9" borderId="6" xfId="0" applyFont="1" applyFill="1" applyBorder="1" applyProtection="1">
      <protection hidden="1"/>
    </xf>
    <xf numFmtId="0" fontId="28" fillId="9" borderId="6" xfId="0" applyFont="1" applyFill="1" applyBorder="1" applyAlignment="1" applyProtection="1">
      <alignment horizontal="left"/>
      <protection hidden="1"/>
    </xf>
    <xf numFmtId="0" fontId="28" fillId="9" borderId="8" xfId="0" applyFont="1" applyFill="1" applyBorder="1" applyProtection="1">
      <protection hidden="1"/>
    </xf>
    <xf numFmtId="0" fontId="28" fillId="9" borderId="1" xfId="0" applyFont="1" applyFill="1" applyBorder="1" applyProtection="1"/>
    <xf numFmtId="0" fontId="28" fillId="9" borderId="2" xfId="0" applyFont="1" applyFill="1" applyBorder="1" applyProtection="1"/>
    <xf numFmtId="0" fontId="28" fillId="9" borderId="3" xfId="0" applyFont="1" applyFill="1" applyBorder="1" applyAlignment="1" applyProtection="1">
      <alignment horizontal="left"/>
    </xf>
    <xf numFmtId="0" fontId="28" fillId="9" borderId="3" xfId="0" applyFont="1" applyFill="1" applyBorder="1" applyProtection="1"/>
    <xf numFmtId="0" fontId="28" fillId="9" borderId="4" xfId="0" applyFont="1" applyFill="1" applyBorder="1" applyProtection="1"/>
    <xf numFmtId="0" fontId="28" fillId="9" borderId="0" xfId="0" applyFont="1" applyFill="1" applyBorder="1" applyProtection="1"/>
    <xf numFmtId="0" fontId="28" fillId="9" borderId="0" xfId="0" applyFont="1" applyFill="1" applyBorder="1" applyAlignment="1" applyProtection="1">
      <alignment horizontal="left"/>
    </xf>
    <xf numFmtId="0" fontId="28" fillId="9" borderId="0" xfId="0" applyFont="1" applyFill="1" applyProtection="1"/>
    <xf numFmtId="0" fontId="28" fillId="9" borderId="7" xfId="0" applyFont="1" applyFill="1" applyBorder="1" applyProtection="1"/>
    <xf numFmtId="15" fontId="28" fillId="9" borderId="0" xfId="0" applyNumberFormat="1" applyFont="1" applyFill="1" applyBorder="1" applyAlignment="1" applyProtection="1">
      <alignment horizontal="left"/>
    </xf>
    <xf numFmtId="0" fontId="28" fillId="9" borderId="5" xfId="0" applyFont="1" applyFill="1" applyBorder="1" applyProtection="1"/>
    <xf numFmtId="0" fontId="28" fillId="9" borderId="6" xfId="0" applyFont="1" applyFill="1" applyBorder="1" applyProtection="1"/>
    <xf numFmtId="0" fontId="28" fillId="9" borderId="6" xfId="0" applyFont="1" applyFill="1" applyBorder="1" applyAlignment="1" applyProtection="1">
      <alignment horizontal="left"/>
    </xf>
    <xf numFmtId="0" fontId="28" fillId="9" borderId="8" xfId="0" applyFont="1" applyFill="1" applyBorder="1" applyProtection="1"/>
    <xf numFmtId="0" fontId="28" fillId="9" borderId="1" xfId="0" applyFont="1" applyFill="1" applyBorder="1"/>
    <xf numFmtId="0" fontId="28" fillId="9" borderId="2" xfId="0" applyFont="1" applyFill="1" applyBorder="1"/>
    <xf numFmtId="0" fontId="28" fillId="9" borderId="3" xfId="0" applyFont="1" applyFill="1" applyBorder="1" applyAlignment="1">
      <alignment horizontal="left"/>
    </xf>
    <xf numFmtId="0" fontId="28" fillId="9" borderId="3" xfId="0" applyFont="1" applyFill="1" applyBorder="1"/>
    <xf numFmtId="0" fontId="28" fillId="9" borderId="4" xfId="0" applyFont="1" applyFill="1" applyBorder="1"/>
    <xf numFmtId="0" fontId="28" fillId="9" borderId="0" xfId="0" applyFont="1" applyFill="1" applyBorder="1"/>
    <xf numFmtId="0" fontId="28" fillId="9" borderId="0" xfId="0" applyFont="1" applyFill="1" applyBorder="1" applyAlignment="1">
      <alignment horizontal="left"/>
    </xf>
    <xf numFmtId="0" fontId="28" fillId="9" borderId="0" xfId="0" applyFont="1" applyFill="1"/>
    <xf numFmtId="0" fontId="28" fillId="9" borderId="7" xfId="0" applyFont="1" applyFill="1" applyBorder="1"/>
    <xf numFmtId="14" fontId="28" fillId="9" borderId="0" xfId="0" applyNumberFormat="1" applyFont="1" applyFill="1" applyBorder="1" applyAlignment="1">
      <alignment horizontal="left"/>
    </xf>
    <xf numFmtId="0" fontId="28" fillId="9" borderId="5" xfId="0" applyFont="1" applyFill="1" applyBorder="1"/>
    <xf numFmtId="0" fontId="28" fillId="9" borderId="6" xfId="0" applyFont="1" applyFill="1" applyBorder="1"/>
    <xf numFmtId="0" fontId="28" fillId="9" borderId="6" xfId="0" applyFont="1" applyFill="1" applyBorder="1" applyAlignment="1">
      <alignment horizontal="left"/>
    </xf>
    <xf numFmtId="0" fontId="28" fillId="9" borderId="8" xfId="0" applyFont="1" applyFill="1" applyBorder="1"/>
    <xf numFmtId="0" fontId="77" fillId="0" borderId="0" xfId="0" applyFont="1" applyAlignment="1">
      <alignment horizontal="left" vertical="center"/>
    </xf>
    <xf numFmtId="0" fontId="2" fillId="0" borderId="0" xfId="0" applyFont="1" applyAlignment="1">
      <alignment horizontal="right"/>
    </xf>
    <xf numFmtId="11" fontId="25" fillId="0" borderId="0" xfId="0" applyNumberFormat="1" applyFont="1" applyAlignment="1">
      <alignment horizontal="center"/>
    </xf>
    <xf numFmtId="11" fontId="0" fillId="4" borderId="13" xfId="0" applyNumberFormat="1" applyFill="1" applyBorder="1" applyAlignment="1">
      <alignment horizontal="center"/>
    </xf>
    <xf numFmtId="0" fontId="11" fillId="0" borderId="0" xfId="0" applyFont="1"/>
    <xf numFmtId="164" fontId="10" fillId="0" borderId="0" xfId="0" applyNumberFormat="1" applyFont="1" applyAlignment="1">
      <alignment horizontal="center"/>
    </xf>
    <xf numFmtId="11" fontId="25" fillId="4" borderId="10" xfId="0" applyNumberFormat="1" applyFont="1" applyFill="1" applyBorder="1" applyAlignment="1">
      <alignment horizontal="center"/>
    </xf>
    <xf numFmtId="11" fontId="28" fillId="0" borderId="0" xfId="0" applyNumberFormat="1" applyFont="1"/>
    <xf numFmtId="11" fontId="24" fillId="0" borderId="0" xfId="0" applyNumberFormat="1" applyFont="1"/>
    <xf numFmtId="164" fontId="24" fillId="0" borderId="0" xfId="0" applyNumberFormat="1" applyFont="1"/>
    <xf numFmtId="11" fontId="28" fillId="8" borderId="13" xfId="0" applyNumberFormat="1" applyFont="1" applyFill="1" applyBorder="1" applyAlignment="1" applyProtection="1">
      <alignment horizontal="center"/>
    </xf>
    <xf numFmtId="11" fontId="0" fillId="8" borderId="13" xfId="0" applyNumberFormat="1" applyFill="1" applyBorder="1" applyAlignment="1" applyProtection="1">
      <alignment horizontal="center"/>
    </xf>
    <xf numFmtId="0" fontId="2" fillId="2" borderId="6" xfId="0" applyFont="1" applyFill="1" applyBorder="1" applyAlignment="1" applyProtection="1">
      <alignment horizontal="left"/>
      <protection locked="0"/>
    </xf>
    <xf numFmtId="0" fontId="0" fillId="0" borderId="0" xfId="0" applyAlignment="1">
      <alignment wrapText="1"/>
    </xf>
    <xf numFmtId="11" fontId="25" fillId="0" borderId="10" xfId="0" applyNumberFormat="1" applyFont="1" applyBorder="1"/>
    <xf numFmtId="0" fontId="35" fillId="0" borderId="0" xfId="0" applyFont="1" applyAlignment="1" applyProtection="1">
      <alignment vertical="center"/>
    </xf>
    <xf numFmtId="0" fontId="28" fillId="0" borderId="0" xfId="0" applyFont="1" applyAlignment="1">
      <alignment horizontal="left" vertical="center"/>
    </xf>
    <xf numFmtId="11" fontId="0" fillId="0" borderId="0" xfId="0" applyNumberFormat="1" applyAlignment="1">
      <alignment horizontal="left"/>
    </xf>
    <xf numFmtId="167" fontId="0" fillId="0" borderId="0" xfId="0" applyNumberFormat="1"/>
    <xf numFmtId="0" fontId="2" fillId="0" borderId="0" xfId="0" applyFont="1" applyAlignment="1">
      <alignment wrapText="1"/>
    </xf>
    <xf numFmtId="11" fontId="2" fillId="0" borderId="0" xfId="0" applyNumberFormat="1" applyFont="1" applyAlignment="1">
      <alignment horizontal="center"/>
    </xf>
    <xf numFmtId="169" fontId="0" fillId="0" borderId="0" xfId="0" applyNumberFormat="1"/>
    <xf numFmtId="0" fontId="18" fillId="0" borderId="0" xfId="0" applyFont="1" applyAlignment="1" applyProtection="1">
      <alignment horizontal="left"/>
    </xf>
    <xf numFmtId="0" fontId="19" fillId="0" borderId="0" xfId="0" applyFont="1" applyAlignment="1" applyProtection="1">
      <alignment horizontal="left"/>
    </xf>
    <xf numFmtId="0" fontId="16" fillId="0" borderId="0" xfId="0" applyFont="1" applyAlignment="1" applyProtection="1">
      <alignment horizontal="left"/>
    </xf>
    <xf numFmtId="11" fontId="10" fillId="8" borderId="0" xfId="0" applyNumberFormat="1" applyFont="1" applyFill="1" applyAlignment="1" applyProtection="1">
      <alignment horizontal="center" vertical="center"/>
    </xf>
    <xf numFmtId="11" fontId="0" fillId="8" borderId="0" xfId="0" applyNumberFormat="1" applyFill="1" applyAlignment="1">
      <alignment horizontal="center"/>
    </xf>
    <xf numFmtId="0" fontId="25" fillId="0" borderId="0" xfId="0" applyFont="1" applyFill="1" applyBorder="1" applyAlignment="1"/>
    <xf numFmtId="11" fontId="25" fillId="4" borderId="2" xfId="0" applyNumberFormat="1" applyFont="1" applyFill="1" applyBorder="1" applyAlignment="1">
      <alignment horizontal="center"/>
    </xf>
    <xf numFmtId="11" fontId="25" fillId="4" borderId="6" xfId="0" applyNumberFormat="1" applyFont="1" applyFill="1" applyBorder="1" applyAlignment="1">
      <alignment horizontal="center"/>
    </xf>
    <xf numFmtId="0" fontId="0" fillId="0" borderId="0" xfId="0" applyNumberFormat="1"/>
    <xf numFmtId="11" fontId="46" fillId="4" borderId="13" xfId="0" applyNumberFormat="1" applyFont="1" applyFill="1" applyBorder="1" applyAlignment="1" applyProtection="1">
      <alignment horizontal="center"/>
      <protection locked="0"/>
    </xf>
    <xf numFmtId="11" fontId="24" fillId="2" borderId="13" xfId="0" applyNumberFormat="1" applyFont="1" applyFill="1" applyBorder="1" applyAlignment="1" applyProtection="1">
      <alignment horizontal="center" vertical="center"/>
      <protection locked="0"/>
    </xf>
    <xf numFmtId="11" fontId="24" fillId="2" borderId="13" xfId="0" applyNumberFormat="1" applyFont="1" applyFill="1" applyBorder="1" applyAlignment="1" applyProtection="1">
      <alignment horizontal="center"/>
      <protection locked="0"/>
    </xf>
    <xf numFmtId="0" fontId="0" fillId="0" borderId="0" xfId="0" applyAlignment="1" applyProtection="1">
      <alignment horizontal="left" wrapText="1"/>
      <protection hidden="1"/>
    </xf>
    <xf numFmtId="0" fontId="0" fillId="0" borderId="0" xfId="0" applyAlignment="1">
      <alignment wrapText="1"/>
    </xf>
    <xf numFmtId="0" fontId="9" fillId="0" borderId="0" xfId="0" applyFont="1" applyAlignment="1" applyProtection="1">
      <alignment horizontal="left"/>
      <protection hidden="1"/>
    </xf>
    <xf numFmtId="0" fontId="2" fillId="2" borderId="6" xfId="0" applyFont="1" applyFill="1" applyBorder="1" applyAlignment="1" applyProtection="1">
      <alignment horizontal="left"/>
      <protection locked="0"/>
    </xf>
    <xf numFmtId="0" fontId="2" fillId="2" borderId="8" xfId="0" applyFont="1" applyFill="1" applyBorder="1" applyAlignment="1" applyProtection="1">
      <alignment horizontal="left"/>
      <protection locked="0"/>
    </xf>
    <xf numFmtId="0" fontId="2" fillId="2" borderId="0" xfId="0" applyFont="1" applyFill="1" applyAlignment="1" applyProtection="1">
      <alignment horizontal="left"/>
      <protection locked="0"/>
    </xf>
    <xf numFmtId="0" fontId="10" fillId="0" borderId="0" xfId="0" applyFont="1" applyAlignment="1" applyProtection="1">
      <alignment horizontal="left" wrapText="1"/>
      <protection hidden="1"/>
    </xf>
    <xf numFmtId="0" fontId="2" fillId="5" borderId="0" xfId="0" applyFont="1" applyFill="1" applyAlignment="1" applyProtection="1">
      <alignment wrapText="1"/>
      <protection hidden="1"/>
    </xf>
    <xf numFmtId="0" fontId="0" fillId="5" borderId="0" xfId="0" applyFill="1" applyAlignment="1">
      <alignment wrapText="1"/>
    </xf>
    <xf numFmtId="0" fontId="10" fillId="5" borderId="0" xfId="0" applyFont="1" applyFill="1" applyAlignment="1" applyProtection="1">
      <alignment horizontal="left"/>
      <protection hidden="1"/>
    </xf>
    <xf numFmtId="0" fontId="10" fillId="0" borderId="0" xfId="0" applyFont="1" applyAlignment="1" applyProtection="1">
      <alignment horizontal="left"/>
      <protection hidden="1"/>
    </xf>
    <xf numFmtId="0" fontId="50" fillId="0" borderId="0" xfId="0" applyFont="1" applyAlignment="1" applyProtection="1">
      <alignment horizontal="left"/>
      <protection hidden="1"/>
    </xf>
    <xf numFmtId="0" fontId="0" fillId="0" borderId="0" xfId="0" applyAlignment="1" applyProtection="1">
      <alignment horizontal="left"/>
      <protection hidden="1"/>
    </xf>
    <xf numFmtId="0" fontId="51" fillId="0" borderId="0" xfId="0" applyFont="1" applyAlignment="1" applyProtection="1">
      <alignment horizontal="left"/>
      <protection hidden="1"/>
    </xf>
    <xf numFmtId="0" fontId="0" fillId="0" borderId="0" xfId="0" applyAlignment="1"/>
    <xf numFmtId="0" fontId="0" fillId="0" borderId="0" xfId="0" applyAlignment="1" applyProtection="1">
      <alignment wrapText="1"/>
      <protection hidden="1"/>
    </xf>
    <xf numFmtId="0" fontId="50" fillId="0" borderId="0" xfId="0" applyFont="1" applyAlignment="1" applyProtection="1">
      <alignment horizontal="left" wrapText="1"/>
      <protection hidden="1"/>
    </xf>
    <xf numFmtId="0" fontId="2" fillId="2" borderId="7" xfId="0" applyFont="1" applyFill="1" applyBorder="1" applyAlignment="1" applyProtection="1">
      <alignment horizontal="left"/>
      <protection locked="0"/>
    </xf>
    <xf numFmtId="0" fontId="58" fillId="10" borderId="0" xfId="0" applyFont="1" applyFill="1" applyAlignment="1" applyProtection="1">
      <alignment horizontal="left"/>
      <protection hidden="1"/>
    </xf>
    <xf numFmtId="0" fontId="2" fillId="8" borderId="9" xfId="0" applyFont="1" applyFill="1" applyBorder="1" applyAlignment="1" applyProtection="1">
      <alignment horizontal="left"/>
      <protection hidden="1"/>
    </xf>
    <xf numFmtId="0" fontId="2" fillId="8" borderId="12" xfId="0" applyFont="1" applyFill="1" applyBorder="1" applyAlignment="1" applyProtection="1">
      <alignment horizontal="left"/>
      <protection hidden="1"/>
    </xf>
    <xf numFmtId="0" fontId="0" fillId="0" borderId="4" xfId="0" applyBorder="1" applyAlignment="1" applyProtection="1">
      <alignment horizontal="left" vertical="top" wrapText="1"/>
      <protection hidden="1"/>
    </xf>
    <xf numFmtId="0" fontId="0" fillId="0" borderId="0" xfId="0" applyBorder="1" applyAlignment="1" applyProtection="1">
      <alignment horizontal="left" vertical="top" wrapText="1"/>
      <protection hidden="1"/>
    </xf>
    <xf numFmtId="0" fontId="28" fillId="0" borderId="4" xfId="0" applyFont="1" applyBorder="1" applyAlignment="1" applyProtection="1">
      <alignment horizontal="left" vertical="center" wrapText="1"/>
      <protection hidden="1"/>
    </xf>
    <xf numFmtId="0" fontId="28" fillId="0" borderId="0" xfId="0" applyFont="1" applyAlignment="1" applyProtection="1">
      <alignment horizontal="left" vertical="center" wrapText="1"/>
      <protection hidden="1"/>
    </xf>
    <xf numFmtId="0" fontId="35" fillId="0" borderId="0" xfId="0" applyFont="1" applyAlignment="1" applyProtection="1">
      <alignment horizontal="center" wrapText="1"/>
      <protection hidden="1"/>
    </xf>
    <xf numFmtId="0" fontId="26" fillId="7" borderId="9" xfId="0" applyFont="1" applyFill="1" applyBorder="1" applyAlignment="1" applyProtection="1">
      <alignment horizontal="center"/>
      <protection locked="0"/>
    </xf>
    <xf numFmtId="0" fontId="26" fillId="7" borderId="12" xfId="0" applyFont="1" applyFill="1" applyBorder="1" applyAlignment="1" applyProtection="1">
      <alignment horizontal="center"/>
      <protection locked="0"/>
    </xf>
    <xf numFmtId="0" fontId="2" fillId="0" borderId="4" xfId="0" applyFont="1" applyBorder="1" applyAlignment="1" applyProtection="1">
      <alignment horizontal="left"/>
    </xf>
    <xf numFmtId="0" fontId="2" fillId="0" borderId="0" xfId="0" applyFont="1" applyAlignment="1" applyProtection="1">
      <alignment horizontal="left"/>
    </xf>
    <xf numFmtId="0" fontId="2" fillId="0" borderId="0" xfId="0" applyFont="1" applyBorder="1" applyAlignment="1" applyProtection="1">
      <alignment horizontal="left" wrapText="1"/>
    </xf>
    <xf numFmtId="0" fontId="8" fillId="0" borderId="0" xfId="0" applyFont="1" applyAlignment="1" applyProtection="1">
      <alignment horizontal="right" wrapText="1"/>
    </xf>
    <xf numFmtId="0" fontId="2" fillId="6" borderId="9" xfId="0" applyFont="1" applyFill="1" applyBorder="1" applyAlignment="1" applyProtection="1">
      <alignment horizontal="center"/>
      <protection locked="0"/>
    </xf>
    <xf numFmtId="0" fontId="2" fillId="6" borderId="10" xfId="0" applyFont="1" applyFill="1" applyBorder="1" applyAlignment="1" applyProtection="1">
      <alignment horizontal="center"/>
      <protection locked="0"/>
    </xf>
    <xf numFmtId="0" fontId="2" fillId="6" borderId="12" xfId="0" applyFont="1" applyFill="1" applyBorder="1" applyAlignment="1" applyProtection="1">
      <alignment horizontal="center"/>
      <protection locked="0"/>
    </xf>
    <xf numFmtId="0" fontId="25" fillId="8" borderId="9" xfId="0" applyFont="1" applyFill="1" applyBorder="1" applyAlignment="1" applyProtection="1">
      <alignment horizontal="left"/>
    </xf>
    <xf numFmtId="0" fontId="0" fillId="8" borderId="12" xfId="0" applyFill="1" applyBorder="1" applyAlignment="1">
      <alignment horizontal="left"/>
    </xf>
    <xf numFmtId="0" fontId="10" fillId="0" borderId="0" xfId="0" applyFont="1" applyAlignment="1" applyProtection="1">
      <alignment horizontal="left" vertical="top" wrapText="1"/>
    </xf>
    <xf numFmtId="0" fontId="10" fillId="0" borderId="0" xfId="0" applyFont="1" applyAlignment="1">
      <alignment horizontal="left" vertical="top" wrapText="1"/>
    </xf>
    <xf numFmtId="0" fontId="0" fillId="0" borderId="0" xfId="0" applyAlignment="1">
      <alignment horizontal="left" vertical="top" wrapText="1"/>
    </xf>
    <xf numFmtId="0" fontId="26" fillId="7" borderId="10" xfId="0" applyFont="1" applyFill="1" applyBorder="1" applyAlignment="1" applyProtection="1">
      <alignment horizontal="center"/>
      <protection locked="0"/>
    </xf>
    <xf numFmtId="0" fontId="33" fillId="7" borderId="9" xfId="0" applyFont="1" applyFill="1" applyBorder="1" applyAlignment="1" applyProtection="1">
      <alignment horizontal="center"/>
      <protection locked="0"/>
    </xf>
    <xf numFmtId="0" fontId="33" fillId="7" borderId="10" xfId="0" applyFont="1" applyFill="1" applyBorder="1" applyAlignment="1" applyProtection="1">
      <alignment horizontal="center"/>
      <protection locked="0"/>
    </xf>
    <xf numFmtId="0" fontId="33" fillId="7" borderId="12" xfId="0" applyFont="1" applyFill="1" applyBorder="1" applyAlignment="1" applyProtection="1">
      <alignment horizontal="center"/>
      <protection locked="0"/>
    </xf>
    <xf numFmtId="0" fontId="33" fillId="7" borderId="9" xfId="0" applyFont="1" applyFill="1" applyBorder="1" applyAlignment="1" applyProtection="1">
      <alignment horizontal="left"/>
      <protection locked="0"/>
    </xf>
    <xf numFmtId="0" fontId="33" fillId="7" borderId="10" xfId="0" applyFont="1" applyFill="1" applyBorder="1" applyAlignment="1" applyProtection="1">
      <alignment horizontal="left"/>
      <protection locked="0"/>
    </xf>
    <xf numFmtId="0" fontId="33" fillId="7" borderId="12" xfId="0" applyFont="1" applyFill="1" applyBorder="1" applyAlignment="1" applyProtection="1">
      <alignment horizontal="left"/>
      <protection locked="0"/>
    </xf>
    <xf numFmtId="0" fontId="78" fillId="0" borderId="2" xfId="0" applyFont="1" applyBorder="1" applyAlignment="1"/>
    <xf numFmtId="0" fontId="0" fillId="0" borderId="2" xfId="0" applyBorder="1" applyAlignment="1"/>
    <xf numFmtId="0" fontId="25" fillId="8" borderId="9" xfId="0" applyFont="1" applyFill="1" applyBorder="1" applyAlignment="1">
      <alignment horizontal="left"/>
    </xf>
    <xf numFmtId="0" fontId="25" fillId="8" borderId="12" xfId="0" applyFont="1" applyFill="1" applyBorder="1" applyAlignment="1">
      <alignment horizontal="left"/>
    </xf>
    <xf numFmtId="0" fontId="0" fillId="0" borderId="0" xfId="0" applyAlignment="1">
      <alignment vertical="top" wrapText="1"/>
    </xf>
    <xf numFmtId="4" fontId="9" fillId="0" borderId="0" xfId="0" applyNumberFormat="1" applyFont="1" applyAlignment="1">
      <alignment horizontal="left"/>
    </xf>
    <xf numFmtId="4" fontId="51" fillId="0" borderId="0" xfId="0" applyNumberFormat="1" applyFont="1" applyAlignment="1">
      <alignment horizontal="left"/>
    </xf>
    <xf numFmtId="0" fontId="0" fillId="0" borderId="10" xfId="0" applyBorder="1" applyProtection="1">
      <protection locked="0"/>
    </xf>
    <xf numFmtId="0" fontId="0" fillId="0" borderId="12" xfId="0" applyBorder="1" applyProtection="1">
      <protection locked="0"/>
    </xf>
    <xf numFmtId="0" fontId="10" fillId="6" borderId="9" xfId="0" applyFont="1" applyFill="1" applyBorder="1" applyAlignment="1" applyProtection="1">
      <alignment horizontal="center"/>
      <protection locked="0"/>
    </xf>
    <xf numFmtId="0" fontId="0" fillId="6" borderId="10" xfId="0" applyFill="1" applyBorder="1" applyAlignment="1" applyProtection="1">
      <alignment horizontal="center"/>
      <protection locked="0"/>
    </xf>
    <xf numFmtId="0" fontId="0" fillId="6" borderId="12" xfId="0" applyFill="1" applyBorder="1" applyAlignment="1" applyProtection="1">
      <alignment horizontal="center"/>
      <protection locked="0"/>
    </xf>
    <xf numFmtId="0" fontId="0" fillId="6" borderId="9" xfId="0" applyFill="1" applyBorder="1" applyAlignment="1" applyProtection="1">
      <alignment horizontal="center"/>
      <protection locked="0"/>
    </xf>
    <xf numFmtId="0" fontId="68" fillId="0" borderId="0" xfId="0" applyNumberFormat="1" applyFont="1" applyAlignment="1">
      <alignment horizontal="center"/>
    </xf>
    <xf numFmtId="0" fontId="18" fillId="0" borderId="2" xfId="0" applyFont="1" applyBorder="1" applyAlignment="1">
      <alignment horizontal="left"/>
    </xf>
    <xf numFmtId="0" fontId="18" fillId="0" borderId="3" xfId="0" applyFont="1" applyBorder="1" applyAlignment="1">
      <alignment horizontal="left"/>
    </xf>
    <xf numFmtId="0" fontId="18" fillId="0" borderId="0" xfId="0" applyFont="1" applyBorder="1" applyAlignment="1">
      <alignment horizontal="left"/>
    </xf>
    <xf numFmtId="0" fontId="18" fillId="0" borderId="7" xfId="0" applyFont="1" applyBorder="1" applyAlignment="1">
      <alignment horizontal="left"/>
    </xf>
  </cellXfs>
  <cellStyles count="1">
    <cellStyle name="Normal" xfId="0" builtinId="0"/>
  </cellStyles>
  <dxfs count="68">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ill>
        <patternFill>
          <bgColor indexed="17"/>
        </patternFill>
      </fill>
    </dxf>
    <dxf>
      <font>
        <condense val="0"/>
        <extend val="0"/>
        <color indexed="9"/>
      </font>
      <fill>
        <patternFill>
          <bgColor indexed="9"/>
        </patternFill>
      </fill>
    </dxf>
    <dxf>
      <font>
        <b/>
        <i val="0"/>
        <condense val="0"/>
        <extend val="0"/>
        <color indexed="10"/>
      </font>
    </dxf>
    <dxf>
      <font>
        <b/>
        <i val="0"/>
        <condense val="0"/>
        <extend val="0"/>
        <color indexed="22"/>
      </font>
      <fill>
        <patternFill patternType="none">
          <bgColor indexed="65"/>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22"/>
      </font>
      <fill>
        <patternFill patternType="none">
          <bgColor indexed="65"/>
        </patternFill>
      </fill>
    </dxf>
    <dxf>
      <font>
        <condense val="0"/>
        <extend val="0"/>
        <color indexed="22"/>
      </font>
      <fill>
        <patternFill patternType="none">
          <bgColor indexed="65"/>
        </patternFill>
      </fill>
    </dxf>
    <dxf>
      <font>
        <b/>
        <i val="0"/>
        <condense val="0"/>
        <extend val="0"/>
        <color indexed="10"/>
      </font>
    </dxf>
    <dxf>
      <font>
        <b/>
        <i val="0"/>
        <condense val="0"/>
        <extend val="0"/>
        <color indexed="22"/>
      </font>
      <fill>
        <patternFill patternType="none">
          <bgColor indexed="65"/>
        </patternFill>
      </fill>
    </dxf>
    <dxf>
      <font>
        <b/>
        <i val="0"/>
        <condense val="0"/>
        <extend val="0"/>
        <color indexed="10"/>
      </font>
    </dxf>
    <dxf>
      <font>
        <condense val="0"/>
        <extend val="0"/>
        <color indexed="9"/>
      </font>
    </dxf>
    <dxf>
      <font>
        <condense val="0"/>
        <extend val="0"/>
        <color indexed="8"/>
      </font>
      <fill>
        <patternFill>
          <bgColor indexed="41"/>
        </patternFill>
      </fill>
      <border>
        <left style="thin">
          <color indexed="64"/>
        </left>
        <right style="thin">
          <color indexed="64"/>
        </right>
        <top style="thin">
          <color indexed="64"/>
        </top>
        <bottom style="thin">
          <color indexed="64"/>
        </bottom>
      </border>
    </dxf>
    <dxf>
      <font>
        <condense val="0"/>
        <extend val="0"/>
        <color indexed="8"/>
      </font>
      <fill>
        <patternFill>
          <bgColor indexed="26"/>
        </patternFill>
      </fill>
      <border>
        <left style="thin">
          <color indexed="64"/>
        </left>
        <right style="thin">
          <color indexed="64"/>
        </right>
        <top style="thin">
          <color indexed="64"/>
        </top>
        <bottom style="thin">
          <color indexed="64"/>
        </bottom>
      </border>
    </dxf>
    <dxf>
      <fill>
        <patternFill>
          <fgColor indexed="64"/>
          <bgColor indexed="42"/>
        </patternFill>
      </fill>
    </dxf>
    <dxf>
      <fill>
        <patternFill>
          <bgColor indexed="42"/>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ont>
        <condense val="0"/>
        <extend val="0"/>
        <color indexed="17"/>
      </font>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63"/>
        </patternFill>
      </fill>
    </dxf>
    <dxf>
      <font>
        <b/>
        <i val="0"/>
        <condense val="0"/>
        <extend val="0"/>
        <color indexed="10"/>
      </font>
    </dxf>
    <dxf>
      <font>
        <b/>
        <i val="0"/>
        <condense val="0"/>
        <extend val="0"/>
        <color indexed="10"/>
      </font>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ont>
        <condense val="0"/>
        <extend val="0"/>
        <color indexed="9"/>
      </font>
      <fill>
        <patternFill>
          <bgColor indexed="9"/>
        </patternFill>
      </fill>
    </dxf>
    <dxf>
      <font>
        <condense val="0"/>
        <extend val="0"/>
        <color indexed="10"/>
      </font>
      <fill>
        <patternFill>
          <bgColor indexed="9"/>
        </patternFill>
      </fill>
    </dxf>
    <dxf>
      <fill>
        <patternFill>
          <bgColor indexed="8"/>
        </patternFill>
      </fill>
    </dxf>
    <dxf>
      <fill>
        <patternFill>
          <bgColor indexed="8"/>
        </patternFill>
      </fill>
    </dxf>
    <dxf>
      <fill>
        <patternFill>
          <bgColor indexed="17"/>
        </patternFill>
      </fill>
    </dxf>
    <dxf>
      <fill>
        <patternFill>
          <bgColor indexed="17"/>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
      <fill>
        <patternFill>
          <bgColor indexed="8"/>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4.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 Id="rId27" Type="http://schemas.openxmlformats.org/officeDocument/2006/relationships/customXml" Target="../customXml/item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905639233227088"/>
          <c:y val="5.2871821688404486E-2"/>
          <c:w val="0.80137121040621917"/>
          <c:h val="0.77192859665070546"/>
        </c:manualLayout>
      </c:layout>
      <c:scatterChart>
        <c:scatterStyle val="lineMarker"/>
        <c:varyColors val="0"/>
        <c:ser>
          <c:idx val="1"/>
          <c:order val="0"/>
          <c:spPr>
            <a:ln w="3175">
              <a:solidFill>
                <a:srgbClr val="000000"/>
              </a:solidFill>
              <a:prstDash val="solid"/>
            </a:ln>
          </c:spPr>
          <c:marker>
            <c:symbol val="none"/>
          </c:marker>
          <c:xVal>
            <c:numRef>
              <c:f>'Level3 Soil'!$V$14:$V$34</c:f>
              <c:numCache>
                <c:formatCode>0.0</c:formatCode>
                <c:ptCount val="21"/>
                <c:pt idx="0" formatCode="General">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'Level3 Soil'!$W$14:$W$34</c:f>
              <c:numCache>
                <c:formatCode>0.00E+00</c:formatCode>
                <c:ptCount val="21"/>
                <c:pt idx="0" formatCode="0.0E+00">
                  <c:v>1</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6A8A-4A55-8945-C5D014770733}"/>
            </c:ext>
          </c:extLst>
        </c:ser>
        <c:dLbls>
          <c:showLegendKey val="0"/>
          <c:showVal val="0"/>
          <c:showCatName val="0"/>
          <c:showSerName val="0"/>
          <c:showPercent val="0"/>
          <c:showBubbleSize val="0"/>
        </c:dLbls>
        <c:axId val="270320816"/>
        <c:axId val="139746392"/>
      </c:scatterChart>
      <c:valAx>
        <c:axId val="27032081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8960492383866866"/>
              <c:y val="0.91292024892648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9746392"/>
        <c:crossesAt val="0"/>
        <c:crossBetween val="midCat"/>
      </c:valAx>
      <c:valAx>
        <c:axId val="139746392"/>
        <c:scaling>
          <c:orientation val="minMax"/>
          <c:max val="1"/>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(no untis)</a:t>
                </a:r>
              </a:p>
            </c:rich>
          </c:tx>
          <c:layout>
            <c:manualLayout>
              <c:xMode val="edge"/>
              <c:yMode val="edge"/>
              <c:x val="1.5368657520430033E-2"/>
              <c:y val="0.11631803975033156"/>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0320816"/>
        <c:crosses val="autoZero"/>
        <c:crossBetween val="midCat"/>
        <c:majorUnit val="0.1"/>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000" b="1" i="0" u="none" strike="noStrike" baseline="0">
                <a:solidFill>
                  <a:srgbClr val="000000"/>
                </a:solidFill>
                <a:latin typeface="Arial"/>
                <a:ea typeface="Arial"/>
                <a:cs typeface="Arial"/>
              </a:defRPr>
            </a:pPr>
            <a:r>
              <a:rPr lang="en-GB"/>
              <a:t>Comparison of Methods</a:t>
            </a:r>
          </a:p>
        </c:rich>
      </c:tx>
      <c:layout>
        <c:manualLayout>
          <c:xMode val="edge"/>
          <c:yMode val="edge"/>
          <c:x val="0.34318463785455977"/>
          <c:y val="3.636022318402253E-2"/>
        </c:manualLayout>
      </c:layout>
      <c:overlay val="0"/>
      <c:spPr>
        <a:noFill/>
        <a:ln w="25400">
          <a:noFill/>
        </a:ln>
      </c:spPr>
    </c:title>
    <c:autoTitleDeleted val="0"/>
    <c:view3D>
      <c:rotX val="15"/>
      <c:hPercent val="100"/>
      <c:rotY val="30"/>
      <c:depthPercent val="150"/>
      <c:rAngAx val="0"/>
      <c:perspective val="44"/>
    </c:view3D>
    <c:floor>
      <c:thickness val="0"/>
      <c:spPr>
        <a:solidFill>
          <a:srgbClr val="C0C0C0"/>
        </a:solidFill>
        <a:ln w="3175">
          <a:solidFill>
            <a:srgbClr val="000000"/>
          </a:solidFill>
          <a:prstDash val="solid"/>
        </a:ln>
      </c:spPr>
    </c:floor>
    <c:sideWall>
      <c:thickness val="0"/>
      <c:spPr>
        <a:noFill/>
        <a:ln w="12700">
          <a:solidFill>
            <a:srgbClr val="808080"/>
          </a:solidFill>
          <a:prstDash val="solid"/>
        </a:ln>
      </c:spPr>
    </c:sideWall>
    <c:backWall>
      <c:thickness val="0"/>
      <c:spPr>
        <a:noFill/>
        <a:ln w="12700">
          <a:solidFill>
            <a:srgbClr val="808080"/>
          </a:solidFill>
          <a:prstDash val="solid"/>
        </a:ln>
      </c:spPr>
    </c:backWall>
    <c:plotArea>
      <c:layout>
        <c:manualLayout>
          <c:layoutTarget val="inner"/>
          <c:xMode val="edge"/>
          <c:yMode val="edge"/>
          <c:x val="0.25428743613893018"/>
          <c:y val="0.12560777107699658"/>
          <c:w val="0.72978426794343376"/>
          <c:h val="0.69745367624332311"/>
        </c:manualLayout>
      </c:layout>
      <c:line3DChart>
        <c:grouping val="standard"/>
        <c:varyColors val="0"/>
        <c:ser>
          <c:idx val="0"/>
          <c:order val="0"/>
          <c:tx>
            <c:v>Ogata Banks</c:v>
          </c:tx>
          <c:spPr>
            <a:solidFill>
              <a:srgbClr val="9999FF"/>
            </a:solidFill>
            <a:ln w="12700">
              <a:solidFill>
                <a:srgbClr val="000000"/>
              </a:solidFill>
              <a:prstDash val="solid"/>
            </a:ln>
          </c:spPr>
          <c:cat>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0-057E-4788-BC45-981DEC251AFA}"/>
            </c:ext>
          </c:extLst>
        </c:ser>
        <c:ser>
          <c:idx val="2"/>
          <c:order val="1"/>
          <c:tx>
            <c:v>Domenico Time Variant</c:v>
          </c:tx>
          <c:spPr>
            <a:solidFill>
              <a:srgbClr val="FFFFCC"/>
            </a:solidFill>
            <a:ln w="12700">
              <a:solidFill>
                <a:srgbClr val="000000"/>
              </a:solidFill>
              <a:prstDash val="solid"/>
            </a:ln>
          </c:spPr>
          <c:cat>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1-057E-4788-BC45-981DEC251AFA}"/>
            </c:ext>
          </c:extLst>
        </c:ser>
        <c:ser>
          <c:idx val="1"/>
          <c:order val="2"/>
          <c:tx>
            <c:v>Domenico Steady State</c:v>
          </c:tx>
          <c:spPr>
            <a:solidFill>
              <a:srgbClr val="993366"/>
            </a:solidFill>
            <a:ln w="12700">
              <a:solidFill>
                <a:srgbClr val="000000"/>
              </a:solidFill>
              <a:prstDash val="solid"/>
            </a:ln>
          </c:spPr>
          <c:cat>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cat>
          <c: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val>
          <c:smooth val="0"/>
          <c:extLst>
            <c:ext xmlns:c16="http://schemas.microsoft.com/office/drawing/2014/chart" uri="{C3380CC4-5D6E-409C-BE32-E72D297353CC}">
              <c16:uniqueId val="{00000002-057E-4788-BC45-981DEC251AFA}"/>
            </c:ext>
          </c:extLst>
        </c:ser>
        <c:dLbls>
          <c:showLegendKey val="0"/>
          <c:showVal val="0"/>
          <c:showCatName val="0"/>
          <c:showSerName val="0"/>
          <c:showPercent val="0"/>
          <c:showBubbleSize val="0"/>
        </c:dLbls>
        <c:axId val="139746784"/>
        <c:axId val="139747176"/>
        <c:axId val="345736504"/>
      </c:line3DChart>
      <c:catAx>
        <c:axId val="139746784"/>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37419543296307672"/>
              <c:y val="0.78339573447358823"/>
            </c:manualLayout>
          </c:layout>
          <c:overlay val="0"/>
          <c:spPr>
            <a:noFill/>
            <a:ln w="25400">
              <a:noFill/>
            </a:ln>
          </c:spPr>
        </c:title>
        <c:numFmt formatCode="General" sourceLinked="1"/>
        <c:majorTickMark val="out"/>
        <c:minorTickMark val="none"/>
        <c:tickLblPos val="low"/>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9747176"/>
        <c:crosses val="autoZero"/>
        <c:auto val="1"/>
        <c:lblAlgn val="ctr"/>
        <c:lblOffset val="100"/>
        <c:tickLblSkip val="1"/>
        <c:tickMarkSkip val="1"/>
        <c:noMultiLvlLbl val="1"/>
      </c:catAx>
      <c:valAx>
        <c:axId val="139747176"/>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Relative concentration (No Units)</a:t>
                </a:r>
              </a:p>
            </c:rich>
          </c:tx>
          <c:layout>
            <c:manualLayout>
              <c:xMode val="edge"/>
              <c:yMode val="edge"/>
              <c:x val="0.11370574571402393"/>
              <c:y val="0.21154994698510368"/>
            </c:manualLayout>
          </c:layout>
          <c:overlay val="0"/>
          <c:spPr>
            <a:noFill/>
            <a:ln w="25400">
              <a:noFill/>
            </a:ln>
          </c:spPr>
        </c:title>
        <c:numFmt formatCode="0.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9746784"/>
        <c:crosses val="autoZero"/>
        <c:crossBetween val="midCat"/>
      </c:valAx>
      <c:serAx>
        <c:axId val="345736504"/>
        <c:scaling>
          <c:orientation val="minMax"/>
        </c:scaling>
        <c:delete val="1"/>
        <c:axPos val="b"/>
        <c:majorTickMark val="out"/>
        <c:minorTickMark val="none"/>
        <c:tickLblPos val="nextTo"/>
        <c:crossAx val="139747176"/>
        <c:crosses val="autoZero"/>
      </c:serAx>
      <c:spPr>
        <a:noFill/>
        <a:ln w="25400">
          <a:noFill/>
        </a:ln>
      </c:spPr>
    </c:plotArea>
    <c:legend>
      <c:legendPos val="r"/>
      <c:layout>
        <c:manualLayout>
          <c:xMode val="edge"/>
          <c:yMode val="edge"/>
          <c:x val="1.0336787983637569E-2"/>
          <c:y val="0.77347934157236975"/>
          <c:w val="0.26875907452020242"/>
          <c:h val="0.19171716118266668"/>
        </c:manualLayout>
      </c:layout>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694791982061907"/>
          <c:y val="5.5305313414779046E-2"/>
          <c:w val="0.81305805107444351"/>
          <c:h val="0.7595263042296323"/>
        </c:manualLayout>
      </c:layout>
      <c:scatterChart>
        <c:scatterStyle val="lineMarker"/>
        <c:varyColors val="0"/>
        <c:ser>
          <c:idx val="1"/>
          <c:order val="0"/>
          <c:spPr>
            <a:ln w="12700">
              <a:solidFill>
                <a:srgbClr val="000000"/>
              </a:solidFill>
              <a:prstDash val="solid"/>
            </a:ln>
          </c:spPr>
          <c:marker>
            <c:symbol val="none"/>
          </c:marker>
          <c:xVal>
            <c:numRef>
              <c:f>'Soil Impact Results'!$D$33:$D$53</c:f>
              <c:numCache>
                <c:formatCode>#,##0.00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xVal>
          <c:yVal>
            <c:numRef>
              <c:f>'Soil Impact Results'!$E$33:$E$53</c:f>
              <c:numCache>
                <c:formatCode>0.00E+00</c:formatCode>
                <c:ptCount val="2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Cache>
            </c:numRef>
          </c:yVal>
          <c:smooth val="0"/>
          <c:extLst>
            <c:ext xmlns:c16="http://schemas.microsoft.com/office/drawing/2014/chart" uri="{C3380CC4-5D6E-409C-BE32-E72D297353CC}">
              <c16:uniqueId val="{00000000-EC25-4981-A6C5-AAF339FA1E76}"/>
            </c:ext>
          </c:extLst>
        </c:ser>
        <c:dLbls>
          <c:showLegendKey val="0"/>
          <c:showVal val="0"/>
          <c:showCatName val="0"/>
          <c:showSerName val="0"/>
          <c:showPercent val="0"/>
          <c:showBubbleSize val="0"/>
        </c:dLbls>
        <c:axId val="139748744"/>
        <c:axId val="271863232"/>
      </c:scatterChart>
      <c:valAx>
        <c:axId val="13974874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9433938149035717"/>
              <c:y val="0.90700702123425914"/>
            </c:manualLayout>
          </c:layout>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71863232"/>
        <c:crosses val="autoZero"/>
        <c:crossBetween val="midCat"/>
      </c:valAx>
      <c:valAx>
        <c:axId val="271863232"/>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1.5176994180075317E-2"/>
              <c:y val="0.23596918616219903"/>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13974874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179142637585195"/>
          <c:y val="4.5699811840347195E-2"/>
          <c:w val="0.81946306865691243"/>
          <c:h val="0.81650330488086986"/>
        </c:manualLayout>
      </c:layout>
      <c:scatterChart>
        <c:scatterStyle val="lineMarker"/>
        <c:varyColors val="0"/>
        <c:ser>
          <c:idx val="1"/>
          <c:order val="0"/>
          <c:spPr>
            <a:ln w="12700">
              <a:solidFill>
                <a:srgbClr val="000000"/>
              </a:solidFill>
              <a:prstDash val="solid"/>
            </a:ln>
          </c:spPr>
          <c:marker>
            <c:symbol val="none"/>
          </c:marker>
          <c:xVal>
            <c:numRef>
              <c:f>'Level3 Groundwater'!$W$14:$W$34</c:f>
              <c:numCache>
                <c:formatCode>0.0</c:formatCode>
                <c:ptCount val="21"/>
                <c:pt idx="0" formatCode="0">
                  <c:v>0</c:v>
                </c:pt>
                <c:pt idx="1">
                  <c:v>0.05</c:v>
                </c:pt>
                <c:pt idx="2">
                  <c:v>0.1</c:v>
                </c:pt>
                <c:pt idx="3">
                  <c:v>0.15000000000000002</c:v>
                </c:pt>
                <c:pt idx="4">
                  <c:v>0.2</c:v>
                </c:pt>
                <c:pt idx="5">
                  <c:v>0.25</c:v>
                </c:pt>
                <c:pt idx="6">
                  <c:v>0.30000000000000004</c:v>
                </c:pt>
                <c:pt idx="7">
                  <c:v>0.35000000000000003</c:v>
                </c:pt>
                <c:pt idx="8">
                  <c:v>0.4</c:v>
                </c:pt>
                <c:pt idx="9">
                  <c:v>0.45</c:v>
                </c:pt>
                <c:pt idx="10">
                  <c:v>0.5</c:v>
                </c:pt>
                <c:pt idx="11">
                  <c:v>0.55000000000000004</c:v>
                </c:pt>
                <c:pt idx="12">
                  <c:v>0.60000000000000009</c:v>
                </c:pt>
                <c:pt idx="13">
                  <c:v>0.65</c:v>
                </c:pt>
                <c:pt idx="14">
                  <c:v>0.70000000000000007</c:v>
                </c:pt>
                <c:pt idx="15">
                  <c:v>0.75</c:v>
                </c:pt>
                <c:pt idx="16">
                  <c:v>0.8</c:v>
                </c:pt>
                <c:pt idx="17">
                  <c:v>0.85000000000000009</c:v>
                </c:pt>
                <c:pt idx="18">
                  <c:v>0.9</c:v>
                </c:pt>
                <c:pt idx="19">
                  <c:v>0.95000000000000007</c:v>
                </c:pt>
                <c:pt idx="20">
                  <c:v>1</c:v>
                </c:pt>
              </c:numCache>
            </c:numRef>
          </c:xVal>
          <c:yVal>
            <c:numRef>
              <c:f>'Level3 Groundwater'!$X$14:$X$34</c:f>
              <c:numCache>
                <c:formatCode>0.00E+00</c:formatCode>
                <c:ptCount val="21"/>
                <c:pt idx="0" formatCode="0.0E+00">
                  <c:v>100</c:v>
                </c:pt>
                <c:pt idx="1">
                  <c:v>97.853489922801089</c:v>
                </c:pt>
                <c:pt idx="2">
                  <c:v>97.178038491006262</c:v>
                </c:pt>
                <c:pt idx="3">
                  <c:v>96.33428292121971</c:v>
                </c:pt>
                <c:pt idx="4">
                  <c:v>95.294541810078442</c:v>
                </c:pt>
                <c:pt idx="5">
                  <c:v>94.030621132007312</c:v>
                </c:pt>
                <c:pt idx="6">
                  <c:v>92.514965760301934</c:v>
                </c:pt>
                <c:pt idx="7">
                  <c:v>90.7220200074225</c:v>
                </c:pt>
                <c:pt idx="8">
                  <c:v>88.629739635456332</c:v>
                </c:pt>
                <c:pt idx="9">
                  <c:v>86.221173046171756</c:v>
                </c:pt>
                <c:pt idx="10">
                  <c:v>83.486008354386627</c:v>
                </c:pt>
                <c:pt idx="11">
                  <c:v>80.421968897835598</c:v>
                </c:pt>
                <c:pt idx="12">
                  <c:v>77.035935208734799</c:v>
                </c:pt>
                <c:pt idx="13">
                  <c:v>73.344678526623156</c:v>
                </c:pt>
                <c:pt idx="14">
                  <c:v>69.375110320798811</c:v>
                </c:pt>
                <c:pt idx="15">
                  <c:v>65.163983289552277</c:v>
                </c:pt>
                <c:pt idx="16">
                  <c:v>60.757019638553622</c:v>
                </c:pt>
                <c:pt idx="17">
                  <c:v>56.207488445576203</c:v>
                </c:pt>
                <c:pt idx="18">
                  <c:v>51.57430091884244</c:v>
                </c:pt>
                <c:pt idx="19">
                  <c:v>46.919735238922087</c:v>
                </c:pt>
                <c:pt idx="20">
                  <c:v>42.306936562016176</c:v>
                </c:pt>
              </c:numCache>
            </c:numRef>
          </c:yVal>
          <c:smooth val="0"/>
          <c:extLst>
            <c:ext xmlns:c16="http://schemas.microsoft.com/office/drawing/2014/chart" uri="{C3380CC4-5D6E-409C-BE32-E72D297353CC}">
              <c16:uniqueId val="{00000000-9CA9-483F-86E0-E7C54880144B}"/>
            </c:ext>
          </c:extLst>
        </c:ser>
        <c:ser>
          <c:idx val="0"/>
          <c:order val="1"/>
          <c:spPr>
            <a:ln w="3175">
              <a:solidFill>
                <a:srgbClr val="FF0000"/>
              </a:solidFill>
              <a:prstDash val="lgDash"/>
            </a:ln>
          </c:spPr>
          <c:marker>
            <c:symbol val="none"/>
          </c:marker>
          <c:xVal>
            <c:numRef>
              <c:f>'Level3 Groundwater'!$AB$15:$AB$16</c:f>
              <c:numCache>
                <c:formatCode>0.0</c:formatCode>
                <c:ptCount val="2"/>
              </c:numCache>
            </c:numRef>
          </c:xVal>
          <c:yVal>
            <c:numRef>
              <c:f>'Level3 Groundwater'!$AC$15:$AC$16</c:f>
              <c:numCache>
                <c:formatCode>0.00E+00</c:formatCode>
                <c:ptCount val="2"/>
              </c:numCache>
            </c:numRef>
          </c:yVal>
          <c:smooth val="0"/>
          <c:extLst>
            <c:ext xmlns:c16="http://schemas.microsoft.com/office/drawing/2014/chart" uri="{C3380CC4-5D6E-409C-BE32-E72D297353CC}">
              <c16:uniqueId val="{00000001-9CA9-483F-86E0-E7C54880144B}"/>
            </c:ext>
          </c:extLst>
        </c:ser>
        <c:dLbls>
          <c:showLegendKey val="0"/>
          <c:showVal val="0"/>
          <c:showCatName val="0"/>
          <c:showSerName val="0"/>
          <c:showPercent val="0"/>
          <c:showBubbleSize val="0"/>
        </c:dLbls>
        <c:axId val="346076568"/>
        <c:axId val="346076960"/>
      </c:scatterChart>
      <c:valAx>
        <c:axId val="346076568"/>
        <c:scaling>
          <c:orientation val="minMax"/>
        </c:scaling>
        <c:delete val="0"/>
        <c:axPos val="b"/>
        <c:title>
          <c:tx>
            <c:rich>
              <a:bodyPr/>
              <a:lstStyle/>
              <a:p>
                <a:pPr>
                  <a:defRPr sz="850" b="1" i="0" u="none" strike="noStrike" baseline="0">
                    <a:solidFill>
                      <a:srgbClr val="000000"/>
                    </a:solidFill>
                    <a:latin typeface="Arial"/>
                    <a:ea typeface="Arial"/>
                    <a:cs typeface="Arial"/>
                  </a:defRPr>
                </a:pPr>
                <a:r>
                  <a:rPr lang="en-GB"/>
                  <a:t>Distance (m)</a:t>
                </a:r>
              </a:p>
            </c:rich>
          </c:tx>
          <c:layout>
            <c:manualLayout>
              <c:xMode val="edge"/>
              <c:yMode val="edge"/>
              <c:x val="0.4958801548111571"/>
              <c:y val="0.92313616285769151"/>
            </c:manualLayout>
          </c:layout>
          <c:overlay val="0"/>
          <c:spPr>
            <a:noFill/>
            <a:ln w="25400">
              <a:noFill/>
            </a:ln>
          </c:spPr>
        </c:title>
        <c:numFmt formatCode="0" sourceLinked="1"/>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076960"/>
        <c:crosses val="autoZero"/>
        <c:crossBetween val="midCat"/>
      </c:valAx>
      <c:valAx>
        <c:axId val="346076960"/>
        <c:scaling>
          <c:orientation val="minMax"/>
        </c:scaling>
        <c:delete val="0"/>
        <c:axPos val="l"/>
        <c:title>
          <c:tx>
            <c:rich>
              <a:bodyPr/>
              <a:lstStyle/>
              <a:p>
                <a:pPr>
                  <a:defRPr sz="850" b="1" i="0" u="none" strike="noStrike" baseline="0">
                    <a:solidFill>
                      <a:srgbClr val="000000"/>
                    </a:solidFill>
                    <a:latin typeface="Arial"/>
                    <a:ea typeface="Arial"/>
                    <a:cs typeface="Arial"/>
                  </a:defRPr>
                </a:pPr>
                <a:r>
                  <a:rPr lang="en-GB"/>
                  <a:t>Calculated concentration (mg/l)</a:t>
                </a:r>
              </a:p>
            </c:rich>
          </c:tx>
          <c:layout>
            <c:manualLayout>
              <c:xMode val="edge"/>
              <c:yMode val="edge"/>
              <c:x val="1.0506027848213889E-2"/>
              <c:y val="0.19803245630881508"/>
            </c:manualLayout>
          </c:layout>
          <c:overlay val="0"/>
          <c:spPr>
            <a:noFill/>
            <a:ln w="25400">
              <a:noFill/>
            </a:ln>
          </c:spPr>
        </c:title>
        <c:numFmt formatCode="0.0E+00" sourceLinked="0"/>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34607656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5218778032492772E-2"/>
        </c:manualLayout>
      </c:layout>
      <c:overlay val="0"/>
      <c:spPr>
        <a:noFill/>
        <a:ln w="25400">
          <a:noFill/>
        </a:ln>
      </c:spPr>
    </c:title>
    <c:autoTitleDeleted val="0"/>
    <c:plotArea>
      <c:layout>
        <c:manualLayout>
          <c:layoutTarget val="inner"/>
          <c:xMode val="edge"/>
          <c:yMode val="edge"/>
          <c:x val="0.16300940438871472"/>
          <c:y val="0.14727916254987056"/>
          <c:w val="0.78996865203761757"/>
          <c:h val="0.723588929049364"/>
        </c:manualLayout>
      </c:layout>
      <c:scatterChart>
        <c:scatterStyle val="lineMarker"/>
        <c:varyColors val="0"/>
        <c:ser>
          <c:idx val="0"/>
          <c:order val="0"/>
          <c:spPr>
            <a:ln w="12700">
              <a:solidFill>
                <a:srgbClr val="003366"/>
              </a:solidFill>
              <a:prstDash val="solid"/>
            </a:ln>
          </c:spPr>
          <c:marker>
            <c:symbol val="none"/>
          </c:marker>
          <c:xVal>
            <c:numRef>
              <c:f>'Level3.1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Calc'!$X$5:$X$24</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FFC8-4253-8D53-A7ACC337789D}"/>
            </c:ext>
          </c:extLst>
        </c:ser>
        <c:dLbls>
          <c:showLegendKey val="0"/>
          <c:showVal val="0"/>
          <c:showCatName val="0"/>
          <c:showSerName val="0"/>
          <c:showPercent val="0"/>
          <c:showBubbleSize val="0"/>
        </c:dLbls>
        <c:axId val="346079704"/>
        <c:axId val="346082056"/>
      </c:scatterChart>
      <c:valAx>
        <c:axId val="34607970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188939831888103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082056"/>
        <c:crosses val="autoZero"/>
        <c:crossBetween val="midCat"/>
      </c:valAx>
      <c:valAx>
        <c:axId val="34608205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3041635934748662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07970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332293368989257"/>
          <c:y val="3.3367032824600629E-2"/>
        </c:manualLayout>
      </c:layout>
      <c:overlay val="0"/>
      <c:spPr>
        <a:noFill/>
        <a:ln w="25400">
          <a:noFill/>
        </a:ln>
      </c:spPr>
    </c:title>
    <c:autoTitleDeleted val="0"/>
    <c:plotArea>
      <c:layout>
        <c:manualLayout>
          <c:layoutTarget val="inner"/>
          <c:xMode val="edge"/>
          <c:yMode val="edge"/>
          <c:x val="0.16300940438871472"/>
          <c:y val="9.1001190835895709E-2"/>
          <c:w val="0.78996865203761757"/>
          <c:h val="0.7947437333001558"/>
        </c:manualLayout>
      </c:layout>
      <c:scatterChart>
        <c:scatterStyle val="lineMarker"/>
        <c:varyColors val="0"/>
        <c:ser>
          <c:idx val="0"/>
          <c:order val="0"/>
          <c:spPr>
            <a:ln w="12700">
              <a:solidFill>
                <a:srgbClr val="003366"/>
              </a:solidFill>
              <a:prstDash val="solid"/>
            </a:ln>
          </c:spPr>
          <c:marker>
            <c:symbol val="none"/>
          </c:marker>
          <c:xVal>
            <c:numRef>
              <c:f>'Level3.1 Soil Calc'!$F$29:$F$48</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'Level3.1 Soil Calc'!$X$29:$X$48</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2C36-4866-B944-0BB1F27B92EE}"/>
            </c:ext>
          </c:extLst>
        </c:ser>
        <c:dLbls>
          <c:showLegendKey val="0"/>
          <c:showVal val="0"/>
          <c:showCatName val="0"/>
          <c:showSerName val="0"/>
          <c:showPercent val="0"/>
          <c:showBubbleSize val="0"/>
        </c:dLbls>
        <c:axId val="346081272"/>
        <c:axId val="346082448"/>
      </c:scatterChart>
      <c:valAx>
        <c:axId val="34608127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76803842915862"/>
              <c:y val="0.925178704513787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082448"/>
        <c:crosses val="autoZero"/>
        <c:crossBetween val="midCat"/>
      </c:valAx>
      <c:valAx>
        <c:axId val="34608244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a:t>
                </a:r>
              </a:p>
            </c:rich>
          </c:tx>
          <c:layout>
            <c:manualLayout>
              <c:xMode val="edge"/>
              <c:yMode val="edge"/>
              <c:x val="1.5674078476039553E-2"/>
              <c:y val="0.29423706295972263"/>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60812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756581240353086"/>
          <c:y val="2.7447506561679789E-2"/>
        </c:manualLayout>
      </c:layout>
      <c:overlay val="0"/>
      <c:spPr>
        <a:noFill/>
        <a:ln w="25400">
          <a:noFill/>
        </a:ln>
      </c:spPr>
    </c:title>
    <c:autoTitleDeleted val="0"/>
    <c:plotArea>
      <c:layout>
        <c:manualLayout>
          <c:layoutTarget val="inner"/>
          <c:xMode val="edge"/>
          <c:yMode val="edge"/>
          <c:x val="0.17042410537383301"/>
          <c:y val="0.16194019449120287"/>
          <c:w val="0.74120960114968637"/>
          <c:h val="0.72461375162165353"/>
        </c:manualLayout>
      </c:layout>
      <c:scatterChart>
        <c:scatterStyle val="lineMarker"/>
        <c:varyColors val="0"/>
        <c:ser>
          <c:idx val="0"/>
          <c:order val="0"/>
          <c:spPr>
            <a:ln w="12700">
              <a:solidFill>
                <a:srgbClr val="003366"/>
              </a:solidFill>
              <a:prstDash val="solid"/>
            </a:ln>
          </c:spPr>
          <c:marker>
            <c:symbol val="none"/>
          </c:marker>
          <c:xVal>
            <c:numRef>
              <c:f>'Level3.2 Soil Calc'!$F$5:$F$24</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Calc'!$R$5:$R$24</c:f>
              <c:numCache>
                <c:formatCode>0.000E+00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134E-4416-A18F-8D9114CF8DC2}"/>
            </c:ext>
          </c:extLst>
        </c:ser>
        <c:dLbls>
          <c:showLegendKey val="0"/>
          <c:showVal val="0"/>
          <c:showCatName val="0"/>
          <c:showSerName val="0"/>
          <c:showPercent val="0"/>
          <c:showBubbleSize val="0"/>
        </c:dLbls>
        <c:axId val="346080488"/>
        <c:axId val="346075784"/>
      </c:scatterChart>
      <c:valAx>
        <c:axId val="346080488"/>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5446428952478501"/>
              <c:y val="0.9304698733310510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6075784"/>
        <c:crossesAt val="0"/>
        <c:crossBetween val="midCat"/>
      </c:valAx>
      <c:valAx>
        <c:axId val="346075784"/>
        <c:scaling>
          <c:orientation val="minMax"/>
          <c:max val="1.2"/>
          <c:min val="0"/>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525667015200336E-2"/>
              <c:y val="0.34858324774620564"/>
            </c:manualLayout>
          </c:layout>
          <c:overlay val="0"/>
          <c:spPr>
            <a:noFill/>
            <a:ln w="25400">
              <a:noFill/>
            </a:ln>
          </c:spPr>
        </c:title>
        <c:numFmt formatCode="0.000E+00" sourceLinked="1"/>
        <c:majorTickMark val="out"/>
        <c:minorTickMark val="none"/>
        <c:tickLblPos val="nextTo"/>
        <c:spPr>
          <a:ln w="3175">
            <a:solidFill>
              <a:srgbClr val="000000"/>
            </a:solidFill>
            <a:prstDash val="solid"/>
          </a:ln>
        </c:spPr>
        <c:txPr>
          <a:bodyPr rot="0" vert="horz"/>
          <a:lstStyle/>
          <a:p>
            <a:pPr>
              <a:defRPr sz="525" b="0" i="0" u="none" strike="noStrike" baseline="0">
                <a:solidFill>
                  <a:srgbClr val="000000"/>
                </a:solidFill>
                <a:latin typeface="Arial"/>
                <a:ea typeface="Arial"/>
                <a:cs typeface="Arial"/>
              </a:defRPr>
            </a:pPr>
            <a:endParaRPr lang="en-US"/>
          </a:p>
        </c:txPr>
        <c:crossAx val="346080488"/>
        <c:crosses val="autoZero"/>
        <c:crossBetween val="midCat"/>
        <c:majorUnit val="0.2"/>
        <c:minorUnit val="0.1"/>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75" b="1" i="0" u="none" strike="noStrike" baseline="0">
                <a:solidFill>
                  <a:srgbClr val="000000"/>
                </a:solidFill>
                <a:latin typeface="Arial"/>
                <a:ea typeface="Arial"/>
                <a:cs typeface="Arial"/>
              </a:defRPr>
            </a:pPr>
            <a:r>
              <a:rPr lang="en-GB"/>
              <a:t>Domenico -Steady State</a:t>
            </a:r>
          </a:p>
        </c:rich>
      </c:tx>
      <c:layout>
        <c:manualLayout>
          <c:xMode val="edge"/>
          <c:yMode val="edge"/>
          <c:x val="0.29812113108502947"/>
          <c:y val="2.9498474852805563E-2"/>
        </c:manualLayout>
      </c:layout>
      <c:overlay val="0"/>
      <c:spPr>
        <a:noFill/>
        <a:ln w="25400">
          <a:noFill/>
        </a:ln>
      </c:spPr>
    </c:title>
    <c:autoTitleDeleted val="0"/>
    <c:plotArea>
      <c:layout>
        <c:manualLayout>
          <c:layoutTarget val="inner"/>
          <c:xMode val="edge"/>
          <c:yMode val="edge"/>
          <c:x val="0.15308916562627864"/>
          <c:y val="0.17994100294985252"/>
          <c:w val="0.75738850362474686"/>
          <c:h val="0.70501474926253682"/>
        </c:manualLayout>
      </c:layout>
      <c:scatterChart>
        <c:scatterStyle val="lineMarker"/>
        <c:varyColors val="0"/>
        <c:ser>
          <c:idx val="0"/>
          <c:order val="0"/>
          <c:spPr>
            <a:ln w="12700">
              <a:solidFill>
                <a:srgbClr val="003366"/>
              </a:solidFill>
              <a:prstDash val="solid"/>
            </a:ln>
          </c:spPr>
          <c:marker>
            <c:symbol val="none"/>
          </c:marker>
          <c:xVal>
            <c:numRef>
              <c:f>'Level3.2 Soil Calc'!$F$30:$F$49</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'Level3.2 Soil Calc'!$R$30:$R$49</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74AE-46B2-A05D-B15010F7F347}"/>
            </c:ext>
          </c:extLst>
        </c:ser>
        <c:dLbls>
          <c:showLegendKey val="0"/>
          <c:showVal val="0"/>
          <c:showCatName val="0"/>
          <c:showSerName val="0"/>
          <c:showPercent val="0"/>
          <c:showBubbleSize val="0"/>
        </c:dLbls>
        <c:axId val="346077744"/>
        <c:axId val="346075000"/>
      </c:scatterChart>
      <c:valAx>
        <c:axId val="346077744"/>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4583851546858527"/>
              <c:y val="0.9262538128679860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6075000"/>
        <c:crosses val="autoZero"/>
        <c:crossBetween val="midCat"/>
      </c:valAx>
      <c:valAx>
        <c:axId val="346075000"/>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3428981754639161E-2"/>
              <c:y val="0.34218281273399381"/>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en-US"/>
          </a:p>
        </c:txPr>
        <c:crossAx val="346077744"/>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 -Time Variant</a:t>
            </a:r>
          </a:p>
        </c:rich>
      </c:tx>
      <c:layout>
        <c:manualLayout>
          <c:xMode val="edge"/>
          <c:yMode val="edge"/>
          <c:x val="0.30203408247438457"/>
          <c:y val="3.8506406211418695E-2"/>
        </c:manualLayout>
      </c:layout>
      <c:overlay val="0"/>
      <c:spPr>
        <a:noFill/>
        <a:ln w="25400">
          <a:noFill/>
        </a:ln>
      </c:spPr>
    </c:title>
    <c:autoTitleDeleted val="0"/>
    <c:plotArea>
      <c:layout>
        <c:manualLayout>
          <c:layoutTarget val="inner"/>
          <c:xMode val="edge"/>
          <c:yMode val="edge"/>
          <c:x val="0.16553789606234898"/>
          <c:y val="0.17152897901696282"/>
          <c:w val="0.80155191777558454"/>
          <c:h val="0.71062005592741739"/>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EF64-4FFB-B4F0-3407E8BEBDBB}"/>
            </c:ext>
          </c:extLst>
        </c:ser>
        <c:dLbls>
          <c:showLegendKey val="0"/>
          <c:showVal val="0"/>
          <c:showCatName val="0"/>
          <c:showSerName val="0"/>
          <c:showPercent val="0"/>
          <c:showBubbleSize val="0"/>
        </c:dLbls>
        <c:axId val="346075392"/>
        <c:axId val="346078528"/>
      </c:scatterChart>
      <c:valAx>
        <c:axId val="34607539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7338031725626134"/>
              <c:y val="0.91365432979414152"/>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6078528"/>
        <c:crosses val="autoZero"/>
        <c:crossBetween val="midCat"/>
      </c:valAx>
      <c:valAx>
        <c:axId val="346078528"/>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520939984542748E-2"/>
              <c:y val="0.3010507832862355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607539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25" b="1" i="0" u="none" strike="noStrike" baseline="0">
                <a:solidFill>
                  <a:srgbClr val="000000"/>
                </a:solidFill>
                <a:latin typeface="Arial"/>
                <a:ea typeface="Arial"/>
                <a:cs typeface="Arial"/>
              </a:defRPr>
            </a:pPr>
            <a:r>
              <a:rPr lang="en-GB"/>
              <a:t>Domenico-Time Variant</a:t>
            </a:r>
          </a:p>
        </c:rich>
      </c:tx>
      <c:layout>
        <c:manualLayout>
          <c:xMode val="edge"/>
          <c:yMode val="edge"/>
          <c:x val="0.30954739669169262"/>
          <c:y val="3.4627556539458128E-2"/>
        </c:manualLayout>
      </c:layout>
      <c:overlay val="0"/>
      <c:spPr>
        <a:noFill/>
        <a:ln w="25400">
          <a:noFill/>
        </a:ln>
      </c:spPr>
    </c:title>
    <c:autoTitleDeleted val="0"/>
    <c:plotArea>
      <c:layout>
        <c:manualLayout>
          <c:layoutTarget val="inner"/>
          <c:xMode val="edge"/>
          <c:yMode val="edge"/>
          <c:x val="0.17936388651889185"/>
          <c:y val="0.22035721971164193"/>
          <c:w val="0.76085003474949287"/>
          <c:h val="0.64533185772695134"/>
        </c:manualLayout>
      </c:layout>
      <c:scatterChart>
        <c:scatterStyle val="lineMarker"/>
        <c:varyColors val="0"/>
        <c:ser>
          <c:idx val="0"/>
          <c:order val="0"/>
          <c:spPr>
            <a:ln w="12700">
              <a:solidFill>
                <a:srgbClr val="003366"/>
              </a:solidFill>
              <a:prstDash val="solid"/>
            </a:ln>
          </c:spPr>
          <c:marker>
            <c:symbol val="none"/>
          </c:marker>
          <c:xVal>
            <c:numRef>
              <c:f>'Level3.3 Soil Calc'!$F$6:$F$25</c:f>
              <c:numCache>
                <c:formatCode>General</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xVal>
          <c:yVal>
            <c:numRef>
              <c:f>'Level3.3 Soil Calc'!$T$6:$T$25</c:f>
              <c:numCache>
                <c:formatCode>0.00E+00</c:formatCode>
                <c:ptCount val="20"/>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numCache>
            </c:numRef>
          </c:yVal>
          <c:smooth val="0"/>
          <c:extLst>
            <c:ext xmlns:c16="http://schemas.microsoft.com/office/drawing/2014/chart" uri="{C3380CC4-5D6E-409C-BE32-E72D297353CC}">
              <c16:uniqueId val="{00000000-DD8E-4C05-AD0E-39C5A10EF6D8}"/>
            </c:ext>
          </c:extLst>
        </c:ser>
        <c:dLbls>
          <c:showLegendKey val="0"/>
          <c:showVal val="0"/>
          <c:showCatName val="0"/>
          <c:showSerName val="0"/>
          <c:showPercent val="0"/>
          <c:showBubbleSize val="0"/>
        </c:dLbls>
        <c:axId val="346079312"/>
        <c:axId val="346080096"/>
      </c:scatterChart>
      <c:valAx>
        <c:axId val="34607931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576756393822866"/>
              <c:y val="0.92235230979514138"/>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6080096"/>
        <c:crosses val="autoZero"/>
        <c:crossBetween val="midCat"/>
      </c:valAx>
      <c:valAx>
        <c:axId val="346080096"/>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Relative Concentration </a:t>
                </a:r>
              </a:p>
            </c:rich>
          </c:tx>
          <c:layout>
            <c:manualLayout>
              <c:xMode val="edge"/>
              <c:yMode val="edge"/>
              <c:x val="1.4464689006897393E-2"/>
              <c:y val="0.3399797070094672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500" b="0" i="0" u="none" strike="noStrike" baseline="0">
                <a:solidFill>
                  <a:srgbClr val="000000"/>
                </a:solidFill>
                <a:latin typeface="Arial"/>
                <a:ea typeface="Arial"/>
                <a:cs typeface="Arial"/>
              </a:defRPr>
            </a:pPr>
            <a:endParaRPr lang="en-US"/>
          </a:p>
        </c:txPr>
        <c:crossAx val="34607931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5613769432667072"/>
          <c:y val="3.5369878128291288E-2"/>
        </c:manualLayout>
      </c:layout>
      <c:overlay val="0"/>
      <c:spPr>
        <a:noFill/>
        <a:ln w="25400">
          <a:noFill/>
        </a:ln>
      </c:spPr>
    </c:title>
    <c:autoTitleDeleted val="0"/>
    <c:plotArea>
      <c:layout>
        <c:manualLayout>
          <c:layoutTarget val="inner"/>
          <c:xMode val="edge"/>
          <c:yMode val="edge"/>
          <c:x val="0.20811186012481708"/>
          <c:y val="0.18006430868167203"/>
          <c:w val="0.72038720812436685"/>
          <c:h val="0.65273311897106112"/>
        </c:manualLayout>
      </c:layout>
      <c:scatterChart>
        <c:scatterStyle val="lineMarker"/>
        <c:varyColors val="0"/>
        <c:ser>
          <c:idx val="0"/>
          <c:order val="0"/>
          <c:spPr>
            <a:ln w="12700">
              <a:solidFill>
                <a:srgbClr val="003366"/>
              </a:solidFill>
              <a:prstDash val="solid"/>
            </a:ln>
          </c:spPr>
          <c:marker>
            <c:symbol val="none"/>
          </c:marker>
          <c:xVal>
            <c:numRef>
              <c:f>'Level3.1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Calc'!$X$5:$X$24</c:f>
              <c:numCache>
                <c:formatCode>0.00E+00</c:formatCode>
                <c:ptCount val="20"/>
                <c:pt idx="0">
                  <c:v>99.827948741546251</c:v>
                </c:pt>
                <c:pt idx="1">
                  <c:v>99.565335749185436</c:v>
                </c:pt>
                <c:pt idx="2">
                  <c:v>99.18532980168176</c:v>
                </c:pt>
                <c:pt idx="3">
                  <c:v>98.657416610969065</c:v>
                </c:pt>
                <c:pt idx="4">
                  <c:v>97.948010828120061</c:v>
                </c:pt>
                <c:pt idx="5">
                  <c:v>97.021429505558586</c:v>
                </c:pt>
                <c:pt idx="6">
                  <c:v>95.841232653079189</c:v>
                </c:pt>
                <c:pt idx="7">
                  <c:v>94.371902597949713</c:v>
                </c:pt>
                <c:pt idx="8">
                  <c:v>92.580795883011888</c:v>
                </c:pt>
                <c:pt idx="9">
                  <c:v>90.440263287856908</c:v>
                </c:pt>
                <c:pt idx="10">
                  <c:v>87.929799874370701</c:v>
                </c:pt>
                <c:pt idx="11">
                  <c:v>85.038062577800233</c:v>
                </c:pt>
                <c:pt idx="12">
                  <c:v>81.764582138661595</c:v>
                </c:pt>
                <c:pt idx="13">
                  <c:v>78.121002244846522</c:v>
                </c:pt>
                <c:pt idx="14">
                  <c:v>74.131702943798899</c:v>
                </c:pt>
                <c:pt idx="15">
                  <c:v>69.833706769958496</c:v>
                </c:pt>
                <c:pt idx="16">
                  <c:v>65.275821353901762</c:v>
                </c:pt>
                <c:pt idx="17">
                  <c:v>60.517036200768835</c:v>
                </c:pt>
                <c:pt idx="18">
                  <c:v>55.62425704004481</c:v>
                </c:pt>
                <c:pt idx="19">
                  <c:v>50.669521254668737</c:v>
                </c:pt>
              </c:numCache>
            </c:numRef>
          </c:yVal>
          <c:smooth val="0"/>
          <c:extLst>
            <c:ext xmlns:c16="http://schemas.microsoft.com/office/drawing/2014/chart" uri="{C3380CC4-5D6E-409C-BE32-E72D297353CC}">
              <c16:uniqueId val="{00000000-1985-4D62-850A-8725362F6724}"/>
            </c:ext>
          </c:extLst>
        </c:ser>
        <c:dLbls>
          <c:showLegendKey val="0"/>
          <c:showVal val="0"/>
          <c:showCatName val="0"/>
          <c:showSerName val="0"/>
          <c:showPercent val="0"/>
          <c:showBubbleSize val="0"/>
        </c:dLbls>
        <c:axId val="271864016"/>
        <c:axId val="347172224"/>
      </c:scatterChart>
      <c:valAx>
        <c:axId val="271864016"/>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424961302914058"/>
              <c:y val="0.8874597522443452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2224"/>
        <c:crosses val="autoZero"/>
        <c:crossBetween val="midCat"/>
      </c:valAx>
      <c:valAx>
        <c:axId val="34717222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8025775624200823E-2"/>
              <c:y val="0.3311897955430730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27186401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Ogata Banks - Time Variant</a:t>
            </a:r>
          </a:p>
        </c:rich>
      </c:tx>
      <c:layout>
        <c:manualLayout>
          <c:xMode val="edge"/>
          <c:yMode val="edge"/>
          <c:x val="0.26031730110169349"/>
          <c:y val="3.3367032824600629E-2"/>
        </c:manualLayout>
      </c:layout>
      <c:overlay val="0"/>
      <c:spPr>
        <a:noFill/>
        <a:ln w="25400">
          <a:noFill/>
        </a:ln>
      </c:spPr>
    </c:title>
    <c:autoTitleDeleted val="0"/>
    <c:plotArea>
      <c:layout>
        <c:manualLayout>
          <c:layoutTarget val="inner"/>
          <c:xMode val="edge"/>
          <c:yMode val="edge"/>
          <c:x val="0.20634920634920634"/>
          <c:y val="0.16380214350461228"/>
          <c:w val="0.72380952380952379"/>
          <c:h val="0.67644218521349142"/>
        </c:manualLayout>
      </c:layout>
      <c:scatterChart>
        <c:scatterStyle val="lineMarker"/>
        <c:varyColors val="0"/>
        <c:ser>
          <c:idx val="0"/>
          <c:order val="0"/>
          <c:spPr>
            <a:ln w="12700">
              <a:solidFill>
                <a:srgbClr val="003366"/>
              </a:solidFill>
              <a:prstDash val="solid"/>
            </a:ln>
          </c:spPr>
          <c:marker>
            <c:symbol val="none"/>
          </c:marker>
          <c:xVal>
            <c:numRef>
              <c:f>'Level3.1 G. Calc'!$F$29:$F$48</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'Level3.1 G. Calc'!$X$29:$X$48</c:f>
              <c:numCache>
                <c:formatCode>0.00E+00</c:formatCode>
                <c:ptCount val="20"/>
                <c:pt idx="0">
                  <c:v>99.827948741546251</c:v>
                </c:pt>
                <c:pt idx="1">
                  <c:v>99.565335749185436</c:v>
                </c:pt>
                <c:pt idx="2">
                  <c:v>99.18532980168176</c:v>
                </c:pt>
                <c:pt idx="3">
                  <c:v>98.657416610969065</c:v>
                </c:pt>
                <c:pt idx="4">
                  <c:v>97.948010828120061</c:v>
                </c:pt>
                <c:pt idx="5">
                  <c:v>97.021429505558586</c:v>
                </c:pt>
                <c:pt idx="6">
                  <c:v>95.841232653079189</c:v>
                </c:pt>
                <c:pt idx="7">
                  <c:v>94.371902597949713</c:v>
                </c:pt>
                <c:pt idx="8">
                  <c:v>92.580795883011888</c:v>
                </c:pt>
                <c:pt idx="9">
                  <c:v>90.440263287856908</c:v>
                </c:pt>
                <c:pt idx="10">
                  <c:v>87.929799874370701</c:v>
                </c:pt>
                <c:pt idx="11">
                  <c:v>85.038062577800233</c:v>
                </c:pt>
                <c:pt idx="12">
                  <c:v>81.764582138661595</c:v>
                </c:pt>
                <c:pt idx="13">
                  <c:v>78.121002244846522</c:v>
                </c:pt>
                <c:pt idx="14">
                  <c:v>74.131702943798899</c:v>
                </c:pt>
                <c:pt idx="15">
                  <c:v>69.833706769958496</c:v>
                </c:pt>
                <c:pt idx="16">
                  <c:v>65.275821353901762</c:v>
                </c:pt>
                <c:pt idx="17">
                  <c:v>60.517036200768835</c:v>
                </c:pt>
                <c:pt idx="18">
                  <c:v>55.62425704004481</c:v>
                </c:pt>
                <c:pt idx="19">
                  <c:v>50.669521254668737</c:v>
                </c:pt>
              </c:numCache>
            </c:numRef>
          </c:yVal>
          <c:smooth val="0"/>
          <c:extLst>
            <c:ext xmlns:c16="http://schemas.microsoft.com/office/drawing/2014/chart" uri="{C3380CC4-5D6E-409C-BE32-E72D297353CC}">
              <c16:uniqueId val="{00000000-8895-4459-8048-DF4008A51858}"/>
            </c:ext>
          </c:extLst>
        </c:ser>
        <c:dLbls>
          <c:showLegendKey val="0"/>
          <c:showVal val="0"/>
          <c:showCatName val="0"/>
          <c:showSerName val="0"/>
          <c:showPercent val="0"/>
          <c:showBubbleSize val="0"/>
        </c:dLbls>
        <c:axId val="347171832"/>
        <c:axId val="347174184"/>
      </c:scatterChart>
      <c:valAx>
        <c:axId val="347171832"/>
        <c:scaling>
          <c:orientation val="minMax"/>
        </c:scaling>
        <c:delete val="0"/>
        <c:axPos val="b"/>
        <c:title>
          <c:tx>
            <c:rich>
              <a:bodyPr/>
              <a:lstStyle/>
              <a:p>
                <a:pPr>
                  <a:defRPr sz="800" b="1" i="0" u="none" strike="noStrike" baseline="0">
                    <a:solidFill>
                      <a:srgbClr val="000000"/>
                    </a:solidFill>
                    <a:latin typeface="Arial"/>
                    <a:ea typeface="Arial"/>
                    <a:cs typeface="Arial"/>
                  </a:defRPr>
                </a:pPr>
                <a:r>
                  <a:rPr lang="en-GB"/>
                  <a:t>Distance m</a:t>
                </a:r>
              </a:p>
            </c:rich>
          </c:tx>
          <c:layout>
            <c:manualLayout>
              <c:xMode val="edge"/>
              <c:yMode val="edge"/>
              <c:x val="0.46666666666666667"/>
              <c:y val="0.89181167168918696"/>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4184"/>
        <c:crosses val="autoZero"/>
        <c:crossBetween val="midCat"/>
      </c:valAx>
      <c:valAx>
        <c:axId val="347174184"/>
        <c:scaling>
          <c:orientation val="minMax"/>
        </c:scaling>
        <c:delete val="0"/>
        <c:axPos val="l"/>
        <c:title>
          <c:tx>
            <c:rich>
              <a:bodyPr/>
              <a:lstStyle/>
              <a:p>
                <a:pPr>
                  <a:defRPr sz="800" b="1" i="0" u="none" strike="noStrike" baseline="0">
                    <a:solidFill>
                      <a:srgbClr val="000000"/>
                    </a:solidFill>
                    <a:latin typeface="Arial"/>
                    <a:ea typeface="Arial"/>
                    <a:cs typeface="Arial"/>
                  </a:defRPr>
                </a:pPr>
                <a:r>
                  <a:rPr lang="en-GB"/>
                  <a:t>Concentration mg/l</a:t>
                </a:r>
              </a:p>
            </c:rich>
          </c:tx>
          <c:layout>
            <c:manualLayout>
              <c:xMode val="edge"/>
              <c:yMode val="edge"/>
              <c:x val="4.7618904324857485E-2"/>
              <c:y val="0.33670425456077252"/>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183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7125992746052374"/>
          <c:y val="2.734737887493793E-2"/>
        </c:manualLayout>
      </c:layout>
      <c:overlay val="0"/>
      <c:spPr>
        <a:noFill/>
        <a:ln w="25400">
          <a:noFill/>
        </a:ln>
      </c:spPr>
    </c:title>
    <c:autoTitleDeleted val="0"/>
    <c:plotArea>
      <c:layout>
        <c:manualLayout>
          <c:layoutTarget val="inner"/>
          <c:xMode val="edge"/>
          <c:yMode val="edge"/>
          <c:x val="0.21636213410365249"/>
          <c:y val="0.11759364601193242"/>
          <c:w val="0.68137925814732359"/>
          <c:h val="0.73017449965548742"/>
        </c:manualLayout>
      </c:layout>
      <c:scatterChart>
        <c:scatterStyle val="lineMarker"/>
        <c:varyColors val="0"/>
        <c:ser>
          <c:idx val="0"/>
          <c:order val="0"/>
          <c:spPr>
            <a:ln w="12700">
              <a:solidFill>
                <a:srgbClr val="003366"/>
              </a:solidFill>
              <a:prstDash val="solid"/>
            </a:ln>
          </c:spPr>
          <c:marker>
            <c:symbol val="none"/>
          </c:marker>
          <c:xVal>
            <c:numRef>
              <c:f>'Level3.2 G. Calc'!$F$5:$F$24</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Calc'!$R$5:$R$24</c:f>
              <c:numCache>
                <c:formatCode>0.00E+00</c:formatCode>
                <c:ptCount val="20"/>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numCache>
            </c:numRef>
          </c:yVal>
          <c:smooth val="0"/>
          <c:extLst>
            <c:ext xmlns:c16="http://schemas.microsoft.com/office/drawing/2014/chart" uri="{C3380CC4-5D6E-409C-BE32-E72D297353CC}">
              <c16:uniqueId val="{00000000-9CE9-4EFD-8651-D31AF88A5310}"/>
            </c:ext>
          </c:extLst>
        </c:ser>
        <c:dLbls>
          <c:showLegendKey val="0"/>
          <c:showVal val="0"/>
          <c:showCatName val="0"/>
          <c:showSerName val="0"/>
          <c:showPercent val="0"/>
          <c:showBubbleSize val="0"/>
        </c:dLbls>
        <c:axId val="347174576"/>
        <c:axId val="347172616"/>
      </c:scatterChart>
      <c:valAx>
        <c:axId val="347174576"/>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6824656626659528"/>
              <c:y val="0.89425863658934523"/>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2616"/>
        <c:crosses val="autoZero"/>
        <c:crossBetween val="midCat"/>
      </c:valAx>
      <c:valAx>
        <c:axId val="347172616"/>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7.4273628417806992E-2"/>
              <c:y val="0.35551564162587784"/>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4576"/>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-Steady State</a:t>
            </a:r>
          </a:p>
        </c:rich>
      </c:tx>
      <c:layout>
        <c:manualLayout>
          <c:xMode val="edge"/>
          <c:yMode val="edge"/>
          <c:x val="0.26826659782281315"/>
          <c:y val="2.9498474852805563E-2"/>
        </c:manualLayout>
      </c:layout>
      <c:overlay val="0"/>
      <c:spPr>
        <a:noFill/>
        <a:ln w="25400">
          <a:noFill/>
        </a:ln>
      </c:spPr>
    </c:title>
    <c:autoTitleDeleted val="0"/>
    <c:plotArea>
      <c:layout>
        <c:manualLayout>
          <c:layoutTarget val="inner"/>
          <c:xMode val="edge"/>
          <c:yMode val="edge"/>
          <c:x val="0.19302113085539391"/>
          <c:y val="0.17109144542772861"/>
          <c:w val="0.70665363160618777"/>
          <c:h val="0.69026548672566368"/>
        </c:manualLayout>
      </c:layout>
      <c:scatterChart>
        <c:scatterStyle val="lineMarker"/>
        <c:varyColors val="0"/>
        <c:ser>
          <c:idx val="0"/>
          <c:order val="0"/>
          <c:spPr>
            <a:ln w="12700">
              <a:solidFill>
                <a:srgbClr val="003366"/>
              </a:solidFill>
              <a:prstDash val="solid"/>
            </a:ln>
          </c:spPr>
          <c:marker>
            <c:symbol val="none"/>
          </c:marker>
          <c:xVal>
            <c:numRef>
              <c:f>'Level3.2 G. Calc'!$F$30:$F$49</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'Level3.2 G. Calc'!$R$30:$R$49</c:f>
              <c:numCache>
                <c:formatCode>0.00E+00</c:formatCode>
                <c:ptCount val="20"/>
                <c:pt idx="0">
                  <c:v>100</c:v>
                </c:pt>
                <c:pt idx="1">
                  <c:v>100</c:v>
                </c:pt>
                <c:pt idx="2">
                  <c:v>100</c:v>
                </c:pt>
                <c:pt idx="3">
                  <c:v>100</c:v>
                </c:pt>
                <c:pt idx="4">
                  <c:v>100</c:v>
                </c:pt>
                <c:pt idx="5">
                  <c:v>100</c:v>
                </c:pt>
                <c:pt idx="6">
                  <c:v>100</c:v>
                </c:pt>
                <c:pt idx="7">
                  <c:v>100</c:v>
                </c:pt>
                <c:pt idx="8">
                  <c:v>100</c:v>
                </c:pt>
                <c:pt idx="9">
                  <c:v>100</c:v>
                </c:pt>
                <c:pt idx="10">
                  <c:v>100</c:v>
                </c:pt>
                <c:pt idx="11">
                  <c:v>100</c:v>
                </c:pt>
                <c:pt idx="12">
                  <c:v>100</c:v>
                </c:pt>
                <c:pt idx="13">
                  <c:v>100</c:v>
                </c:pt>
                <c:pt idx="14">
                  <c:v>100</c:v>
                </c:pt>
                <c:pt idx="15">
                  <c:v>100</c:v>
                </c:pt>
                <c:pt idx="16">
                  <c:v>100</c:v>
                </c:pt>
                <c:pt idx="17">
                  <c:v>100</c:v>
                </c:pt>
                <c:pt idx="18">
                  <c:v>100</c:v>
                </c:pt>
                <c:pt idx="19">
                  <c:v>100</c:v>
                </c:pt>
              </c:numCache>
            </c:numRef>
          </c:yVal>
          <c:smooth val="0"/>
          <c:extLst>
            <c:ext xmlns:c16="http://schemas.microsoft.com/office/drawing/2014/chart" uri="{C3380CC4-5D6E-409C-BE32-E72D297353CC}">
              <c16:uniqueId val="{00000000-18A9-4249-B741-12BFE0112EC3}"/>
            </c:ext>
          </c:extLst>
        </c:ser>
        <c:dLbls>
          <c:showLegendKey val="0"/>
          <c:showVal val="0"/>
          <c:showCatName val="0"/>
          <c:showSerName val="0"/>
          <c:showPercent val="0"/>
          <c:showBubbleSize val="0"/>
        </c:dLbls>
        <c:axId val="347176928"/>
        <c:axId val="347173008"/>
      </c:scatterChart>
      <c:valAx>
        <c:axId val="347176928"/>
        <c:scaling>
          <c:orientation val="minMax"/>
        </c:scaling>
        <c:delete val="0"/>
        <c:axPos val="b"/>
        <c:title>
          <c:tx>
            <c:rich>
              <a:bodyPr/>
              <a:lstStyle/>
              <a:p>
                <a:pPr>
                  <a:defRPr sz="575" b="1" i="0" u="none" strike="noStrike" baseline="0">
                    <a:solidFill>
                      <a:srgbClr val="000000"/>
                    </a:solidFill>
                    <a:latin typeface="Arial"/>
                    <a:ea typeface="Arial"/>
                    <a:cs typeface="Arial"/>
                  </a:defRPr>
                </a:pPr>
                <a:r>
                  <a:rPr lang="en-GB"/>
                  <a:t>Distance m</a:t>
                </a:r>
              </a:p>
            </c:rich>
          </c:tx>
          <c:layout>
            <c:manualLayout>
              <c:xMode val="edge"/>
              <c:yMode val="edge"/>
              <c:x val="0.45801609225076373"/>
              <c:y val="0.91150457544158325"/>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3008"/>
        <c:crosses val="autoZero"/>
        <c:crossBetween val="midCat"/>
      </c:valAx>
      <c:valAx>
        <c:axId val="347173008"/>
        <c:scaling>
          <c:orientation val="minMax"/>
        </c:scaling>
        <c:delete val="0"/>
        <c:axPos val="l"/>
        <c:title>
          <c:tx>
            <c:rich>
              <a:bodyPr/>
              <a:lstStyle/>
              <a:p>
                <a:pPr>
                  <a:defRPr sz="575" b="1" i="0" u="none" strike="noStrike" baseline="0">
                    <a:solidFill>
                      <a:srgbClr val="000000"/>
                    </a:solidFill>
                    <a:latin typeface="Arial"/>
                    <a:ea typeface="Arial"/>
                    <a:cs typeface="Arial"/>
                  </a:defRPr>
                </a:pPr>
                <a:r>
                  <a:rPr lang="en-GB"/>
                  <a:t>Concentration mg/l</a:t>
                </a:r>
              </a:p>
            </c:rich>
          </c:tx>
          <c:layout>
            <c:manualLayout>
              <c:xMode val="edge"/>
              <c:yMode val="edge"/>
              <c:x val="4.9073275676606E-2"/>
              <c:y val="0.38053108226336568"/>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50" b="0" i="0" u="none" strike="noStrike" baseline="0">
                <a:solidFill>
                  <a:srgbClr val="000000"/>
                </a:solidFill>
                <a:latin typeface="Arial"/>
                <a:ea typeface="Arial"/>
                <a:cs typeface="Arial"/>
              </a:defRPr>
            </a:pPr>
            <a:endParaRPr lang="en-US"/>
          </a:p>
        </c:txPr>
        <c:crossAx val="347176928"/>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50"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 -Time Variant</a:t>
            </a:r>
          </a:p>
        </c:rich>
      </c:tx>
      <c:layout>
        <c:manualLayout>
          <c:xMode val="edge"/>
          <c:yMode val="edge"/>
          <c:x val="0.26681999801571199"/>
          <c:y val="3.8327475501548469E-2"/>
        </c:manualLayout>
      </c:layout>
      <c:overlay val="0"/>
      <c:spPr>
        <a:noFill/>
        <a:ln w="25400">
          <a:noFill/>
        </a:ln>
      </c:spPr>
    </c:title>
    <c:autoTitleDeleted val="0"/>
    <c:plotArea>
      <c:layout>
        <c:manualLayout>
          <c:layoutTarget val="inner"/>
          <c:xMode val="edge"/>
          <c:yMode val="edge"/>
          <c:x val="0.1676176222991301"/>
          <c:y val="0.25783972125435539"/>
          <c:w val="0.76967275545518932"/>
          <c:h val="0.61672473867595823"/>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97.853489922801089</c:v>
                </c:pt>
                <c:pt idx="1">
                  <c:v>97.178038491006262</c:v>
                </c:pt>
                <c:pt idx="2">
                  <c:v>96.33428292121971</c:v>
                </c:pt>
                <c:pt idx="3">
                  <c:v>95.294541810078442</c:v>
                </c:pt>
                <c:pt idx="4">
                  <c:v>94.030621132007312</c:v>
                </c:pt>
                <c:pt idx="5">
                  <c:v>92.514965760301934</c:v>
                </c:pt>
                <c:pt idx="6">
                  <c:v>90.7220200074225</c:v>
                </c:pt>
                <c:pt idx="7">
                  <c:v>88.629739635456332</c:v>
                </c:pt>
                <c:pt idx="8">
                  <c:v>86.221173046171756</c:v>
                </c:pt>
                <c:pt idx="9">
                  <c:v>83.486008354386627</c:v>
                </c:pt>
                <c:pt idx="10">
                  <c:v>80.421968897835598</c:v>
                </c:pt>
                <c:pt idx="11">
                  <c:v>77.035935208734799</c:v>
                </c:pt>
                <c:pt idx="12">
                  <c:v>73.344678526623156</c:v>
                </c:pt>
                <c:pt idx="13">
                  <c:v>69.375110320798811</c:v>
                </c:pt>
                <c:pt idx="14">
                  <c:v>65.163983289552277</c:v>
                </c:pt>
                <c:pt idx="15">
                  <c:v>60.757019638553622</c:v>
                </c:pt>
                <c:pt idx="16">
                  <c:v>56.207488445576203</c:v>
                </c:pt>
                <c:pt idx="17">
                  <c:v>51.57430091884244</c:v>
                </c:pt>
                <c:pt idx="18">
                  <c:v>46.919735238922087</c:v>
                </c:pt>
                <c:pt idx="19">
                  <c:v>42.306936562016176</c:v>
                </c:pt>
              </c:numCache>
            </c:numRef>
          </c:yVal>
          <c:smooth val="0"/>
          <c:extLst>
            <c:ext xmlns:c16="http://schemas.microsoft.com/office/drawing/2014/chart" uri="{C3380CC4-5D6E-409C-BE32-E72D297353CC}">
              <c16:uniqueId val="{00000000-5A04-4AF2-9971-D611EDA50C89}"/>
            </c:ext>
          </c:extLst>
        </c:ser>
        <c:dLbls>
          <c:showLegendKey val="0"/>
          <c:showVal val="0"/>
          <c:showCatName val="0"/>
          <c:showSerName val="0"/>
          <c:showPercent val="0"/>
          <c:showBubbleSize val="0"/>
        </c:dLbls>
        <c:axId val="347175752"/>
        <c:axId val="347170656"/>
      </c:scatterChart>
      <c:valAx>
        <c:axId val="347175752"/>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6522426964670655"/>
              <c:y val="0.9337979638358354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170656"/>
        <c:crosses val="autoZero"/>
        <c:crossBetween val="midCat"/>
      </c:valAx>
      <c:valAx>
        <c:axId val="347170656"/>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1.7103841401268142E-2"/>
              <c:y val="0.41463422608506117"/>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17575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800" b="1" i="0" u="none" strike="noStrike" baseline="0">
                <a:solidFill>
                  <a:srgbClr val="000000"/>
                </a:solidFill>
                <a:latin typeface="Arial"/>
                <a:ea typeface="Arial"/>
                <a:cs typeface="Arial"/>
              </a:defRPr>
            </a:pPr>
            <a:r>
              <a:rPr lang="en-GB"/>
              <a:t>Domenico-Time Variant</a:t>
            </a:r>
          </a:p>
        </c:rich>
      </c:tx>
      <c:layout>
        <c:manualLayout>
          <c:xMode val="edge"/>
          <c:yMode val="edge"/>
          <c:x val="0.27796619279245383"/>
          <c:y val="3.4627556539458128E-2"/>
        </c:manualLayout>
      </c:layout>
      <c:overlay val="0"/>
      <c:spPr>
        <a:noFill/>
        <a:ln w="25400">
          <a:noFill/>
        </a:ln>
      </c:spPr>
    </c:title>
    <c:autoTitleDeleted val="0"/>
    <c:plotArea>
      <c:layout>
        <c:manualLayout>
          <c:layoutTarget val="inner"/>
          <c:xMode val="edge"/>
          <c:yMode val="edge"/>
          <c:x val="0.21694915254237288"/>
          <c:y val="0.25813274309078055"/>
          <c:w val="0.69152542372881354"/>
          <c:h val="0.58237265209505362"/>
        </c:manualLayout>
      </c:layout>
      <c:scatterChart>
        <c:scatterStyle val="lineMarker"/>
        <c:varyColors val="0"/>
        <c:ser>
          <c:idx val="0"/>
          <c:order val="0"/>
          <c:spPr>
            <a:ln w="12700">
              <a:solidFill>
                <a:srgbClr val="003366"/>
              </a:solidFill>
              <a:prstDash val="solid"/>
            </a:ln>
          </c:spPr>
          <c:marker>
            <c:symbol val="none"/>
          </c:marker>
          <c:xVal>
            <c:numRef>
              <c:f>'Level3.3 G. Calc'!$F$6:$F$25</c:f>
              <c:numCache>
                <c:formatCode>General</c:formatCode>
                <c:ptCount val="20"/>
                <c:pt idx="0">
                  <c:v>0.05</c:v>
                </c:pt>
                <c:pt idx="1">
                  <c:v>0.1</c:v>
                </c:pt>
                <c:pt idx="2">
                  <c:v>0.15000000000000002</c:v>
                </c:pt>
                <c:pt idx="3">
                  <c:v>0.2</c:v>
                </c:pt>
                <c:pt idx="4">
                  <c:v>0.25</c:v>
                </c:pt>
                <c:pt idx="5">
                  <c:v>0.30000000000000004</c:v>
                </c:pt>
                <c:pt idx="6">
                  <c:v>0.35000000000000003</c:v>
                </c:pt>
                <c:pt idx="7">
                  <c:v>0.4</c:v>
                </c:pt>
                <c:pt idx="8">
                  <c:v>0.45</c:v>
                </c:pt>
                <c:pt idx="9">
                  <c:v>0.5</c:v>
                </c:pt>
                <c:pt idx="10">
                  <c:v>0.55000000000000004</c:v>
                </c:pt>
                <c:pt idx="11">
                  <c:v>0.60000000000000009</c:v>
                </c:pt>
                <c:pt idx="12">
                  <c:v>0.65</c:v>
                </c:pt>
                <c:pt idx="13">
                  <c:v>0.70000000000000007</c:v>
                </c:pt>
                <c:pt idx="14">
                  <c:v>0.75</c:v>
                </c:pt>
                <c:pt idx="15">
                  <c:v>0.8</c:v>
                </c:pt>
                <c:pt idx="16">
                  <c:v>0.85000000000000009</c:v>
                </c:pt>
                <c:pt idx="17">
                  <c:v>0.9</c:v>
                </c:pt>
                <c:pt idx="18">
                  <c:v>0.95000000000000007</c:v>
                </c:pt>
                <c:pt idx="19">
                  <c:v>1</c:v>
                </c:pt>
              </c:numCache>
            </c:numRef>
          </c:xVal>
          <c:yVal>
            <c:numRef>
              <c:f>'Level3.3 G. Calc'!$T$6:$T$25</c:f>
              <c:numCache>
                <c:formatCode>0.00E+00</c:formatCode>
                <c:ptCount val="20"/>
                <c:pt idx="0">
                  <c:v>97.853489922801089</c:v>
                </c:pt>
                <c:pt idx="1">
                  <c:v>97.178038491006262</c:v>
                </c:pt>
                <c:pt idx="2">
                  <c:v>96.33428292121971</c:v>
                </c:pt>
                <c:pt idx="3">
                  <c:v>95.294541810078442</c:v>
                </c:pt>
                <c:pt idx="4">
                  <c:v>94.030621132007312</c:v>
                </c:pt>
                <c:pt idx="5">
                  <c:v>92.514965760301934</c:v>
                </c:pt>
                <c:pt idx="6">
                  <c:v>90.7220200074225</c:v>
                </c:pt>
                <c:pt idx="7">
                  <c:v>88.629739635456332</c:v>
                </c:pt>
                <c:pt idx="8">
                  <c:v>86.221173046171756</c:v>
                </c:pt>
                <c:pt idx="9">
                  <c:v>83.486008354386627</c:v>
                </c:pt>
                <c:pt idx="10">
                  <c:v>80.421968897835598</c:v>
                </c:pt>
                <c:pt idx="11">
                  <c:v>77.035935208734799</c:v>
                </c:pt>
                <c:pt idx="12">
                  <c:v>73.344678526623156</c:v>
                </c:pt>
                <c:pt idx="13">
                  <c:v>69.375110320798811</c:v>
                </c:pt>
                <c:pt idx="14">
                  <c:v>65.163983289552277</c:v>
                </c:pt>
                <c:pt idx="15">
                  <c:v>60.757019638553622</c:v>
                </c:pt>
                <c:pt idx="16">
                  <c:v>56.207488445576203</c:v>
                </c:pt>
                <c:pt idx="17">
                  <c:v>51.57430091884244</c:v>
                </c:pt>
                <c:pt idx="18">
                  <c:v>46.919735238922087</c:v>
                </c:pt>
                <c:pt idx="19">
                  <c:v>42.306936562016176</c:v>
                </c:pt>
              </c:numCache>
            </c:numRef>
          </c:yVal>
          <c:smooth val="0"/>
          <c:extLst>
            <c:ext xmlns:c16="http://schemas.microsoft.com/office/drawing/2014/chart" uri="{C3380CC4-5D6E-409C-BE32-E72D297353CC}">
              <c16:uniqueId val="{00000000-2720-4933-A6FD-36B641631C9A}"/>
            </c:ext>
          </c:extLst>
        </c:ser>
        <c:dLbls>
          <c:showLegendKey val="0"/>
          <c:showVal val="0"/>
          <c:showCatName val="0"/>
          <c:showSerName val="0"/>
          <c:showPercent val="0"/>
          <c:showBubbleSize val="0"/>
        </c:dLbls>
        <c:axId val="347169872"/>
        <c:axId val="347170264"/>
      </c:scatterChart>
      <c:valAx>
        <c:axId val="347169872"/>
        <c:scaling>
          <c:orientation val="minMax"/>
        </c:scaling>
        <c:delete val="0"/>
        <c:axPos val="b"/>
        <c:title>
          <c:tx>
            <c:rich>
              <a:bodyPr/>
              <a:lstStyle/>
              <a:p>
                <a:pPr>
                  <a:defRPr sz="550" b="1" i="0" u="none" strike="noStrike" baseline="0">
                    <a:solidFill>
                      <a:srgbClr val="000000"/>
                    </a:solidFill>
                    <a:latin typeface="Arial"/>
                    <a:ea typeface="Arial"/>
                    <a:cs typeface="Arial"/>
                  </a:defRPr>
                </a:pPr>
                <a:r>
                  <a:rPr lang="en-GB"/>
                  <a:t>Distance m</a:t>
                </a:r>
              </a:p>
            </c:rich>
          </c:tx>
          <c:layout>
            <c:manualLayout>
              <c:xMode val="edge"/>
              <c:yMode val="edge"/>
              <c:x val="0.47796619279245384"/>
              <c:y val="0.89402061164079727"/>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170264"/>
        <c:crosses val="autoZero"/>
        <c:crossBetween val="midCat"/>
      </c:valAx>
      <c:valAx>
        <c:axId val="347170264"/>
        <c:scaling>
          <c:orientation val="minMax"/>
        </c:scaling>
        <c:delete val="0"/>
        <c:axPos val="l"/>
        <c:title>
          <c:tx>
            <c:rich>
              <a:bodyPr/>
              <a:lstStyle/>
              <a:p>
                <a:pPr>
                  <a:defRPr sz="550" b="1" i="0" u="none" strike="noStrike" baseline="0">
                    <a:solidFill>
                      <a:srgbClr val="000000"/>
                    </a:solidFill>
                    <a:latin typeface="Arial"/>
                    <a:ea typeface="Arial"/>
                    <a:cs typeface="Arial"/>
                  </a:defRPr>
                </a:pPr>
                <a:r>
                  <a:rPr lang="en-GB"/>
                  <a:t>Concentration mg/l</a:t>
                </a:r>
              </a:p>
            </c:rich>
          </c:tx>
          <c:layout>
            <c:manualLayout>
              <c:xMode val="edge"/>
              <c:yMode val="edge"/>
              <c:x val="6.7796440120752824E-2"/>
              <c:y val="0.41238274928094049"/>
            </c:manualLayout>
          </c:layout>
          <c:overlay val="0"/>
          <c:spPr>
            <a:noFill/>
            <a:ln w="25400">
              <a:noFill/>
            </a:ln>
          </c:spPr>
        </c:title>
        <c:numFmt formatCode="0.00E+00" sourceLinked="1"/>
        <c:majorTickMark val="out"/>
        <c:minorTickMark val="none"/>
        <c:tickLblPos val="nextTo"/>
        <c:spPr>
          <a:ln w="3175">
            <a:solidFill>
              <a:srgbClr val="000000"/>
            </a:solidFill>
            <a:prstDash val="solid"/>
          </a:ln>
        </c:spPr>
        <c:txPr>
          <a:bodyPr rot="0" vert="horz"/>
          <a:lstStyle/>
          <a:p>
            <a:pPr>
              <a:defRPr sz="425" b="0" i="0" u="none" strike="noStrike" baseline="0">
                <a:solidFill>
                  <a:srgbClr val="000000"/>
                </a:solidFill>
                <a:latin typeface="Arial"/>
                <a:ea typeface="Arial"/>
                <a:cs typeface="Arial"/>
              </a:defRPr>
            </a:pPr>
            <a:endParaRPr lang="en-US"/>
          </a:p>
        </c:txPr>
        <c:crossAx val="347169872"/>
        <c:crosses val="autoZero"/>
        <c:crossBetween val="midCat"/>
      </c:valAx>
      <c:spPr>
        <a:noFill/>
        <a:ln w="12700">
          <a:solidFill>
            <a:srgbClr val="808080"/>
          </a:solidFill>
          <a:prstDash val="solid"/>
        </a:ln>
      </c:spPr>
    </c:plotArea>
    <c:plotVisOnly val="1"/>
    <c:dispBlanksAs val="gap"/>
    <c:showDLblsOverMax val="0"/>
  </c:chart>
  <c:spPr>
    <a:solidFill>
      <a:srgbClr val="FFFFFF"/>
    </a:solidFill>
    <a:ln w="3175">
      <a:solidFill>
        <a:srgbClr val="000000"/>
      </a:solidFill>
      <a:prstDash val="solid"/>
    </a:ln>
  </c:spPr>
  <c:txPr>
    <a:bodyPr/>
    <a:lstStyle/>
    <a:p>
      <a:pPr>
        <a:defRPr sz="4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c:printSettings>
</c:chartSpace>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chart" Target="../charts/chart4.xml"/></Relationships>
</file>

<file path=xl/drawings/_rels/drawing8.xml.rels><?xml version="1.0" encoding="UTF-8" standalone="yes"?>
<Relationships xmlns="http://schemas.openxmlformats.org/package/2006/relationships"><Relationship Id="rId2" Type="http://schemas.openxmlformats.org/officeDocument/2006/relationships/chart" Target="../charts/chart6.xml"/><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_rels/drawing10.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chart" Target="../charts/chart12.xml"/><Relationship Id="rId1"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14.xml"/><Relationship Id="rId1" Type="http://schemas.openxmlformats.org/officeDocument/2006/relationships/chart" Target="../charts/chart13.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16.xml"/><Relationship Id="rId1" Type="http://schemas.openxmlformats.org/officeDocument/2006/relationships/chart" Target="../charts/chart15.xm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342900</xdr:colOff>
          <xdr:row>1</xdr:row>
          <xdr:rowOff>19050</xdr:rowOff>
        </xdr:from>
        <xdr:to>
          <xdr:col>7</xdr:col>
          <xdr:colOff>228600</xdr:colOff>
          <xdr:row>19</xdr:row>
          <xdr:rowOff>104775</xdr:rowOff>
        </xdr:to>
        <xdr:sp macro="" textlink="">
          <xdr:nvSpPr>
            <xdr:cNvPr id="19457" name="Button 1" hidden="1">
              <a:extLst>
                <a:ext uri="{63B3BB69-23CF-44E3-9099-C40C66FF867C}">
                  <a14:compatExt spid="_x0000_s19457"/>
                </a:ext>
                <a:ext uri="{FF2B5EF4-FFF2-40B4-BE49-F238E27FC236}">
                  <a16:creationId xmlns:a16="http://schemas.microsoft.com/office/drawing/2014/main" id="{00000000-0008-0000-0000-0000014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200" b="1" i="0" u="none" strike="noStrike" baseline="0">
                  <a:solidFill>
                    <a:srgbClr val="000000"/>
                  </a:solidFill>
                  <a:latin typeface="Arial"/>
                  <a:cs typeface="Arial"/>
                </a:rPr>
                <a:t>Click here to name and save</a:t>
              </a:r>
            </a:p>
            <a:p>
              <a:pPr algn="ctr" rtl="0">
                <a:defRPr sz="1000"/>
              </a:pPr>
              <a:r>
                <a:rPr lang="en-GB" sz="1200" b="1" i="0" u="none" strike="noStrike" baseline="0">
                  <a:solidFill>
                    <a:srgbClr val="000000"/>
                  </a:solidFill>
                  <a:latin typeface="Arial"/>
                  <a:cs typeface="Arial"/>
                </a:rPr>
                <a:t> new spreadsheet in to </a:t>
              </a:r>
            </a:p>
            <a:p>
              <a:pPr algn="ctr" rtl="0">
                <a:defRPr sz="1000"/>
              </a:pPr>
              <a:r>
                <a:rPr lang="en-GB" sz="1200" b="1" i="0" u="none" strike="noStrike" baseline="0">
                  <a:solidFill>
                    <a:srgbClr val="000000"/>
                  </a:solidFill>
                  <a:latin typeface="Arial"/>
                  <a:cs typeface="Arial"/>
                </a:rPr>
                <a:t>the current active directory</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495300</xdr:colOff>
      <xdr:row>5</xdr:row>
      <xdr:rowOff>152400</xdr:rowOff>
    </xdr:to>
    <xdr:pic>
      <xdr:nvPicPr>
        <xdr:cNvPr id="13330" name="Picture 11">
          <a:extLst>
            <a:ext uri="{FF2B5EF4-FFF2-40B4-BE49-F238E27FC236}">
              <a16:creationId xmlns:a16="http://schemas.microsoft.com/office/drawing/2014/main" id="{00000000-0008-0000-0100-0000123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8</xdr:col>
      <xdr:colOff>800100</xdr:colOff>
      <xdr:row>0</xdr:row>
      <xdr:rowOff>0</xdr:rowOff>
    </xdr:from>
    <xdr:to>
      <xdr:col>12</xdr:col>
      <xdr:colOff>0</xdr:colOff>
      <xdr:row>4</xdr:row>
      <xdr:rowOff>114300</xdr:rowOff>
    </xdr:to>
    <xdr:pic>
      <xdr:nvPicPr>
        <xdr:cNvPr id="6220" name="Picture 69">
          <a:extLst>
            <a:ext uri="{FF2B5EF4-FFF2-40B4-BE49-F238E27FC236}">
              <a16:creationId xmlns:a16="http://schemas.microsoft.com/office/drawing/2014/main" id="{00000000-0008-0000-0200-00004C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287125"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10</xdr:col>
      <xdr:colOff>0</xdr:colOff>
      <xdr:row>0</xdr:row>
      <xdr:rowOff>0</xdr:rowOff>
    </xdr:from>
    <xdr:to>
      <xdr:col>13</xdr:col>
      <xdr:colOff>457200</xdr:colOff>
      <xdr:row>4</xdr:row>
      <xdr:rowOff>104775</xdr:rowOff>
    </xdr:to>
    <xdr:pic>
      <xdr:nvPicPr>
        <xdr:cNvPr id="8253" name="Picture 51">
          <a:extLst>
            <a:ext uri="{FF2B5EF4-FFF2-40B4-BE49-F238E27FC236}">
              <a16:creationId xmlns:a16="http://schemas.microsoft.com/office/drawing/2014/main" id="{00000000-0008-0000-0300-00003D2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634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13</xdr:col>
      <xdr:colOff>9525</xdr:colOff>
      <xdr:row>5</xdr:row>
      <xdr:rowOff>0</xdr:rowOff>
    </xdr:from>
    <xdr:to>
      <xdr:col>20</xdr:col>
      <xdr:colOff>85725</xdr:colOff>
      <xdr:row>18</xdr:row>
      <xdr:rowOff>38100</xdr:rowOff>
    </xdr:to>
    <xdr:graphicFrame macro="">
      <xdr:nvGraphicFramePr>
        <xdr:cNvPr id="4225" name="Chart 13">
          <a:extLst>
            <a:ext uri="{FF2B5EF4-FFF2-40B4-BE49-F238E27FC236}">
              <a16:creationId xmlns:a16="http://schemas.microsoft.com/office/drawing/2014/main" id="{00000000-0008-0000-0400-000081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25</xdr:col>
      <xdr:colOff>9525</xdr:colOff>
      <xdr:row>5</xdr:row>
      <xdr:rowOff>9525</xdr:rowOff>
    </xdr:from>
    <xdr:to>
      <xdr:col>32</xdr:col>
      <xdr:colOff>381000</xdr:colOff>
      <xdr:row>19</xdr:row>
      <xdr:rowOff>38100</xdr:rowOff>
    </xdr:to>
    <xdr:graphicFrame macro="">
      <xdr:nvGraphicFramePr>
        <xdr:cNvPr id="4226" name="Chart 14">
          <a:extLst>
            <a:ext uri="{FF2B5EF4-FFF2-40B4-BE49-F238E27FC236}">
              <a16:creationId xmlns:a16="http://schemas.microsoft.com/office/drawing/2014/main" id="{00000000-0008-0000-0400-000082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16</xdr:col>
      <xdr:colOff>276225</xdr:colOff>
      <xdr:row>0</xdr:row>
      <xdr:rowOff>0</xdr:rowOff>
    </xdr:from>
    <xdr:to>
      <xdr:col>20</xdr:col>
      <xdr:colOff>123825</xdr:colOff>
      <xdr:row>4</xdr:row>
      <xdr:rowOff>0</xdr:rowOff>
    </xdr:to>
    <xdr:pic>
      <xdr:nvPicPr>
        <xdr:cNvPr id="4227" name="Picture 107">
          <a:extLst>
            <a:ext uri="{FF2B5EF4-FFF2-40B4-BE49-F238E27FC236}">
              <a16:creationId xmlns:a16="http://schemas.microsoft.com/office/drawing/2014/main" id="{00000000-0008-0000-0400-0000831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636395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31</xdr:row>
      <xdr:rowOff>142875</xdr:rowOff>
    </xdr:from>
    <xdr:to>
      <xdr:col>2</xdr:col>
      <xdr:colOff>333375</xdr:colOff>
      <xdr:row>48</xdr:row>
      <xdr:rowOff>28575</xdr:rowOff>
    </xdr:to>
    <xdr:graphicFrame macro="">
      <xdr:nvGraphicFramePr>
        <xdr:cNvPr id="17418" name="Chart 3">
          <a:extLst>
            <a:ext uri="{FF2B5EF4-FFF2-40B4-BE49-F238E27FC236}">
              <a16:creationId xmlns:a16="http://schemas.microsoft.com/office/drawing/2014/main" id="{00000000-0008-0000-0500-00000A4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13</xdr:col>
      <xdr:colOff>457200</xdr:colOff>
      <xdr:row>6</xdr:row>
      <xdr:rowOff>0</xdr:rowOff>
    </xdr:from>
    <xdr:to>
      <xdr:col>20</xdr:col>
      <xdr:colOff>600075</xdr:colOff>
      <xdr:row>21</xdr:row>
      <xdr:rowOff>66675</xdr:rowOff>
    </xdr:to>
    <xdr:graphicFrame macro="">
      <xdr:nvGraphicFramePr>
        <xdr:cNvPr id="9289" name="Chart 1">
          <a:extLst>
            <a:ext uri="{FF2B5EF4-FFF2-40B4-BE49-F238E27FC236}">
              <a16:creationId xmlns:a16="http://schemas.microsoft.com/office/drawing/2014/main" id="{00000000-0008-0000-0600-0000492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17</xdr:col>
      <xdr:colOff>161925</xdr:colOff>
      <xdr:row>0</xdr:row>
      <xdr:rowOff>0</xdr:rowOff>
    </xdr:from>
    <xdr:to>
      <xdr:col>20</xdr:col>
      <xdr:colOff>409575</xdr:colOff>
      <xdr:row>4</xdr:row>
      <xdr:rowOff>85725</xdr:rowOff>
    </xdr:to>
    <xdr:pic>
      <xdr:nvPicPr>
        <xdr:cNvPr id="9290" name="Picture 54">
          <a:extLst>
            <a:ext uri="{FF2B5EF4-FFF2-40B4-BE49-F238E27FC236}">
              <a16:creationId xmlns:a16="http://schemas.microsoft.com/office/drawing/2014/main" id="{00000000-0008-0000-0600-00004A24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06900" y="0"/>
          <a:ext cx="2305050" cy="923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590550</xdr:colOff>
      <xdr:row>20</xdr:row>
      <xdr:rowOff>85725</xdr:rowOff>
    </xdr:to>
    <xdr:graphicFrame macro="">
      <xdr:nvGraphicFramePr>
        <xdr:cNvPr id="1059" name="Chart 21">
          <a:extLst>
            <a:ext uri="{FF2B5EF4-FFF2-40B4-BE49-F238E27FC236}">
              <a16:creationId xmlns:a16="http://schemas.microsoft.com/office/drawing/2014/main" id="{00000000-0008-0000-0B00-000023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590550</xdr:colOff>
      <xdr:row>46</xdr:row>
      <xdr:rowOff>133350</xdr:rowOff>
    </xdr:to>
    <xdr:graphicFrame macro="">
      <xdr:nvGraphicFramePr>
        <xdr:cNvPr id="1060" name="Chart 22">
          <a:extLst>
            <a:ext uri="{FF2B5EF4-FFF2-40B4-BE49-F238E27FC236}">
              <a16:creationId xmlns:a16="http://schemas.microsoft.com/office/drawing/2014/main" id="{00000000-0008-0000-0B00-000024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23</xdr:col>
      <xdr:colOff>552450</xdr:colOff>
      <xdr:row>23</xdr:row>
      <xdr:rowOff>57150</xdr:rowOff>
    </xdr:to>
    <xdr:graphicFrame macro="">
      <xdr:nvGraphicFramePr>
        <xdr:cNvPr id="2067" name="Chart 5">
          <a:extLst>
            <a:ext uri="{FF2B5EF4-FFF2-40B4-BE49-F238E27FC236}">
              <a16:creationId xmlns:a16="http://schemas.microsoft.com/office/drawing/2014/main" id="{00000000-0008-0000-0C00-000013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23</xdr:col>
      <xdr:colOff>552450</xdr:colOff>
      <xdr:row>48</xdr:row>
      <xdr:rowOff>95250</xdr:rowOff>
    </xdr:to>
    <xdr:graphicFrame macro="">
      <xdr:nvGraphicFramePr>
        <xdr:cNvPr id="2068" name="Chart 6">
          <a:extLst>
            <a:ext uri="{FF2B5EF4-FFF2-40B4-BE49-F238E27FC236}">
              <a16:creationId xmlns:a16="http://schemas.microsoft.com/office/drawing/2014/main" id="{00000000-0008-0000-0C00-0000140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20</xdr:col>
      <xdr:colOff>0</xdr:colOff>
      <xdr:row>4</xdr:row>
      <xdr:rowOff>190500</xdr:rowOff>
    </xdr:from>
    <xdr:to>
      <xdr:col>25</xdr:col>
      <xdr:colOff>419100</xdr:colOff>
      <xdr:row>19</xdr:row>
      <xdr:rowOff>161925</xdr:rowOff>
    </xdr:to>
    <xdr:graphicFrame macro="">
      <xdr:nvGraphicFramePr>
        <xdr:cNvPr id="3111" name="Chart 25">
          <a:extLst>
            <a:ext uri="{FF2B5EF4-FFF2-40B4-BE49-F238E27FC236}">
              <a16:creationId xmlns:a16="http://schemas.microsoft.com/office/drawing/2014/main" id="{00000000-0008-0000-0D00-000027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25</xdr:col>
      <xdr:colOff>428625</xdr:colOff>
      <xdr:row>47</xdr:row>
      <xdr:rowOff>28575</xdr:rowOff>
    </xdr:to>
    <xdr:graphicFrame macro="">
      <xdr:nvGraphicFramePr>
        <xdr:cNvPr id="3112" name="Chart 26">
          <a:extLst>
            <a:ext uri="{FF2B5EF4-FFF2-40B4-BE49-F238E27FC236}">
              <a16:creationId xmlns:a16="http://schemas.microsoft.com/office/drawing/2014/main" id="{00000000-0008-0000-0D00-0000280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24</xdr:col>
      <xdr:colOff>0</xdr:colOff>
      <xdr:row>4</xdr:row>
      <xdr:rowOff>19050</xdr:rowOff>
    </xdr:from>
    <xdr:to>
      <xdr:col>28</xdr:col>
      <xdr:colOff>533400</xdr:colOff>
      <xdr:row>20</xdr:row>
      <xdr:rowOff>85725</xdr:rowOff>
    </xdr:to>
    <xdr:graphicFrame macro="">
      <xdr:nvGraphicFramePr>
        <xdr:cNvPr id="10256" name="Chart 1">
          <a:extLst>
            <a:ext uri="{FF2B5EF4-FFF2-40B4-BE49-F238E27FC236}">
              <a16:creationId xmlns:a16="http://schemas.microsoft.com/office/drawing/2014/main" id="{00000000-0008-0000-0E00-000010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24</xdr:col>
      <xdr:colOff>0</xdr:colOff>
      <xdr:row>28</xdr:row>
      <xdr:rowOff>0</xdr:rowOff>
    </xdr:from>
    <xdr:to>
      <xdr:col>28</xdr:col>
      <xdr:colOff>552450</xdr:colOff>
      <xdr:row>46</xdr:row>
      <xdr:rowOff>133350</xdr:rowOff>
    </xdr:to>
    <xdr:graphicFrame macro="">
      <xdr:nvGraphicFramePr>
        <xdr:cNvPr id="10257" name="Chart 2">
          <a:extLst>
            <a:ext uri="{FF2B5EF4-FFF2-40B4-BE49-F238E27FC236}">
              <a16:creationId xmlns:a16="http://schemas.microsoft.com/office/drawing/2014/main" id="{00000000-0008-0000-0E00-0000112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2.xml><?xml version="1.0" encoding="utf-8"?>
<xdr:wsDr xmlns:xdr="http://schemas.openxmlformats.org/drawingml/2006/spreadsheetDrawing" xmlns:a="http://schemas.openxmlformats.org/drawingml/2006/main">
  <xdr:twoCellAnchor>
    <xdr:from>
      <xdr:col>18</xdr:col>
      <xdr:colOff>19050</xdr:colOff>
      <xdr:row>4</xdr:row>
      <xdr:rowOff>19050</xdr:rowOff>
    </xdr:from>
    <xdr:to>
      <xdr:col>22</xdr:col>
      <xdr:colOff>590550</xdr:colOff>
      <xdr:row>23</xdr:row>
      <xdr:rowOff>57150</xdr:rowOff>
    </xdr:to>
    <xdr:graphicFrame macro="">
      <xdr:nvGraphicFramePr>
        <xdr:cNvPr id="11279" name="Chart 1">
          <a:extLst>
            <a:ext uri="{FF2B5EF4-FFF2-40B4-BE49-F238E27FC236}">
              <a16:creationId xmlns:a16="http://schemas.microsoft.com/office/drawing/2014/main" id="{00000000-0008-0000-0F00-00000F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0</xdr:colOff>
      <xdr:row>29</xdr:row>
      <xdr:rowOff>19050</xdr:rowOff>
    </xdr:from>
    <xdr:to>
      <xdr:col>22</xdr:col>
      <xdr:colOff>533400</xdr:colOff>
      <xdr:row>48</xdr:row>
      <xdr:rowOff>95250</xdr:rowOff>
    </xdr:to>
    <xdr:graphicFrame macro="">
      <xdr:nvGraphicFramePr>
        <xdr:cNvPr id="11280" name="Chart 2">
          <a:extLst>
            <a:ext uri="{FF2B5EF4-FFF2-40B4-BE49-F238E27FC236}">
              <a16:creationId xmlns:a16="http://schemas.microsoft.com/office/drawing/2014/main" id="{00000000-0008-0000-0F00-0000102C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20</xdr:col>
      <xdr:colOff>0</xdr:colOff>
      <xdr:row>4</xdr:row>
      <xdr:rowOff>190500</xdr:rowOff>
    </xdr:from>
    <xdr:to>
      <xdr:col>24</xdr:col>
      <xdr:colOff>533400</xdr:colOff>
      <xdr:row>19</xdr:row>
      <xdr:rowOff>161925</xdr:rowOff>
    </xdr:to>
    <xdr:graphicFrame macro="">
      <xdr:nvGraphicFramePr>
        <xdr:cNvPr id="12303" name="Chart 1">
          <a:extLst>
            <a:ext uri="{FF2B5EF4-FFF2-40B4-BE49-F238E27FC236}">
              <a16:creationId xmlns:a16="http://schemas.microsoft.com/office/drawing/2014/main" id="{00000000-0008-0000-1000-00000F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20</xdr:col>
      <xdr:colOff>0</xdr:colOff>
      <xdr:row>29</xdr:row>
      <xdr:rowOff>0</xdr:rowOff>
    </xdr:from>
    <xdr:to>
      <xdr:col>24</xdr:col>
      <xdr:colOff>552450</xdr:colOff>
      <xdr:row>47</xdr:row>
      <xdr:rowOff>28575</xdr:rowOff>
    </xdr:to>
    <xdr:graphicFrame macro="">
      <xdr:nvGraphicFramePr>
        <xdr:cNvPr id="12304" name="Chart 2">
          <a:extLst>
            <a:ext uri="{FF2B5EF4-FFF2-40B4-BE49-F238E27FC236}">
              <a16:creationId xmlns:a16="http://schemas.microsoft.com/office/drawing/2014/main" id="{00000000-0008-0000-1000-0000103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8.v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6"/>
  <dimension ref="E10"/>
  <sheetViews>
    <sheetView workbookViewId="0">
      <selection activeCell="F31" sqref="F31"/>
    </sheetView>
  </sheetViews>
  <sheetFormatPr defaultRowHeight="12.75" x14ac:dyDescent="0.2"/>
  <cols>
    <col min="1" max="1" width="4.28515625" customWidth="1"/>
  </cols>
  <sheetData>
    <row r="10" spans="5:5" x14ac:dyDescent="0.2">
      <c r="E10" s="324" t="s">
        <v>266</v>
      </c>
    </row>
  </sheetData>
  <sheetProtection password="CA8F" sheet="1" objects="1" scenarios="1"/>
  <phoneticPr fontId="0" type="noConversion"/>
  <pageMargins left="0.75" right="0.75" top="1" bottom="1" header="0.5" footer="0.5"/>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launch">
                <anchor moveWithCells="1" sizeWithCells="1">
                  <from>
                    <xdr:col>0</xdr:col>
                    <xdr:colOff>342900</xdr:colOff>
                    <xdr:row>1</xdr:row>
                    <xdr:rowOff>19050</xdr:rowOff>
                  </from>
                  <to>
                    <xdr:col>7</xdr:col>
                    <xdr:colOff>228600</xdr:colOff>
                    <xdr:row>19</xdr:row>
                    <xdr:rowOff>104775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O63"/>
  <sheetViews>
    <sheetView workbookViewId="0">
      <selection activeCell="L35" sqref="L35"/>
    </sheetView>
  </sheetViews>
  <sheetFormatPr defaultRowHeight="12.75" x14ac:dyDescent="0.2"/>
  <cols>
    <col min="1" max="1" width="27.140625" style="118" customWidth="1"/>
    <col min="2" max="2" width="16.42578125" style="118" customWidth="1"/>
    <col min="3" max="3" width="9.140625" style="118"/>
    <col min="4" max="4" width="14" style="118" bestFit="1" customWidth="1"/>
    <col min="5" max="5" width="8.42578125" style="118" customWidth="1"/>
    <col min="6" max="6" width="9.140625" style="118"/>
    <col min="7" max="7" width="30.140625" style="118" customWidth="1"/>
    <col min="8" max="9" width="9.140625" style="118"/>
    <col min="10" max="10" width="10.7109375" style="118" customWidth="1"/>
    <col min="11" max="16384" width="9.140625" style="118"/>
  </cols>
  <sheetData>
    <row r="1" spans="1:15" x14ac:dyDescent="0.2">
      <c r="A1" s="205"/>
      <c r="B1" s="205"/>
      <c r="C1" s="205"/>
      <c r="D1" s="205"/>
      <c r="E1" s="205"/>
      <c r="F1" s="205"/>
      <c r="G1" s="205"/>
      <c r="H1" s="205"/>
      <c r="I1" s="205"/>
      <c r="J1" s="205"/>
      <c r="K1" s="205"/>
      <c r="L1" s="205"/>
      <c r="M1" s="205"/>
      <c r="N1" s="205"/>
      <c r="O1" s="205"/>
    </row>
    <row r="2" spans="1:15" x14ac:dyDescent="0.2">
      <c r="A2" s="205"/>
      <c r="B2" s="205"/>
      <c r="C2" s="205"/>
      <c r="D2" s="205"/>
      <c r="E2" s="205"/>
      <c r="F2" s="205"/>
      <c r="G2" s="205"/>
      <c r="H2" s="205"/>
      <c r="I2" s="205"/>
      <c r="J2" s="205"/>
      <c r="K2" s="205"/>
      <c r="L2" s="205"/>
      <c r="M2" s="205"/>
      <c r="N2" s="205"/>
      <c r="O2" s="205"/>
    </row>
    <row r="3" spans="1:15" s="181" customFormat="1" ht="11.25" x14ac:dyDescent="0.2">
      <c r="A3" s="206"/>
      <c r="B3" s="206"/>
      <c r="C3" s="206"/>
      <c r="D3" s="206"/>
      <c r="E3" s="206"/>
      <c r="F3" s="206"/>
      <c r="G3" s="206"/>
      <c r="H3" s="206"/>
      <c r="I3" s="206"/>
      <c r="J3" s="206"/>
      <c r="K3" s="206"/>
      <c r="L3" s="206"/>
      <c r="M3" s="206"/>
      <c r="N3" s="206"/>
      <c r="O3" s="206"/>
    </row>
    <row r="4" spans="1:15" x14ac:dyDescent="0.2">
      <c r="A4" s="205"/>
      <c r="B4" s="205"/>
      <c r="C4" s="205"/>
      <c r="D4" s="205"/>
      <c r="E4" s="205"/>
      <c r="F4" s="205"/>
      <c r="G4" s="205"/>
      <c r="H4" s="205"/>
      <c r="I4" s="205"/>
      <c r="J4" s="205"/>
      <c r="K4" s="205"/>
      <c r="L4" s="205"/>
      <c r="M4" s="205"/>
      <c r="N4" s="205"/>
      <c r="O4" s="205"/>
    </row>
    <row r="5" spans="1:15" s="181" customFormat="1" ht="11.25" x14ac:dyDescent="0.2">
      <c r="A5" s="206"/>
      <c r="B5" s="206"/>
      <c r="C5" s="206"/>
      <c r="D5" s="206"/>
      <c r="E5" s="206"/>
      <c r="F5" s="206"/>
      <c r="G5" s="206"/>
      <c r="H5" s="206"/>
      <c r="I5" s="206"/>
      <c r="J5" s="206"/>
      <c r="K5" s="206"/>
      <c r="L5" s="206"/>
      <c r="M5" s="206"/>
      <c r="N5" s="206"/>
      <c r="O5" s="206"/>
    </row>
    <row r="6" spans="1:15" x14ac:dyDescent="0.2">
      <c r="A6" s="205"/>
      <c r="B6" s="205"/>
      <c r="C6" s="205"/>
      <c r="D6" s="205"/>
      <c r="E6" s="205"/>
      <c r="F6" s="205"/>
      <c r="G6" s="205"/>
      <c r="H6" s="205"/>
      <c r="I6" s="205"/>
      <c r="J6" s="205"/>
      <c r="K6" s="205"/>
      <c r="L6" s="205"/>
      <c r="M6" s="205"/>
      <c r="N6" s="205"/>
      <c r="O6" s="205"/>
    </row>
    <row r="7" spans="1:15" ht="20.25" x14ac:dyDescent="0.3">
      <c r="A7" s="484" t="s">
        <v>367</v>
      </c>
      <c r="B7" s="484"/>
      <c r="C7" s="484"/>
      <c r="D7" s="484"/>
      <c r="E7" s="484"/>
      <c r="F7" s="484"/>
      <c r="G7" s="484"/>
      <c r="H7" s="484"/>
      <c r="I7" s="484"/>
      <c r="J7" s="484"/>
      <c r="K7" s="484"/>
      <c r="L7" s="484"/>
      <c r="M7" s="484"/>
      <c r="N7" s="205"/>
      <c r="O7" s="205"/>
    </row>
    <row r="8" spans="1:15" s="293" customFormat="1" ht="18" x14ac:dyDescent="0.25">
      <c r="A8" s="495" t="s">
        <v>383</v>
      </c>
      <c r="B8" s="495"/>
      <c r="C8" s="496"/>
      <c r="D8" s="496"/>
      <c r="E8" s="343"/>
      <c r="F8" s="343"/>
      <c r="G8" s="343"/>
      <c r="H8" s="343"/>
      <c r="I8" s="343"/>
      <c r="J8" s="343"/>
      <c r="K8" s="343"/>
      <c r="L8" s="343"/>
      <c r="M8" s="343"/>
      <c r="N8" s="343"/>
      <c r="O8" s="343"/>
    </row>
    <row r="9" spans="1:15" s="345" customFormat="1" ht="15" x14ac:dyDescent="0.25">
      <c r="A9" s="344" t="s">
        <v>385</v>
      </c>
      <c r="B9" s="344"/>
      <c r="C9" s="344"/>
      <c r="D9" s="344"/>
      <c r="E9" s="344"/>
      <c r="F9" s="344"/>
      <c r="G9" s="344"/>
      <c r="H9" s="344"/>
      <c r="I9" s="344"/>
      <c r="J9" s="344"/>
      <c r="K9" s="344"/>
      <c r="L9" s="344"/>
      <c r="M9" s="344"/>
      <c r="N9" s="344"/>
      <c r="O9" s="344"/>
    </row>
    <row r="10" spans="1:15" ht="12.75" customHeight="1" x14ac:dyDescent="0.2">
      <c r="A10" s="488" t="s">
        <v>368</v>
      </c>
      <c r="B10" s="488"/>
      <c r="C10" s="488"/>
      <c r="D10" s="488"/>
      <c r="E10" s="488"/>
      <c r="F10" s="488"/>
      <c r="G10" s="488"/>
      <c r="H10" s="488"/>
      <c r="I10" s="488"/>
      <c r="J10" s="223"/>
      <c r="K10" s="223"/>
      <c r="L10" s="223"/>
      <c r="M10" s="205"/>
      <c r="N10" s="205"/>
      <c r="O10" s="205"/>
    </row>
    <row r="11" spans="1:15" x14ac:dyDescent="0.2">
      <c r="A11" s="488"/>
      <c r="B11" s="488"/>
      <c r="C11" s="488"/>
      <c r="D11" s="488"/>
      <c r="E11" s="488"/>
      <c r="F11" s="488"/>
      <c r="G11" s="488"/>
      <c r="H11" s="488"/>
      <c r="I11" s="488"/>
      <c r="J11" s="223"/>
      <c r="K11" s="223"/>
      <c r="L11" s="223"/>
      <c r="M11" s="205"/>
      <c r="N11" s="205"/>
      <c r="O11" s="205"/>
    </row>
    <row r="12" spans="1:15" s="181" customFormat="1" ht="11.25" x14ac:dyDescent="0.2">
      <c r="A12" s="208"/>
      <c r="B12" s="206"/>
      <c r="C12" s="206"/>
      <c r="D12" s="206"/>
      <c r="E12" s="206"/>
      <c r="F12" s="206"/>
      <c r="G12" s="206"/>
      <c r="H12" s="206"/>
      <c r="I12" s="206"/>
      <c r="J12" s="206"/>
      <c r="K12" s="206"/>
      <c r="L12" s="206"/>
      <c r="M12" s="206"/>
      <c r="N12" s="206"/>
      <c r="O12" s="206"/>
    </row>
    <row r="13" spans="1:15" ht="12.75" customHeight="1" x14ac:dyDescent="0.2">
      <c r="A13" s="489" t="s">
        <v>359</v>
      </c>
      <c r="B13" s="490"/>
      <c r="C13" s="490"/>
      <c r="D13" s="490"/>
      <c r="E13" s="490"/>
      <c r="F13" s="490"/>
      <c r="G13" s="490"/>
      <c r="H13" s="490"/>
      <c r="I13" s="490"/>
      <c r="J13" s="205"/>
      <c r="K13" s="205"/>
      <c r="L13" s="205"/>
      <c r="M13" s="205"/>
      <c r="N13" s="205"/>
      <c r="O13" s="205"/>
    </row>
    <row r="14" spans="1:15" x14ac:dyDescent="0.2">
      <c r="A14" s="490"/>
      <c r="B14" s="490"/>
      <c r="C14" s="490"/>
      <c r="D14" s="490"/>
      <c r="E14" s="490"/>
      <c r="F14" s="490"/>
      <c r="G14" s="490"/>
      <c r="H14" s="490"/>
      <c r="I14" s="490"/>
      <c r="J14" s="205"/>
      <c r="K14" s="205"/>
      <c r="L14" s="205"/>
      <c r="M14" s="205"/>
      <c r="N14" s="205"/>
      <c r="O14" s="205"/>
    </row>
    <row r="15" spans="1:15" s="181" customFormat="1" ht="11.25" x14ac:dyDescent="0.2">
      <c r="A15" s="208"/>
      <c r="B15" s="206"/>
      <c r="C15" s="206"/>
      <c r="D15" s="206"/>
      <c r="E15" s="206"/>
      <c r="F15" s="206"/>
      <c r="G15" s="206"/>
      <c r="H15" s="206"/>
      <c r="I15" s="206"/>
      <c r="J15" s="206"/>
      <c r="K15" s="206"/>
      <c r="L15" s="206"/>
      <c r="M15" s="206"/>
      <c r="N15" s="206"/>
      <c r="O15" s="206"/>
    </row>
    <row r="16" spans="1:15" x14ac:dyDescent="0.2">
      <c r="A16" s="491" t="s">
        <v>369</v>
      </c>
      <c r="B16" s="491"/>
      <c r="C16" s="491"/>
      <c r="D16" s="491"/>
      <c r="E16" s="491"/>
      <c r="F16" s="491"/>
      <c r="G16" s="491"/>
      <c r="H16" s="491"/>
      <c r="I16" s="205"/>
      <c r="J16" s="205"/>
      <c r="K16" s="205"/>
      <c r="L16" s="205"/>
      <c r="M16" s="205"/>
      <c r="N16" s="205"/>
      <c r="O16" s="205"/>
    </row>
    <row r="17" spans="1:15" x14ac:dyDescent="0.2">
      <c r="A17" s="207"/>
      <c r="B17" s="205"/>
      <c r="C17" s="205"/>
      <c r="D17" s="205"/>
      <c r="E17" s="205"/>
      <c r="F17" s="205"/>
      <c r="G17" s="205"/>
      <c r="H17" s="205"/>
      <c r="I17" s="205"/>
      <c r="J17" s="205"/>
      <c r="K17" s="205"/>
      <c r="L17" s="205"/>
      <c r="M17" s="205"/>
      <c r="N17" s="205"/>
      <c r="O17" s="205"/>
    </row>
    <row r="18" spans="1:15" x14ac:dyDescent="0.2">
      <c r="A18" s="492" t="s">
        <v>283</v>
      </c>
      <c r="B18" s="492"/>
      <c r="C18" s="492"/>
      <c r="D18" s="492"/>
      <c r="E18" s="492"/>
      <c r="F18" s="492"/>
      <c r="G18" s="492"/>
      <c r="H18" s="205"/>
      <c r="I18" s="205"/>
      <c r="J18" s="205"/>
      <c r="K18" s="205"/>
      <c r="L18" s="205"/>
      <c r="M18" s="205"/>
      <c r="N18" s="205"/>
      <c r="O18" s="205"/>
    </row>
    <row r="19" spans="1:15" s="181" customFormat="1" ht="12.75" customHeight="1" x14ac:dyDescent="0.2">
      <c r="A19" s="493" t="s">
        <v>208</v>
      </c>
      <c r="B19" s="493"/>
      <c r="C19" s="493"/>
      <c r="D19" s="493"/>
      <c r="E19" s="493"/>
      <c r="F19" s="206"/>
      <c r="G19" s="206"/>
      <c r="H19" s="206"/>
      <c r="I19" s="206"/>
      <c r="J19" s="206"/>
      <c r="K19" s="206"/>
      <c r="L19" s="206"/>
      <c r="M19" s="206"/>
      <c r="N19" s="206"/>
      <c r="O19" s="206"/>
    </row>
    <row r="20" spans="1:15" s="181" customFormat="1" ht="9.9499999999999993" customHeight="1" x14ac:dyDescent="0.2">
      <c r="A20" s="498" t="s">
        <v>284</v>
      </c>
      <c r="B20" s="498"/>
      <c r="C20" s="498"/>
      <c r="D20" s="498"/>
      <c r="E20" s="498"/>
      <c r="F20" s="498"/>
      <c r="G20" s="498"/>
      <c r="H20" s="498"/>
      <c r="I20" s="498"/>
      <c r="J20" s="206"/>
      <c r="K20" s="206"/>
      <c r="L20" s="206"/>
      <c r="M20" s="206"/>
      <c r="N20" s="206"/>
      <c r="O20" s="206"/>
    </row>
    <row r="21" spans="1:15" s="181" customFormat="1" ht="9.9499999999999993" customHeight="1" x14ac:dyDescent="0.2">
      <c r="A21" s="498"/>
      <c r="B21" s="498"/>
      <c r="C21" s="498"/>
      <c r="D21" s="498"/>
      <c r="E21" s="498"/>
      <c r="F21" s="498"/>
      <c r="G21" s="498"/>
      <c r="H21" s="498"/>
      <c r="I21" s="498"/>
      <c r="J21" s="206"/>
      <c r="K21" s="206"/>
      <c r="L21" s="206"/>
      <c r="M21" s="206"/>
      <c r="N21" s="206"/>
      <c r="O21" s="206"/>
    </row>
    <row r="22" spans="1:15" s="181" customFormat="1" ht="9.9499999999999993" customHeight="1" x14ac:dyDescent="0.2">
      <c r="A22" s="498"/>
      <c r="B22" s="498"/>
      <c r="C22" s="498"/>
      <c r="D22" s="498"/>
      <c r="E22" s="498"/>
      <c r="F22" s="498"/>
      <c r="G22" s="498"/>
      <c r="H22" s="498"/>
      <c r="I22" s="498"/>
      <c r="J22" s="206"/>
      <c r="K22" s="206"/>
      <c r="L22" s="206"/>
      <c r="M22" s="206"/>
      <c r="N22" s="206"/>
      <c r="O22" s="206"/>
    </row>
    <row r="23" spans="1:15" s="181" customFormat="1" ht="31.5" customHeight="1" x14ac:dyDescent="0.2">
      <c r="A23" s="498"/>
      <c r="B23" s="498"/>
      <c r="C23" s="498"/>
      <c r="D23" s="498"/>
      <c r="E23" s="498"/>
      <c r="F23" s="498"/>
      <c r="G23" s="498"/>
      <c r="H23" s="498"/>
      <c r="I23" s="498"/>
      <c r="J23" s="206"/>
      <c r="K23" s="206"/>
      <c r="L23" s="206"/>
      <c r="M23" s="206"/>
      <c r="N23" s="206"/>
      <c r="O23" s="206"/>
    </row>
    <row r="24" spans="1:15" s="201" customFormat="1" ht="18" x14ac:dyDescent="0.25">
      <c r="A24" s="500" t="s">
        <v>250</v>
      </c>
      <c r="B24" s="500"/>
      <c r="C24" s="500"/>
      <c r="D24" s="500"/>
      <c r="E24" s="500"/>
      <c r="F24" s="500"/>
      <c r="G24" s="500"/>
      <c r="H24" s="500"/>
      <c r="I24" s="500"/>
      <c r="J24" s="500"/>
      <c r="K24" s="500"/>
      <c r="L24" s="500"/>
      <c r="M24" s="500"/>
      <c r="N24" s="500"/>
      <c r="O24" s="500"/>
    </row>
    <row r="25" spans="1:15" s="172" customFormat="1" x14ac:dyDescent="0.2">
      <c r="A25" s="210"/>
      <c r="B25" s="211"/>
      <c r="C25" s="211"/>
      <c r="D25" s="211"/>
      <c r="E25" s="211"/>
      <c r="F25" s="211"/>
      <c r="G25" s="211"/>
      <c r="H25" s="211"/>
      <c r="I25" s="211"/>
      <c r="J25" s="211"/>
      <c r="K25" s="211"/>
      <c r="L25" s="211"/>
      <c r="M25" s="211"/>
      <c r="N25" s="211"/>
      <c r="O25" s="211"/>
    </row>
    <row r="26" spans="1:15" x14ac:dyDescent="0.2">
      <c r="A26" s="212" t="s">
        <v>157</v>
      </c>
      <c r="B26" s="213"/>
      <c r="C26" s="213"/>
      <c r="D26" s="213"/>
      <c r="E26" s="213"/>
      <c r="F26" s="213"/>
      <c r="G26" s="214"/>
      <c r="H26" s="205"/>
      <c r="I26" s="205"/>
      <c r="J26" s="205"/>
      <c r="K26" s="205"/>
      <c r="L26" s="205"/>
      <c r="M26" s="205"/>
      <c r="N26" s="205"/>
      <c r="O26" s="205"/>
    </row>
    <row r="27" spans="1:15" x14ac:dyDescent="0.2">
      <c r="A27" s="215"/>
      <c r="B27" s="205"/>
      <c r="C27" s="205"/>
      <c r="D27" s="205"/>
      <c r="E27" s="205"/>
      <c r="F27" s="205"/>
      <c r="G27" s="216"/>
      <c r="H27" s="205"/>
      <c r="I27" s="205"/>
      <c r="J27" s="205"/>
      <c r="K27" s="205"/>
      <c r="L27" s="205"/>
      <c r="M27" s="205"/>
      <c r="N27" s="205"/>
      <c r="O27" s="205"/>
    </row>
    <row r="28" spans="1:15" x14ac:dyDescent="0.2">
      <c r="A28" s="215" t="s">
        <v>139</v>
      </c>
      <c r="B28" s="487" t="s">
        <v>404</v>
      </c>
      <c r="C28" s="487"/>
      <c r="D28" s="487"/>
      <c r="E28" s="487"/>
      <c r="F28" s="487"/>
      <c r="G28" s="499"/>
      <c r="H28" s="205"/>
      <c r="I28" s="205"/>
      <c r="J28" s="205"/>
      <c r="K28" s="205"/>
      <c r="L28" s="205"/>
      <c r="M28" s="205"/>
      <c r="N28" s="205"/>
      <c r="O28" s="205"/>
    </row>
    <row r="29" spans="1:15" x14ac:dyDescent="0.2">
      <c r="A29" s="215" t="s">
        <v>140</v>
      </c>
      <c r="B29" s="487" t="s">
        <v>405</v>
      </c>
      <c r="C29" s="487"/>
      <c r="D29" s="487"/>
      <c r="E29" s="487"/>
      <c r="F29" s="487"/>
      <c r="G29" s="499"/>
      <c r="H29" s="205"/>
      <c r="I29" s="205"/>
      <c r="J29" s="205"/>
      <c r="K29" s="205"/>
      <c r="L29" s="205"/>
      <c r="M29" s="205"/>
      <c r="N29" s="205"/>
      <c r="O29" s="205"/>
    </row>
    <row r="30" spans="1:15" x14ac:dyDescent="0.2">
      <c r="A30" s="215"/>
      <c r="B30" s="217"/>
      <c r="C30" s="209"/>
      <c r="D30" s="205"/>
      <c r="E30" s="205"/>
      <c r="F30" s="205"/>
      <c r="G30" s="216"/>
      <c r="H30" s="205"/>
      <c r="I30" s="205"/>
      <c r="J30" s="205"/>
      <c r="K30" s="205"/>
      <c r="L30" s="205"/>
      <c r="M30" s="205"/>
      <c r="N30" s="205"/>
      <c r="O30" s="205"/>
    </row>
    <row r="31" spans="1:15" x14ac:dyDescent="0.2">
      <c r="A31" s="215" t="s">
        <v>141</v>
      </c>
      <c r="B31" s="487" t="s">
        <v>402</v>
      </c>
      <c r="C31" s="487"/>
      <c r="D31" s="487"/>
      <c r="E31" s="205"/>
      <c r="F31" s="205"/>
      <c r="G31" s="216"/>
      <c r="H31" s="205"/>
      <c r="I31" s="205"/>
      <c r="J31" s="205"/>
      <c r="K31" s="205"/>
      <c r="L31" s="205"/>
      <c r="M31" s="205"/>
      <c r="N31" s="205"/>
      <c r="O31" s="205"/>
    </row>
    <row r="32" spans="1:15" x14ac:dyDescent="0.2">
      <c r="A32" s="215" t="s">
        <v>142</v>
      </c>
      <c r="B32" s="117">
        <v>43993</v>
      </c>
      <c r="C32" s="209"/>
      <c r="D32" s="218" t="s">
        <v>158</v>
      </c>
      <c r="E32" s="149">
        <v>1.01</v>
      </c>
      <c r="F32" s="205"/>
      <c r="G32" s="216"/>
      <c r="H32" s="205"/>
      <c r="I32" s="205"/>
      <c r="J32" s="205"/>
      <c r="K32" s="205"/>
      <c r="L32" s="205"/>
      <c r="M32" s="205"/>
      <c r="N32" s="205"/>
      <c r="O32" s="205"/>
    </row>
    <row r="33" spans="1:15" x14ac:dyDescent="0.2">
      <c r="A33" s="219"/>
      <c r="B33" s="217"/>
      <c r="C33" s="209"/>
      <c r="D33" s="205"/>
      <c r="E33" s="205"/>
      <c r="F33" s="205"/>
      <c r="G33" s="216"/>
      <c r="H33" s="205"/>
      <c r="I33" s="205"/>
      <c r="J33" s="205"/>
      <c r="K33" s="205"/>
      <c r="L33" s="205"/>
      <c r="M33" s="205"/>
      <c r="N33" s="205"/>
      <c r="O33" s="205"/>
    </row>
    <row r="34" spans="1:15" x14ac:dyDescent="0.2">
      <c r="A34" s="215" t="s">
        <v>89</v>
      </c>
      <c r="B34" s="116" t="s">
        <v>401</v>
      </c>
      <c r="C34" s="209"/>
      <c r="D34" s="205"/>
      <c r="E34" s="205"/>
      <c r="F34" s="205"/>
      <c r="G34" s="216"/>
      <c r="H34" s="205"/>
      <c r="I34" s="205"/>
      <c r="J34" s="205"/>
      <c r="K34" s="205"/>
      <c r="L34" s="205"/>
      <c r="M34" s="205"/>
      <c r="N34" s="205"/>
      <c r="O34" s="205"/>
    </row>
    <row r="35" spans="1:15" ht="14.25" x14ac:dyDescent="0.25">
      <c r="A35" s="220" t="s">
        <v>172</v>
      </c>
      <c r="B35" s="460">
        <v>400</v>
      </c>
      <c r="C35" s="221" t="s">
        <v>22</v>
      </c>
      <c r="D35" s="222" t="s">
        <v>218</v>
      </c>
      <c r="E35" s="485" t="s">
        <v>392</v>
      </c>
      <c r="F35" s="485"/>
      <c r="G35" s="486"/>
      <c r="H35" s="205"/>
      <c r="I35" s="205"/>
      <c r="J35" s="205"/>
      <c r="K35" s="205"/>
      <c r="L35" s="205"/>
      <c r="M35" s="205"/>
      <c r="N35" s="205"/>
      <c r="O35" s="205"/>
    </row>
    <row r="36" spans="1:15" x14ac:dyDescent="0.2">
      <c r="A36" s="205"/>
      <c r="B36" s="205"/>
      <c r="C36" s="205"/>
      <c r="D36" s="205"/>
      <c r="E36" s="205"/>
      <c r="F36" s="205"/>
      <c r="G36" s="205"/>
      <c r="H36" s="205"/>
      <c r="I36" s="205"/>
      <c r="J36" s="205"/>
      <c r="K36" s="205"/>
      <c r="L36" s="205"/>
      <c r="M36" s="205"/>
      <c r="N36" s="205"/>
      <c r="O36" s="205"/>
    </row>
    <row r="37" spans="1:15" x14ac:dyDescent="0.2">
      <c r="A37" s="497" t="s">
        <v>370</v>
      </c>
      <c r="B37" s="497"/>
      <c r="C37" s="497"/>
      <c r="D37" s="497"/>
      <c r="E37" s="497"/>
      <c r="F37" s="497"/>
      <c r="G37" s="497"/>
      <c r="H37" s="497"/>
      <c r="I37" s="497"/>
      <c r="J37" s="497"/>
      <c r="K37" s="205"/>
      <c r="L37" s="205"/>
      <c r="M37" s="205"/>
      <c r="N37" s="205"/>
      <c r="O37" s="205"/>
    </row>
    <row r="38" spans="1:15" x14ac:dyDescent="0.2">
      <c r="A38" s="497"/>
      <c r="B38" s="497"/>
      <c r="C38" s="497"/>
      <c r="D38" s="497"/>
      <c r="E38" s="497"/>
      <c r="F38" s="497"/>
      <c r="G38" s="497"/>
      <c r="H38" s="497"/>
      <c r="I38" s="497"/>
      <c r="J38" s="497"/>
      <c r="K38" s="205"/>
      <c r="L38" s="205"/>
      <c r="M38" s="205"/>
      <c r="N38" s="205"/>
      <c r="O38" s="205"/>
    </row>
    <row r="39" spans="1:15" x14ac:dyDescent="0.2">
      <c r="A39" s="497"/>
      <c r="B39" s="497"/>
      <c r="C39" s="497"/>
      <c r="D39" s="497"/>
      <c r="E39" s="497"/>
      <c r="F39" s="497"/>
      <c r="G39" s="497"/>
      <c r="H39" s="497"/>
      <c r="I39" s="497"/>
      <c r="J39" s="497"/>
      <c r="K39" s="205"/>
      <c r="L39" s="205"/>
      <c r="M39" s="205"/>
      <c r="N39" s="205"/>
      <c r="O39" s="205"/>
    </row>
    <row r="40" spans="1:15" x14ac:dyDescent="0.2">
      <c r="A40" s="497"/>
      <c r="B40" s="497"/>
      <c r="C40" s="497"/>
      <c r="D40" s="497"/>
      <c r="E40" s="497"/>
      <c r="F40" s="497"/>
      <c r="G40" s="497"/>
      <c r="H40" s="497"/>
      <c r="I40" s="497"/>
      <c r="J40" s="497"/>
      <c r="K40" s="205"/>
      <c r="L40" s="205"/>
      <c r="M40" s="205"/>
      <c r="N40" s="205"/>
      <c r="O40" s="205"/>
    </row>
    <row r="41" spans="1:15" x14ac:dyDescent="0.2">
      <c r="A41" s="494" t="s">
        <v>371</v>
      </c>
      <c r="B41" s="494"/>
      <c r="C41" s="494"/>
      <c r="D41" s="494"/>
      <c r="E41" s="494"/>
      <c r="F41" s="494"/>
      <c r="G41" s="494"/>
      <c r="H41" s="494"/>
      <c r="I41" s="494"/>
      <c r="J41" s="494"/>
      <c r="K41" s="205"/>
      <c r="L41" s="205"/>
      <c r="M41" s="205"/>
      <c r="N41" s="205"/>
      <c r="O41" s="205"/>
    </row>
    <row r="42" spans="1:15" x14ac:dyDescent="0.2">
      <c r="A42" s="494" t="s">
        <v>316</v>
      </c>
      <c r="B42" s="494"/>
      <c r="C42" s="494"/>
      <c r="D42" s="494"/>
      <c r="E42" s="494"/>
      <c r="F42" s="494"/>
      <c r="G42" s="494"/>
      <c r="H42" s="494"/>
      <c r="I42" s="494"/>
      <c r="J42" s="494"/>
      <c r="K42" s="205"/>
      <c r="L42" s="205"/>
      <c r="M42" s="205"/>
      <c r="N42" s="205"/>
      <c r="O42" s="205"/>
    </row>
    <row r="43" spans="1:15" x14ac:dyDescent="0.2">
      <c r="A43" s="494" t="s">
        <v>219</v>
      </c>
      <c r="B43" s="494"/>
      <c r="C43" s="494"/>
      <c r="D43" s="494"/>
      <c r="E43" s="494"/>
      <c r="F43" s="494"/>
      <c r="G43" s="494"/>
      <c r="H43" s="494"/>
      <c r="I43" s="494"/>
      <c r="J43" s="494"/>
      <c r="K43" s="205"/>
      <c r="L43" s="205"/>
      <c r="M43" s="205"/>
      <c r="N43" s="205"/>
      <c r="O43" s="205"/>
    </row>
    <row r="44" spans="1:15" x14ac:dyDescent="0.2">
      <c r="A44" s="225" t="s">
        <v>320</v>
      </c>
      <c r="B44" s="225"/>
      <c r="C44" s="225"/>
      <c r="D44" s="225"/>
      <c r="E44" s="225"/>
      <c r="F44" s="225"/>
      <c r="G44" s="225"/>
      <c r="H44" s="225"/>
      <c r="I44" s="225"/>
      <c r="J44" s="225"/>
      <c r="K44" s="205"/>
      <c r="L44" s="205"/>
      <c r="M44" s="205"/>
      <c r="N44" s="205"/>
      <c r="O44" s="205"/>
    </row>
    <row r="45" spans="1:15" x14ac:dyDescent="0.2">
      <c r="A45" s="494" t="s">
        <v>209</v>
      </c>
      <c r="B45" s="494"/>
      <c r="C45" s="494"/>
      <c r="D45" s="494"/>
      <c r="E45" s="494"/>
      <c r="F45" s="494"/>
      <c r="G45" s="494"/>
      <c r="H45" s="494"/>
      <c r="I45" s="494"/>
      <c r="J45" s="494"/>
      <c r="K45" s="205"/>
      <c r="L45" s="205"/>
      <c r="M45" s="205"/>
      <c r="N45" s="205"/>
      <c r="O45" s="205"/>
    </row>
    <row r="46" spans="1:15" s="181" customFormat="1" ht="11.25" x14ac:dyDescent="0.2">
      <c r="A46" s="206"/>
      <c r="B46" s="206"/>
      <c r="C46" s="206"/>
      <c r="D46" s="206"/>
      <c r="E46" s="206"/>
      <c r="F46" s="206"/>
      <c r="G46" s="206"/>
      <c r="H46" s="206"/>
      <c r="I46" s="206"/>
      <c r="J46" s="206"/>
      <c r="K46" s="206"/>
      <c r="L46" s="206"/>
      <c r="M46" s="206"/>
      <c r="N46" s="206"/>
      <c r="O46" s="206"/>
    </row>
    <row r="47" spans="1:15" ht="24.75" customHeight="1" x14ac:dyDescent="0.2">
      <c r="A47" s="482" t="s">
        <v>324</v>
      </c>
      <c r="B47" s="482"/>
      <c r="C47" s="482"/>
      <c r="D47" s="482"/>
      <c r="E47" s="482"/>
      <c r="F47" s="483"/>
      <c r="G47" s="483"/>
      <c r="H47" s="483"/>
      <c r="I47" s="483"/>
      <c r="J47" s="205"/>
      <c r="K47" s="205"/>
      <c r="L47" s="205"/>
      <c r="M47" s="205"/>
      <c r="N47" s="205"/>
      <c r="O47" s="205"/>
    </row>
    <row r="48" spans="1:15" x14ac:dyDescent="0.2">
      <c r="A48"/>
      <c r="B48"/>
      <c r="C48"/>
      <c r="D48"/>
      <c r="E48"/>
      <c r="F48"/>
      <c r="G48"/>
      <c r="H48"/>
      <c r="I48"/>
      <c r="J48"/>
      <c r="K48" s="205"/>
      <c r="L48" s="205"/>
      <c r="M48" s="205"/>
      <c r="N48" s="205"/>
      <c r="O48" s="205"/>
    </row>
    <row r="49" spans="1:15" x14ac:dyDescent="0.2">
      <c r="A49"/>
      <c r="B49"/>
      <c r="C49"/>
      <c r="D49"/>
      <c r="E49"/>
      <c r="F49"/>
      <c r="G49"/>
      <c r="H49"/>
      <c r="I49"/>
      <c r="J49"/>
      <c r="K49" s="205"/>
      <c r="L49" s="205"/>
      <c r="M49" s="205"/>
      <c r="N49" s="205"/>
      <c r="O49" s="205"/>
    </row>
    <row r="50" spans="1:15" x14ac:dyDescent="0.2">
      <c r="A50"/>
      <c r="B50"/>
      <c r="C50"/>
      <c r="D50"/>
      <c r="E50"/>
      <c r="F50"/>
      <c r="G50"/>
      <c r="H50" s="461"/>
      <c r="I50"/>
      <c r="J50"/>
      <c r="K50" s="205"/>
      <c r="L50" s="205"/>
      <c r="M50" s="205"/>
      <c r="N50" s="205"/>
      <c r="O50" s="205"/>
    </row>
    <row r="51" spans="1:15" x14ac:dyDescent="0.2">
      <c r="A51"/>
      <c r="B51"/>
      <c r="C51"/>
      <c r="D51"/>
      <c r="E51"/>
      <c r="F51"/>
      <c r="G51"/>
      <c r="H51"/>
      <c r="I51"/>
      <c r="J51"/>
    </row>
    <row r="52" spans="1:15" x14ac:dyDescent="0.2">
      <c r="A52"/>
      <c r="B52"/>
      <c r="C52"/>
      <c r="D52"/>
      <c r="E52"/>
      <c r="F52"/>
      <c r="G52"/>
      <c r="H52"/>
      <c r="I52"/>
      <c r="J52"/>
    </row>
    <row r="53" spans="1:15" x14ac:dyDescent="0.2">
      <c r="A53"/>
      <c r="B53"/>
      <c r="C53"/>
      <c r="D53"/>
      <c r="E53"/>
      <c r="F53"/>
      <c r="G53"/>
      <c r="H53"/>
      <c r="I53"/>
      <c r="J53"/>
    </row>
    <row r="54" spans="1:15" x14ac:dyDescent="0.2">
      <c r="A54"/>
      <c r="B54"/>
      <c r="C54"/>
      <c r="D54"/>
      <c r="E54"/>
      <c r="F54"/>
      <c r="G54"/>
      <c r="H54"/>
      <c r="I54"/>
      <c r="J54"/>
    </row>
    <row r="55" spans="1:15" x14ac:dyDescent="0.2">
      <c r="A55"/>
      <c r="B55"/>
      <c r="C55"/>
      <c r="D55"/>
      <c r="E55"/>
      <c r="F55"/>
      <c r="G55"/>
      <c r="H55"/>
      <c r="I55"/>
      <c r="J55"/>
    </row>
    <row r="56" spans="1:15" x14ac:dyDescent="0.2">
      <c r="A56"/>
      <c r="B56"/>
      <c r="C56"/>
      <c r="D56"/>
      <c r="E56"/>
      <c r="F56"/>
      <c r="G56"/>
      <c r="H56"/>
      <c r="I56"/>
      <c r="J56"/>
    </row>
    <row r="57" spans="1:15" x14ac:dyDescent="0.2">
      <c r="A57"/>
      <c r="B57"/>
      <c r="C57"/>
      <c r="D57"/>
      <c r="E57"/>
      <c r="F57"/>
      <c r="G57"/>
      <c r="H57"/>
      <c r="I57"/>
      <c r="J57"/>
    </row>
    <row r="58" spans="1:15" x14ac:dyDescent="0.2">
      <c r="A58"/>
      <c r="B58"/>
      <c r="C58"/>
      <c r="D58"/>
      <c r="E58"/>
      <c r="F58"/>
      <c r="G58"/>
      <c r="H58"/>
      <c r="I58"/>
      <c r="J58"/>
    </row>
    <row r="59" spans="1:15" x14ac:dyDescent="0.2">
      <c r="A59"/>
      <c r="B59"/>
      <c r="C59"/>
      <c r="D59"/>
      <c r="E59"/>
      <c r="F59"/>
      <c r="G59"/>
      <c r="H59"/>
      <c r="I59"/>
      <c r="J59"/>
    </row>
    <row r="60" spans="1:15" x14ac:dyDescent="0.2">
      <c r="A60"/>
      <c r="B60"/>
      <c r="C60"/>
      <c r="D60"/>
      <c r="E60"/>
      <c r="F60"/>
      <c r="G60"/>
      <c r="H60"/>
      <c r="I60"/>
      <c r="J60"/>
    </row>
    <row r="61" spans="1:15" x14ac:dyDescent="0.2">
      <c r="A61"/>
      <c r="B61"/>
      <c r="C61"/>
      <c r="D61"/>
      <c r="E61"/>
      <c r="F61"/>
      <c r="G61"/>
      <c r="H61"/>
      <c r="I61"/>
      <c r="J61"/>
    </row>
    <row r="62" spans="1:15" x14ac:dyDescent="0.2">
      <c r="A62"/>
      <c r="B62"/>
      <c r="C62"/>
      <c r="D62"/>
      <c r="E62"/>
      <c r="F62"/>
      <c r="G62"/>
      <c r="H62"/>
      <c r="I62"/>
      <c r="J62"/>
    </row>
    <row r="63" spans="1:15" x14ac:dyDescent="0.2">
      <c r="A63"/>
      <c r="B63"/>
      <c r="C63"/>
      <c r="D63"/>
      <c r="E63"/>
      <c r="F63"/>
      <c r="G63"/>
      <c r="H63"/>
      <c r="I63"/>
      <c r="J63"/>
    </row>
  </sheetData>
  <sheetProtection password="CA8F" sheet="1" objects="1" scenarios="1"/>
  <mergeCells count="19">
    <mergeCell ref="B28:G28"/>
    <mergeCell ref="B29:G29"/>
    <mergeCell ref="A24:O24"/>
    <mergeCell ref="A47:I47"/>
    <mergeCell ref="A7:M7"/>
    <mergeCell ref="E35:G35"/>
    <mergeCell ref="B31:D31"/>
    <mergeCell ref="A10:I11"/>
    <mergeCell ref="A13:I14"/>
    <mergeCell ref="A16:H16"/>
    <mergeCell ref="A18:G18"/>
    <mergeCell ref="A19:E19"/>
    <mergeCell ref="A45:J45"/>
    <mergeCell ref="A8:D8"/>
    <mergeCell ref="A37:J40"/>
    <mergeCell ref="A41:J41"/>
    <mergeCell ref="A42:J42"/>
    <mergeCell ref="A43:J43"/>
    <mergeCell ref="A20:I23"/>
  </mergeCells>
  <phoneticPr fontId="0" type="noConversion"/>
  <dataValidations count="1">
    <dataValidation type="textLength" operator="greaterThan" showInputMessage="1" showErrorMessage="1" errorTitle="MUST COMPLETE ALL FIELDS" sqref="B28:G28" xr:uid="{00000000-0002-0000-0100-000000000000}">
      <formula1>1</formula1>
    </dataValidation>
  </dataValidations>
  <pageMargins left="0.74803149606299213" right="0.74803149606299213" top="0.98425196850393704" bottom="0.98425196850393704" header="0.51181102362204722" footer="0.51181102362204722"/>
  <pageSetup paperSize="9" scale="70" orientation="landscape" horizontalDpi="4294967292"/>
  <headerFooter alignWithMargins="0">
    <oddFooter>&amp;LEnvironment Agency Publication 20, Remedial Targets worksheet v3.1&amp;R&amp;D, &amp;T
&amp;F&amp;A</oddFooter>
  </headerFooter>
  <drawing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44"/>
  <sheetViews>
    <sheetView topLeftCell="A5" zoomScale="85" workbookViewId="0">
      <selection activeCell="F23" sqref="F23"/>
    </sheetView>
  </sheetViews>
  <sheetFormatPr defaultRowHeight="12.75" x14ac:dyDescent="0.2"/>
  <cols>
    <col min="1" max="1" width="3.140625" style="118" customWidth="1"/>
    <col min="2" max="2" width="53.85546875" style="118" customWidth="1"/>
    <col min="3" max="3" width="11" style="119" customWidth="1"/>
    <col min="4" max="4" width="13.28515625" style="119" customWidth="1"/>
    <col min="5" max="5" width="12.85546875" style="119" customWidth="1"/>
    <col min="6" max="6" width="42.42578125" style="120" customWidth="1"/>
    <col min="7" max="7" width="11.5703125" style="118" customWidth="1"/>
    <col min="8" max="8" width="9.140625" style="118"/>
    <col min="9" max="9" width="17.28515625" style="118" customWidth="1"/>
    <col min="10" max="10" width="11" style="118" customWidth="1"/>
    <col min="11" max="12" width="9.140625" style="118"/>
    <col min="13" max="13" width="3.28515625" style="118" customWidth="1"/>
    <col min="14" max="16384" width="9.140625" style="118"/>
  </cols>
  <sheetData>
    <row r="1" spans="1:17" x14ac:dyDescent="0.2">
      <c r="A1" s="205"/>
      <c r="B1" s="205"/>
      <c r="C1" s="224"/>
      <c r="D1" s="224"/>
      <c r="E1" s="224"/>
      <c r="F1" s="225"/>
      <c r="G1" s="205"/>
      <c r="H1" s="205"/>
      <c r="I1" s="205"/>
      <c r="J1" s="205"/>
      <c r="K1" s="205"/>
      <c r="L1" s="205"/>
      <c r="M1" s="205"/>
      <c r="N1" s="205"/>
      <c r="O1" s="205"/>
      <c r="P1" s="205"/>
      <c r="Q1" s="205"/>
    </row>
    <row r="2" spans="1:17" ht="18" x14ac:dyDescent="0.25">
      <c r="A2" s="205"/>
      <c r="B2" s="495" t="s">
        <v>383</v>
      </c>
      <c r="C2" s="495"/>
      <c r="D2" s="496"/>
      <c r="E2" s="496"/>
      <c r="F2" s="225"/>
      <c r="G2" s="205"/>
      <c r="H2" s="205"/>
      <c r="I2" s="205"/>
      <c r="J2" s="205"/>
      <c r="K2" s="205"/>
      <c r="L2" s="205"/>
      <c r="M2" s="205"/>
      <c r="N2" s="205"/>
      <c r="O2" s="205"/>
      <c r="P2" s="205"/>
      <c r="Q2" s="205"/>
    </row>
    <row r="3" spans="1:17" x14ac:dyDescent="0.2">
      <c r="A3" s="205"/>
      <c r="B3" s="205"/>
      <c r="C3" s="224"/>
      <c r="D3" s="224"/>
      <c r="E3" s="224"/>
      <c r="F3" s="225"/>
      <c r="G3" s="205"/>
      <c r="H3" s="205"/>
      <c r="I3" s="205"/>
      <c r="J3" s="205"/>
      <c r="K3" s="205"/>
      <c r="L3" s="205"/>
      <c r="M3" s="205"/>
      <c r="N3" s="205"/>
      <c r="O3" s="205"/>
      <c r="P3" s="205"/>
      <c r="Q3" s="205"/>
    </row>
    <row r="4" spans="1:17" ht="20.25" x14ac:dyDescent="0.3">
      <c r="A4" s="205"/>
      <c r="B4" s="226" t="s">
        <v>334</v>
      </c>
      <c r="C4" s="224"/>
      <c r="D4" s="224"/>
      <c r="E4" s="224"/>
      <c r="F4" s="225"/>
      <c r="G4" s="205"/>
      <c r="H4" s="205"/>
      <c r="I4" s="205"/>
      <c r="J4" s="205"/>
      <c r="K4" s="205"/>
      <c r="L4" s="205"/>
      <c r="M4" s="205"/>
      <c r="N4" s="205"/>
      <c r="O4" s="205"/>
      <c r="P4" s="205"/>
      <c r="Q4" s="205"/>
    </row>
    <row r="5" spans="1:17" x14ac:dyDescent="0.2">
      <c r="A5" s="205"/>
      <c r="B5" s="228"/>
      <c r="D5" s="224"/>
      <c r="E5" s="224"/>
      <c r="F5" s="507" t="s">
        <v>372</v>
      </c>
      <c r="G5" s="507"/>
      <c r="H5" s="205"/>
      <c r="I5" s="205"/>
      <c r="J5" s="205"/>
      <c r="K5" s="205"/>
      <c r="L5" s="205"/>
      <c r="M5" s="205"/>
      <c r="N5" s="205"/>
      <c r="O5" s="205"/>
      <c r="P5" s="205"/>
      <c r="Q5" s="205"/>
    </row>
    <row r="6" spans="1:17" ht="36.75" customHeight="1" x14ac:dyDescent="0.2">
      <c r="A6" s="205"/>
      <c r="B6" s="249"/>
      <c r="C6" s="224"/>
      <c r="D6" s="224"/>
      <c r="E6" s="224"/>
      <c r="F6" s="507"/>
      <c r="G6" s="507"/>
      <c r="H6" s="228"/>
      <c r="I6" s="230"/>
      <c r="J6" s="230"/>
      <c r="K6" s="205"/>
      <c r="L6" s="205"/>
      <c r="M6" s="205"/>
      <c r="N6" s="205"/>
      <c r="O6" s="205"/>
      <c r="P6" s="205"/>
      <c r="Q6" s="205"/>
    </row>
    <row r="7" spans="1:17" ht="18.75" customHeight="1" x14ac:dyDescent="0.25">
      <c r="A7" s="205"/>
      <c r="B7" s="227"/>
      <c r="C7" s="205"/>
      <c r="D7" s="250"/>
      <c r="E7" s="224"/>
      <c r="F7" s="508" t="s">
        <v>254</v>
      </c>
      <c r="G7" s="509"/>
      <c r="H7" s="231">
        <f>IF(F7="User specified value for partition coefficient",1,0)</f>
        <v>1</v>
      </c>
      <c r="I7" s="225"/>
      <c r="J7" s="205" t="str">
        <f>CHAR(32)</f>
        <v xml:space="preserve"> </v>
      </c>
      <c r="K7" s="205"/>
      <c r="L7" s="205"/>
      <c r="M7" s="205"/>
      <c r="N7" s="205"/>
      <c r="O7" s="205"/>
      <c r="P7" s="205"/>
      <c r="Q7" s="205"/>
    </row>
    <row r="8" spans="1:17" ht="18.75" customHeight="1" x14ac:dyDescent="0.2">
      <c r="A8" s="205"/>
      <c r="B8" s="227" t="s">
        <v>89</v>
      </c>
      <c r="C8" s="205"/>
      <c r="D8" s="501" t="str">
        <f>Introduction!B34</f>
        <v>SO4</v>
      </c>
      <c r="E8" s="502"/>
      <c r="F8" s="231" t="s">
        <v>254</v>
      </c>
      <c r="G8" s="225"/>
      <c r="H8" s="231">
        <f>IF(F7="Calculate for non-polar organic chemicals",1,0)</f>
        <v>0</v>
      </c>
      <c r="I8" s="225"/>
      <c r="J8" s="205"/>
      <c r="K8" s="205"/>
      <c r="L8" s="205"/>
      <c r="M8" s="205"/>
      <c r="N8" s="205"/>
      <c r="O8" s="205"/>
      <c r="P8" s="205"/>
      <c r="Q8" s="205"/>
    </row>
    <row r="9" spans="1:17" ht="18.75" customHeight="1" x14ac:dyDescent="0.2">
      <c r="A9" s="205"/>
      <c r="B9" s="227" t="s">
        <v>74</v>
      </c>
      <c r="C9" s="232" t="s">
        <v>97</v>
      </c>
      <c r="D9" s="389">
        <f>Introduction!B35</f>
        <v>400</v>
      </c>
      <c r="E9" s="233" t="s">
        <v>22</v>
      </c>
      <c r="F9" s="231" t="s">
        <v>93</v>
      </c>
      <c r="G9" s="225"/>
      <c r="H9" s="231">
        <f>IF(F7="Calculate for ionic organic chemicals (acids)",1,0)</f>
        <v>0</v>
      </c>
      <c r="I9" s="225"/>
      <c r="J9" s="205"/>
      <c r="K9" s="205"/>
      <c r="L9" s="205"/>
      <c r="M9" s="230"/>
      <c r="N9" s="205"/>
      <c r="O9" s="205"/>
      <c r="P9" s="205"/>
      <c r="Q9" s="205"/>
    </row>
    <row r="10" spans="1:17" ht="18.75" customHeight="1" x14ac:dyDescent="0.2">
      <c r="A10" s="205"/>
      <c r="B10" s="205"/>
      <c r="C10" s="224"/>
      <c r="D10" s="224"/>
      <c r="E10" s="224"/>
      <c r="F10" s="231" t="s">
        <v>321</v>
      </c>
      <c r="G10" s="234" t="str">
        <f>IF(SUM(H7:H9)&gt;1,"only one option can be selected","")</f>
        <v/>
      </c>
      <c r="H10" s="205"/>
      <c r="I10" s="205"/>
      <c r="J10" s="205"/>
      <c r="K10" s="205"/>
      <c r="L10" s="230"/>
      <c r="M10" s="205"/>
      <c r="O10" s="205"/>
      <c r="P10" s="205"/>
      <c r="Q10" s="205"/>
    </row>
    <row r="11" spans="1:17" ht="19.5" customHeight="1" x14ac:dyDescent="0.25">
      <c r="A11" s="205"/>
      <c r="B11" s="229" t="s">
        <v>5</v>
      </c>
      <c r="C11" s="217" t="s">
        <v>37</v>
      </c>
      <c r="D11" s="217" t="s">
        <v>11</v>
      </c>
      <c r="E11" s="217" t="s">
        <v>10</v>
      </c>
      <c r="F11" s="228" t="s">
        <v>100</v>
      </c>
      <c r="G11" s="205"/>
      <c r="H11" s="205"/>
      <c r="I11" s="205"/>
      <c r="J11" s="205"/>
      <c r="K11" s="205"/>
      <c r="L11" s="230"/>
      <c r="M11" s="205"/>
      <c r="N11" s="205"/>
      <c r="O11" s="205"/>
      <c r="P11" s="205"/>
      <c r="Q11" s="205"/>
    </row>
    <row r="12" spans="1:17" ht="19.5" customHeight="1" x14ac:dyDescent="0.2">
      <c r="A12" s="205"/>
      <c r="B12" s="237" t="s">
        <v>99</v>
      </c>
      <c r="C12" s="217"/>
      <c r="D12" s="217"/>
      <c r="E12" s="217"/>
      <c r="F12" s="228"/>
      <c r="G12" s="205"/>
      <c r="H12" s="205"/>
      <c r="I12" s="205"/>
      <c r="J12" s="205"/>
      <c r="K12" s="205"/>
      <c r="L12" s="230"/>
      <c r="M12" s="205"/>
      <c r="N12" s="205"/>
      <c r="O12" s="205"/>
      <c r="P12" s="205"/>
      <c r="Q12" s="205"/>
    </row>
    <row r="13" spans="1:17" ht="18.75" customHeight="1" x14ac:dyDescent="0.2">
      <c r="A13" s="205"/>
      <c r="B13" s="238" t="s">
        <v>177</v>
      </c>
      <c r="C13" s="239" t="s">
        <v>137</v>
      </c>
      <c r="D13" s="148"/>
      <c r="E13" s="236" t="s">
        <v>79</v>
      </c>
      <c r="F13" s="251"/>
      <c r="G13" s="503" t="s">
        <v>335</v>
      </c>
      <c r="H13" s="504"/>
      <c r="I13" s="504"/>
      <c r="J13" s="504"/>
      <c r="K13" s="504"/>
      <c r="L13" s="504"/>
      <c r="M13" s="205"/>
      <c r="N13" s="205"/>
      <c r="O13" s="205"/>
      <c r="P13" s="205"/>
      <c r="Q13" s="205"/>
    </row>
    <row r="14" spans="1:17" ht="18.75" customHeight="1" x14ac:dyDescent="0.2">
      <c r="A14" s="205"/>
      <c r="B14" s="238" t="s">
        <v>178</v>
      </c>
      <c r="C14" s="239" t="s">
        <v>87</v>
      </c>
      <c r="D14" s="148"/>
      <c r="E14" s="236" t="s">
        <v>79</v>
      </c>
      <c r="F14" s="251"/>
      <c r="G14" s="503"/>
      <c r="H14" s="504"/>
      <c r="I14" s="504"/>
      <c r="J14" s="504"/>
      <c r="K14" s="504"/>
      <c r="L14" s="504"/>
      <c r="M14" s="205"/>
      <c r="N14" s="205"/>
      <c r="O14" s="205"/>
      <c r="P14" s="205"/>
      <c r="Q14" s="205"/>
    </row>
    <row r="15" spans="1:17" ht="18.75" customHeight="1" x14ac:dyDescent="0.2">
      <c r="A15" s="205"/>
      <c r="B15" s="238" t="s">
        <v>249</v>
      </c>
      <c r="C15" s="239" t="s">
        <v>35</v>
      </c>
      <c r="D15" s="148"/>
      <c r="E15" s="236" t="s">
        <v>81</v>
      </c>
      <c r="F15" s="252"/>
      <c r="G15" s="505" t="s">
        <v>336</v>
      </c>
      <c r="H15" s="506"/>
      <c r="I15" s="506"/>
      <c r="J15" s="506"/>
      <c r="K15" s="506"/>
      <c r="L15" s="506"/>
      <c r="M15" s="205"/>
      <c r="N15" s="205"/>
      <c r="O15" s="205"/>
      <c r="P15" s="205"/>
      <c r="Q15" s="205"/>
    </row>
    <row r="16" spans="1:17" ht="18.75" customHeight="1" x14ac:dyDescent="0.2">
      <c r="A16" s="205"/>
      <c r="B16" s="238" t="s">
        <v>75</v>
      </c>
      <c r="C16" s="235" t="s">
        <v>82</v>
      </c>
      <c r="D16" s="148"/>
      <c r="E16" s="236" t="s">
        <v>80</v>
      </c>
      <c r="F16" s="253"/>
      <c r="G16" s="505"/>
      <c r="H16" s="506"/>
      <c r="I16" s="506"/>
      <c r="J16" s="506"/>
      <c r="K16" s="506"/>
      <c r="L16" s="506"/>
      <c r="M16" s="205"/>
      <c r="N16" s="205"/>
      <c r="O16" s="205"/>
      <c r="P16" s="205"/>
      <c r="Q16" s="205"/>
    </row>
    <row r="17" spans="1:17" ht="18.75" customHeight="1" x14ac:dyDescent="0.2">
      <c r="A17" s="205"/>
      <c r="B17" s="237" t="s">
        <v>101</v>
      </c>
      <c r="C17" s="235"/>
      <c r="D17" s="240"/>
      <c r="E17" s="236"/>
      <c r="F17" s="241"/>
      <c r="H17" s="205"/>
      <c r="I17" s="205"/>
      <c r="J17" s="205"/>
      <c r="K17" s="205"/>
      <c r="L17" s="230"/>
      <c r="M17" s="205"/>
      <c r="N17" s="205"/>
      <c r="O17" s="205"/>
      <c r="P17" s="205"/>
      <c r="Q17" s="205"/>
    </row>
    <row r="18" spans="1:17" ht="18.75" customHeight="1" x14ac:dyDescent="0.2">
      <c r="A18" s="205"/>
      <c r="B18" s="238" t="s">
        <v>90</v>
      </c>
      <c r="C18" s="242" t="s">
        <v>13</v>
      </c>
      <c r="D18" s="148"/>
      <c r="E18" s="236" t="s">
        <v>23</v>
      </c>
      <c r="F18" s="341"/>
      <c r="G18" s="205"/>
      <c r="H18" s="205"/>
      <c r="I18" s="205"/>
      <c r="J18" s="205"/>
      <c r="K18" s="205"/>
      <c r="L18" s="230"/>
      <c r="M18" s="205"/>
      <c r="N18" s="205"/>
      <c r="O18" s="205"/>
      <c r="P18" s="205"/>
      <c r="Q18" s="205"/>
    </row>
    <row r="19" spans="1:17" ht="18.75" customHeight="1" x14ac:dyDescent="0.2">
      <c r="A19" s="205"/>
      <c r="B19" s="237" t="s">
        <v>92</v>
      </c>
      <c r="C19" s="235"/>
      <c r="D19" s="240"/>
      <c r="E19" s="236"/>
      <c r="F19" s="241"/>
      <c r="G19" s="205"/>
      <c r="H19" s="205"/>
      <c r="I19" s="205"/>
      <c r="J19" s="205"/>
      <c r="K19" s="205"/>
      <c r="L19" s="230"/>
      <c r="M19" s="205"/>
      <c r="N19" s="205"/>
      <c r="O19" s="205"/>
      <c r="P19" s="205"/>
      <c r="Q19" s="205"/>
    </row>
    <row r="20" spans="1:17" ht="18.75" customHeight="1" x14ac:dyDescent="0.2">
      <c r="A20" s="205"/>
      <c r="B20" s="243" t="s">
        <v>176</v>
      </c>
      <c r="C20" s="244" t="s">
        <v>53</v>
      </c>
      <c r="D20" s="142">
        <v>0</v>
      </c>
      <c r="E20" s="236" t="s">
        <v>79</v>
      </c>
      <c r="F20" s="254"/>
      <c r="G20" s="205"/>
      <c r="H20" s="205"/>
      <c r="I20" s="205"/>
      <c r="J20" s="205"/>
      <c r="K20" s="205"/>
      <c r="L20" s="230"/>
      <c r="M20" s="205"/>
      <c r="N20" s="205"/>
      <c r="O20" s="205"/>
      <c r="P20" s="205"/>
      <c r="Q20" s="205"/>
    </row>
    <row r="21" spans="1:17" ht="18.75" customHeight="1" x14ac:dyDescent="0.2">
      <c r="A21" s="205"/>
      <c r="B21" s="243" t="s">
        <v>55</v>
      </c>
      <c r="C21" s="244" t="s">
        <v>175</v>
      </c>
      <c r="D21" s="142">
        <v>0</v>
      </c>
      <c r="E21" s="236" t="s">
        <v>23</v>
      </c>
      <c r="F21" s="180"/>
      <c r="G21" s="205"/>
      <c r="H21" s="205"/>
      <c r="I21" s="205"/>
      <c r="J21" s="205"/>
      <c r="K21" s="205"/>
      <c r="L21" s="230"/>
      <c r="M21" s="205"/>
      <c r="N21" s="205"/>
      <c r="O21" s="205"/>
      <c r="P21" s="205"/>
      <c r="Q21" s="205"/>
    </row>
    <row r="22" spans="1:17" ht="18.75" customHeight="1" x14ac:dyDescent="0.2">
      <c r="A22" s="205"/>
      <c r="B22" s="237" t="s">
        <v>91</v>
      </c>
      <c r="C22" s="235"/>
      <c r="D22" s="240"/>
      <c r="E22" s="236"/>
      <c r="F22" s="241"/>
      <c r="G22" s="205"/>
      <c r="H22" s="205"/>
      <c r="I22" s="205"/>
      <c r="J22" s="205"/>
      <c r="K22" s="205"/>
      <c r="L22" s="230"/>
      <c r="M22" s="205"/>
      <c r="N22" s="205"/>
      <c r="O22" s="205"/>
      <c r="P22" s="205"/>
      <c r="Q22" s="205"/>
    </row>
    <row r="23" spans="1:17" ht="18.75" customHeight="1" x14ac:dyDescent="0.2">
      <c r="A23" s="205"/>
      <c r="B23" s="238" t="s">
        <v>179</v>
      </c>
      <c r="C23" s="235" t="s">
        <v>85</v>
      </c>
      <c r="D23" s="148">
        <v>0</v>
      </c>
      <c r="E23" s="236" t="s">
        <v>23</v>
      </c>
      <c r="F23" s="180"/>
      <c r="G23" s="205"/>
      <c r="H23" s="205"/>
      <c r="I23" s="205"/>
      <c r="J23" s="205"/>
      <c r="K23" s="205"/>
      <c r="L23" s="230"/>
      <c r="M23" s="205"/>
      <c r="N23" s="205"/>
      <c r="O23" s="205"/>
      <c r="P23" s="205"/>
      <c r="Q23" s="205"/>
    </row>
    <row r="24" spans="1:17" ht="18.75" customHeight="1" x14ac:dyDescent="0.2">
      <c r="A24" s="205"/>
      <c r="B24" s="238" t="s">
        <v>180</v>
      </c>
      <c r="C24" s="235" t="s">
        <v>86</v>
      </c>
      <c r="D24" s="148">
        <v>0</v>
      </c>
      <c r="E24" s="236" t="s">
        <v>23</v>
      </c>
      <c r="F24" s="180"/>
      <c r="G24" s="205"/>
      <c r="H24" s="205"/>
      <c r="I24" s="205"/>
      <c r="J24" s="205"/>
      <c r="K24" s="205"/>
      <c r="L24" s="230"/>
      <c r="M24" s="205"/>
      <c r="N24" s="205"/>
      <c r="O24" s="205"/>
      <c r="P24" s="205"/>
      <c r="Q24" s="205"/>
    </row>
    <row r="25" spans="1:17" ht="18.75" customHeight="1" x14ac:dyDescent="0.2">
      <c r="A25" s="205"/>
      <c r="B25" s="238" t="s">
        <v>76</v>
      </c>
      <c r="C25" s="235" t="s">
        <v>83</v>
      </c>
      <c r="D25" s="148">
        <v>0</v>
      </c>
      <c r="E25" s="236" t="s">
        <v>138</v>
      </c>
      <c r="F25" s="180"/>
      <c r="G25" s="230"/>
      <c r="H25" s="230"/>
      <c r="I25" s="230"/>
      <c r="J25" s="230"/>
      <c r="K25" s="230"/>
      <c r="L25" s="230"/>
      <c r="M25" s="205"/>
      <c r="N25" s="205"/>
      <c r="O25" s="205"/>
      <c r="P25" s="205"/>
      <c r="Q25" s="205"/>
    </row>
    <row r="26" spans="1:17" ht="18.75" customHeight="1" x14ac:dyDescent="0.2">
      <c r="A26" s="205"/>
      <c r="B26" s="238" t="s">
        <v>181</v>
      </c>
      <c r="C26" s="235" t="s">
        <v>84</v>
      </c>
      <c r="D26" s="148">
        <v>0</v>
      </c>
      <c r="E26" s="236"/>
      <c r="F26" s="180"/>
      <c r="M26" s="205"/>
      <c r="N26" s="205"/>
      <c r="O26" s="205"/>
      <c r="P26" s="205"/>
      <c r="Q26" s="205"/>
    </row>
    <row r="27" spans="1:17" ht="18.75" customHeight="1" x14ac:dyDescent="0.2">
      <c r="A27" s="205"/>
      <c r="B27" s="243" t="s">
        <v>176</v>
      </c>
      <c r="C27" s="244" t="s">
        <v>53</v>
      </c>
      <c r="D27" s="148">
        <v>0</v>
      </c>
      <c r="E27" s="236" t="s">
        <v>79</v>
      </c>
      <c r="F27" s="180"/>
      <c r="M27" s="205"/>
      <c r="N27" s="205"/>
      <c r="O27" s="205"/>
      <c r="P27" s="205"/>
      <c r="Q27" s="205"/>
    </row>
    <row r="28" spans="1:17" ht="18.75" customHeight="1" x14ac:dyDescent="0.2">
      <c r="A28" s="209"/>
      <c r="B28" s="238"/>
      <c r="C28" s="235"/>
      <c r="D28" s="245"/>
      <c r="E28" s="236"/>
      <c r="F28" s="241"/>
      <c r="M28" s="205"/>
      <c r="N28" s="205"/>
      <c r="O28" s="205"/>
      <c r="P28" s="205"/>
      <c r="Q28" s="205"/>
    </row>
    <row r="29" spans="1:17" ht="18.75" customHeight="1" x14ac:dyDescent="0.2">
      <c r="A29" s="205"/>
      <c r="B29" s="246" t="s">
        <v>337</v>
      </c>
      <c r="C29" s="247" t="s">
        <v>13</v>
      </c>
      <c r="D29" s="248">
        <f>IF($H$7=1,$D$18,IF($H$8=1,$D$20*$D$21,'Level1 Calc'!$I$8))</f>
        <v>0</v>
      </c>
      <c r="E29" s="247" t="s">
        <v>23</v>
      </c>
      <c r="F29" s="241" t="str">
        <f>IF(H7=1,"Specified value","Calculated value")</f>
        <v>Specified value</v>
      </c>
      <c r="M29" s="205"/>
      <c r="N29" s="205"/>
      <c r="O29" s="205"/>
      <c r="P29" s="205"/>
      <c r="Q29" s="205"/>
    </row>
    <row r="30" spans="1:17" ht="18.75" customHeight="1" x14ac:dyDescent="0.2">
      <c r="A30" s="205"/>
      <c r="B30" s="238"/>
      <c r="C30" s="235"/>
      <c r="D30" s="245"/>
      <c r="E30" s="236"/>
      <c r="F30" s="241"/>
      <c r="G30" s="205"/>
      <c r="H30" s="205"/>
      <c r="I30" s="205"/>
      <c r="J30" s="205"/>
      <c r="K30" s="205"/>
      <c r="L30" s="230"/>
      <c r="M30" s="205"/>
      <c r="N30" s="205"/>
      <c r="O30" s="205"/>
      <c r="P30" s="205"/>
      <c r="Q30" s="205"/>
    </row>
    <row r="31" spans="1:17" ht="18.75" customHeight="1" x14ac:dyDescent="0.2">
      <c r="B31" s="242"/>
      <c r="C31" s="242"/>
      <c r="D31" s="242"/>
      <c r="E31" s="224"/>
      <c r="F31" s="241"/>
      <c r="J31" s="405"/>
      <c r="L31" s="124"/>
    </row>
    <row r="32" spans="1:17" ht="18.75" customHeight="1" x14ac:dyDescent="0.2">
      <c r="B32" s="463" t="s">
        <v>338</v>
      </c>
      <c r="C32" s="128" t="s">
        <v>94</v>
      </c>
      <c r="D32" s="128"/>
      <c r="F32" s="127"/>
      <c r="G32" s="406" t="s">
        <v>143</v>
      </c>
      <c r="H32" s="407"/>
      <c r="I32" s="408" t="str">
        <f>Introduction!$B$28</f>
        <v>Parrys Quarry HRA</v>
      </c>
      <c r="J32" s="409"/>
      <c r="K32" s="407"/>
      <c r="L32" s="410"/>
    </row>
    <row r="33" spans="2:12" ht="18.75" customHeight="1" x14ac:dyDescent="0.2">
      <c r="B33" s="333" t="s">
        <v>338</v>
      </c>
      <c r="C33" s="275"/>
      <c r="D33" s="334" t="e">
        <f>'Level1 Calc'!G12</f>
        <v>#DIV/0!</v>
      </c>
      <c r="E33" s="335" t="s">
        <v>78</v>
      </c>
      <c r="F33" s="347" t="s">
        <v>276</v>
      </c>
      <c r="G33" s="411" t="s">
        <v>141</v>
      </c>
      <c r="H33" s="409"/>
      <c r="I33" s="412" t="str">
        <f>Introduction!B31</f>
        <v>A R Morris</v>
      </c>
      <c r="J33" s="409"/>
      <c r="K33" s="413"/>
      <c r="L33" s="414"/>
    </row>
    <row r="34" spans="2:12" ht="18.75" customHeight="1" x14ac:dyDescent="0.2">
      <c r="B34" s="391"/>
      <c r="C34" s="392"/>
      <c r="D34" s="393" t="s">
        <v>149</v>
      </c>
      <c r="E34" s="394"/>
      <c r="F34" s="347"/>
      <c r="G34" s="411" t="s">
        <v>142</v>
      </c>
      <c r="H34" s="409"/>
      <c r="I34" s="415">
        <f>Introduction!B32</f>
        <v>43993</v>
      </c>
      <c r="J34" s="409"/>
      <c r="K34" s="413"/>
      <c r="L34" s="414"/>
    </row>
    <row r="35" spans="2:12" ht="15" x14ac:dyDescent="0.25">
      <c r="B35" s="287"/>
      <c r="C35" s="337"/>
      <c r="D35" s="336">
        <f>D9</f>
        <v>400</v>
      </c>
      <c r="E35" s="290" t="s">
        <v>22</v>
      </c>
      <c r="F35" s="347" t="s">
        <v>277</v>
      </c>
      <c r="G35" s="416" t="s">
        <v>158</v>
      </c>
      <c r="H35" s="417"/>
      <c r="I35" s="418">
        <f>Introduction!E32</f>
        <v>1.01</v>
      </c>
      <c r="J35" s="417"/>
      <c r="K35" s="417"/>
      <c r="L35" s="419"/>
    </row>
    <row r="36" spans="2:12" x14ac:dyDescent="0.2">
      <c r="F36" s="127"/>
    </row>
    <row r="37" spans="2:12" x14ac:dyDescent="0.2">
      <c r="B37" s="125"/>
      <c r="F37" s="121"/>
    </row>
    <row r="38" spans="2:12" x14ac:dyDescent="0.2">
      <c r="B38" s="125"/>
    </row>
    <row r="39" spans="2:12" x14ac:dyDescent="0.2">
      <c r="B39" s="125"/>
    </row>
    <row r="40" spans="2:12" x14ac:dyDescent="0.2">
      <c r="B40" s="125"/>
    </row>
    <row r="41" spans="2:12" x14ac:dyDescent="0.2">
      <c r="B41" s="125"/>
    </row>
    <row r="42" spans="2:12" x14ac:dyDescent="0.2">
      <c r="C42" s="328"/>
      <c r="D42" s="328"/>
      <c r="E42" s="328"/>
    </row>
    <row r="43" spans="2:12" x14ac:dyDescent="0.2">
      <c r="C43" s="328"/>
      <c r="D43" s="328"/>
      <c r="E43" s="328"/>
    </row>
    <row r="44" spans="2:12" x14ac:dyDescent="0.2">
      <c r="C44" s="328"/>
      <c r="D44" s="328"/>
      <c r="E44" s="328"/>
    </row>
  </sheetData>
  <sheetProtection password="CA8F" sheet="1" objects="1" scenarios="1"/>
  <mergeCells count="6">
    <mergeCell ref="B2:E2"/>
    <mergeCell ref="D8:E8"/>
    <mergeCell ref="G13:L14"/>
    <mergeCell ref="G15:L16"/>
    <mergeCell ref="F5:G6"/>
    <mergeCell ref="F7:G7"/>
  </mergeCells>
  <phoneticPr fontId="0" type="noConversion"/>
  <conditionalFormatting sqref="D23:D27">
    <cfRule type="expression" dxfId="67" priority="1" stopIfTrue="1">
      <formula>$H$7=1</formula>
    </cfRule>
    <cfRule type="expression" dxfId="66" priority="2" stopIfTrue="1">
      <formula>$H$8=1</formula>
    </cfRule>
  </conditionalFormatting>
  <conditionalFormatting sqref="D20:D21">
    <cfRule type="expression" dxfId="65" priority="3" stopIfTrue="1">
      <formula>$H$7=1</formula>
    </cfRule>
    <cfRule type="expression" dxfId="64" priority="4" stopIfTrue="1">
      <formula>$H$9=1</formula>
    </cfRule>
  </conditionalFormatting>
  <conditionalFormatting sqref="D18">
    <cfRule type="expression" dxfId="63" priority="5" stopIfTrue="1">
      <formula>$H$8=1</formula>
    </cfRule>
    <cfRule type="expression" dxfId="62" priority="6" stopIfTrue="1">
      <formula>$H$9=1</formula>
    </cfRule>
  </conditionalFormatting>
  <conditionalFormatting sqref="C42:E44">
    <cfRule type="expression" dxfId="61" priority="7" stopIfTrue="1">
      <formula>$G$5="User specified value for partition coefficient"</formula>
    </cfRule>
    <cfRule type="expression" dxfId="60" priority="8" stopIfTrue="1">
      <formula>$G$5="Calculate for non-polar organic chemicals"</formula>
    </cfRule>
  </conditionalFormatting>
  <dataValidations count="4">
    <dataValidation type="list" allowBlank="1" showInputMessage="1" showErrorMessage="1" sqref="F7:G7" xr:uid="{00000000-0002-0000-0200-000000000000}">
      <formula1>$F$8:$F$10</formula1>
    </dataValidation>
    <dataValidation type="decimal" operator="lessThan" allowBlank="1" showInputMessage="1" showErrorMessage="1" errorTitle="Foc must be less than 1" error="Fraction of organic carbon, foc, must be less than 1. Typically it will be less than 1% of the rock mass (i.e. 0.01)" promptTitle="Enter foc as a fraction" sqref="D20" xr:uid="{00000000-0002-0000-0200-000001000000}">
      <formula1>1</formula1>
    </dataValidation>
    <dataValidation type="decimal" operator="lessThan" allowBlank="1" showInputMessage="1" showErrorMessage="1" errorTitle="Porosity as a fraction" error="Air filled porosity must be entered as a fraction between 0 and 1." sqref="D14" xr:uid="{00000000-0002-0000-0200-000002000000}">
      <formula1>1</formula1>
    </dataValidation>
    <dataValidation type="decimal" operator="lessThan" allowBlank="1" showInputMessage="1" showErrorMessage="1" errorTitle="Porosity as a fraction" error="Water filled porosity must be entered as a fraction between 0 and 1." sqref="D13" xr:uid="{00000000-0002-0000-0200-000003000000}">
      <formula1>1</formula1>
    </dataValidation>
  </dataValidations>
  <pageMargins left="0.74803149606299213" right="0.74803149606299213" top="0.98425196850393704" bottom="0.98425196850393704" header="0.51181102362204722" footer="0.51181102362204722"/>
  <pageSetup paperSize="9" scale="62" firstPageNumber="20" orientation="landscape" useFirstPageNumber="1" horizontalDpi="300" verticalDpi="300"/>
  <headerFooter alignWithMargins="0">
    <oddFooter xml:space="preserve">&amp;L Remedial targets worksheet v3.1
&amp;R&amp;D, &amp;T
&amp;F&amp;A </oddFooter>
  </headerFooter>
  <drawing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3"/>
  <sheetViews>
    <sheetView topLeftCell="B1" zoomScale="80" workbookViewId="0">
      <selection activeCell="F22" sqref="F22:H22"/>
    </sheetView>
  </sheetViews>
  <sheetFormatPr defaultRowHeight="12.75" x14ac:dyDescent="0.2"/>
  <cols>
    <col min="1" max="1" width="2.7109375" style="118" customWidth="1"/>
    <col min="2" max="2" width="67.85546875" style="118" customWidth="1"/>
    <col min="3" max="3" width="11" style="119" customWidth="1"/>
    <col min="4" max="4" width="15.5703125" style="119" customWidth="1"/>
    <col min="5" max="5" width="9.28515625" style="119" bestFit="1" customWidth="1"/>
    <col min="6" max="6" width="25.140625" style="120" customWidth="1"/>
    <col min="7" max="7" width="3.5703125" style="118" customWidth="1"/>
    <col min="8" max="8" width="17.28515625" style="118" customWidth="1"/>
    <col min="9" max="9" width="17.85546875" style="118" customWidth="1"/>
    <col min="10" max="10" width="9.140625" style="118"/>
    <col min="11" max="11" width="9.42578125" style="118" bestFit="1" customWidth="1"/>
    <col min="12" max="14" width="9.140625" style="118"/>
    <col min="15" max="15" width="4.42578125" style="118" customWidth="1"/>
    <col min="16" max="16384" width="9.140625" style="118"/>
  </cols>
  <sheetData>
    <row r="1" spans="1:14" ht="13.5" customHeight="1" x14ac:dyDescent="0.2">
      <c r="A1" s="118" t="s">
        <v>94</v>
      </c>
    </row>
    <row r="2" spans="1:14" ht="18" x14ac:dyDescent="0.25">
      <c r="B2" s="495" t="s">
        <v>383</v>
      </c>
      <c r="C2" s="495"/>
      <c r="D2" s="496"/>
      <c r="E2" s="496"/>
    </row>
    <row r="4" spans="1:14" ht="20.25" x14ac:dyDescent="0.3">
      <c r="B4" s="255" t="s">
        <v>339</v>
      </c>
    </row>
    <row r="6" spans="1:14" ht="12.75" customHeight="1" x14ac:dyDescent="0.2">
      <c r="B6" s="256" t="s">
        <v>89</v>
      </c>
      <c r="C6" s="257"/>
      <c r="D6" s="517" t="str">
        <f>Introduction!B34</f>
        <v>SO4</v>
      </c>
      <c r="E6" s="518"/>
      <c r="F6" s="120" t="s">
        <v>344</v>
      </c>
      <c r="H6" s="519" t="s">
        <v>340</v>
      </c>
      <c r="I6" s="519"/>
      <c r="J6" s="519"/>
      <c r="K6" s="519"/>
      <c r="L6" s="519"/>
      <c r="M6" s="519"/>
    </row>
    <row r="7" spans="1:14" ht="12.75" customHeight="1" x14ac:dyDescent="0.2">
      <c r="B7" s="256" t="s">
        <v>74</v>
      </c>
      <c r="C7" s="259" t="s">
        <v>97</v>
      </c>
      <c r="D7" s="390">
        <f>Introduction!B35</f>
        <v>400</v>
      </c>
      <c r="E7" s="258" t="s">
        <v>22</v>
      </c>
      <c r="F7" s="120" t="s">
        <v>344</v>
      </c>
      <c r="H7" s="519"/>
      <c r="I7" s="519"/>
      <c r="J7" s="519"/>
      <c r="K7" s="519"/>
      <c r="L7" s="519"/>
      <c r="M7" s="519"/>
    </row>
    <row r="8" spans="1:14" x14ac:dyDescent="0.2">
      <c r="H8" s="519"/>
      <c r="I8" s="519"/>
      <c r="J8" s="519"/>
      <c r="K8" s="519"/>
      <c r="L8" s="519"/>
      <c r="M8" s="519"/>
    </row>
    <row r="9" spans="1:14" ht="15.75" x14ac:dyDescent="0.25">
      <c r="B9" s="338"/>
      <c r="H9" s="519"/>
      <c r="I9" s="519"/>
      <c r="J9" s="519"/>
      <c r="K9" s="519"/>
      <c r="L9" s="519"/>
      <c r="M9" s="519"/>
    </row>
    <row r="10" spans="1:14" ht="19.5" customHeight="1" x14ac:dyDescent="0.2">
      <c r="A10" s="293"/>
      <c r="B10"/>
      <c r="C10"/>
      <c r="D10"/>
      <c r="F10" s="519" t="s">
        <v>373</v>
      </c>
      <c r="G10" s="519"/>
      <c r="H10" s="519"/>
      <c r="I10" s="519"/>
      <c r="J10" s="519"/>
      <c r="K10" s="519"/>
      <c r="L10" s="519"/>
      <c r="M10" s="519"/>
    </row>
    <row r="11" spans="1:14" ht="21" customHeight="1" x14ac:dyDescent="0.2">
      <c r="E11" s="120"/>
      <c r="F11" s="519"/>
      <c r="G11" s="519"/>
      <c r="H11" s="519"/>
      <c r="I11" s="519"/>
      <c r="J11" s="519"/>
      <c r="K11" s="519"/>
      <c r="L11" s="519"/>
      <c r="M11" s="519"/>
    </row>
    <row r="12" spans="1:14" ht="15.75" x14ac:dyDescent="0.25">
      <c r="B12" s="123" t="s">
        <v>5</v>
      </c>
      <c r="C12" s="258" t="s">
        <v>37</v>
      </c>
      <c r="D12" s="258" t="s">
        <v>11</v>
      </c>
      <c r="E12" s="258" t="s">
        <v>10</v>
      </c>
      <c r="F12" s="121" t="s">
        <v>100</v>
      </c>
      <c r="H12" s="261"/>
      <c r="I12" s="262"/>
      <c r="K12" s="124"/>
    </row>
    <row r="13" spans="1:14" ht="15" customHeight="1" x14ac:dyDescent="0.2">
      <c r="B13" s="263" t="s">
        <v>99</v>
      </c>
      <c r="C13" s="258"/>
      <c r="D13" s="190"/>
      <c r="E13" s="258"/>
      <c r="F13" s="121"/>
      <c r="H13" s="261"/>
      <c r="I13" s="262"/>
      <c r="J13"/>
      <c r="K13"/>
      <c r="L13"/>
      <c r="M13"/>
      <c r="N13"/>
    </row>
    <row r="14" spans="1:14" ht="15" customHeight="1" x14ac:dyDescent="0.2">
      <c r="B14" s="125" t="s">
        <v>72</v>
      </c>
      <c r="C14" s="264" t="s">
        <v>63</v>
      </c>
      <c r="D14" s="148"/>
      <c r="E14" s="119" t="s">
        <v>25</v>
      </c>
      <c r="F14" s="514"/>
      <c r="G14" s="515"/>
      <c r="H14" s="516"/>
      <c r="I14" s="262"/>
      <c r="J14"/>
      <c r="K14"/>
      <c r="L14"/>
      <c r="M14"/>
      <c r="N14"/>
    </row>
    <row r="15" spans="1:14" ht="15" customHeight="1" x14ac:dyDescent="0.2">
      <c r="B15" s="125" t="s">
        <v>73</v>
      </c>
      <c r="C15" s="264" t="s">
        <v>65</v>
      </c>
      <c r="D15" s="142"/>
      <c r="E15" s="119" t="s">
        <v>217</v>
      </c>
      <c r="F15" s="514"/>
      <c r="G15" s="515"/>
      <c r="H15" s="516"/>
      <c r="I15" s="470" t="s">
        <v>323</v>
      </c>
      <c r="J15"/>
      <c r="K15"/>
      <c r="L15"/>
      <c r="M15"/>
      <c r="N15"/>
    </row>
    <row r="16" spans="1:14" ht="15" customHeight="1" x14ac:dyDescent="0.2">
      <c r="C16" s="265"/>
      <c r="G16" s="266"/>
      <c r="H16" s="267"/>
      <c r="I16" s="470"/>
      <c r="J16"/>
      <c r="K16"/>
      <c r="L16"/>
      <c r="M16"/>
      <c r="N16"/>
    </row>
    <row r="17" spans="1:14" ht="15" customHeight="1" x14ac:dyDescent="0.2">
      <c r="B17" s="263" t="s">
        <v>98</v>
      </c>
      <c r="F17" s="268"/>
      <c r="H17" s="261"/>
      <c r="I17" s="470"/>
      <c r="J17"/>
      <c r="K17"/>
      <c r="L17"/>
      <c r="M17"/>
      <c r="N17"/>
    </row>
    <row r="18" spans="1:14" ht="15" customHeight="1" x14ac:dyDescent="0.2">
      <c r="B18" s="125" t="s">
        <v>71</v>
      </c>
      <c r="C18" s="264" t="s">
        <v>61</v>
      </c>
      <c r="D18" s="148"/>
      <c r="E18" s="119" t="s">
        <v>26</v>
      </c>
      <c r="F18" s="514"/>
      <c r="G18" s="515"/>
      <c r="H18" s="516"/>
      <c r="I18" s="471"/>
      <c r="J18" s="294">
        <f>IF($D$24=K18,1,0)</f>
        <v>1</v>
      </c>
      <c r="K18" s="294" t="s">
        <v>257</v>
      </c>
    </row>
    <row r="19" spans="1:14" ht="15" customHeight="1" x14ac:dyDescent="0.2">
      <c r="B19" s="125" t="s">
        <v>145</v>
      </c>
      <c r="C19" s="264" t="s">
        <v>62</v>
      </c>
      <c r="D19" s="148"/>
      <c r="E19" s="119" t="s">
        <v>26</v>
      </c>
      <c r="F19" s="514"/>
      <c r="G19" s="515"/>
      <c r="H19" s="516"/>
      <c r="I19" s="471"/>
      <c r="J19" s="269"/>
      <c r="K19" s="124"/>
    </row>
    <row r="20" spans="1:14" ht="15" customHeight="1" x14ac:dyDescent="0.2">
      <c r="B20" s="125" t="s">
        <v>252</v>
      </c>
      <c r="C20" s="264" t="s">
        <v>189</v>
      </c>
      <c r="D20" s="148"/>
      <c r="E20" s="119" t="s">
        <v>25</v>
      </c>
      <c r="F20" s="514"/>
      <c r="G20" s="515"/>
      <c r="H20" s="516"/>
      <c r="I20" s="472"/>
      <c r="J20" s="124"/>
      <c r="K20" s="124"/>
    </row>
    <row r="21" spans="1:14" ht="15" customHeight="1" x14ac:dyDescent="0.2">
      <c r="B21" s="125" t="s">
        <v>253</v>
      </c>
      <c r="C21" s="264" t="s">
        <v>44</v>
      </c>
      <c r="D21" s="148"/>
      <c r="E21" s="119" t="s">
        <v>79</v>
      </c>
      <c r="F21" s="514"/>
      <c r="G21" s="515"/>
      <c r="H21" s="516"/>
      <c r="I21" s="472"/>
      <c r="J21" s="124"/>
      <c r="K21" s="124"/>
    </row>
    <row r="22" spans="1:14" ht="15" customHeight="1" x14ac:dyDescent="0.2">
      <c r="B22" s="270" t="s">
        <v>259</v>
      </c>
      <c r="C22" s="264" t="s">
        <v>68</v>
      </c>
      <c r="D22" s="148"/>
      <c r="E22" s="119" t="s">
        <v>26</v>
      </c>
      <c r="F22" s="514"/>
      <c r="G22" s="515"/>
      <c r="H22" s="516"/>
      <c r="I22" s="470" t="s">
        <v>323</v>
      </c>
      <c r="J22" s="124"/>
      <c r="K22" s="124"/>
    </row>
    <row r="23" spans="1:14" ht="15" customHeight="1" x14ac:dyDescent="0.2">
      <c r="B23" s="270" t="s">
        <v>165</v>
      </c>
      <c r="C23" s="264" t="s">
        <v>67</v>
      </c>
      <c r="D23" s="148"/>
      <c r="E23" s="119" t="s">
        <v>22</v>
      </c>
      <c r="F23" s="514"/>
      <c r="G23" s="515" t="str">
        <f>IF(D23&gt;D$7,"Note - background concentration exceeds target concentration",CHAR(32))</f>
        <v xml:space="preserve"> </v>
      </c>
      <c r="H23" s="516"/>
      <c r="I23" s="124"/>
      <c r="J23" s="124"/>
      <c r="K23" s="124"/>
    </row>
    <row r="24" spans="1:14" ht="20.25" customHeight="1" x14ac:dyDescent="0.25">
      <c r="A24" s="513" t="s">
        <v>267</v>
      </c>
      <c r="B24" s="513"/>
      <c r="C24" s="264"/>
      <c r="D24" s="342" t="s">
        <v>257</v>
      </c>
      <c r="F24" s="514"/>
      <c r="G24" s="515" t="str">
        <f>IF(D23&gt;D$7,"This will give a negative dilution factor for this calculation",CHAR(32))</f>
        <v xml:space="preserve"> </v>
      </c>
      <c r="H24" s="516"/>
      <c r="I24" s="124"/>
      <c r="J24" s="124"/>
      <c r="K24" s="124"/>
      <c r="L24" s="294">
        <f>IF($D$24=M24,1,0)</f>
        <v>0</v>
      </c>
      <c r="M24" s="294" t="s">
        <v>258</v>
      </c>
    </row>
    <row r="25" spans="1:14" ht="15" customHeight="1" x14ac:dyDescent="0.2">
      <c r="B25" s="125" t="s">
        <v>314</v>
      </c>
      <c r="C25" s="264" t="s">
        <v>60</v>
      </c>
      <c r="D25" s="148">
        <v>0.05</v>
      </c>
      <c r="E25" s="119" t="s">
        <v>26</v>
      </c>
      <c r="F25" s="179"/>
      <c r="G25" s="271"/>
      <c r="H25" s="124"/>
      <c r="I25" s="124"/>
      <c r="J25" s="124"/>
      <c r="K25" s="124"/>
      <c r="L25" s="294">
        <f>IF($D$24=M25,1,0)</f>
        <v>1</v>
      </c>
      <c r="M25" s="294" t="s">
        <v>257</v>
      </c>
    </row>
    <row r="26" spans="1:14" ht="15" customHeight="1" x14ac:dyDescent="0.2">
      <c r="B26" s="125" t="s">
        <v>315</v>
      </c>
      <c r="C26" s="265" t="s">
        <v>60</v>
      </c>
      <c r="D26" s="317" t="e">
        <f>IF((0.0112*D18^2)^0.5+D19*(1-EXP((-D18*D14)/(D20*D21*D19)))&gt;D19,D19,(0.0112*D18^2)^0.5+D19*(1-EXP(-D18*D14/(D20*D21*D19))))</f>
        <v>#DIV/0!</v>
      </c>
      <c r="E26" s="119" t="s">
        <v>26</v>
      </c>
      <c r="F26" s="271"/>
      <c r="H26" s="272"/>
      <c r="I26" s="124"/>
      <c r="J26" s="124"/>
      <c r="K26" s="124"/>
    </row>
    <row r="27" spans="1:14" ht="15" customHeight="1" x14ac:dyDescent="0.2">
      <c r="B27" s="125"/>
      <c r="C27" s="265"/>
      <c r="D27" s="260" t="str">
        <f>IF($J$14=0,"",IF($J$18=1,"",IF(D25&lt;=D19,CHAR(32),"Specified mixing zone thickness exceeds saturated aquifer thickness. Reduce mixing zone thickness")))</f>
        <v/>
      </c>
      <c r="F27" s="273"/>
      <c r="H27" s="124"/>
      <c r="I27" s="124"/>
      <c r="J27" s="124"/>
      <c r="K27" s="124"/>
    </row>
    <row r="28" spans="1:14" ht="14.25" customHeight="1" x14ac:dyDescent="0.2">
      <c r="B28" s="125"/>
      <c r="F28" s="127"/>
    </row>
    <row r="29" spans="1:14" ht="14.25" customHeight="1" x14ac:dyDescent="0.25">
      <c r="B29" s="123" t="s">
        <v>36</v>
      </c>
      <c r="C29" s="258" t="s">
        <v>94</v>
      </c>
      <c r="D29" s="258"/>
      <c r="F29" s="127"/>
    </row>
    <row r="30" spans="1:14" x14ac:dyDescent="0.2">
      <c r="F30" s="127"/>
    </row>
    <row r="31" spans="1:14" ht="15" x14ac:dyDescent="0.2">
      <c r="B31" s="274" t="s">
        <v>88</v>
      </c>
      <c r="C31" s="275" t="s">
        <v>8</v>
      </c>
      <c r="D31" s="340" t="e">
        <f>'Level2 Calc'!$G$12</f>
        <v>#DIV/0!</v>
      </c>
      <c r="E31" s="276"/>
      <c r="F31" s="121"/>
      <c r="G31" s="120"/>
    </row>
    <row r="32" spans="1:14" ht="14.25" x14ac:dyDescent="0.2">
      <c r="B32" s="277"/>
      <c r="C32" s="278"/>
      <c r="D32" s="279"/>
      <c r="E32" s="280"/>
    </row>
    <row r="33" spans="2:16" ht="15" x14ac:dyDescent="0.25">
      <c r="B33" s="281" t="s">
        <v>341</v>
      </c>
      <c r="C33" s="282" t="s">
        <v>94</v>
      </c>
      <c r="D33" s="283" t="e">
        <f>D7*D31</f>
        <v>#DIV/0!</v>
      </c>
      <c r="E33" s="284" t="s">
        <v>22</v>
      </c>
      <c r="F33" s="510" t="s">
        <v>342</v>
      </c>
      <c r="G33" s="511"/>
      <c r="H33" s="511"/>
      <c r="I33" s="511"/>
      <c r="J33" s="511"/>
      <c r="K33" s="511"/>
      <c r="L33" s="511"/>
      <c r="M33" s="511"/>
      <c r="N33" s="511"/>
      <c r="O33" s="496"/>
      <c r="P33" s="496"/>
    </row>
    <row r="34" spans="2:16" ht="15" x14ac:dyDescent="0.25">
      <c r="B34" s="285"/>
      <c r="C34" s="282"/>
      <c r="D34" s="286" t="s">
        <v>149</v>
      </c>
      <c r="E34" s="284"/>
      <c r="F34" s="121"/>
      <c r="G34" s="257"/>
      <c r="H34" s="257"/>
      <c r="I34" s="257"/>
      <c r="J34" s="257"/>
      <c r="K34" s="257"/>
      <c r="L34" s="257"/>
      <c r="M34" s="257"/>
      <c r="N34" s="257"/>
    </row>
    <row r="35" spans="2:16" ht="14.25" customHeight="1" x14ac:dyDescent="0.25">
      <c r="B35" s="287"/>
      <c r="C35" s="288"/>
      <c r="D35" s="289" t="e">
        <f>'Level1 Soil'!$D$33*D31</f>
        <v>#DIV/0!</v>
      </c>
      <c r="E35" s="290" t="s">
        <v>78</v>
      </c>
      <c r="F35" s="512" t="s">
        <v>343</v>
      </c>
      <c r="G35" s="512"/>
      <c r="H35" s="512"/>
      <c r="I35" s="512"/>
      <c r="J35" s="395"/>
      <c r="K35" s="395"/>
      <c r="L35" s="395"/>
      <c r="M35" s="395"/>
      <c r="N35" s="257"/>
    </row>
    <row r="36" spans="2:16" x14ac:dyDescent="0.2">
      <c r="B36" s="125"/>
      <c r="F36" s="512"/>
      <c r="G36" s="512"/>
      <c r="H36" s="512"/>
      <c r="I36" s="512"/>
      <c r="J36" s="395"/>
      <c r="K36" s="395"/>
      <c r="L36" s="395"/>
      <c r="M36" s="395"/>
      <c r="N36" s="257"/>
    </row>
    <row r="37" spans="2:16" x14ac:dyDescent="0.2">
      <c r="B37" s="125"/>
    </row>
    <row r="38" spans="2:16" ht="15" x14ac:dyDescent="0.2">
      <c r="B38" s="291" t="s">
        <v>120</v>
      </c>
    </row>
    <row r="39" spans="2:16" x14ac:dyDescent="0.2">
      <c r="B39" s="292" t="s">
        <v>119</v>
      </c>
    </row>
    <row r="40" spans="2:16" x14ac:dyDescent="0.2">
      <c r="B40" s="125"/>
      <c r="I40" s="420" t="s">
        <v>143</v>
      </c>
      <c r="J40" s="421"/>
      <c r="K40" s="422" t="str">
        <f>Introduction!$B$28</f>
        <v>Parrys Quarry HRA</v>
      </c>
      <c r="L40" s="420"/>
      <c r="M40" s="421"/>
      <c r="N40" s="423"/>
    </row>
    <row r="41" spans="2:16" ht="14.25" x14ac:dyDescent="0.2">
      <c r="B41" s="125" t="s">
        <v>183</v>
      </c>
      <c r="C41" s="126" t="s">
        <v>66</v>
      </c>
      <c r="D41" s="142">
        <v>0</v>
      </c>
      <c r="E41" s="119" t="s">
        <v>22</v>
      </c>
      <c r="F41" s="179"/>
      <c r="I41" s="424" t="s">
        <v>141</v>
      </c>
      <c r="J41" s="425"/>
      <c r="K41" s="426" t="str">
        <f>Introduction!B31</f>
        <v>A R Morris</v>
      </c>
      <c r="L41" s="425"/>
      <c r="M41" s="427"/>
      <c r="N41" s="428"/>
    </row>
    <row r="42" spans="2:16" x14ac:dyDescent="0.2">
      <c r="I42" s="424" t="s">
        <v>142</v>
      </c>
      <c r="J42" s="425"/>
      <c r="K42" s="429">
        <f>Introduction!B32</f>
        <v>43993</v>
      </c>
      <c r="L42" s="425"/>
      <c r="M42" s="427"/>
      <c r="N42" s="428"/>
    </row>
    <row r="43" spans="2:16" ht="14.25" x14ac:dyDescent="0.2">
      <c r="B43" s="125" t="s">
        <v>146</v>
      </c>
      <c r="C43" s="126"/>
      <c r="D43" s="323" t="e">
        <f>D41/D31</f>
        <v>#DIV/0!</v>
      </c>
      <c r="E43" s="119" t="s">
        <v>22</v>
      </c>
      <c r="F43" s="120">
        <f>B10</f>
        <v>0</v>
      </c>
      <c r="I43" s="430" t="s">
        <v>158</v>
      </c>
      <c r="J43" s="431"/>
      <c r="K43" s="432">
        <f>Introduction!E32</f>
        <v>1.01</v>
      </c>
      <c r="L43" s="431"/>
      <c r="M43" s="431"/>
      <c r="N43" s="433"/>
    </row>
  </sheetData>
  <sheetProtection password="CA8F" sheet="1" objects="1" scenarios="1"/>
  <mergeCells count="16">
    <mergeCell ref="B2:E2"/>
    <mergeCell ref="F33:P33"/>
    <mergeCell ref="F35:I36"/>
    <mergeCell ref="A24:B24"/>
    <mergeCell ref="F22:H22"/>
    <mergeCell ref="F24:H24"/>
    <mergeCell ref="F23:H23"/>
    <mergeCell ref="D6:E6"/>
    <mergeCell ref="H6:M9"/>
    <mergeCell ref="F14:H14"/>
    <mergeCell ref="F20:H20"/>
    <mergeCell ref="F21:H21"/>
    <mergeCell ref="F15:H15"/>
    <mergeCell ref="F10:M11"/>
    <mergeCell ref="F18:H18"/>
    <mergeCell ref="F19:H19"/>
  </mergeCells>
  <phoneticPr fontId="0" type="noConversion"/>
  <conditionalFormatting sqref="D18:D23">
    <cfRule type="expression" dxfId="59" priority="5" stopIfTrue="1">
      <formula>$J$15=1</formula>
    </cfRule>
    <cfRule type="expression" dxfId="58" priority="6" stopIfTrue="1">
      <formula>$J$16=1</formula>
    </cfRule>
  </conditionalFormatting>
  <conditionalFormatting sqref="D27">
    <cfRule type="expression" dxfId="57" priority="7" stopIfTrue="1">
      <formula>"$J$14=1"</formula>
    </cfRule>
    <cfRule type="expression" dxfId="56" priority="8" stopIfTrue="1">
      <formula>"J14=0"</formula>
    </cfRule>
  </conditionalFormatting>
  <conditionalFormatting sqref="D26">
    <cfRule type="expression" dxfId="55" priority="9" stopIfTrue="1">
      <formula>$J$15=1</formula>
    </cfRule>
    <cfRule type="expression" dxfId="54" priority="10" stopIfTrue="1">
      <formula>$J$16=1</formula>
    </cfRule>
    <cfRule type="expression" dxfId="53" priority="11" stopIfTrue="1">
      <formula>$L$25=0</formula>
    </cfRule>
  </conditionalFormatting>
  <conditionalFormatting sqref="D25">
    <cfRule type="expression" dxfId="52" priority="12" stopIfTrue="1">
      <formula>$J$16=1</formula>
    </cfRule>
    <cfRule type="expression" dxfId="51" priority="13" stopIfTrue="1">
      <formula>$J$15=1</formula>
    </cfRule>
    <cfRule type="expression" dxfId="50" priority="14" stopIfTrue="1">
      <formula>$L$25=1</formula>
    </cfRule>
  </conditionalFormatting>
  <conditionalFormatting sqref="D14">
    <cfRule type="expression" dxfId="49" priority="1" stopIfTrue="1">
      <formula>$J$15=1</formula>
    </cfRule>
    <cfRule type="expression" dxfId="48" priority="2" stopIfTrue="1">
      <formula>$J$16=1</formula>
    </cfRule>
  </conditionalFormatting>
  <dataValidations count="2">
    <dataValidation type="decimal" operator="lessThan" allowBlank="1" showErrorMessage="1" errorTitle="Invalid Data Entered" error="Background concentration must be less than target concentration" sqref="D23" xr:uid="{00000000-0002-0000-0300-000000000000}">
      <formula1>D7</formula1>
    </dataValidation>
    <dataValidation type="list" allowBlank="1" showInputMessage="1" showErrorMessage="1" sqref="D24" xr:uid="{00000000-0002-0000-0300-000001000000}">
      <formula1>$M$24:$M$25</formula1>
    </dataValidation>
  </dataValidations>
  <pageMargins left="0.75" right="0.75" top="1" bottom="1" header="0.5" footer="0.5"/>
  <pageSetup paperSize="9" scale="62" orientation="landscape" verticalDpi="300"/>
  <headerFooter alignWithMargins="0">
    <oddFooter>&amp;L Remedial targets worksheet v3.1
&amp;R&amp;D,&amp;T
&amp;F&amp;A</oddFooter>
  </headerFooter>
  <drawing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X66"/>
  <sheetViews>
    <sheetView zoomScale="85" workbookViewId="0">
      <selection activeCell="D31" sqref="D31"/>
    </sheetView>
  </sheetViews>
  <sheetFormatPr defaultRowHeight="12.75" x14ac:dyDescent="0.2"/>
  <cols>
    <col min="1" max="1" width="2.7109375" customWidth="1"/>
    <col min="2" max="2" width="56.7109375" bestFit="1" customWidth="1"/>
    <col min="3" max="3" width="8.7109375" style="2" customWidth="1"/>
    <col min="4" max="4" width="15.5703125" style="2" customWidth="1"/>
    <col min="5" max="5" width="9.28515625" style="2" bestFit="1" customWidth="1"/>
    <col min="6" max="6" width="37.42578125" style="31" customWidth="1"/>
    <col min="9" max="9" width="18.28515625" customWidth="1"/>
    <col min="10" max="10" width="11.5703125" customWidth="1"/>
    <col min="11" max="11" width="13.140625" customWidth="1"/>
    <col min="12" max="12" width="9.42578125" bestFit="1" customWidth="1"/>
    <col min="13" max="13" width="12.7109375" bestFit="1" customWidth="1"/>
    <col min="17" max="17" width="9.42578125" bestFit="1" customWidth="1"/>
    <col min="21" max="21" width="11.28515625" bestFit="1" customWidth="1"/>
    <col min="22" max="22" width="10.85546875" customWidth="1"/>
    <col min="23" max="23" width="16.85546875" customWidth="1"/>
    <col min="24" max="24" width="18.42578125" customWidth="1"/>
    <col min="25" max="25" width="5.7109375" customWidth="1"/>
  </cols>
  <sheetData>
    <row r="1" spans="1:24" ht="19.5" customHeight="1" x14ac:dyDescent="0.25">
      <c r="B1" s="495" t="s">
        <v>383</v>
      </c>
      <c r="C1" s="495"/>
      <c r="D1" s="496"/>
      <c r="E1" s="496"/>
      <c r="O1" s="193">
        <f>IF($G$6=P1,1,0)</f>
        <v>1</v>
      </c>
      <c r="P1" s="346" t="s">
        <v>254</v>
      </c>
      <c r="Q1" s="49"/>
      <c r="R1" s="49"/>
      <c r="S1" s="49"/>
    </row>
    <row r="2" spans="1:24" x14ac:dyDescent="0.2">
      <c r="O2" s="193">
        <f>IF($G$6=P2,1,0)</f>
        <v>0</v>
      </c>
      <c r="P2" s="193" t="s">
        <v>93</v>
      </c>
    </row>
    <row r="3" spans="1:24" ht="20.25" x14ac:dyDescent="0.3">
      <c r="B3" s="19" t="s">
        <v>345</v>
      </c>
      <c r="C3" s="2" t="s">
        <v>375</v>
      </c>
      <c r="O3" s="193">
        <f>IF($G$6=P3,1,0)</f>
        <v>0</v>
      </c>
      <c r="P3" s="193" t="s">
        <v>321</v>
      </c>
    </row>
    <row r="4" spans="1:24" ht="20.25" x14ac:dyDescent="0.3">
      <c r="B4" s="19"/>
    </row>
    <row r="5" spans="1:24" ht="15.75" x14ac:dyDescent="0.25">
      <c r="B5" s="29" t="s">
        <v>5</v>
      </c>
      <c r="C5" s="6" t="s">
        <v>37</v>
      </c>
      <c r="D5" s="6" t="s">
        <v>11</v>
      </c>
      <c r="E5" s="6" t="s">
        <v>10</v>
      </c>
      <c r="F5" s="32" t="s">
        <v>12</v>
      </c>
      <c r="G5" s="122" t="s">
        <v>268</v>
      </c>
    </row>
    <row r="6" spans="1:24" ht="15" x14ac:dyDescent="0.25">
      <c r="C6" s="3"/>
      <c r="G6" s="523" t="s">
        <v>254</v>
      </c>
      <c r="H6" s="524"/>
      <c r="I6" s="524"/>
      <c r="J6" s="525"/>
      <c r="K6" s="20"/>
      <c r="L6" s="20"/>
      <c r="V6" s="63" t="s">
        <v>233</v>
      </c>
    </row>
    <row r="7" spans="1:24" ht="15" x14ac:dyDescent="0.25">
      <c r="B7" s="58" t="s">
        <v>89</v>
      </c>
      <c r="C7" s="16"/>
      <c r="D7" s="531" t="str">
        <f>Introduction!B34</f>
        <v>SO4</v>
      </c>
      <c r="E7" s="532"/>
      <c r="F7" s="31" t="s">
        <v>344</v>
      </c>
      <c r="V7" s="63" t="s">
        <v>163</v>
      </c>
    </row>
    <row r="8" spans="1:24" ht="16.5" x14ac:dyDescent="0.2">
      <c r="B8" s="58" t="s">
        <v>6</v>
      </c>
      <c r="C8" s="51" t="s">
        <v>97</v>
      </c>
      <c r="D8" s="399">
        <f>Introduction!B35</f>
        <v>400</v>
      </c>
      <c r="E8" s="2" t="s">
        <v>22</v>
      </c>
      <c r="F8" s="31" t="s">
        <v>344</v>
      </c>
      <c r="H8" s="314"/>
      <c r="I8" s="314"/>
      <c r="J8" s="314"/>
      <c r="K8" s="314"/>
      <c r="L8" s="20"/>
      <c r="O8" s="20"/>
    </row>
    <row r="9" spans="1:24" ht="15.75" customHeight="1" x14ac:dyDescent="0.2">
      <c r="B9" s="58" t="s">
        <v>7</v>
      </c>
      <c r="C9" s="51" t="s">
        <v>8</v>
      </c>
      <c r="D9" s="400" t="e">
        <f>'Level2 Soil'!$D$31</f>
        <v>#DIV/0!</v>
      </c>
      <c r="F9" s="31" t="s">
        <v>346</v>
      </c>
      <c r="O9" t="str">
        <f>CHAR(32)</f>
        <v xml:space="preserve"> </v>
      </c>
    </row>
    <row r="10" spans="1:24" ht="14.25" customHeight="1" x14ac:dyDescent="0.2">
      <c r="G10" s="448" t="s">
        <v>101</v>
      </c>
      <c r="I10" s="81"/>
      <c r="J10" s="34"/>
      <c r="K10" s="101"/>
      <c r="L10" s="49"/>
      <c r="V10" s="32" t="str">
        <f>C12</f>
        <v>Domenico - Time Variant</v>
      </c>
      <c r="W10" s="16"/>
    </row>
    <row r="11" spans="1:24" ht="15.75" x14ac:dyDescent="0.25">
      <c r="B11" s="339" t="s">
        <v>278</v>
      </c>
      <c r="G11" s="56" t="s">
        <v>90</v>
      </c>
      <c r="J11" s="8" t="s">
        <v>13</v>
      </c>
      <c r="K11" s="148">
        <v>0</v>
      </c>
      <c r="L11" s="49" t="s">
        <v>23</v>
      </c>
      <c r="V11" s="16" t="s">
        <v>118</v>
      </c>
      <c r="W11" s="16"/>
    </row>
    <row r="12" spans="1:24" ht="27" customHeight="1" x14ac:dyDescent="0.25">
      <c r="C12" s="508" t="s">
        <v>4</v>
      </c>
      <c r="D12" s="522"/>
      <c r="E12" s="509"/>
      <c r="F12" s="32" t="s">
        <v>379</v>
      </c>
      <c r="G12" s="448" t="s">
        <v>92</v>
      </c>
      <c r="J12" s="34"/>
      <c r="K12" s="102"/>
      <c r="L12" s="49"/>
      <c r="V12" s="16" t="s">
        <v>116</v>
      </c>
      <c r="W12" s="467" t="s">
        <v>234</v>
      </c>
      <c r="X12" s="6" t="str">
        <f>IF(C18="Soil leachate concentration as mg/l","Concentration",IF(C18="Soil concentration as mg/kg","Concentration",""))</f>
        <v>Concentration</v>
      </c>
    </row>
    <row r="13" spans="1:24" ht="15" customHeight="1" x14ac:dyDescent="0.25">
      <c r="B13" s="1"/>
      <c r="G13" s="57" t="s">
        <v>154</v>
      </c>
      <c r="J13" s="42" t="s">
        <v>53</v>
      </c>
      <c r="K13" s="148">
        <v>0</v>
      </c>
      <c r="L13" s="49" t="s">
        <v>79</v>
      </c>
      <c r="V13" s="53"/>
      <c r="W13" s="129" t="s">
        <v>260</v>
      </c>
      <c r="X13" s="6" t="str">
        <f>IF(C18="Soil leachate concentration as mg/l","mg/l",IF(C18="Soil concentration as mg/kg","mg/l",""))</f>
        <v>mg/l</v>
      </c>
    </row>
    <row r="14" spans="1:24" ht="15" customHeight="1" x14ac:dyDescent="0.25">
      <c r="A14" s="193"/>
      <c r="B14" s="339" t="s">
        <v>279</v>
      </c>
      <c r="D14" s="202"/>
      <c r="G14" s="57" t="s">
        <v>55</v>
      </c>
      <c r="J14" s="42" t="s">
        <v>175</v>
      </c>
      <c r="K14" s="148">
        <v>0</v>
      </c>
      <c r="L14" s="49" t="s">
        <v>23</v>
      </c>
      <c r="V14" s="53">
        <v>0</v>
      </c>
      <c r="W14" s="129">
        <v>1</v>
      </c>
      <c r="X14" s="468" t="e">
        <f>IF(C$18="Soil leachate concentration as mg/l",W14*$D$48/D$9,IF(C$18="Soil concentration as mg/kg",W14*$D$48/D$9,""))</f>
        <v>#DIV/0!</v>
      </c>
    </row>
    <row r="15" spans="1:24" ht="15" customHeight="1" x14ac:dyDescent="0.25">
      <c r="A15" s="320" t="s">
        <v>308</v>
      </c>
      <c r="B15" s="318" t="s">
        <v>304</v>
      </c>
      <c r="C15" s="526" t="s">
        <v>378</v>
      </c>
      <c r="D15" s="527"/>
      <c r="E15" s="527"/>
      <c r="F15" s="528"/>
      <c r="G15" s="448" t="s">
        <v>91</v>
      </c>
      <c r="J15" s="34"/>
      <c r="K15" s="102"/>
      <c r="L15" s="49"/>
      <c r="V15" s="60">
        <f>'Level3.1 Soil Calc'!F5</f>
        <v>0</v>
      </c>
      <c r="W15" s="143" t="e">
        <f>IF($C$12="Ogata Banks", 'Level3.1 Soil Calc'!X29,IF($C$12="Domenico - Steady state",'Level3.2 Soil Calc'!R30,IF($C$12="Domenico - Time Variant",'Level3.3 Soil Calc'!T30,"error")))</f>
        <v>#DIV/0!</v>
      </c>
      <c r="X15" s="468" t="e">
        <f t="shared" ref="X15:X34" si="0">IF(C$18="Soil leachate concentration as mg/l",W15*$D$48/D$9,IF(C$18="Soil concentration as mg/kg",W15*$D$48/D$9,""))</f>
        <v>#DIV/0!</v>
      </c>
    </row>
    <row r="16" spans="1:24" ht="15" customHeight="1" x14ac:dyDescent="0.25">
      <c r="A16" s="320" t="s">
        <v>378</v>
      </c>
      <c r="B16" s="332"/>
      <c r="C16" s="4"/>
      <c r="D16"/>
      <c r="G16" s="56" t="s">
        <v>182</v>
      </c>
      <c r="J16" s="34" t="s">
        <v>85</v>
      </c>
      <c r="K16" s="148">
        <v>0</v>
      </c>
      <c r="L16" s="49" t="s">
        <v>23</v>
      </c>
      <c r="V16" s="60">
        <f>'Level3.1 Soil Calc'!F6</f>
        <v>0</v>
      </c>
      <c r="W16" s="143" t="e">
        <f>IF($C$12="Ogata Banks", 'Level3.1 Soil Calc'!X30,IF($C$12="Domenico - Steady state",'Level3.2 Soil Calc'!R31,IF($C$12="Domenico - Time Variant",'Level3.3 Soil Calc'!T31,"error")))</f>
        <v>#DIV/0!</v>
      </c>
      <c r="X16" s="468" t="e">
        <f t="shared" si="0"/>
        <v>#DIV/0!</v>
      </c>
    </row>
    <row r="17" spans="1:24" ht="15" customHeight="1" x14ac:dyDescent="0.25">
      <c r="C17" s="6" t="s">
        <v>37</v>
      </c>
      <c r="D17" s="6" t="s">
        <v>11</v>
      </c>
      <c r="E17" s="6" t="s">
        <v>10</v>
      </c>
      <c r="F17" s="32" t="s">
        <v>100</v>
      </c>
      <c r="G17" s="56" t="s">
        <v>180</v>
      </c>
      <c r="J17" s="34" t="s">
        <v>86</v>
      </c>
      <c r="K17" s="148">
        <v>0</v>
      </c>
      <c r="L17" s="49" t="s">
        <v>23</v>
      </c>
      <c r="V17" s="60">
        <f>'Level3.1 Soil Calc'!F7</f>
        <v>0</v>
      </c>
      <c r="W17" s="143" t="e">
        <f>IF($C$12="Ogata Banks", 'Level3.1 Soil Calc'!X31,IF($C$12="Domenico - Steady state",'Level3.2 Soil Calc'!R32,IF($C$12="Domenico - Time Variant",'Level3.3 Soil Calc'!T32,"error")))</f>
        <v>#DIV/0!</v>
      </c>
      <c r="X17" s="468" t="e">
        <f t="shared" si="0"/>
        <v>#DIV/0!</v>
      </c>
    </row>
    <row r="18" spans="1:24" ht="15" customHeight="1" x14ac:dyDescent="0.25">
      <c r="A18" s="320" t="s">
        <v>356</v>
      </c>
      <c r="B18" s="318" t="s">
        <v>354</v>
      </c>
      <c r="C18" s="523" t="s">
        <v>356</v>
      </c>
      <c r="D18" s="524"/>
      <c r="E18" s="524"/>
      <c r="F18" s="525"/>
      <c r="G18" s="56" t="s">
        <v>76</v>
      </c>
      <c r="J18" s="34" t="s">
        <v>83</v>
      </c>
      <c r="K18" s="148">
        <v>0</v>
      </c>
      <c r="L18" s="49"/>
      <c r="V18" s="60">
        <f>'Level3.1 Soil Calc'!F8</f>
        <v>0</v>
      </c>
      <c r="W18" s="143" t="e">
        <f>IF($C$12="Ogata Banks", 'Level3.1 Soil Calc'!X32,IF($C$12="Domenico - Steady state",'Level3.2 Soil Calc'!R33,IF($C$12="Domenico - Time Variant",'Level3.3 Soil Calc'!T33,"error")))</f>
        <v>#DIV/0!</v>
      </c>
      <c r="X18" s="468" t="e">
        <f t="shared" si="0"/>
        <v>#DIV/0!</v>
      </c>
    </row>
    <row r="19" spans="1:24" ht="15" customHeight="1" x14ac:dyDescent="0.25">
      <c r="A19" s="320" t="s">
        <v>355</v>
      </c>
      <c r="B19" s="1" t="str">
        <f>IF(C18="Soil leachate concentration as mg/l","Enter soil leachate concentration",IF(C18="Soil concentration as mg/kg","Enter soil  concentration",""))</f>
        <v>Enter soil leachate concentration</v>
      </c>
      <c r="C19" s="195" t="str">
        <f>IF(C18="Soil leachate concentration as mg/l","Co",IF(C18="Soil concentration as mg/kg","Co",""))</f>
        <v>Co</v>
      </c>
      <c r="D19" s="190"/>
      <c r="E19" s="2" t="str">
        <f>IF(C18="Soil leachate concentration as mg/l","mg/l",IF(C18="Soil concentration as mg/kg","mg/kg",""))</f>
        <v>mg/l</v>
      </c>
      <c r="F19" s="6"/>
      <c r="G19" s="56" t="s">
        <v>181</v>
      </c>
      <c r="J19" s="34" t="s">
        <v>84</v>
      </c>
      <c r="K19" s="148">
        <v>0</v>
      </c>
      <c r="L19" s="49"/>
      <c r="V19" s="60">
        <f>'Level3.1 Soil Calc'!F9</f>
        <v>0</v>
      </c>
      <c r="W19" s="143" t="e">
        <f>IF($C$12="Ogata Banks", 'Level3.1 Soil Calc'!X33,IF($C$12="Domenico - Steady state",'Level3.2 Soil Calc'!R34,IF($C$12="Domenico - Time Variant",'Level3.3 Soil Calc'!T34,"error")))</f>
        <v>#DIV/0!</v>
      </c>
      <c r="X19" s="468" t="e">
        <f t="shared" si="0"/>
        <v>#DIV/0!</v>
      </c>
    </row>
    <row r="20" spans="1:24" ht="15" customHeight="1" x14ac:dyDescent="0.35">
      <c r="A20" s="320" t="s">
        <v>357</v>
      </c>
      <c r="B20" s="1" t="s">
        <v>241</v>
      </c>
      <c r="C20" s="89" t="s">
        <v>152</v>
      </c>
      <c r="D20" s="480"/>
      <c r="E20" s="2" t="s">
        <v>21</v>
      </c>
      <c r="F20" s="180"/>
      <c r="G20" s="57" t="s">
        <v>154</v>
      </c>
      <c r="J20" s="42" t="s">
        <v>53</v>
      </c>
      <c r="K20" s="148">
        <v>0</v>
      </c>
      <c r="L20" s="49" t="s">
        <v>79</v>
      </c>
      <c r="N20" s="521" t="s">
        <v>261</v>
      </c>
      <c r="O20" s="521"/>
      <c r="P20" s="521"/>
      <c r="Q20" s="521"/>
      <c r="R20" s="521"/>
      <c r="S20" s="521"/>
      <c r="T20" s="521"/>
      <c r="V20" s="60">
        <f>'Level3.1 Soil Calc'!F10</f>
        <v>0</v>
      </c>
      <c r="W20" s="143" t="e">
        <f>IF($C$12="Ogata Banks", 'Level3.1 Soil Calc'!X34,IF($C$12="Domenico - Steady state",'Level3.2 Soil Calc'!R35,IF($C$12="Domenico - Time Variant",'Level3.3 Soil Calc'!T35,"error")))</f>
        <v>#DIV/0!</v>
      </c>
      <c r="X20" s="468" t="e">
        <f t="shared" si="0"/>
        <v>#DIV/0!</v>
      </c>
    </row>
    <row r="21" spans="1:24" ht="15" customHeight="1" x14ac:dyDescent="0.25">
      <c r="B21" s="1" t="s">
        <v>109</v>
      </c>
      <c r="C21" s="90" t="s">
        <v>34</v>
      </c>
      <c r="D21" s="315">
        <f>IF(D20=0,1000000,(0.693147/D20))</f>
        <v>1000000</v>
      </c>
      <c r="E21" s="2" t="s">
        <v>151</v>
      </c>
      <c r="F21" s="47" t="s">
        <v>322</v>
      </c>
      <c r="N21" s="521"/>
      <c r="O21" s="521"/>
      <c r="P21" s="521"/>
      <c r="Q21" s="521"/>
      <c r="R21" s="521"/>
      <c r="S21" s="521"/>
      <c r="T21" s="521"/>
      <c r="V21" s="60">
        <f>'Level3.1 Soil Calc'!F11</f>
        <v>0</v>
      </c>
      <c r="W21" s="143" t="e">
        <f>IF($C$12="Ogata Banks", 'Level3.1 Soil Calc'!X35,IF($C$12="Domenico - Steady state",'Level3.2 Soil Calc'!R36,IF($C$12="Domenico - Time Variant",'Level3.3 Soil Calc'!T36,"error")))</f>
        <v>#DIV/0!</v>
      </c>
      <c r="X21" s="468" t="e">
        <f t="shared" si="0"/>
        <v>#DIV/0!</v>
      </c>
    </row>
    <row r="22" spans="1:24" ht="15" customHeight="1" x14ac:dyDescent="0.25">
      <c r="B22" s="1" t="s">
        <v>221</v>
      </c>
      <c r="C22" s="3" t="s">
        <v>50</v>
      </c>
      <c r="D22" s="458">
        <f>'Level2 Soil'!$D$22</f>
        <v>0</v>
      </c>
      <c r="E22" s="2" t="s">
        <v>26</v>
      </c>
      <c r="F22" s="31" t="s">
        <v>346</v>
      </c>
      <c r="G22" s="56" t="s">
        <v>90</v>
      </c>
      <c r="H22" s="20"/>
      <c r="J22" s="8" t="s">
        <v>13</v>
      </c>
      <c r="K22" s="186">
        <f>IF(O1=1,$K$11,IF($O$2=1,$K$14*$K$13,IF($O$3=1,K20*($K$16*(1+10^($K$18-$K$19))^-1)+$K$17*(1-(1+(10^($K$18-$K$19)))^-1))))</f>
        <v>0</v>
      </c>
      <c r="L22" s="8" t="s">
        <v>23</v>
      </c>
      <c r="N22" s="521"/>
      <c r="O22" s="521"/>
      <c r="P22" s="521"/>
      <c r="Q22" s="521"/>
      <c r="R22" s="521"/>
      <c r="S22" s="521"/>
      <c r="T22" s="521"/>
      <c r="V22" s="60">
        <f>'Level3.1 Soil Calc'!F12</f>
        <v>0</v>
      </c>
      <c r="W22" s="143" t="e">
        <f>IF($C$12="Ogata Banks", 'Level3.1 Soil Calc'!X36,IF($C$12="Domenico - Steady state",'Level3.2 Soil Calc'!R37,IF($C$12="Domenico - Time Variant",'Level3.3 Soil Calc'!T37,"error")))</f>
        <v>#DIV/0!</v>
      </c>
      <c r="X22" s="468" t="e">
        <f t="shared" si="0"/>
        <v>#DIV/0!</v>
      </c>
    </row>
    <row r="23" spans="1:24" ht="15" customHeight="1" x14ac:dyDescent="0.25">
      <c r="B23" s="1" t="s">
        <v>274</v>
      </c>
      <c r="C23" s="3" t="s">
        <v>153</v>
      </c>
      <c r="D23" s="458" t="e">
        <f>IF('Level2 Soil'!D24='Level2 Soil'!$M$24,'Level2 Soil'!D25,'Level2 Soil'!D26)</f>
        <v>#DIV/0!</v>
      </c>
      <c r="E23" s="2" t="s">
        <v>26</v>
      </c>
      <c r="F23" s="31" t="s">
        <v>346</v>
      </c>
      <c r="G23" s="56"/>
      <c r="H23" s="20"/>
      <c r="J23" s="8"/>
      <c r="K23" s="186"/>
      <c r="L23" s="8"/>
      <c r="N23" s="521"/>
      <c r="O23" s="521"/>
      <c r="P23" s="521"/>
      <c r="Q23" s="521"/>
      <c r="R23" s="521"/>
      <c r="S23" s="521"/>
      <c r="T23" s="521"/>
      <c r="V23" s="60">
        <f>'Level3.1 Soil Calc'!F13</f>
        <v>0</v>
      </c>
      <c r="W23" s="143" t="e">
        <f>IF($C$12="Ogata Banks", 'Level3.1 Soil Calc'!X37,IF($C$12="Domenico - Steady state",'Level3.2 Soil Calc'!R38,IF($C$12="Domenico - Time Variant",'Level3.3 Soil Calc'!T38,"error")))</f>
        <v>#DIV/0!</v>
      </c>
      <c r="X23" s="468" t="e">
        <f t="shared" si="0"/>
        <v>#DIV/0!</v>
      </c>
    </row>
    <row r="24" spans="1:24" ht="15" customHeight="1" x14ac:dyDescent="0.25">
      <c r="B24" s="1" t="s">
        <v>248</v>
      </c>
      <c r="C24" s="90" t="s">
        <v>35</v>
      </c>
      <c r="D24" s="142"/>
      <c r="E24" s="2" t="s">
        <v>81</v>
      </c>
      <c r="F24" s="180" t="s">
        <v>389</v>
      </c>
      <c r="L24" s="396" t="s">
        <v>305</v>
      </c>
      <c r="N24" s="521"/>
      <c r="O24" s="521"/>
      <c r="P24" s="521"/>
      <c r="Q24" s="521"/>
      <c r="R24" s="521"/>
      <c r="S24" s="521"/>
      <c r="T24" s="521"/>
      <c r="V24" s="60">
        <f>'Level3.1 Soil Calc'!F14</f>
        <v>0</v>
      </c>
      <c r="W24" s="143" t="e">
        <f>IF($C$12="Ogata Banks", 'Level3.1 Soil Calc'!X38,IF($C$12="Domenico - Steady state",'Level3.2 Soil Calc'!R39,IF($C$12="Domenico - Time Variant",'Level3.3 Soil Calc'!T39,"error")))</f>
        <v>#DIV/0!</v>
      </c>
      <c r="X24" s="468" t="e">
        <f t="shared" si="0"/>
        <v>#DIV/0!</v>
      </c>
    </row>
    <row r="25" spans="1:24" ht="15" customHeight="1" x14ac:dyDescent="0.25">
      <c r="B25" s="1" t="s">
        <v>193</v>
      </c>
      <c r="C25" s="3" t="s">
        <v>1</v>
      </c>
      <c r="D25" s="142"/>
      <c r="E25" s="2" t="s">
        <v>79</v>
      </c>
      <c r="F25" s="180" t="s">
        <v>390</v>
      </c>
      <c r="G25" s="325" t="s">
        <v>280</v>
      </c>
      <c r="L25" s="397" t="s">
        <v>306</v>
      </c>
      <c r="V25" s="60">
        <f>'Level3.1 Soil Calc'!F15</f>
        <v>0</v>
      </c>
      <c r="W25" s="143" t="e">
        <f>IF($C$12="Ogata Banks", 'Level3.1 Soil Calc'!X39,IF($C$12="Domenico - Steady state",'Level3.2 Soil Calc'!R40,IF($C$12="Domenico - Time Variant",'Level3.3 Soil Calc'!T40,"error")))</f>
        <v>#DIV/0!</v>
      </c>
      <c r="X25" s="468" t="e">
        <f t="shared" si="0"/>
        <v>#DIV/0!</v>
      </c>
    </row>
    <row r="26" spans="1:24" ht="15" customHeight="1" x14ac:dyDescent="0.25">
      <c r="B26" s="1" t="s">
        <v>29</v>
      </c>
      <c r="C26" s="195" t="s">
        <v>245</v>
      </c>
      <c r="D26" s="459" t="e">
        <f>D44</f>
        <v>#DIV/0!</v>
      </c>
      <c r="E26" s="2" t="s">
        <v>79</v>
      </c>
      <c r="F26" s="47" t="s">
        <v>347</v>
      </c>
      <c r="H26" s="523" t="s">
        <v>306</v>
      </c>
      <c r="I26" s="524"/>
      <c r="J26" s="524"/>
      <c r="K26" s="525"/>
      <c r="L26" s="397" t="s">
        <v>307</v>
      </c>
      <c r="V26" s="60">
        <f>'Level3.1 Soil Calc'!F16</f>
        <v>0</v>
      </c>
      <c r="W26" s="143" t="e">
        <f>IF($C$12="Ogata Banks", 'Level3.1 Soil Calc'!X40,IF($C$12="Domenico - Steady state",'Level3.2 Soil Calc'!R41,IF($C$12="Domenico - Time Variant",'Level3.3 Soil Calc'!T41,"error")))</f>
        <v>#DIV/0!</v>
      </c>
      <c r="X26" s="468" t="e">
        <f t="shared" si="0"/>
        <v>#DIV/0!</v>
      </c>
    </row>
    <row r="27" spans="1:24" ht="15" customHeight="1" x14ac:dyDescent="0.25">
      <c r="A27" s="231">
        <f>'Level2 Soil'!$J$14</f>
        <v>0</v>
      </c>
      <c r="B27" s="1" t="s">
        <v>272</v>
      </c>
      <c r="C27" s="3" t="s">
        <v>189</v>
      </c>
      <c r="D27" s="459">
        <f>'Level2 Soil'!$D$20</f>
        <v>0</v>
      </c>
      <c r="E27" s="2" t="s">
        <v>25</v>
      </c>
      <c r="F27" s="31" t="s">
        <v>346</v>
      </c>
      <c r="G27" s="23"/>
      <c r="H27" s="24"/>
      <c r="I27" s="25"/>
      <c r="J27" s="26"/>
      <c r="K27" s="24"/>
      <c r="L27" s="398"/>
      <c r="V27" s="60">
        <f>'Level3.1 Soil Calc'!F17</f>
        <v>0</v>
      </c>
      <c r="W27" s="143" t="e">
        <f>IF($C$12="Ogata Banks", 'Level3.1 Soil Calc'!X41,IF($C$12="Domenico - Steady state",'Level3.2 Soil Calc'!R42,IF($C$12="Domenico - Time Variant",'Level3.3 Soil Calc'!T42,"error")))</f>
        <v>#DIV/0!</v>
      </c>
      <c r="X27" s="468" t="e">
        <f t="shared" si="0"/>
        <v>#DIV/0!</v>
      </c>
    </row>
    <row r="28" spans="1:24" ht="15" customHeight="1" x14ac:dyDescent="0.25">
      <c r="B28" s="1" t="s">
        <v>30</v>
      </c>
      <c r="C28" s="3" t="s">
        <v>14</v>
      </c>
      <c r="D28" s="142"/>
      <c r="E28" s="2" t="s">
        <v>26</v>
      </c>
      <c r="F28" s="180" t="s">
        <v>391</v>
      </c>
      <c r="G28" s="24"/>
      <c r="H28" s="24"/>
      <c r="I28" s="24"/>
      <c r="J28" s="26"/>
      <c r="K28" s="20" t="s">
        <v>113</v>
      </c>
      <c r="L28" s="20" t="s">
        <v>112</v>
      </c>
      <c r="M28" s="20" t="s">
        <v>237</v>
      </c>
      <c r="V28" s="60">
        <f>'Level3.1 Soil Calc'!F18</f>
        <v>0</v>
      </c>
      <c r="W28" s="143" t="e">
        <f>IF($C$12="Ogata Banks", 'Level3.1 Soil Calc'!X42,IF($C$12="Domenico - Steady state",'Level3.2 Soil Calc'!R43,IF($C$12="Domenico - Time Variant",'Level3.3 Soil Calc'!T43,"error")))</f>
        <v>#DIV/0!</v>
      </c>
      <c r="X28" s="468" t="e">
        <f t="shared" si="0"/>
        <v>#DIV/0!</v>
      </c>
    </row>
    <row r="29" spans="1:24" ht="15" customHeight="1" x14ac:dyDescent="0.25">
      <c r="B29" s="87" t="s">
        <v>32</v>
      </c>
      <c r="C29" s="3" t="s">
        <v>16</v>
      </c>
      <c r="D29" s="142">
        <v>0</v>
      </c>
      <c r="E29" s="2" t="s">
        <v>26</v>
      </c>
      <c r="F29" s="180"/>
      <c r="G29" s="30" t="s">
        <v>166</v>
      </c>
      <c r="H29" s="27"/>
      <c r="I29" s="27"/>
      <c r="J29" s="28" t="s">
        <v>18</v>
      </c>
      <c r="K29" s="148">
        <v>0.65</v>
      </c>
      <c r="L29" s="330">
        <f>$D$28*0.1</f>
        <v>0</v>
      </c>
      <c r="M29" s="331" t="e">
        <f>0.83*(LOG(D28))^2.414</f>
        <v>#NUM!</v>
      </c>
      <c r="N29" t="s">
        <v>26</v>
      </c>
      <c r="V29" s="60">
        <f>'Level3.1 Soil Calc'!F19</f>
        <v>0</v>
      </c>
      <c r="W29" s="143" t="e">
        <f>IF($C$12="Ogata Banks", 'Level3.1 Soil Calc'!X43,IF($C$12="Domenico - Steady state",'Level3.2 Soil Calc'!R44,IF($C$12="Domenico - Time Variant",'Level3.3 Soil Calc'!T44,"error")))</f>
        <v>#DIV/0!</v>
      </c>
      <c r="X29" s="468" t="e">
        <f t="shared" si="0"/>
        <v>#DIV/0!</v>
      </c>
    </row>
    <row r="30" spans="1:24" ht="15" customHeight="1" x14ac:dyDescent="0.25">
      <c r="B30" s="7" t="s">
        <v>33</v>
      </c>
      <c r="C30" s="3" t="s">
        <v>15</v>
      </c>
      <c r="D30" s="142">
        <v>0</v>
      </c>
      <c r="E30" s="2" t="s">
        <v>26</v>
      </c>
      <c r="F30" s="180"/>
      <c r="G30" s="30" t="s">
        <v>167</v>
      </c>
      <c r="H30" s="27"/>
      <c r="I30" s="27"/>
      <c r="J30" s="28" t="s">
        <v>20</v>
      </c>
      <c r="K30" s="148">
        <v>6.5000000000000002E-2</v>
      </c>
      <c r="L30" s="330">
        <f>$D$28*0.01</f>
        <v>0</v>
      </c>
      <c r="M30" s="330" t="e">
        <f>M29/10</f>
        <v>#NUM!</v>
      </c>
      <c r="N30" t="s">
        <v>26</v>
      </c>
      <c r="V30" s="60">
        <f>'Level3.1 Soil Calc'!F20</f>
        <v>0</v>
      </c>
      <c r="W30" s="143" t="e">
        <f>IF($C$12="Ogata Banks", 'Level3.1 Soil Calc'!X44,IF($C$12="Domenico - Steady state",'Level3.2 Soil Calc'!R45,IF($C$12="Domenico - Time Variant",'Level3.3 Soil Calc'!T45,"error")))</f>
        <v>#DIV/0!</v>
      </c>
      <c r="X30" s="468" t="e">
        <f t="shared" si="0"/>
        <v>#DIV/0!</v>
      </c>
    </row>
    <row r="31" spans="1:24" ht="15" customHeight="1" x14ac:dyDescent="0.25">
      <c r="B31" s="1" t="s">
        <v>242</v>
      </c>
      <c r="C31" s="3" t="s">
        <v>17</v>
      </c>
      <c r="D31" s="148"/>
      <c r="E31" s="2" t="s">
        <v>21</v>
      </c>
      <c r="F31" s="33" t="s">
        <v>111</v>
      </c>
      <c r="G31" s="30" t="s">
        <v>168</v>
      </c>
      <c r="H31" s="27"/>
      <c r="I31" s="27"/>
      <c r="J31" s="28" t="s">
        <v>19</v>
      </c>
      <c r="K31" s="148">
        <v>6.4999999999999997E-3</v>
      </c>
      <c r="L31" s="330">
        <f>$D$28*0.001</f>
        <v>0</v>
      </c>
      <c r="M31" s="330" t="e">
        <f>M29/100</f>
        <v>#NUM!</v>
      </c>
      <c r="N31" t="s">
        <v>26</v>
      </c>
      <c r="V31" s="60">
        <f>'Level3.1 Soil Calc'!F21</f>
        <v>0</v>
      </c>
      <c r="W31" s="143" t="e">
        <f>IF($C$12="Ogata Banks", 'Level3.1 Soil Calc'!X45,IF($C$12="Domenico - Steady state",'Level3.2 Soil Calc'!R46,IF($C$12="Domenico - Time Variant",'Level3.3 Soil Calc'!T46,"error")))</f>
        <v>#DIV/0!</v>
      </c>
      <c r="X31" s="468" t="e">
        <f t="shared" si="0"/>
        <v>#DIV/0!</v>
      </c>
    </row>
    <row r="32" spans="1:24" ht="15" customHeight="1" x14ac:dyDescent="0.25">
      <c r="B32" s="55" t="s">
        <v>110</v>
      </c>
      <c r="C32" s="3"/>
      <c r="D32" s="99"/>
      <c r="F32" s="147"/>
      <c r="G32" s="475" t="s">
        <v>380</v>
      </c>
      <c r="V32" s="60">
        <f>'Level3.1 Soil Calc'!F22</f>
        <v>0</v>
      </c>
      <c r="W32" s="143" t="e">
        <f>IF($C$12="Ogata Banks", 'Level3.1 Soil Calc'!X46,IF($C$12="Domenico - Steady state",'Level3.2 Soil Calc'!R47,IF($C$12="Domenico - Time Variant",'Level3.3 Soil Calc'!T47,"error")))</f>
        <v>#DIV/0!</v>
      </c>
      <c r="X32" s="468" t="e">
        <f t="shared" si="0"/>
        <v>#DIV/0!</v>
      </c>
    </row>
    <row r="33" spans="2:24" ht="15" customHeight="1" x14ac:dyDescent="0.25">
      <c r="B33" s="1" t="s">
        <v>27</v>
      </c>
      <c r="C33" s="3" t="s">
        <v>13</v>
      </c>
      <c r="D33" s="316">
        <f>K22</f>
        <v>0</v>
      </c>
      <c r="E33" s="2" t="s">
        <v>23</v>
      </c>
      <c r="F33" s="33" t="s">
        <v>56</v>
      </c>
      <c r="V33" s="60">
        <f>'Level3.1 Soil Calc'!F23</f>
        <v>0</v>
      </c>
      <c r="W33" s="143" t="e">
        <f>IF($C$12="Ogata Banks", 'Level3.1 Soil Calc'!X47,IF($C$12="Domenico - Steady state",'Level3.2 Soil Calc'!R48,IF($C$12="Domenico - Time Variant",'Level3.3 Soil Calc'!T48,"error")))</f>
        <v>#DIV/0!</v>
      </c>
      <c r="X33" s="468" t="e">
        <f t="shared" si="0"/>
        <v>#DIV/0!</v>
      </c>
    </row>
    <row r="34" spans="2:24" ht="15" customHeight="1" x14ac:dyDescent="0.3">
      <c r="B34" s="87" t="s">
        <v>166</v>
      </c>
      <c r="C34" s="3" t="s">
        <v>18</v>
      </c>
      <c r="D34" s="187">
        <f>IF($H$26="Dispersivity based on Xu &amp; Eckstein (1995)",M29,IF($H$26="Dispersivities 10%, 1%, 0.1% of pathway length",L29,IF($H$26="User defined values for dispersivity",K29)))</f>
        <v>0</v>
      </c>
      <c r="E34" s="2" t="s">
        <v>26</v>
      </c>
      <c r="F34" s="33" t="s">
        <v>56</v>
      </c>
      <c r="G34" t="s">
        <v>238</v>
      </c>
      <c r="V34" s="60">
        <f>'Level3.1 Soil Calc'!F24</f>
        <v>0</v>
      </c>
      <c r="W34" s="143" t="e">
        <f>IF($C$12="Ogata Banks", 'Level3.1 Soil Calc'!X48,IF($C$12="Domenico - Steady state",'Level3.2 Soil Calc'!R49,IF($C$12="Domenico - Time Variant",'Level3.3 Soil Calc'!T49,"error")))</f>
        <v>#DIV/0!</v>
      </c>
      <c r="X34" s="468" t="e">
        <f t="shared" si="0"/>
        <v>#DIV/0!</v>
      </c>
    </row>
    <row r="35" spans="2:24" ht="14.25" x14ac:dyDescent="0.2">
      <c r="B35" s="87" t="s">
        <v>167</v>
      </c>
      <c r="C35" s="3" t="s">
        <v>20</v>
      </c>
      <c r="D35" s="187">
        <f>IF($H$26="Dispersivity based on Xu &amp; Eckstein (1995)",M30,IF($H$26="Dispersivities 10%, 1%, 0.1% of pathway length",L30,IF($H$26="User defined values for dispersivity",K30)))</f>
        <v>0</v>
      </c>
      <c r="E35" s="2" t="s">
        <v>26</v>
      </c>
      <c r="F35" s="33" t="s">
        <v>56</v>
      </c>
      <c r="N35" s="520" t="s">
        <v>351</v>
      </c>
      <c r="O35" s="520"/>
      <c r="P35" s="520"/>
      <c r="Q35" s="520"/>
      <c r="R35" s="520"/>
      <c r="S35" s="520"/>
      <c r="T35" s="520"/>
      <c r="U35" s="520"/>
    </row>
    <row r="36" spans="2:24" ht="14.25" x14ac:dyDescent="0.2">
      <c r="B36" s="87" t="s">
        <v>168</v>
      </c>
      <c r="C36" s="3" t="s">
        <v>19</v>
      </c>
      <c r="D36" s="187">
        <f>IF($H$26="Dispersivity based on Xu &amp; Eckstein (1995)",M31,IF($H$26="Dispersivities 10%, 1%, 0.1% of pathway length",L31,IF($H$26="User defined values for dispersivity",K31)))</f>
        <v>0</v>
      </c>
      <c r="E36" s="2" t="s">
        <v>26</v>
      </c>
      <c r="F36" s="33" t="s">
        <v>56</v>
      </c>
      <c r="N36" s="520"/>
      <c r="O36" s="520"/>
      <c r="P36" s="520"/>
      <c r="Q36" s="520"/>
      <c r="R36" s="520"/>
      <c r="S36" s="520"/>
      <c r="T36" s="520"/>
      <c r="U36" s="520"/>
      <c r="X36" s="466"/>
    </row>
    <row r="37" spans="2:24" x14ac:dyDescent="0.2">
      <c r="B37" s="199" t="s">
        <v>353</v>
      </c>
      <c r="D37" s="200"/>
      <c r="N37" s="520"/>
      <c r="O37" s="520"/>
      <c r="P37" s="520"/>
      <c r="Q37" s="520"/>
      <c r="R37" s="520"/>
      <c r="S37" s="520"/>
      <c r="T37" s="520"/>
      <c r="U37" s="520"/>
    </row>
    <row r="38" spans="2:24" x14ac:dyDescent="0.2">
      <c r="B38" s="1"/>
      <c r="D38" s="200" t="str">
        <f>IF('Level2 Soil'!J14&lt;&gt;1,"",IF('Level2 Calc'!C7+'Level3 Soil'!D36&gt;'Level2 Soil'!D19,"Dispersed plume thickness exceeds aquifer thickness specified in Level 2! Reduce vertical dispersivity, or mixing zone thickness",""))</f>
        <v/>
      </c>
      <c r="F38" s="465"/>
      <c r="G38" t="s">
        <v>374</v>
      </c>
      <c r="N38" s="520"/>
      <c r="O38" s="520"/>
      <c r="P38" s="520"/>
      <c r="Q38" s="520"/>
      <c r="R38" s="520"/>
      <c r="S38" s="520"/>
      <c r="T38" s="520"/>
      <c r="U38" s="520"/>
    </row>
    <row r="39" spans="2:24" ht="15.75" x14ac:dyDescent="0.25">
      <c r="B39" s="29" t="s">
        <v>36</v>
      </c>
      <c r="C39" s="6" t="s">
        <v>37</v>
      </c>
      <c r="D39" s="6"/>
      <c r="E39" s="6"/>
      <c r="F39" s="32"/>
      <c r="G39" s="533" t="s">
        <v>381</v>
      </c>
      <c r="H39" s="533"/>
      <c r="I39" s="533"/>
      <c r="J39" s="533"/>
      <c r="N39" s="520"/>
      <c r="O39" s="520"/>
      <c r="P39" s="520"/>
      <c r="Q39" s="520"/>
      <c r="R39" s="520"/>
      <c r="S39" s="520"/>
      <c r="T39" s="520"/>
      <c r="U39" s="520"/>
    </row>
    <row r="40" spans="2:24" ht="14.25" x14ac:dyDescent="0.2">
      <c r="B40" s="1"/>
      <c r="C40" s="3"/>
      <c r="G40" s="533"/>
      <c r="H40" s="533"/>
      <c r="I40" s="533"/>
      <c r="J40" s="533"/>
      <c r="N40" s="520" t="s">
        <v>352</v>
      </c>
      <c r="O40" s="520"/>
      <c r="P40" s="520"/>
      <c r="Q40" s="520"/>
      <c r="R40" s="520"/>
      <c r="S40" s="520"/>
      <c r="T40" s="520"/>
      <c r="U40" s="520"/>
    </row>
    <row r="41" spans="2:24" ht="14.25" x14ac:dyDescent="0.2">
      <c r="B41" s="1" t="s">
        <v>200</v>
      </c>
      <c r="C41" s="4" t="s">
        <v>38</v>
      </c>
      <c r="D41" s="131" t="e">
        <f>'Level3.1 Soil Calc'!C28</f>
        <v>#DIV/0!</v>
      </c>
      <c r="E41" s="2" t="s">
        <v>25</v>
      </c>
      <c r="G41" s="533"/>
      <c r="H41" s="533"/>
      <c r="I41" s="533"/>
      <c r="J41" s="533"/>
      <c r="N41" s="520"/>
      <c r="O41" s="520"/>
      <c r="P41" s="520"/>
      <c r="Q41" s="520"/>
      <c r="R41" s="520"/>
      <c r="S41" s="520"/>
      <c r="T41" s="520"/>
      <c r="U41" s="520"/>
    </row>
    <row r="42" spans="2:24" ht="14.25" x14ac:dyDescent="0.2">
      <c r="B42" s="1" t="s">
        <v>39</v>
      </c>
      <c r="C42" s="4" t="s">
        <v>247</v>
      </c>
      <c r="D42" s="131" t="e">
        <f>1+(D33*D24)/D25</f>
        <v>#DIV/0!</v>
      </c>
      <c r="E42" s="2" t="s">
        <v>79</v>
      </c>
      <c r="G42" s="533"/>
      <c r="H42" s="533"/>
      <c r="I42" s="533"/>
      <c r="J42" s="533"/>
      <c r="K42" s="193" t="s">
        <v>2</v>
      </c>
      <c r="N42" s="81"/>
      <c r="Q42" s="20"/>
      <c r="R42" s="20"/>
    </row>
    <row r="43" spans="2:24" ht="15" x14ac:dyDescent="0.2">
      <c r="B43" s="1" t="s">
        <v>235</v>
      </c>
      <c r="C43" s="5" t="s">
        <v>236</v>
      </c>
      <c r="D43" s="131">
        <f>IF(C15=A15,(D21/D42),(D21))</f>
        <v>1000000</v>
      </c>
      <c r="E43" s="2" t="s">
        <v>239</v>
      </c>
      <c r="G43" s="496"/>
      <c r="H43" s="496"/>
      <c r="I43" s="496"/>
      <c r="J43" s="496"/>
      <c r="K43" s="193" t="s">
        <v>3</v>
      </c>
      <c r="N43" t="s">
        <v>220</v>
      </c>
    </row>
    <row r="44" spans="2:24" x14ac:dyDescent="0.2">
      <c r="B44" s="1" t="s">
        <v>246</v>
      </c>
      <c r="C44" s="195" t="s">
        <v>245</v>
      </c>
      <c r="D44" s="196" t="e">
        <f>'Level2 Soil'!D21*(D9/(D9-1))</f>
        <v>#DIV/0!</v>
      </c>
      <c r="E44" s="2" t="s">
        <v>79</v>
      </c>
      <c r="I44" s="136"/>
      <c r="J44" s="193">
        <f>IF($C$12=K44,1,0)</f>
        <v>1</v>
      </c>
      <c r="K44" s="193" t="s">
        <v>4</v>
      </c>
    </row>
    <row r="45" spans="2:24" x14ac:dyDescent="0.2">
      <c r="B45" s="1" t="s">
        <v>40</v>
      </c>
      <c r="C45" s="194" t="s">
        <v>41</v>
      </c>
      <c r="D45" s="131" t="e">
        <f>'Level3.1 Soil Calc'!C30</f>
        <v>#DIV/0!</v>
      </c>
      <c r="E45" s="2" t="s">
        <v>25</v>
      </c>
    </row>
    <row r="46" spans="2:24" ht="15.75" x14ac:dyDescent="0.3">
      <c r="B46" s="1" t="s">
        <v>170</v>
      </c>
      <c r="C46" s="2" t="s">
        <v>281</v>
      </c>
      <c r="D46" s="131" t="e">
        <f>IF(C12="Ogata Banks",'Level3.1 Soil Calc'!$X$48,IF(C12="Domenico - Steady state",'Level3.2 Soil Calc'!$R$49,IF(C12="Domenico - Time Variant",'Level3.3 Soil Calc'!$T$49,"Error")))</f>
        <v>#DIV/0!</v>
      </c>
      <c r="E46" s="64" t="s">
        <v>79</v>
      </c>
    </row>
    <row r="47" spans="2:24" ht="14.25" x14ac:dyDescent="0.25">
      <c r="B47" s="449" t="s">
        <v>317</v>
      </c>
      <c r="C47" s="6" t="s">
        <v>42</v>
      </c>
      <c r="D47" s="450" t="e">
        <f>IF(D46=0,"No significant breakthrough at compliance point",1/D46)</f>
        <v>#DIV/0!</v>
      </c>
      <c r="E47" s="6" t="s">
        <v>79</v>
      </c>
    </row>
    <row r="48" spans="2:24" x14ac:dyDescent="0.2">
      <c r="B48" s="1" t="str">
        <f>IF(C18="Soil leachate concentration as mg/l","Soil leachate concentration",IF(C18="Soil concentration as mg/kg","Calculated soil leachate concentration",""))</f>
        <v>Soil leachate concentration</v>
      </c>
      <c r="C48" s="2" t="str">
        <f>IF(C18="Soil leachate concentration as mg/l","Co",IF(C18="Soil concentration as mg/kg","Co",""))</f>
        <v>Co</v>
      </c>
      <c r="D48" s="131">
        <f>IF(C18="Soil leachate concentration as mg/l",D19,IF(C18="Soil concentration as mg/kg",D19/'Level1 Calc'!$I$14,""))</f>
        <v>0</v>
      </c>
      <c r="E48" s="2" t="str">
        <f>IF(C47="Soil leachate concentration as mg/l","mg/l",IF(C18="Soil concentration as mg/kg","mg/l",""))</f>
        <v/>
      </c>
      <c r="F48" s="465"/>
      <c r="N48" s="434" t="s">
        <v>143</v>
      </c>
      <c r="O48" s="435"/>
      <c r="P48" s="436" t="str">
        <f>Introduction!$B$28</f>
        <v>Parrys Quarry HRA</v>
      </c>
      <c r="Q48" s="434"/>
      <c r="R48" s="435"/>
      <c r="S48" s="437"/>
    </row>
    <row r="49" spans="2:19" ht="15.75" x14ac:dyDescent="0.25">
      <c r="B49" s="62" t="s">
        <v>115</v>
      </c>
      <c r="N49" s="438" t="s">
        <v>141</v>
      </c>
      <c r="O49" s="439"/>
      <c r="P49" s="440" t="str">
        <f>Introduction!$B$31</f>
        <v>A R Morris</v>
      </c>
      <c r="Q49" s="439"/>
      <c r="R49" s="441"/>
      <c r="S49" s="442"/>
    </row>
    <row r="50" spans="2:19" ht="15" x14ac:dyDescent="0.25">
      <c r="B50" s="155" t="s">
        <v>348</v>
      </c>
      <c r="C50" s="156" t="s">
        <v>94</v>
      </c>
      <c r="D50" s="476" t="e">
        <f>IF(D46=0,"No impact",D47*D9*D8)</f>
        <v>#DIV/0!</v>
      </c>
      <c r="E50" s="157" t="s">
        <v>22</v>
      </c>
      <c r="F50" s="31" t="s">
        <v>161</v>
      </c>
      <c r="N50" s="438" t="s">
        <v>142</v>
      </c>
      <c r="O50" s="439"/>
      <c r="P50" s="443">
        <f>Introduction!$B$32</f>
        <v>43993</v>
      </c>
      <c r="Q50" s="439"/>
      <c r="R50" s="441"/>
      <c r="S50" s="442"/>
    </row>
    <row r="51" spans="2:19" ht="15" x14ac:dyDescent="0.25">
      <c r="B51" s="153" t="str">
        <f>C12</f>
        <v>Domenico - Time Variant</v>
      </c>
      <c r="C51" s="151"/>
      <c r="D51" s="158" t="s">
        <v>149</v>
      </c>
      <c r="E51" s="152"/>
      <c r="F51" s="31" t="s">
        <v>349</v>
      </c>
      <c r="N51" s="444" t="s">
        <v>158</v>
      </c>
      <c r="O51" s="445"/>
      <c r="P51" s="446">
        <f>Introduction!$E$32</f>
        <v>1.01</v>
      </c>
      <c r="Q51" s="445"/>
      <c r="R51" s="445"/>
      <c r="S51" s="447"/>
    </row>
    <row r="52" spans="2:19" ht="15" x14ac:dyDescent="0.25">
      <c r="B52" s="159" t="str">
        <f>IF(AND(D29=0,D30=0),"","Do not use for Remedial Target, y and/or z offset is non zero")</f>
        <v/>
      </c>
      <c r="C52" s="160"/>
      <c r="D52" s="477" t="e">
        <f>IF(D46=0,"No impact",'Level2 Soil'!$D$35*D47)</f>
        <v>#DIV/0!</v>
      </c>
      <c r="E52" s="154" t="s">
        <v>78</v>
      </c>
      <c r="F52" s="31" t="s">
        <v>147</v>
      </c>
    </row>
    <row r="53" spans="2:19" ht="15" x14ac:dyDescent="0.25">
      <c r="B53" s="54" t="s">
        <v>30</v>
      </c>
      <c r="D53" s="53">
        <f>D28</f>
        <v>0</v>
      </c>
      <c r="E53" s="53" t="s">
        <v>26</v>
      </c>
      <c r="F53" s="31" t="s">
        <v>350</v>
      </c>
    </row>
    <row r="54" spans="2:19" x14ac:dyDescent="0.2">
      <c r="D54" s="529" t="str">
        <f>IF(D29&gt;0,"Warning plume offset",IF(D30&gt;0,"Warning plume offset",""))</f>
        <v/>
      </c>
      <c r="E54" s="530"/>
      <c r="F54" s="31" t="s">
        <v>148</v>
      </c>
    </row>
    <row r="55" spans="2:19" ht="15" x14ac:dyDescent="0.25">
      <c r="B55" s="54" t="s">
        <v>170</v>
      </c>
      <c r="C55" s="6" t="s">
        <v>282</v>
      </c>
      <c r="D55" s="143" t="e">
        <f>IF(C12="Ogata Banks",'Level3.1 Soil Calc'!$X$48,IF(C12="Domenico - Steady state",'Level3.2 Soil Calc'!$R$49,IF(C12="Domenico - Time Variant",'Level3.3 Soil Calc'!$T$49,"Error")))</f>
        <v>#DIV/0!</v>
      </c>
      <c r="E55" s="53" t="s">
        <v>79</v>
      </c>
      <c r="F55" s="31" t="str">
        <f>C12</f>
        <v>Domenico - Time Variant</v>
      </c>
    </row>
    <row r="56" spans="2:19" ht="15" x14ac:dyDescent="0.25">
      <c r="B56" s="54" t="str">
        <f>IF(J42=1,"after",IF(J44=1,"after",CHAR(32)))</f>
        <v>after</v>
      </c>
      <c r="D56" s="53">
        <f>IF(J42=1,D31,IF(J44=1,D31,CHAR(32)))</f>
        <v>0</v>
      </c>
      <c r="E56" s="53" t="str">
        <f>IF(J42=1,"days",IF(J44=1,"days",CHAR(32)))</f>
        <v>days</v>
      </c>
    </row>
    <row r="58" spans="2:19" x14ac:dyDescent="0.2">
      <c r="B58" t="s">
        <v>169</v>
      </c>
    </row>
    <row r="59" spans="2:19" x14ac:dyDescent="0.2">
      <c r="B59" t="s">
        <v>255</v>
      </c>
    </row>
    <row r="62" spans="2:19" ht="15" x14ac:dyDescent="0.25">
      <c r="D62" s="129"/>
    </row>
    <row r="66" spans="4:4" x14ac:dyDescent="0.2">
      <c r="D66" s="59"/>
    </row>
  </sheetData>
  <sheetProtection password="CA8F" sheet="1" objects="1" scenarios="1"/>
  <mergeCells count="12">
    <mergeCell ref="B1:E1"/>
    <mergeCell ref="D54:E54"/>
    <mergeCell ref="G6:J6"/>
    <mergeCell ref="D7:E7"/>
    <mergeCell ref="G39:J43"/>
    <mergeCell ref="N40:U41"/>
    <mergeCell ref="N20:T24"/>
    <mergeCell ref="N35:U39"/>
    <mergeCell ref="C12:E12"/>
    <mergeCell ref="H26:K26"/>
    <mergeCell ref="C15:F15"/>
    <mergeCell ref="C18:F18"/>
  </mergeCells>
  <phoneticPr fontId="0" type="noConversion"/>
  <conditionalFormatting sqref="D47">
    <cfRule type="expression" dxfId="47" priority="1" stopIfTrue="1">
      <formula>D46=0</formula>
    </cfRule>
  </conditionalFormatting>
  <conditionalFormatting sqref="D50 D52">
    <cfRule type="expression" dxfId="46" priority="2" stopIfTrue="1">
      <formula>D$46=0</formula>
    </cfRule>
  </conditionalFormatting>
  <conditionalFormatting sqref="D31 D20">
    <cfRule type="expression" dxfId="45" priority="3" stopIfTrue="1">
      <formula>$J$43=1</formula>
    </cfRule>
  </conditionalFormatting>
  <conditionalFormatting sqref="D29:D30">
    <cfRule type="expression" dxfId="44" priority="4" stopIfTrue="1">
      <formula>$J$42=0</formula>
    </cfRule>
  </conditionalFormatting>
  <conditionalFormatting sqref="K11">
    <cfRule type="expression" dxfId="43" priority="5" stopIfTrue="1">
      <formula>$O$2=1</formula>
    </cfRule>
    <cfRule type="expression" dxfId="42" priority="6" stopIfTrue="1">
      <formula>$O$3=1</formula>
    </cfRule>
  </conditionalFormatting>
  <conditionalFormatting sqref="K13:K14">
    <cfRule type="expression" dxfId="41" priority="7" stopIfTrue="1">
      <formula>$O$1=1</formula>
    </cfRule>
    <cfRule type="expression" dxfId="40" priority="8" stopIfTrue="1">
      <formula>$O$3=1</formula>
    </cfRule>
  </conditionalFormatting>
  <conditionalFormatting sqref="K16:K20">
    <cfRule type="expression" dxfId="39" priority="9" stopIfTrue="1">
      <formula>$O$1=1</formula>
    </cfRule>
    <cfRule type="expression" dxfId="38" priority="10" stopIfTrue="1">
      <formula>$O$2=1</formula>
    </cfRule>
  </conditionalFormatting>
  <conditionalFormatting sqref="K29:K31">
    <cfRule type="expression" dxfId="37" priority="11" stopIfTrue="1">
      <formula>$H$26=$L$24</formula>
    </cfRule>
    <cfRule type="expression" dxfId="36" priority="12" stopIfTrue="1">
      <formula>$H$26=$L$25</formula>
    </cfRule>
  </conditionalFormatting>
  <conditionalFormatting sqref="L29:L31">
    <cfRule type="expression" dxfId="35" priority="13" stopIfTrue="1">
      <formula>$H$26=$L$24</formula>
    </cfRule>
    <cfRule type="expression" dxfId="34" priority="14" stopIfTrue="1">
      <formula>$H$26=$L$26</formula>
    </cfRule>
  </conditionalFormatting>
  <conditionalFormatting sqref="M29:M31">
    <cfRule type="expression" dxfId="33" priority="15" stopIfTrue="1">
      <formula>$H$26=$L$25</formula>
    </cfRule>
    <cfRule type="expression" dxfId="32" priority="16" stopIfTrue="1">
      <formula>$H$26=$L$26</formula>
    </cfRule>
  </conditionalFormatting>
  <conditionalFormatting sqref="D22:D23 D26">
    <cfRule type="expression" dxfId="31" priority="17" stopIfTrue="1">
      <formula>$A$27=1</formula>
    </cfRule>
  </conditionalFormatting>
  <conditionalFormatting sqref="D27">
    <cfRule type="expression" dxfId="30" priority="18" stopIfTrue="1">
      <formula>$A$27=1</formula>
    </cfRule>
  </conditionalFormatting>
  <conditionalFormatting sqref="F19">
    <cfRule type="expression" dxfId="29" priority="19" stopIfTrue="1">
      <formula>C19="Co"</formula>
    </cfRule>
  </conditionalFormatting>
  <conditionalFormatting sqref="D19">
    <cfRule type="expression" dxfId="28" priority="20" stopIfTrue="1">
      <formula>C19="Co"</formula>
    </cfRule>
    <cfRule type="expression" dxfId="27" priority="21" stopIfTrue="1">
      <formula>C19&lt;&gt;"Co"</formula>
    </cfRule>
  </conditionalFormatting>
  <dataValidations count="9">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29:D30" xr:uid="{00000000-0002-0000-0400-000000000000}">
      <formula1>0</formula1>
    </dataValidation>
    <dataValidation type="custom" allowBlank="1" showInputMessage="1" showErrorMessage="1" sqref="I3" xr:uid="{00000000-0002-0000-0400-000001000000}">
      <formula1>"&gt;0"</formula1>
    </dataValidation>
    <dataValidation type="list" allowBlank="1" showInputMessage="1" showErrorMessage="1" sqref="C12:E12" xr:uid="{00000000-0002-0000-0400-000002000000}">
      <formula1>$K$42:$K$44</formula1>
    </dataValidation>
    <dataValidation type="decimal" operator="lessThan" allowBlank="1" showInputMessage="1" showErrorMessage="1" errorTitle="Enter foc as a fraction" error="Foc must be entered as a fraction between 0 and 1. Typically it will be less (possibly much less) than 1% of the rock mass (i.e. 0.01)." sqref="K13" xr:uid="{00000000-0002-0000-0400-000003000000}">
      <formula1>1</formula1>
    </dataValidation>
    <dataValidation type="decimal" operator="lessThan" allowBlank="1" showInputMessage="1" showErrorMessage="1" errorTitle="Fraction less than 1" error="Porosity should be expressed as a fraction between 0 and 1. Effective porosity will rarely be greater than 0.4 (40%) and may be as low as 0.01 (1%) in fractured systems." sqref="D25" xr:uid="{00000000-0002-0000-0400-000004000000}">
      <formula1>1</formula1>
    </dataValidation>
    <dataValidation type="list" allowBlank="1" showInputMessage="1" showErrorMessage="1" sqref="G6:J6" xr:uid="{00000000-0002-0000-0400-000005000000}">
      <formula1>$P$1:$P$3</formula1>
    </dataValidation>
    <dataValidation type="list" allowBlank="1" showInputMessage="1" showErrorMessage="1" sqref="H26:K26" xr:uid="{00000000-0002-0000-0400-000006000000}">
      <formula1>$L$24:$L$26</formula1>
    </dataValidation>
    <dataValidation type="list" allowBlank="1" showInputMessage="1" showErrorMessage="1" sqref="C15:F15" xr:uid="{00000000-0002-0000-0400-000007000000}">
      <formula1>$A$15:$A$16</formula1>
    </dataValidation>
    <dataValidation type="list" allowBlank="1" showInputMessage="1" showErrorMessage="1" sqref="C18:F18" xr:uid="{00000000-0002-0000-0400-000008000000}">
      <formula1>$A$18:$A$20</formula1>
    </dataValidation>
  </dataValidations>
  <pageMargins left="0.74803149606299213" right="0.74803149606299213" top="0.98425196850393704" bottom="0.98425196850393704" header="0.51181102362204722" footer="0.51181102362204722"/>
  <pageSetup paperSize="9" scale="39" orientation="landscape" horizontalDpi="4294967292"/>
  <headerFooter alignWithMargins="0">
    <oddFooter>&amp;L Remedial targets worksheet v3.1&amp;R&amp;D,&amp;T
&amp;F</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M53"/>
  <sheetViews>
    <sheetView topLeftCell="A3" zoomScale="90" workbookViewId="0">
      <selection activeCell="D14" sqref="D14"/>
    </sheetView>
  </sheetViews>
  <sheetFormatPr defaultRowHeight="12.75" x14ac:dyDescent="0.2"/>
  <cols>
    <col min="1" max="1" width="34.28515625" style="296" customWidth="1"/>
    <col min="2" max="2" width="26.42578125" style="296" customWidth="1"/>
    <col min="3" max="3" width="7" style="296" customWidth="1"/>
    <col min="4" max="4" width="11.28515625" style="297" customWidth="1"/>
    <col min="5" max="5" width="18.5703125" style="296" customWidth="1"/>
    <col min="6" max="16384" width="9.140625" style="296"/>
  </cols>
  <sheetData>
    <row r="1" spans="1:13" ht="20.25" x14ac:dyDescent="0.3">
      <c r="A1" s="534" t="s">
        <v>383</v>
      </c>
      <c r="B1" s="534"/>
      <c r="C1" s="534"/>
      <c r="D1" s="534"/>
      <c r="E1" s="534"/>
      <c r="F1" s="534"/>
      <c r="G1" s="534"/>
      <c r="H1" s="534"/>
      <c r="I1" s="534"/>
      <c r="J1" s="534"/>
      <c r="K1" s="534"/>
      <c r="L1" s="534"/>
      <c r="M1" s="534"/>
    </row>
    <row r="3" spans="1:13" ht="18" x14ac:dyDescent="0.25">
      <c r="A3" s="535" t="s">
        <v>240</v>
      </c>
      <c r="B3" s="535"/>
      <c r="C3" s="535"/>
      <c r="D3" s="535"/>
      <c r="E3" s="535"/>
      <c r="F3" s="535"/>
      <c r="G3" s="535"/>
      <c r="H3" s="535"/>
    </row>
    <row r="4" spans="1:13" x14ac:dyDescent="0.2">
      <c r="A4" s="296" t="s">
        <v>227</v>
      </c>
    </row>
    <row r="5" spans="1:13" x14ac:dyDescent="0.2">
      <c r="F5" s="298"/>
    </row>
    <row r="6" spans="1:13" x14ac:dyDescent="0.2">
      <c r="B6" s="299" t="s">
        <v>5</v>
      </c>
      <c r="F6" s="298"/>
    </row>
    <row r="7" spans="1:13" ht="18.75" x14ac:dyDescent="0.35">
      <c r="B7" s="299" t="s">
        <v>225</v>
      </c>
      <c r="C7" s="300" t="s">
        <v>232</v>
      </c>
      <c r="D7" s="326">
        <v>2.5</v>
      </c>
      <c r="E7" s="301" t="s">
        <v>78</v>
      </c>
    </row>
    <row r="9" spans="1:13" ht="15" x14ac:dyDescent="0.25">
      <c r="A9" s="313" t="s">
        <v>360</v>
      </c>
      <c r="B9" s="299"/>
      <c r="C9" s="302"/>
      <c r="D9" s="303"/>
      <c r="E9" s="301"/>
    </row>
    <row r="10" spans="1:13" ht="18.75" x14ac:dyDescent="0.2">
      <c r="B10" s="304" t="s">
        <v>177</v>
      </c>
      <c r="C10" s="305" t="s">
        <v>137</v>
      </c>
      <c r="D10" s="473">
        <f>'Level1 Soil'!D13</f>
        <v>0</v>
      </c>
      <c r="E10" s="306" t="s">
        <v>79</v>
      </c>
    </row>
    <row r="11" spans="1:13" ht="15" x14ac:dyDescent="0.2">
      <c r="B11" s="304" t="s">
        <v>178</v>
      </c>
      <c r="C11" s="305" t="s">
        <v>87</v>
      </c>
      <c r="D11" s="473">
        <f>'Level1 Soil'!D14</f>
        <v>0</v>
      </c>
      <c r="E11" s="306" t="s">
        <v>79</v>
      </c>
    </row>
    <row r="12" spans="1:13" ht="15" x14ac:dyDescent="0.2">
      <c r="B12" s="304" t="s">
        <v>28</v>
      </c>
      <c r="C12" s="305" t="s">
        <v>35</v>
      </c>
      <c r="D12" s="473">
        <f>'Level1 Soil'!D15</f>
        <v>0</v>
      </c>
      <c r="E12" s="306" t="s">
        <v>81</v>
      </c>
    </row>
    <row r="13" spans="1:13" ht="14.25" x14ac:dyDescent="0.2">
      <c r="B13" s="304" t="s">
        <v>75</v>
      </c>
      <c r="C13" s="307" t="s">
        <v>82</v>
      </c>
      <c r="D13" s="473">
        <f>'Level1 Soil'!D16</f>
        <v>0</v>
      </c>
      <c r="E13" s="306" t="s">
        <v>80</v>
      </c>
    </row>
    <row r="14" spans="1:13" x14ac:dyDescent="0.2">
      <c r="B14" s="308" t="s">
        <v>337</v>
      </c>
      <c r="C14" s="303" t="s">
        <v>13</v>
      </c>
      <c r="D14" s="473">
        <f>'Level1 Soil'!$D$29</f>
        <v>0</v>
      </c>
      <c r="E14" s="309" t="s">
        <v>23</v>
      </c>
    </row>
    <row r="15" spans="1:13" x14ac:dyDescent="0.2">
      <c r="B15" s="299" t="s">
        <v>226</v>
      </c>
      <c r="D15" s="474" t="e">
        <f>+(D14+(D10+D11*D13)/D12)</f>
        <v>#DIV/0!</v>
      </c>
      <c r="E15" s="306" t="s">
        <v>80</v>
      </c>
    </row>
    <row r="16" spans="1:13" x14ac:dyDescent="0.2">
      <c r="B16" s="299"/>
    </row>
    <row r="17" spans="1:6" x14ac:dyDescent="0.2">
      <c r="A17" s="313" t="s">
        <v>361</v>
      </c>
      <c r="B17" s="310" t="str">
        <f>'Level2 Soil'!B31</f>
        <v xml:space="preserve">Dilution Factor </v>
      </c>
      <c r="C17" s="297" t="str">
        <f>'Level2 Soil'!C31</f>
        <v>DF</v>
      </c>
      <c r="D17" s="451" t="e">
        <f>'Level2 Soil'!D31</f>
        <v>#DIV/0!</v>
      </c>
      <c r="E17" s="297"/>
    </row>
    <row r="18" spans="1:6" ht="14.25" x14ac:dyDescent="0.2">
      <c r="B18" s="299"/>
      <c r="C18" s="311"/>
      <c r="D18" s="183"/>
      <c r="E18" s="301"/>
    </row>
    <row r="19" spans="1:6" ht="14.25" x14ac:dyDescent="0.25">
      <c r="A19" s="313" t="s">
        <v>362</v>
      </c>
      <c r="B19" s="310" t="s">
        <v>317</v>
      </c>
      <c r="C19" s="297" t="str">
        <f>'Level3 Soil'!C47</f>
        <v>AF</v>
      </c>
      <c r="D19" s="451" t="e">
        <f>'Level3 Soil'!D47</f>
        <v>#DIV/0!</v>
      </c>
      <c r="E19" s="301"/>
    </row>
    <row r="20" spans="1:6" x14ac:dyDescent="0.2">
      <c r="D20" s="131"/>
    </row>
    <row r="21" spans="1:6" ht="15.75" x14ac:dyDescent="0.25">
      <c r="A21" s="312" t="s">
        <v>251</v>
      </c>
      <c r="D21" s="131"/>
    </row>
    <row r="22" spans="1:6" x14ac:dyDescent="0.2">
      <c r="B22" s="313" t="s">
        <v>363</v>
      </c>
      <c r="C22" s="297" t="s">
        <v>228</v>
      </c>
      <c r="D22" s="451" t="e">
        <f>D7/D15</f>
        <v>#DIV/0!</v>
      </c>
      <c r="E22" s="296" t="s">
        <v>22</v>
      </c>
      <c r="F22" s="296" t="s">
        <v>230</v>
      </c>
    </row>
    <row r="23" spans="1:6" x14ac:dyDescent="0.2">
      <c r="D23" s="131"/>
    </row>
    <row r="24" spans="1:6" x14ac:dyDescent="0.2">
      <c r="B24" s="313" t="s">
        <v>364</v>
      </c>
      <c r="C24" s="297" t="s">
        <v>228</v>
      </c>
      <c r="D24" s="451" t="e">
        <f>D22/D17</f>
        <v>#DIV/0!</v>
      </c>
      <c r="E24" s="296" t="s">
        <v>22</v>
      </c>
      <c r="F24" s="296" t="s">
        <v>229</v>
      </c>
    </row>
    <row r="25" spans="1:6" x14ac:dyDescent="0.2">
      <c r="D25" s="131"/>
    </row>
    <row r="26" spans="1:6" x14ac:dyDescent="0.2">
      <c r="B26" s="313" t="s">
        <v>365</v>
      </c>
      <c r="C26" s="297" t="s">
        <v>228</v>
      </c>
      <c r="D26" s="451" t="e">
        <f>D24/D19</f>
        <v>#DIV/0!</v>
      </c>
      <c r="E26" s="296" t="s">
        <v>22</v>
      </c>
      <c r="F26" s="296" t="s">
        <v>231</v>
      </c>
    </row>
    <row r="27" spans="1:6" x14ac:dyDescent="0.2">
      <c r="B27" s="313"/>
    </row>
    <row r="30" spans="1:6" ht="15.75" x14ac:dyDescent="0.25">
      <c r="A30" s="312" t="s">
        <v>366</v>
      </c>
    </row>
    <row r="32" spans="1:6" x14ac:dyDescent="0.2">
      <c r="D32" s="297" t="s">
        <v>318</v>
      </c>
      <c r="E32" s="297" t="s">
        <v>309</v>
      </c>
    </row>
    <row r="33" spans="4:5" x14ac:dyDescent="0.2">
      <c r="D33" s="297">
        <v>0</v>
      </c>
      <c r="E33" s="131" t="e">
        <f>D24</f>
        <v>#DIV/0!</v>
      </c>
    </row>
    <row r="34" spans="4:5" x14ac:dyDescent="0.2">
      <c r="D34" s="297">
        <f>'Level3 Soil'!V15</f>
        <v>0</v>
      </c>
      <c r="E34" s="131" t="e">
        <f>'Level3 Soil'!W15*E$33</f>
        <v>#DIV/0!</v>
      </c>
    </row>
    <row r="35" spans="4:5" x14ac:dyDescent="0.2">
      <c r="D35" s="297">
        <f>'Level3 Soil'!V16</f>
        <v>0</v>
      </c>
      <c r="E35" s="131" t="e">
        <f>'Level3 Soil'!W16*E$33</f>
        <v>#DIV/0!</v>
      </c>
    </row>
    <row r="36" spans="4:5" x14ac:dyDescent="0.2">
      <c r="D36" s="297">
        <f>'Level3 Soil'!V17</f>
        <v>0</v>
      </c>
      <c r="E36" s="131" t="e">
        <f>'Level3 Soil'!W17*E$33</f>
        <v>#DIV/0!</v>
      </c>
    </row>
    <row r="37" spans="4:5" x14ac:dyDescent="0.2">
      <c r="D37" s="297">
        <f>'Level3 Soil'!V18</f>
        <v>0</v>
      </c>
      <c r="E37" s="131" t="e">
        <f>'Level3 Soil'!W18*E$33</f>
        <v>#DIV/0!</v>
      </c>
    </row>
    <row r="38" spans="4:5" x14ac:dyDescent="0.2">
      <c r="D38" s="297">
        <f>'Level3 Soil'!V19</f>
        <v>0</v>
      </c>
      <c r="E38" s="131" t="e">
        <f>'Level3 Soil'!W19*E$33</f>
        <v>#DIV/0!</v>
      </c>
    </row>
    <row r="39" spans="4:5" x14ac:dyDescent="0.2">
      <c r="D39" s="297">
        <f>'Level3 Soil'!V20</f>
        <v>0</v>
      </c>
      <c r="E39" s="131" t="e">
        <f>'Level3 Soil'!W20*E$33</f>
        <v>#DIV/0!</v>
      </c>
    </row>
    <row r="40" spans="4:5" x14ac:dyDescent="0.2">
      <c r="D40" s="297">
        <f>'Level3 Soil'!V21</f>
        <v>0</v>
      </c>
      <c r="E40" s="131" t="e">
        <f>'Level3 Soil'!W21*E$33</f>
        <v>#DIV/0!</v>
      </c>
    </row>
    <row r="41" spans="4:5" x14ac:dyDescent="0.2">
      <c r="D41" s="297">
        <f>'Level3 Soil'!V22</f>
        <v>0</v>
      </c>
      <c r="E41" s="131" t="e">
        <f>'Level3 Soil'!W22*E$33</f>
        <v>#DIV/0!</v>
      </c>
    </row>
    <row r="42" spans="4:5" x14ac:dyDescent="0.2">
      <c r="D42" s="297">
        <f>'Level3 Soil'!V23</f>
        <v>0</v>
      </c>
      <c r="E42" s="131" t="e">
        <f>'Level3 Soil'!W23*E$33</f>
        <v>#DIV/0!</v>
      </c>
    </row>
    <row r="43" spans="4:5" x14ac:dyDescent="0.2">
      <c r="D43" s="297">
        <f>'Level3 Soil'!V24</f>
        <v>0</v>
      </c>
      <c r="E43" s="131" t="e">
        <f>'Level3 Soil'!W24*E$33</f>
        <v>#DIV/0!</v>
      </c>
    </row>
    <row r="44" spans="4:5" x14ac:dyDescent="0.2">
      <c r="D44" s="297">
        <f>'Level3 Soil'!V25</f>
        <v>0</v>
      </c>
      <c r="E44" s="131" t="e">
        <f>'Level3 Soil'!W25*E$33</f>
        <v>#DIV/0!</v>
      </c>
    </row>
    <row r="45" spans="4:5" x14ac:dyDescent="0.2">
      <c r="D45" s="297">
        <f>'Level3 Soil'!V26</f>
        <v>0</v>
      </c>
      <c r="E45" s="131" t="e">
        <f>'Level3 Soil'!W26*E$33</f>
        <v>#DIV/0!</v>
      </c>
    </row>
    <row r="46" spans="4:5" x14ac:dyDescent="0.2">
      <c r="D46" s="297">
        <f>'Level3 Soil'!V27</f>
        <v>0</v>
      </c>
      <c r="E46" s="131" t="e">
        <f>'Level3 Soil'!W27*E$33</f>
        <v>#DIV/0!</v>
      </c>
    </row>
    <row r="47" spans="4:5" x14ac:dyDescent="0.2">
      <c r="D47" s="297">
        <f>'Level3 Soil'!V28</f>
        <v>0</v>
      </c>
      <c r="E47" s="131" t="e">
        <f>'Level3 Soil'!W28*E$33</f>
        <v>#DIV/0!</v>
      </c>
    </row>
    <row r="48" spans="4:5" x14ac:dyDescent="0.2">
      <c r="D48" s="297">
        <f>'Level3 Soil'!V29</f>
        <v>0</v>
      </c>
      <c r="E48" s="131" t="e">
        <f>'Level3 Soil'!W29*E$33</f>
        <v>#DIV/0!</v>
      </c>
    </row>
    <row r="49" spans="4:5" x14ac:dyDescent="0.2">
      <c r="D49" s="297">
        <f>'Level3 Soil'!V30</f>
        <v>0</v>
      </c>
      <c r="E49" s="131" t="e">
        <f>'Level3 Soil'!W30*E$33</f>
        <v>#DIV/0!</v>
      </c>
    </row>
    <row r="50" spans="4:5" x14ac:dyDescent="0.2">
      <c r="D50" s="297">
        <f>'Level3 Soil'!V31</f>
        <v>0</v>
      </c>
      <c r="E50" s="131" t="e">
        <f>'Level3 Soil'!W31*E$33</f>
        <v>#DIV/0!</v>
      </c>
    </row>
    <row r="51" spans="4:5" x14ac:dyDescent="0.2">
      <c r="D51" s="297">
        <f>'Level3 Soil'!V32</f>
        <v>0</v>
      </c>
      <c r="E51" s="131" t="e">
        <f>'Level3 Soil'!W32*E$33</f>
        <v>#DIV/0!</v>
      </c>
    </row>
    <row r="52" spans="4:5" x14ac:dyDescent="0.2">
      <c r="D52" s="297">
        <f>'Level3 Soil'!V33</f>
        <v>0</v>
      </c>
      <c r="E52" s="131" t="e">
        <f>'Level3 Soil'!W33*E$33</f>
        <v>#DIV/0!</v>
      </c>
    </row>
    <row r="53" spans="4:5" x14ac:dyDescent="0.2">
      <c r="D53" s="297">
        <f>'Level3 Soil'!V34</f>
        <v>0</v>
      </c>
      <c r="E53" s="131" t="e">
        <f>'Level3 Soil'!W34*E$33</f>
        <v>#DIV/0!</v>
      </c>
    </row>
  </sheetData>
  <sheetProtection password="CA8F" sheet="1" objects="1" scenarios="1"/>
  <mergeCells count="2">
    <mergeCell ref="A1:M1"/>
    <mergeCell ref="A3:H3"/>
  </mergeCells>
  <phoneticPr fontId="0" type="noConversion"/>
  <pageMargins left="0.75" right="0.75" top="1" bottom="1" header="0.5" footer="0.5"/>
  <pageSetup paperSize="9" scale="64" orientation="landscape" horizontalDpi="4294967292"/>
  <headerFooter alignWithMargins="0">
    <oddFooter>&amp;L Remedial targets worksheet v3.1&amp;R&amp;D, &amp;T
&amp;F&amp;A</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AC60"/>
  <sheetViews>
    <sheetView tabSelected="1" zoomScale="65" workbookViewId="0">
      <selection activeCell="L40" sqref="L40"/>
    </sheetView>
  </sheetViews>
  <sheetFormatPr defaultRowHeight="12.75" x14ac:dyDescent="0.2"/>
  <cols>
    <col min="2" max="2" width="58.28515625" customWidth="1"/>
    <col min="3" max="3" width="8.7109375" style="2" customWidth="1"/>
    <col min="4" max="4" width="16.42578125" style="2" customWidth="1"/>
    <col min="5" max="5" width="9.140625" style="2"/>
    <col min="6" max="6" width="34.5703125" style="31" customWidth="1"/>
    <col min="9" max="9" width="17.28515625" customWidth="1"/>
    <col min="10" max="10" width="11" customWidth="1"/>
    <col min="11" max="11" width="15" customWidth="1"/>
    <col min="13" max="13" width="12.7109375" bestFit="1" customWidth="1"/>
    <col min="14" max="14" width="7" customWidth="1"/>
    <col min="18" max="18" width="9.42578125" bestFit="1" customWidth="1"/>
    <col min="20" max="20" width="12.28515625" customWidth="1"/>
    <col min="21" max="21" width="14.5703125" customWidth="1"/>
    <col min="22" max="22" width="2.85546875" customWidth="1"/>
    <col min="23" max="23" width="13.140625" customWidth="1"/>
    <col min="24" max="24" width="17.7109375" customWidth="1"/>
  </cols>
  <sheetData>
    <row r="1" spans="1:29" x14ac:dyDescent="0.2">
      <c r="A1" t="s">
        <v>94</v>
      </c>
      <c r="D1" s="2" t="s">
        <v>171</v>
      </c>
    </row>
    <row r="2" spans="1:29" ht="20.25" x14ac:dyDescent="0.3">
      <c r="B2" s="17" t="s">
        <v>384</v>
      </c>
      <c r="N2" s="193">
        <f>IF($H$7=O2,1,0)</f>
        <v>1</v>
      </c>
      <c r="O2" s="320" t="s">
        <v>254</v>
      </c>
    </row>
    <row r="3" spans="1:29" x14ac:dyDescent="0.2">
      <c r="N3" s="193">
        <f>IF($H$7=O3,1,0)</f>
        <v>0</v>
      </c>
      <c r="O3" s="320" t="s">
        <v>93</v>
      </c>
    </row>
    <row r="4" spans="1:29" ht="20.25" x14ac:dyDescent="0.3">
      <c r="B4" s="19" t="s">
        <v>331</v>
      </c>
      <c r="C4" s="2" t="s">
        <v>376</v>
      </c>
      <c r="N4" s="193">
        <f>IF($H$7=O4,1,0)</f>
        <v>0</v>
      </c>
      <c r="O4" s="320" t="s">
        <v>321</v>
      </c>
    </row>
    <row r="5" spans="1:29" ht="20.25" x14ac:dyDescent="0.3">
      <c r="B5" s="19"/>
    </row>
    <row r="6" spans="1:29" ht="15.75" x14ac:dyDescent="0.25">
      <c r="B6" s="29" t="s">
        <v>270</v>
      </c>
      <c r="C6" s="6" t="s">
        <v>37</v>
      </c>
      <c r="D6" s="6" t="s">
        <v>11</v>
      </c>
      <c r="E6" s="6" t="s">
        <v>10</v>
      </c>
      <c r="F6" s="32" t="s">
        <v>12</v>
      </c>
      <c r="G6" s="122" t="s">
        <v>269</v>
      </c>
    </row>
    <row r="7" spans="1:29" ht="21.75" customHeight="1" x14ac:dyDescent="0.25">
      <c r="C7" s="3"/>
      <c r="H7" s="508" t="s">
        <v>254</v>
      </c>
      <c r="I7" s="536"/>
      <c r="J7" s="536"/>
      <c r="K7" s="537"/>
      <c r="W7" s="63" t="s">
        <v>162</v>
      </c>
    </row>
    <row r="8" spans="1:29" ht="15" x14ac:dyDescent="0.25">
      <c r="B8" s="58" t="s">
        <v>89</v>
      </c>
      <c r="C8" s="16"/>
      <c r="D8" s="531" t="str">
        <f>Introduction!B34</f>
        <v>SO4</v>
      </c>
      <c r="E8" s="532"/>
      <c r="F8" s="31" t="s">
        <v>344</v>
      </c>
      <c r="H8" s="20"/>
      <c r="I8" s="21"/>
      <c r="J8" s="20"/>
      <c r="L8" s="20"/>
      <c r="M8" s="20"/>
      <c r="W8" s="63" t="s">
        <v>163</v>
      </c>
    </row>
    <row r="9" spans="1:29" ht="16.5" x14ac:dyDescent="0.3">
      <c r="B9" s="58" t="s">
        <v>6</v>
      </c>
      <c r="C9" s="53" t="s">
        <v>97</v>
      </c>
      <c r="D9" s="402">
        <f>Introduction!B35</f>
        <v>400</v>
      </c>
      <c r="E9" s="2" t="s">
        <v>22</v>
      </c>
      <c r="F9" s="31" t="s">
        <v>344</v>
      </c>
      <c r="G9" s="100" t="s">
        <v>101</v>
      </c>
      <c r="J9" s="34"/>
      <c r="K9" s="101"/>
      <c r="L9" s="49"/>
      <c r="M9" s="49"/>
      <c r="P9" s="20"/>
    </row>
    <row r="10" spans="1:29" x14ac:dyDescent="0.2">
      <c r="D10"/>
      <c r="E10"/>
      <c r="F10"/>
      <c r="G10" s="56" t="s">
        <v>90</v>
      </c>
      <c r="J10" s="8" t="s">
        <v>13</v>
      </c>
      <c r="K10" s="148">
        <v>0.96199999999999997</v>
      </c>
      <c r="L10" s="49" t="s">
        <v>23</v>
      </c>
      <c r="M10" s="49"/>
      <c r="P10" t="str">
        <f>CHAR(32)</f>
        <v xml:space="preserve"> </v>
      </c>
      <c r="W10" s="32" t="str">
        <f>C13</f>
        <v>Domenico - Time Variant</v>
      </c>
      <c r="X10" s="16"/>
    </row>
    <row r="11" spans="1:29" ht="14.25" x14ac:dyDescent="0.2">
      <c r="G11" s="100" t="s">
        <v>92</v>
      </c>
      <c r="J11" s="34"/>
      <c r="K11" s="102"/>
      <c r="L11" s="49"/>
      <c r="M11" s="49"/>
      <c r="W11" s="16" t="s">
        <v>118</v>
      </c>
      <c r="X11" s="16"/>
    </row>
    <row r="12" spans="1:29" ht="15.75" x14ac:dyDescent="0.25">
      <c r="B12" s="339" t="s">
        <v>278</v>
      </c>
      <c r="G12" s="57" t="s">
        <v>154</v>
      </c>
      <c r="J12" s="42" t="s">
        <v>53</v>
      </c>
      <c r="K12" s="148">
        <v>0</v>
      </c>
      <c r="L12" s="49" t="s">
        <v>79</v>
      </c>
      <c r="M12" s="49"/>
      <c r="W12" s="16" t="s">
        <v>116</v>
      </c>
      <c r="X12" s="16" t="s">
        <v>117</v>
      </c>
    </row>
    <row r="13" spans="1:29" ht="24.75" customHeight="1" x14ac:dyDescent="0.25">
      <c r="B13" s="1"/>
      <c r="C13" s="508" t="s">
        <v>4</v>
      </c>
      <c r="D13" s="522"/>
      <c r="E13" s="509"/>
      <c r="F13" s="32" t="s">
        <v>379</v>
      </c>
      <c r="G13" s="57" t="s">
        <v>55</v>
      </c>
      <c r="J13" s="42" t="s">
        <v>175</v>
      </c>
      <c r="K13" s="148">
        <v>0</v>
      </c>
      <c r="L13" s="49" t="s">
        <v>23</v>
      </c>
      <c r="M13" s="49"/>
      <c r="W13" s="86"/>
      <c r="X13" s="129" t="s">
        <v>22</v>
      </c>
    </row>
    <row r="14" spans="1:29" ht="15" customHeight="1" x14ac:dyDescent="0.25">
      <c r="B14" s="1"/>
      <c r="E14" s="195">
        <v>0</v>
      </c>
      <c r="G14" s="100" t="s">
        <v>91</v>
      </c>
      <c r="J14" s="34"/>
      <c r="K14" s="102"/>
      <c r="L14" s="49"/>
      <c r="M14" s="49"/>
      <c r="W14" s="86">
        <v>0</v>
      </c>
      <c r="X14" s="129">
        <f>D20</f>
        <v>100</v>
      </c>
    </row>
    <row r="15" spans="1:29" ht="15" customHeight="1" x14ac:dyDescent="0.25">
      <c r="A15" s="403" t="s">
        <v>311</v>
      </c>
      <c r="B15" s="318" t="s">
        <v>310</v>
      </c>
      <c r="C15" s="523" t="s">
        <v>311</v>
      </c>
      <c r="D15" s="524"/>
      <c r="E15" s="524"/>
      <c r="F15" s="525"/>
      <c r="G15" s="56" t="s">
        <v>182</v>
      </c>
      <c r="J15" s="34" t="s">
        <v>85</v>
      </c>
      <c r="K15" s="148">
        <v>0</v>
      </c>
      <c r="L15" s="49" t="s">
        <v>23</v>
      </c>
      <c r="M15" s="49"/>
      <c r="W15" s="60">
        <f>IF($C$13="Ogata Banks",'Level3.1 G. Calc'!$F5,IF($C$13="Domenico - Steady state",'Level3.2 G. Calc'!$F5,IF($C$13="Domenico - Time Variant",'Level3.3 G. Calc'!$F6,"Error")))</f>
        <v>0.05</v>
      </c>
      <c r="X15" s="143">
        <f>IF($C$13="Ogata Banks",'Level3.1 G. Calc'!$X56,IF($C$13="Domenico - Steady state",'Level3.2 G. Calc'!$R56,IF($C$13="Domenico - Time Variant",'Level3.3 G. Calc'!$T56,"Error")))</f>
        <v>97.853489922801089</v>
      </c>
      <c r="AC15" s="401"/>
    </row>
    <row r="16" spans="1:29" ht="15" customHeight="1" x14ac:dyDescent="0.25">
      <c r="A16" s="403" t="s">
        <v>312</v>
      </c>
      <c r="B16" s="1"/>
      <c r="D16" s="184"/>
      <c r="E16" s="195">
        <v>2</v>
      </c>
      <c r="G16" s="56" t="s">
        <v>180</v>
      </c>
      <c r="J16" s="34" t="s">
        <v>86</v>
      </c>
      <c r="K16" s="148">
        <v>0</v>
      </c>
      <c r="L16" s="49" t="s">
        <v>23</v>
      </c>
      <c r="M16" s="49"/>
      <c r="W16" s="60">
        <f>IF($C$13="Ogata Banks",'Level3.1 G. Calc'!$F6,IF($C$13="Domenico - Steady state",'Level3.2 G. Calc'!$F6,IF($C$13="Domenico - Time Variant",'Level3.3 G. Calc'!$F7,"Error")))</f>
        <v>0.1</v>
      </c>
      <c r="X16" s="143">
        <f>IF($C$13="Ogata Banks",'Level3.1 G. Calc'!$X57,IF($C$13="Domenico - Steady state",'Level3.2 G. Calc'!$R57,IF($C$13="Domenico - Time Variant",'Level3.3 G. Calc'!$T57,"Error")))</f>
        <v>97.178038491006262</v>
      </c>
      <c r="AB16" s="404"/>
      <c r="AC16" s="401"/>
    </row>
    <row r="17" spans="1:24" ht="15" customHeight="1" x14ac:dyDescent="0.25">
      <c r="B17" s="339" t="s">
        <v>279</v>
      </c>
      <c r="D17" s="184"/>
      <c r="G17" s="56" t="s">
        <v>76</v>
      </c>
      <c r="J17" s="34" t="s">
        <v>83</v>
      </c>
      <c r="K17" s="148">
        <v>0</v>
      </c>
      <c r="L17" s="49"/>
      <c r="M17" s="49"/>
      <c r="W17" s="60">
        <f>IF($C$13="Ogata Banks",'Level3.1 G. Calc'!$F7,IF($C$13="Domenico - Steady state",'Level3.2 G. Calc'!$F7,IF($C$13="Domenico - Time Variant",'Level3.3 G. Calc'!$F8,"Error")))</f>
        <v>0.15000000000000002</v>
      </c>
      <c r="X17" s="143">
        <f>IF($C$13="Ogata Banks",'Level3.1 G. Calc'!$X58,IF($C$13="Domenico - Steady state",'Level3.2 G. Calc'!$R58,IF($C$13="Domenico - Time Variant",'Level3.3 G. Calc'!$T58,"Error")))</f>
        <v>96.33428292121971</v>
      </c>
    </row>
    <row r="18" spans="1:24" ht="15" customHeight="1" x14ac:dyDescent="0.25">
      <c r="A18" s="320" t="s">
        <v>308</v>
      </c>
      <c r="B18" s="318" t="s">
        <v>304</v>
      </c>
      <c r="C18" s="526" t="s">
        <v>308</v>
      </c>
      <c r="D18" s="527"/>
      <c r="E18" s="527"/>
      <c r="F18" s="528"/>
      <c r="G18" s="56" t="s">
        <v>77</v>
      </c>
      <c r="J18" s="34" t="s">
        <v>84</v>
      </c>
      <c r="K18" s="148">
        <v>0</v>
      </c>
      <c r="L18" s="49"/>
      <c r="M18" s="49"/>
      <c r="W18" s="60">
        <f>IF($C$13="Ogata Banks",'Level3.1 G. Calc'!$F8,IF($C$13="Domenico - Steady state",'Level3.2 G. Calc'!$F8,IF($C$13="Domenico - Time Variant",'Level3.3 G. Calc'!$F9,"Error")))</f>
        <v>0.2</v>
      </c>
      <c r="X18" s="143">
        <f>IF($C$13="Ogata Banks",'Level3.1 G. Calc'!$X59,IF($C$13="Domenico - Steady state",'Level3.2 G. Calc'!$R59,IF($C$13="Domenico - Time Variant",'Level3.3 G. Calc'!$T59,"Error")))</f>
        <v>95.294541810078442</v>
      </c>
    </row>
    <row r="19" spans="1:24" ht="15" customHeight="1" x14ac:dyDescent="0.25">
      <c r="A19" s="320" t="s">
        <v>378</v>
      </c>
      <c r="B19" s="318"/>
      <c r="C19" s="3"/>
      <c r="F19" s="32" t="s">
        <v>100</v>
      </c>
      <c r="G19" s="57" t="s">
        <v>154</v>
      </c>
      <c r="J19" s="42" t="s">
        <v>53</v>
      </c>
      <c r="K19" s="148">
        <v>0</v>
      </c>
      <c r="L19" s="49" t="s">
        <v>79</v>
      </c>
      <c r="W19" s="60">
        <f>IF($C$13="Ogata Banks",'Level3.1 G. Calc'!$F9,IF($C$13="Domenico - Steady state",'Level3.2 G. Calc'!$F9,IF($C$13="Domenico - Time Variant",'Level3.3 G. Calc'!$F10,"Error")))</f>
        <v>0.25</v>
      </c>
      <c r="X19" s="143">
        <f>IF($C$13="Ogata Banks",'Level3.1 G. Calc'!$X60,IF($C$13="Domenico - Steady state",'Level3.2 G. Calc'!$R60,IF($C$13="Domenico - Time Variant",'Level3.3 G. Calc'!$T60,"Error")))</f>
        <v>94.030621132007312</v>
      </c>
    </row>
    <row r="20" spans="1:24" ht="15" customHeight="1" x14ac:dyDescent="0.35">
      <c r="B20" s="1" t="s">
        <v>275</v>
      </c>
      <c r="C20" s="3" t="s">
        <v>232</v>
      </c>
      <c r="D20" s="142">
        <v>100</v>
      </c>
      <c r="E20" s="2" t="s">
        <v>22</v>
      </c>
      <c r="F20" s="180" t="s">
        <v>393</v>
      </c>
      <c r="M20" s="8"/>
      <c r="W20" s="60">
        <f>IF($C$13="Ogata Banks",'Level3.1 G. Calc'!$F10,IF($C$13="Domenico - Steady state",'Level3.2 G. Calc'!$F10,IF($C$13="Domenico - Time Variant",'Level3.3 G. Calc'!$F11,"Error")))</f>
        <v>0.30000000000000004</v>
      </c>
      <c r="X20" s="143">
        <f>IF($C$13="Ogata Banks",'Level3.1 G. Calc'!$X61,IF($C$13="Domenico - Steady state",'Level3.2 G. Calc'!$R61,IF($C$13="Domenico - Time Variant",'Level3.3 G. Calc'!$T61,"Error")))</f>
        <v>92.514965760301934</v>
      </c>
    </row>
    <row r="21" spans="1:24" ht="15" customHeight="1" x14ac:dyDescent="0.35">
      <c r="B21" s="1" t="s">
        <v>241</v>
      </c>
      <c r="C21" s="89" t="s">
        <v>152</v>
      </c>
      <c r="D21" s="148">
        <v>8.9999999999999999E+99</v>
      </c>
      <c r="E21" s="2" t="s">
        <v>21</v>
      </c>
      <c r="F21" s="180" t="s">
        <v>394</v>
      </c>
      <c r="G21" s="56" t="s">
        <v>90</v>
      </c>
      <c r="H21" s="20"/>
      <c r="J21" s="8" t="s">
        <v>13</v>
      </c>
      <c r="K21" s="186">
        <f>IF($N$2=1,$K$10,IF($N$3=1,$K$13*$K$12,IF($N$4=1,K19*($K$15*(1+10^($K$17-$K$18))^-1)+$K$16*(1-(1+(10^($K$17-$K$18)))^-1))))</f>
        <v>0.96199999999999997</v>
      </c>
      <c r="L21" s="8" t="s">
        <v>23</v>
      </c>
      <c r="M21" s="8"/>
      <c r="W21" s="60">
        <f>IF($C$13="Ogata Banks",'Level3.1 G. Calc'!$F11,IF($C$13="Domenico - Steady state",'Level3.2 G. Calc'!$F11,IF($C$13="Domenico - Time Variant",'Level3.3 G. Calc'!$F12,"Error")))</f>
        <v>0.35000000000000003</v>
      </c>
      <c r="X21" s="143">
        <f>IF($C$13="Ogata Banks",'Level3.1 G. Calc'!$X62,IF($C$13="Domenico - Steady state",'Level3.2 G. Calc'!$R62,IF($C$13="Domenico - Time Variant",'Level3.3 G. Calc'!$T62,"Error")))</f>
        <v>90.7220200074225</v>
      </c>
    </row>
    <row r="22" spans="1:24" ht="15" customHeight="1" x14ac:dyDescent="0.25">
      <c r="B22" s="1" t="s">
        <v>109</v>
      </c>
      <c r="C22" s="90" t="s">
        <v>34</v>
      </c>
      <c r="D22" s="185">
        <f>IF(D21=0,1000000,(0.693174/D21))</f>
        <v>7.7019333333333324E-101</v>
      </c>
      <c r="E22" s="2" t="s">
        <v>151</v>
      </c>
      <c r="F22" s="147"/>
      <c r="G22" s="56"/>
      <c r="H22" s="20"/>
      <c r="J22" s="8"/>
      <c r="K22" s="186"/>
      <c r="L22" s="8"/>
      <c r="M22" s="8"/>
      <c r="W22" s="60">
        <f>IF($C$13="Ogata Banks",'Level3.1 G. Calc'!$F12,IF($C$13="Domenico - Steady state",'Level3.2 G. Calc'!$F12,IF($C$13="Domenico - Time Variant",'Level3.3 G. Calc'!$F13,"Error")))</f>
        <v>0.4</v>
      </c>
      <c r="X22" s="143">
        <f>IF($C$13="Ogata Banks",'Level3.1 G. Calc'!$X63,IF($C$13="Domenico - Steady state",'Level3.2 G. Calc'!$R63,IF($C$13="Domenico - Time Variant",'Level3.3 G. Calc'!$T63,"Error")))</f>
        <v>88.629739635456332</v>
      </c>
    </row>
    <row r="23" spans="1:24" ht="15" customHeight="1" x14ac:dyDescent="0.25">
      <c r="B23" s="1" t="s">
        <v>262</v>
      </c>
      <c r="C23" s="3" t="s">
        <v>50</v>
      </c>
      <c r="D23" s="142">
        <v>100</v>
      </c>
      <c r="E23" s="2" t="s">
        <v>26</v>
      </c>
      <c r="F23" s="180" t="s">
        <v>395</v>
      </c>
      <c r="G23" s="56"/>
      <c r="H23" s="20"/>
      <c r="J23" s="8"/>
      <c r="K23" s="186"/>
      <c r="L23" s="8"/>
      <c r="M23" s="8"/>
      <c r="W23" s="60">
        <f>IF($C$13="Ogata Banks",'Level3.1 G. Calc'!$F13,IF($C$13="Domenico - Steady state",'Level3.2 G. Calc'!$F13,IF($C$13="Domenico - Time Variant",'Level3.3 G. Calc'!$F14,"Error")))</f>
        <v>0.45</v>
      </c>
      <c r="X23" s="143">
        <f>IF($C$13="Ogata Banks",'Level3.1 G. Calc'!$X64,IF($C$13="Domenico - Steady state",'Level3.2 G. Calc'!$R64,IF($C$13="Domenico - Time Variant",'Level3.3 G. Calc'!$T64,"Error")))</f>
        <v>86.221173046171756</v>
      </c>
    </row>
    <row r="24" spans="1:24" ht="15" customHeight="1" x14ac:dyDescent="0.25">
      <c r="B24" s="1" t="s">
        <v>222</v>
      </c>
      <c r="C24" s="3" t="s">
        <v>153</v>
      </c>
      <c r="D24" s="142">
        <v>100</v>
      </c>
      <c r="E24" s="2" t="s">
        <v>26</v>
      </c>
      <c r="F24" s="180" t="s">
        <v>395</v>
      </c>
      <c r="G24" s="56"/>
      <c r="H24" s="20"/>
      <c r="J24" s="8"/>
      <c r="K24" s="115"/>
      <c r="L24" s="396" t="s">
        <v>305</v>
      </c>
      <c r="M24" s="321">
        <v>0</v>
      </c>
      <c r="O24" s="521" t="s">
        <v>263</v>
      </c>
      <c r="P24" s="521"/>
      <c r="Q24" s="521"/>
      <c r="R24" s="521"/>
      <c r="S24" s="521"/>
      <c r="T24" s="521"/>
      <c r="U24" s="521"/>
      <c r="W24" s="60">
        <f>IF($C$13="Ogata Banks",'Level3.1 G. Calc'!$F14,IF($C$13="Domenico - Steady state",'Level3.2 G. Calc'!$F14,IF($C$13="Domenico - Time Variant",'Level3.3 G. Calc'!$F15,"Error")))</f>
        <v>0.5</v>
      </c>
      <c r="X24" s="143">
        <f>IF($C$13="Ogata Banks",'Level3.1 G. Calc'!$X65,IF($C$13="Domenico - Steady state",'Level3.2 G. Calc'!$R65,IF($C$13="Domenico - Time Variant",'Level3.3 G. Calc'!$T65,"Error")))</f>
        <v>83.486008354386627</v>
      </c>
    </row>
    <row r="25" spans="1:24" ht="15" customHeight="1" x14ac:dyDescent="0.25">
      <c r="B25" s="1" t="s">
        <v>145</v>
      </c>
      <c r="C25" s="3" t="s">
        <v>62</v>
      </c>
      <c r="D25" s="142">
        <v>1</v>
      </c>
      <c r="E25" s="2" t="s">
        <v>26</v>
      </c>
      <c r="F25" s="180" t="s">
        <v>396</v>
      </c>
      <c r="G25" s="325" t="s">
        <v>280</v>
      </c>
      <c r="L25" s="397" t="s">
        <v>306</v>
      </c>
      <c r="M25" s="319">
        <v>1</v>
      </c>
      <c r="O25" s="521"/>
      <c r="P25" s="521"/>
      <c r="Q25" s="521"/>
      <c r="R25" s="521"/>
      <c r="S25" s="521"/>
      <c r="T25" s="521"/>
      <c r="U25" s="521"/>
      <c r="W25" s="60">
        <f>IF($C$13="Ogata Banks",'Level3.1 G. Calc'!$F15,IF($C$13="Domenico - Steady state",'Level3.2 G. Calc'!$F15,IF($C$13="Domenico - Time Variant",'Level3.3 G. Calc'!$F16,"Error")))</f>
        <v>0.55000000000000004</v>
      </c>
      <c r="X25" s="143">
        <f>IF($C$13="Ogata Banks",'Level3.1 G. Calc'!$X66,IF($C$13="Domenico - Steady state",'Level3.2 G. Calc'!$R66,IF($C$13="Domenico - Time Variant",'Level3.3 G. Calc'!$T66,"Error")))</f>
        <v>80.421968897835598</v>
      </c>
    </row>
    <row r="26" spans="1:24" ht="15" customHeight="1" x14ac:dyDescent="0.25">
      <c r="B26" s="1" t="s">
        <v>248</v>
      </c>
      <c r="C26" s="90" t="s">
        <v>35</v>
      </c>
      <c r="D26" s="142">
        <v>1.96</v>
      </c>
      <c r="E26" s="2" t="s">
        <v>81</v>
      </c>
      <c r="F26" s="180" t="s">
        <v>397</v>
      </c>
      <c r="G26" s="23"/>
      <c r="H26" s="523" t="s">
        <v>306</v>
      </c>
      <c r="I26" s="524"/>
      <c r="J26" s="524"/>
      <c r="K26" s="525"/>
      <c r="L26" s="397" t="s">
        <v>307</v>
      </c>
      <c r="M26" s="319">
        <v>2</v>
      </c>
      <c r="O26" s="521"/>
      <c r="P26" s="521"/>
      <c r="Q26" s="521"/>
      <c r="R26" s="521"/>
      <c r="S26" s="521"/>
      <c r="T26" s="521"/>
      <c r="U26" s="521"/>
      <c r="W26" s="60">
        <f>IF($C$13="Ogata Banks",'Level3.1 G. Calc'!$F16,IF($C$13="Domenico - Steady state",'Level3.2 G. Calc'!$F16,IF($C$13="Domenico - Time Variant",'Level3.3 G. Calc'!$F17,"Error")))</f>
        <v>0.60000000000000009</v>
      </c>
      <c r="X26" s="143">
        <f>IF($C$13="Ogata Banks",'Level3.1 G. Calc'!$X67,IF($C$13="Domenico - Steady state",'Level3.2 G. Calc'!$R67,IF($C$13="Domenico - Time Variant",'Level3.3 G. Calc'!$T67,"Error")))</f>
        <v>77.035935208734799</v>
      </c>
    </row>
    <row r="27" spans="1:24" ht="15" customHeight="1" x14ac:dyDescent="0.25">
      <c r="B27" s="1" t="s">
        <v>193</v>
      </c>
      <c r="C27" s="3" t="s">
        <v>1</v>
      </c>
      <c r="D27" s="142">
        <v>0.16200000000000001</v>
      </c>
      <c r="E27" s="2" t="s">
        <v>79</v>
      </c>
      <c r="F27" s="180" t="s">
        <v>398</v>
      </c>
      <c r="G27" s="23"/>
      <c r="H27" s="24"/>
      <c r="I27" s="25"/>
      <c r="J27" s="26"/>
      <c r="K27" s="24"/>
      <c r="L27" s="20"/>
      <c r="M27" s="20"/>
      <c r="W27" s="60">
        <f>IF($C$13="Ogata Banks",'Level3.1 G. Calc'!$F17,IF($C$13="Domenico - Steady state",'Level3.2 G. Calc'!$F17,IF($C$13="Domenico - Time Variant",'Level3.3 G. Calc'!$F18,"Error")))</f>
        <v>0.65</v>
      </c>
      <c r="X27" s="143">
        <f>IF($C$13="Ogata Banks",'Level3.1 G. Calc'!$X68,IF($C$13="Domenico - Steady state",'Level3.2 G. Calc'!$R68,IF($C$13="Domenico - Time Variant",'Level3.3 G. Calc'!$T68,"Error")))</f>
        <v>73.344678526623156</v>
      </c>
    </row>
    <row r="28" spans="1:24" ht="15" customHeight="1" x14ac:dyDescent="0.25">
      <c r="B28" s="1" t="s">
        <v>29</v>
      </c>
      <c r="C28" s="3" t="s">
        <v>44</v>
      </c>
      <c r="D28" s="142">
        <v>2.5399999999999999E-2</v>
      </c>
      <c r="E28" s="2" t="s">
        <v>79</v>
      </c>
      <c r="F28" s="180" t="s">
        <v>399</v>
      </c>
      <c r="G28" s="24"/>
      <c r="H28" s="24"/>
      <c r="I28" s="24"/>
      <c r="J28" s="26"/>
      <c r="K28" s="24" t="s">
        <v>113</v>
      </c>
      <c r="L28" s="20" t="s">
        <v>112</v>
      </c>
      <c r="M28" s="20" t="s">
        <v>237</v>
      </c>
      <c r="N28" t="s">
        <v>26</v>
      </c>
      <c r="W28" s="60">
        <f>IF($C$13="Ogata Banks",'Level3.1 G. Calc'!$F18,IF($C$13="Domenico - Steady state",'Level3.2 G. Calc'!$F18,IF($C$13="Domenico - Time Variant",'Level3.3 G. Calc'!$F19,"Error")))</f>
        <v>0.70000000000000007</v>
      </c>
      <c r="X28" s="143">
        <f>IF($C$13="Ogata Banks",'Level3.1 G. Calc'!$X69,IF($C$13="Domenico - Steady state",'Level3.2 G. Calc'!$R69,IF($C$13="Domenico - Time Variant",'Level3.3 G. Calc'!$T69,"Error")))</f>
        <v>69.375110320798811</v>
      </c>
    </row>
    <row r="29" spans="1:24" ht="15" customHeight="1" x14ac:dyDescent="0.25">
      <c r="B29" s="58" t="s">
        <v>273</v>
      </c>
      <c r="C29" s="3" t="s">
        <v>189</v>
      </c>
      <c r="D29" s="481">
        <v>2.0250000000000001E-5</v>
      </c>
      <c r="E29" s="2" t="s">
        <v>25</v>
      </c>
      <c r="F29" s="180" t="s">
        <v>403</v>
      </c>
      <c r="G29" s="30" t="s">
        <v>166</v>
      </c>
      <c r="H29" s="27"/>
      <c r="I29" s="191"/>
      <c r="J29" s="28" t="s">
        <v>18</v>
      </c>
      <c r="K29" s="148">
        <v>0</v>
      </c>
      <c r="L29" s="330">
        <f>$D$30*0.1</f>
        <v>0.1</v>
      </c>
      <c r="M29" s="331">
        <f>0.83*(LOG(D30))^2.414</f>
        <v>0</v>
      </c>
      <c r="N29" t="s">
        <v>26</v>
      </c>
      <c r="O29" t="s">
        <v>374</v>
      </c>
      <c r="W29" s="60">
        <f>IF($C$13="Ogata Banks",'Level3.1 G. Calc'!$F19,IF($C$13="Domenico - Steady state",'Level3.2 G. Calc'!$F19,IF($C$13="Domenico - Time Variant",'Level3.3 G. Calc'!$F20,"Error")))</f>
        <v>0.75</v>
      </c>
      <c r="X29" s="143">
        <f>IF($C$13="Ogata Banks",'Level3.1 G. Calc'!$X70,IF($C$13="Domenico - Steady state",'Level3.2 G. Calc'!$R70,IF($C$13="Domenico - Time Variant",'Level3.3 G. Calc'!$T70,"Error")))</f>
        <v>65.163983289552277</v>
      </c>
    </row>
    <row r="30" spans="1:24" ht="15" customHeight="1" x14ac:dyDescent="0.25">
      <c r="B30" s="58" t="s">
        <v>30</v>
      </c>
      <c r="C30" s="3" t="s">
        <v>14</v>
      </c>
      <c r="D30" s="142">
        <v>1</v>
      </c>
      <c r="E30" s="2" t="s">
        <v>26</v>
      </c>
      <c r="F30" s="180" t="s">
        <v>400</v>
      </c>
      <c r="G30" s="30" t="s">
        <v>167</v>
      </c>
      <c r="H30" s="27"/>
      <c r="I30" s="27"/>
      <c r="J30" s="28" t="s">
        <v>20</v>
      </c>
      <c r="K30" s="148">
        <v>0</v>
      </c>
      <c r="L30" s="330">
        <f>$D$30*0.01</f>
        <v>0.01</v>
      </c>
      <c r="M30" s="330">
        <f>M29/10</f>
        <v>0</v>
      </c>
      <c r="N30" t="s">
        <v>26</v>
      </c>
      <c r="W30" s="60">
        <f>IF($C$13="Ogata Banks",'Level3.1 G. Calc'!$F20,IF($C$13="Domenico - Steady state",'Level3.2 G. Calc'!$F20,IF($C$13="Domenico - Time Variant",'Level3.3 G. Calc'!$F21,"Error")))</f>
        <v>0.8</v>
      </c>
      <c r="X30" s="143">
        <f>IF($C$13="Ogata Banks",'Level3.1 G. Calc'!$X71,IF($C$13="Domenico - Steady state",'Level3.2 G. Calc'!$R71,IF($C$13="Domenico - Time Variant",'Level3.3 G. Calc'!$T71,"Error")))</f>
        <v>60.757019638553622</v>
      </c>
    </row>
    <row r="31" spans="1:24" ht="15" customHeight="1" x14ac:dyDescent="0.25">
      <c r="B31" s="58" t="s">
        <v>32</v>
      </c>
      <c r="C31" s="3" t="s">
        <v>16</v>
      </c>
      <c r="D31" s="142">
        <v>0</v>
      </c>
      <c r="E31" s="2" t="s">
        <v>26</v>
      </c>
      <c r="F31" s="180"/>
      <c r="G31" s="30" t="s">
        <v>168</v>
      </c>
      <c r="H31" s="27"/>
      <c r="I31" s="27"/>
      <c r="J31" s="28" t="s">
        <v>19</v>
      </c>
      <c r="K31" s="148">
        <v>0</v>
      </c>
      <c r="L31" s="330">
        <f>$D$30*0.001</f>
        <v>1E-3</v>
      </c>
      <c r="M31" s="330">
        <f>M29/100</f>
        <v>0</v>
      </c>
      <c r="O31" s="520" t="s">
        <v>332</v>
      </c>
      <c r="P31" s="521"/>
      <c r="Q31" s="521"/>
      <c r="R31" s="521"/>
      <c r="S31" s="521"/>
      <c r="T31" s="521"/>
      <c r="U31" s="521"/>
      <c r="W31" s="60">
        <f>IF($C$13="Ogata Banks",'Level3.1 G. Calc'!$F21,IF($C$13="Domenico - Steady state",'Level3.2 G. Calc'!$F21,IF($C$13="Domenico - Time Variant",'Level3.3 G. Calc'!$F22,"Error")))</f>
        <v>0.85000000000000009</v>
      </c>
      <c r="X31" s="143">
        <f>IF($C$13="Ogata Banks",'Level3.1 G. Calc'!$X72,IF($C$13="Domenico - Steady state",'Level3.2 G. Calc'!$R72,IF($C$13="Domenico - Time Variant",'Level3.3 G. Calc'!$T72,"Error")))</f>
        <v>56.207488445576203</v>
      </c>
    </row>
    <row r="32" spans="1:24" ht="15" customHeight="1" x14ac:dyDescent="0.25">
      <c r="B32" s="58" t="s">
        <v>33</v>
      </c>
      <c r="C32" s="3" t="s">
        <v>15</v>
      </c>
      <c r="D32" s="142">
        <v>0</v>
      </c>
      <c r="E32" s="2" t="s">
        <v>26</v>
      </c>
      <c r="F32" s="180"/>
      <c r="G32" s="475" t="s">
        <v>380</v>
      </c>
      <c r="O32" s="521"/>
      <c r="P32" s="521"/>
      <c r="Q32" s="521"/>
      <c r="R32" s="521"/>
      <c r="S32" s="521"/>
      <c r="T32" s="521"/>
      <c r="U32" s="521"/>
      <c r="W32" s="60">
        <f>IF($C$13="Ogata Banks",'Level3.1 G. Calc'!$F22,IF($C$13="Domenico - Steady state",'Level3.2 G. Calc'!$F22,IF($C$13="Domenico - Time Variant",'Level3.3 G. Calc'!$F23,"Error")))</f>
        <v>0.9</v>
      </c>
      <c r="X32" s="143">
        <f>IF($C$13="Ogata Banks",'Level3.1 G. Calc'!$X73,IF($C$13="Domenico - Steady state",'Level3.2 G. Calc'!$R73,IF($C$13="Domenico - Time Variant",'Level3.3 G. Calc'!$T73,"Error")))</f>
        <v>51.57430091884244</v>
      </c>
    </row>
    <row r="33" spans="1:24" ht="15" x14ac:dyDescent="0.25">
      <c r="A33" s="193">
        <f>'Level2 Soil'!J14</f>
        <v>0</v>
      </c>
      <c r="B33" s="1" t="s">
        <v>242</v>
      </c>
      <c r="C33" s="3" t="s">
        <v>17</v>
      </c>
      <c r="D33" s="148">
        <f>365*10000</f>
        <v>3650000</v>
      </c>
      <c r="E33" s="2" t="s">
        <v>21</v>
      </c>
      <c r="F33" s="33" t="s">
        <v>111</v>
      </c>
      <c r="G33" t="s">
        <v>155</v>
      </c>
      <c r="O33" s="521"/>
      <c r="P33" s="521"/>
      <c r="Q33" s="521"/>
      <c r="R33" s="521"/>
      <c r="S33" s="521"/>
      <c r="T33" s="521"/>
      <c r="U33" s="521"/>
      <c r="W33" s="60">
        <f>IF($C$13="Ogata Banks",'Level3.1 G. Calc'!$F23,IF($C$13="Domenico - Steady state",'Level3.2 G. Calc'!$F23,IF($C$13="Domenico - Time Variant",'Level3.3 G. Calc'!$F24,"Error")))</f>
        <v>0.95000000000000007</v>
      </c>
      <c r="X33" s="143">
        <f>IF($C$13="Ogata Banks",'Level3.1 G. Calc'!$X74,IF($C$13="Domenico - Steady state",'Level3.2 G. Calc'!$R74,IF($C$13="Domenico - Time Variant",'Level3.3 G. Calc'!$T74,"Error")))</f>
        <v>46.919735238922087</v>
      </c>
    </row>
    <row r="34" spans="1:24" ht="15.75" x14ac:dyDescent="0.3">
      <c r="B34" s="55" t="s">
        <v>110</v>
      </c>
      <c r="C34" s="3"/>
      <c r="D34" s="99"/>
      <c r="F34" s="33"/>
      <c r="G34" t="s">
        <v>238</v>
      </c>
      <c r="O34" s="520" t="s">
        <v>264</v>
      </c>
      <c r="P34" s="520"/>
      <c r="Q34" s="520"/>
      <c r="R34" s="520"/>
      <c r="S34" s="520"/>
      <c r="T34" s="520"/>
      <c r="U34" s="520"/>
      <c r="W34" s="60">
        <f>IF($C$13="Ogata Banks",'Level3.1 G. Calc'!$F24,IF($C$13="Domenico - Steady state",'Level3.2 G. Calc'!$F24,IF($C$13="Domenico - Time Variant",'Level3.3 G. Calc'!$F25,"Error")))</f>
        <v>1</v>
      </c>
      <c r="X34" s="143">
        <f>IF($C$13="Ogata Banks",'Level3.1 G. Calc'!$X75,IF($C$13="Domenico - Steady state",'Level3.2 G. Calc'!$R75,IF($C$13="Domenico - Time Variant",'Level3.3 G. Calc'!$T75,"Error")))</f>
        <v>42.306936562016176</v>
      </c>
    </row>
    <row r="35" spans="1:24" ht="15" customHeight="1" x14ac:dyDescent="0.2">
      <c r="B35" s="1" t="s">
        <v>27</v>
      </c>
      <c r="C35" s="3" t="s">
        <v>13</v>
      </c>
      <c r="D35" s="316">
        <f>K21</f>
        <v>0.96199999999999997</v>
      </c>
      <c r="E35" s="2" t="s">
        <v>23</v>
      </c>
      <c r="F35" s="33" t="s">
        <v>56</v>
      </c>
      <c r="O35" s="520"/>
      <c r="P35" s="520"/>
      <c r="Q35" s="520"/>
      <c r="R35" s="520"/>
      <c r="S35" s="520"/>
      <c r="T35" s="520"/>
      <c r="U35" s="520"/>
    </row>
    <row r="36" spans="1:24" ht="15" customHeight="1" x14ac:dyDescent="0.2">
      <c r="B36" s="87" t="s">
        <v>166</v>
      </c>
      <c r="C36" s="3" t="s">
        <v>18</v>
      </c>
      <c r="D36" s="316">
        <f>IF($H$26="Dispersivity based on Xu &amp; Eckstein (1995)",M29,IF($H$26="Dispersivities 10%, 1%, 0.1% of pathway length",L29,IF($H$26="User defined values for dispersivity",K29)))</f>
        <v>0.1</v>
      </c>
      <c r="E36" s="2" t="s">
        <v>26</v>
      </c>
      <c r="F36" s="33" t="s">
        <v>56</v>
      </c>
      <c r="O36" s="81" t="s">
        <v>156</v>
      </c>
    </row>
    <row r="37" spans="1:24" ht="15" customHeight="1" x14ac:dyDescent="0.2">
      <c r="B37" s="87" t="s">
        <v>167</v>
      </c>
      <c r="C37" s="3" t="s">
        <v>20</v>
      </c>
      <c r="D37" s="316">
        <f>IF($H$26="Dispersivity based on Xu &amp; Eckstein (1995)",M30,IF($H$26="Dispersivities 10%, 1%, 0.1% of pathway length",L30,IF($H$26="User defined values for dispersivity",K30)))</f>
        <v>0.01</v>
      </c>
      <c r="E37" s="2" t="s">
        <v>26</v>
      </c>
      <c r="F37" s="33" t="s">
        <v>56</v>
      </c>
      <c r="J37" s="193"/>
      <c r="O37" s="81" t="s">
        <v>333</v>
      </c>
    </row>
    <row r="38" spans="1:24" ht="15" customHeight="1" x14ac:dyDescent="0.2">
      <c r="B38" s="87" t="s">
        <v>168</v>
      </c>
      <c r="C38" s="3" t="s">
        <v>19</v>
      </c>
      <c r="D38" s="316">
        <f>IF($H$26="Dispersivity based on Xu &amp; Eckstein (1995)",M31,IF($H$26="Dispersivities 10%, 1%, 0.1% of pathway length",L31,IF($H$26="User defined values for dispersivity",K31)))</f>
        <v>1E-3</v>
      </c>
      <c r="E38" s="2" t="s">
        <v>26</v>
      </c>
      <c r="F38" s="33" t="s">
        <v>56</v>
      </c>
      <c r="I38" s="319" t="s">
        <v>2</v>
      </c>
      <c r="J38" s="193">
        <f>IF($C$13="Ogata Banks",1,0)</f>
        <v>0</v>
      </c>
      <c r="O38" t="s">
        <v>173</v>
      </c>
    </row>
    <row r="39" spans="1:24" ht="15" customHeight="1" x14ac:dyDescent="0.2">
      <c r="B39" s="87"/>
      <c r="C39" s="3"/>
      <c r="D39" s="11" t="str">
        <f>IF((D24+D38)&gt;D25,"Dispersed plume thickness exceeds aquifer thickness! Reduce vertical dispersivity","")</f>
        <v>Dispersed plume thickness exceeds aquifer thickness! Reduce vertical dispersivity</v>
      </c>
      <c r="F39" s="33"/>
      <c r="G39" s="193">
        <f>IF($C$13=H39,1,0)</f>
        <v>0</v>
      </c>
      <c r="H39" s="193" t="s">
        <v>3</v>
      </c>
      <c r="I39" s="319" t="s">
        <v>3</v>
      </c>
      <c r="J39" s="193">
        <f>IF($C$13="Domenico - Steady state",1,0)</f>
        <v>0</v>
      </c>
    </row>
    <row r="40" spans="1:24" ht="15.75" x14ac:dyDescent="0.25">
      <c r="B40" s="29" t="s">
        <v>36</v>
      </c>
      <c r="C40" s="6" t="s">
        <v>37</v>
      </c>
      <c r="D40" s="200"/>
      <c r="E40" s="6"/>
      <c r="F40" s="32"/>
      <c r="G40" s="193">
        <f>IF($C$13=H40,1,0)</f>
        <v>0</v>
      </c>
      <c r="H40" s="193" t="s">
        <v>2</v>
      </c>
      <c r="I40" s="319" t="s">
        <v>4</v>
      </c>
      <c r="J40" s="193">
        <f>IF($C$13="Domenico - Time Variant",1,0)</f>
        <v>1</v>
      </c>
      <c r="O40" s="533" t="s">
        <v>382</v>
      </c>
      <c r="P40" s="533"/>
      <c r="Q40" s="533"/>
      <c r="R40" s="533"/>
      <c r="S40" s="533"/>
      <c r="T40" s="533"/>
      <c r="U40" s="533"/>
    </row>
    <row r="41" spans="1:24" ht="14.25" x14ac:dyDescent="0.2">
      <c r="B41" s="1"/>
      <c r="C41" s="3"/>
      <c r="J41" s="193"/>
      <c r="O41" s="533"/>
      <c r="P41" s="533"/>
      <c r="Q41" s="533"/>
      <c r="R41" s="533"/>
      <c r="S41" s="533"/>
      <c r="T41" s="533"/>
      <c r="U41" s="533"/>
    </row>
    <row r="42" spans="1:24" ht="14.25" x14ac:dyDescent="0.2">
      <c r="B42" s="1" t="s">
        <v>200</v>
      </c>
      <c r="C42" s="3" t="s">
        <v>38</v>
      </c>
      <c r="D42" s="131">
        <f>(D29*D28)/D27</f>
        <v>3.1749999999999997E-6</v>
      </c>
      <c r="E42" s="2" t="s">
        <v>25</v>
      </c>
      <c r="J42" s="449"/>
      <c r="O42" s="533"/>
      <c r="P42" s="533"/>
      <c r="Q42" s="533"/>
      <c r="R42" s="533"/>
      <c r="S42" s="533"/>
      <c r="T42" s="533"/>
      <c r="U42" s="533"/>
    </row>
    <row r="43" spans="1:24" ht="15" customHeight="1" x14ac:dyDescent="0.2">
      <c r="B43" s="1" t="s">
        <v>39</v>
      </c>
      <c r="C43" s="3" t="s">
        <v>247</v>
      </c>
      <c r="D43" s="131">
        <f>1+(D35*D26)/D27</f>
        <v>12.639012345679012</v>
      </c>
      <c r="E43" s="2" t="s">
        <v>79</v>
      </c>
      <c r="I43" s="469"/>
      <c r="O43" s="533"/>
      <c r="P43" s="533"/>
      <c r="Q43" s="533"/>
      <c r="R43" s="533"/>
      <c r="S43" s="533"/>
      <c r="T43" s="533"/>
      <c r="U43" s="533"/>
    </row>
    <row r="44" spans="1:24" ht="15" customHeight="1" x14ac:dyDescent="0.25">
      <c r="B44" s="1" t="s">
        <v>235</v>
      </c>
      <c r="C44" s="90" t="s">
        <v>236</v>
      </c>
      <c r="D44" s="131">
        <f>IF(C18=A18,(D22/D43),(D22))</f>
        <v>6.0937778385559113E-102</v>
      </c>
      <c r="E44" s="2" t="s">
        <v>239</v>
      </c>
      <c r="O44" s="533"/>
      <c r="P44" s="533"/>
      <c r="Q44" s="533"/>
      <c r="R44" s="533"/>
      <c r="S44" s="533"/>
      <c r="T44" s="533"/>
      <c r="U44" s="533"/>
    </row>
    <row r="45" spans="1:24" ht="15" customHeight="1" x14ac:dyDescent="0.2">
      <c r="B45" s="1" t="s">
        <v>40</v>
      </c>
      <c r="C45" s="3" t="s">
        <v>41</v>
      </c>
      <c r="D45" s="131">
        <f>(D29*D28)/(D27*D43)</f>
        <v>2.5120633742283348E-7</v>
      </c>
      <c r="E45" s="2" t="s">
        <v>25</v>
      </c>
      <c r="O45" s="533"/>
      <c r="P45" s="533"/>
      <c r="Q45" s="533"/>
      <c r="R45" s="533"/>
      <c r="S45" s="533"/>
      <c r="T45" s="533"/>
      <c r="U45" s="533"/>
    </row>
    <row r="46" spans="1:24" ht="15" customHeight="1" x14ac:dyDescent="0.3">
      <c r="B46" s="58" t="str">
        <f>IF(C15="Simulate vertical dispersion in 1 direction","Contaminant concentration at distance x, assuming one-way vertical dispersion", "Contaminant concentration at distance x, assuming two-way vertical dispersion")</f>
        <v>Contaminant concentration at distance x, assuming one-way vertical dispersion</v>
      </c>
      <c r="C46" s="2" t="s">
        <v>51</v>
      </c>
      <c r="D46" s="131">
        <f>X34</f>
        <v>42.306936562016176</v>
      </c>
      <c r="E46" s="2" t="s">
        <v>22</v>
      </c>
      <c r="H46" s="452"/>
    </row>
    <row r="47" spans="1:24" ht="15" customHeight="1" x14ac:dyDescent="0.2">
      <c r="B47" s="449" t="str">
        <f>IF(C15="Simulate vertical dispersion in 1 direction","Attenuation factor (one way vertical dispersion, CO/CED)", "Attenuation factor (two way vertical dispersion, CO/CED)")</f>
        <v>Attenuation factor (one way vertical dispersion, CO/CED)</v>
      </c>
      <c r="C47" s="6" t="s">
        <v>42</v>
      </c>
      <c r="D47" s="450">
        <f>IF(D$46=0,"No significant breakthrough at compliance point",D$20/D$46)</f>
        <v>2.3636785862151397</v>
      </c>
      <c r="O47" s="434" t="s">
        <v>143</v>
      </c>
      <c r="P47" s="435"/>
      <c r="Q47" s="436" t="str">
        <f>Introduction!$B$28</f>
        <v>Parrys Quarry HRA</v>
      </c>
      <c r="R47" s="434"/>
      <c r="S47" s="435"/>
      <c r="T47" s="437"/>
    </row>
    <row r="48" spans="1:24" ht="15" customHeight="1" x14ac:dyDescent="0.2">
      <c r="B48" s="1"/>
      <c r="D48" s="295"/>
      <c r="O48" s="438" t="s">
        <v>141</v>
      </c>
      <c r="P48" s="439"/>
      <c r="Q48" s="440" t="str">
        <f>Introduction!$B$31</f>
        <v>A R Morris</v>
      </c>
      <c r="R48" s="439"/>
      <c r="S48" s="441"/>
      <c r="T48" s="442"/>
    </row>
    <row r="49" spans="2:20" ht="15" customHeight="1" x14ac:dyDescent="0.2">
      <c r="D49" s="204">
        <f>IF(D46=0,"No impact",D47*D9)</f>
        <v>945.47143448605584</v>
      </c>
      <c r="O49" s="438" t="s">
        <v>142</v>
      </c>
      <c r="P49" s="439"/>
      <c r="Q49" s="443">
        <f>Introduction!$B$32</f>
        <v>43993</v>
      </c>
      <c r="R49" s="439"/>
      <c r="S49" s="441"/>
      <c r="T49" s="442"/>
    </row>
    <row r="50" spans="2:20" ht="15" customHeight="1" x14ac:dyDescent="0.25">
      <c r="B50" s="62" t="s">
        <v>115</v>
      </c>
      <c r="D50" s="203" t="e">
        <f>IF(#REF!=0,"No impact",D48*D9)</f>
        <v>#REF!</v>
      </c>
      <c r="O50" s="444" t="s">
        <v>158</v>
      </c>
      <c r="P50" s="445"/>
      <c r="Q50" s="446">
        <f>Introduction!$E$32</f>
        <v>1.01</v>
      </c>
      <c r="R50" s="445"/>
      <c r="S50" s="445"/>
      <c r="T50" s="447"/>
    </row>
    <row r="51" spans="2:20" ht="15" x14ac:dyDescent="0.25">
      <c r="B51" s="161" t="s">
        <v>43</v>
      </c>
      <c r="C51" s="162"/>
      <c r="D51" s="454">
        <f>IF(D46=0,"No impact",D9*D47)</f>
        <v>945.47143448605584</v>
      </c>
      <c r="E51" s="163" t="s">
        <v>22</v>
      </c>
      <c r="F51" s="31" t="s">
        <v>174</v>
      </c>
    </row>
    <row r="52" spans="2:20" ht="15" x14ac:dyDescent="0.25">
      <c r="B52" s="1" t="str">
        <f>C13</f>
        <v>Domenico - Time Variant</v>
      </c>
      <c r="C52" s="53"/>
      <c r="D52" s="529" t="str">
        <f>IF(D31&gt;0,"Warning plume offset",IF(D32&gt;0,"Warning plume offset",""))</f>
        <v/>
      </c>
      <c r="E52" s="530"/>
    </row>
    <row r="53" spans="2:20" ht="15" x14ac:dyDescent="0.25">
      <c r="B53" s="1"/>
      <c r="C53" s="53"/>
      <c r="D53"/>
      <c r="E53"/>
    </row>
    <row r="54" spans="2:20" ht="15" x14ac:dyDescent="0.25">
      <c r="B54" s="54" t="s">
        <v>30</v>
      </c>
      <c r="D54" s="53">
        <f>D30</f>
        <v>1</v>
      </c>
      <c r="E54" s="53" t="s">
        <v>26</v>
      </c>
    </row>
    <row r="56" spans="2:20" ht="15" x14ac:dyDescent="0.25">
      <c r="B56" s="61" t="s">
        <v>114</v>
      </c>
      <c r="C56" s="6" t="s">
        <v>282</v>
      </c>
      <c r="D56" s="143">
        <f>D46</f>
        <v>42.306936562016176</v>
      </c>
      <c r="E56" s="53" t="s">
        <v>22</v>
      </c>
      <c r="F56" s="31" t="str">
        <f>C13</f>
        <v>Domenico - Time Variant</v>
      </c>
    </row>
    <row r="57" spans="2:20" ht="15" x14ac:dyDescent="0.25">
      <c r="B57" s="54" t="str">
        <f>IF(J38=1,"after",IF(J40=1,"after",CHAR(32)))</f>
        <v>after</v>
      </c>
      <c r="D57" s="129">
        <f>IF(J38=1,D33,IF(J40=1,D33,CHAR(32)))</f>
        <v>3650000</v>
      </c>
      <c r="E57" s="53" t="str">
        <f>IF(J38=1,"days",IF(J40=1,"days",CHAR(32)))</f>
        <v>days</v>
      </c>
    </row>
    <row r="59" spans="2:20" x14ac:dyDescent="0.2">
      <c r="B59" t="s">
        <v>169</v>
      </c>
    </row>
    <row r="60" spans="2:20" x14ac:dyDescent="0.2">
      <c r="B60" t="s">
        <v>256</v>
      </c>
    </row>
  </sheetData>
  <sheetProtection password="CA8F" sheet="1" objects="1" scenarios="1"/>
  <mergeCells count="11">
    <mergeCell ref="O40:U45"/>
    <mergeCell ref="D52:E52"/>
    <mergeCell ref="O34:U35"/>
    <mergeCell ref="H7:K7"/>
    <mergeCell ref="O24:U26"/>
    <mergeCell ref="O31:U33"/>
    <mergeCell ref="C15:F15"/>
    <mergeCell ref="D8:E8"/>
    <mergeCell ref="C13:E13"/>
    <mergeCell ref="H26:K26"/>
    <mergeCell ref="C18:F18"/>
  </mergeCells>
  <phoneticPr fontId="0" type="noConversion"/>
  <conditionalFormatting sqref="D51">
    <cfRule type="expression" dxfId="26" priority="1" stopIfTrue="1">
      <formula>D$46=0</formula>
    </cfRule>
  </conditionalFormatting>
  <conditionalFormatting sqref="D48">
    <cfRule type="expression" dxfId="25" priority="2" stopIfTrue="1">
      <formula>$D$15=1</formula>
    </cfRule>
    <cfRule type="expression" dxfId="24" priority="3" stopIfTrue="1">
      <formula>$D$49=0</formula>
    </cfRule>
  </conditionalFormatting>
  <conditionalFormatting sqref="D46">
    <cfRule type="expression" dxfId="23" priority="4" stopIfTrue="1">
      <formula>$D$15=2</formula>
    </cfRule>
  </conditionalFormatting>
  <conditionalFormatting sqref="D47">
    <cfRule type="expression" dxfId="22" priority="5" stopIfTrue="1">
      <formula>$D$15=1</formula>
    </cfRule>
  </conditionalFormatting>
  <conditionalFormatting sqref="K10">
    <cfRule type="expression" dxfId="21" priority="6" stopIfTrue="1">
      <formula>$N$3=1</formula>
    </cfRule>
    <cfRule type="expression" dxfId="20" priority="7" stopIfTrue="1">
      <formula>$N$4=1</formula>
    </cfRule>
  </conditionalFormatting>
  <conditionalFormatting sqref="K12:K13">
    <cfRule type="expression" dxfId="19" priority="8" stopIfTrue="1">
      <formula>$N$2=1</formula>
    </cfRule>
    <cfRule type="expression" dxfId="18" priority="9" stopIfTrue="1">
      <formula>$N$4=1</formula>
    </cfRule>
  </conditionalFormatting>
  <conditionalFormatting sqref="K15:K19">
    <cfRule type="expression" dxfId="17" priority="10" stopIfTrue="1">
      <formula>$N$2=1</formula>
    </cfRule>
    <cfRule type="expression" dxfId="16" priority="11" stopIfTrue="1">
      <formula>$N$3=1</formula>
    </cfRule>
  </conditionalFormatting>
  <conditionalFormatting sqref="D31:D32">
    <cfRule type="expression" dxfId="15" priority="13" stopIfTrue="1">
      <formula>$G$40=0</formula>
    </cfRule>
  </conditionalFormatting>
  <conditionalFormatting sqref="K29:K31">
    <cfRule type="expression" dxfId="14" priority="14" stopIfTrue="1">
      <formula>$H$26=$L$24</formula>
    </cfRule>
    <cfRule type="expression" dxfId="13" priority="15" stopIfTrue="1">
      <formula>$H$26=$L$25</formula>
    </cfRule>
  </conditionalFormatting>
  <conditionalFormatting sqref="L29:L31">
    <cfRule type="expression" dxfId="12" priority="16" stopIfTrue="1">
      <formula>$H$26=$L$24</formula>
    </cfRule>
    <cfRule type="expression" dxfId="11" priority="17" stopIfTrue="1">
      <formula>$H$26=$L$26</formula>
    </cfRule>
  </conditionalFormatting>
  <conditionalFormatting sqref="M29:M31">
    <cfRule type="expression" dxfId="10" priority="18" stopIfTrue="1">
      <formula>$H$26=$L$25</formula>
    </cfRule>
    <cfRule type="expression" dxfId="9" priority="19" stopIfTrue="1">
      <formula>$H$26=$L$26</formula>
    </cfRule>
  </conditionalFormatting>
  <conditionalFormatting sqref="D47">
    <cfRule type="expression" dxfId="8" priority="20" stopIfTrue="1">
      <formula>$D$15=2</formula>
    </cfRule>
    <cfRule type="expression" dxfId="7" priority="21" stopIfTrue="1">
      <formula>$D$46=0</formula>
    </cfRule>
  </conditionalFormatting>
  <dataValidations count="8">
    <dataValidation type="list" allowBlank="1" showInputMessage="1" showErrorMessage="1" sqref="C13" xr:uid="{00000000-0002-0000-0600-000000000000}">
      <formula1>$I$38:$I$40</formula1>
    </dataValidation>
    <dataValidation type="list" allowBlank="1" showInputMessage="1" showErrorMessage="1" sqref="H7:K7" xr:uid="{00000000-0002-0000-0600-000001000000}">
      <formula1>$O$2:$O$4</formula1>
    </dataValidation>
    <dataValidation type="decimal" errorStyle="warning" operator="lessThanOrEqual" allowBlank="1" showInputMessage="1" showErrorMessage="1" errorTitle="Non-Zero Flow Off-set" error="The complicance point is not on the centre line of maximum concentration of the plume. This should not be used to derive remedial targets." sqref="D31:D32" xr:uid="{00000000-0002-0000-0600-000002000000}">
      <formula1>0</formula1>
    </dataValidation>
    <dataValidation type="decimal" operator="lessThan" allowBlank="1" showInputMessage="1" showErrorMessage="1" errorTitle="Foc as a fraction" error="Enter foc value as a fraction between 0 and 1. Typically foc will be less than 0.01 (1%) of rock mass, but may be significantly lower than this value." sqref="K12" xr:uid="{00000000-0002-0000-0600-000003000000}">
      <formula1>1</formula1>
    </dataValidation>
    <dataValidation type="decimal" operator="lessThan" allowBlank="1" showInputMessage="1" showErrorMessage="1" errorTitle="Porosity" error="Enter porosity as a value between 0 and 1. Porosity will rarely be greater than 0.4 (40%) and may be as low as 0.01 (1%) in fracture dominated systems." sqref="D27" xr:uid="{00000000-0002-0000-0600-000004000000}">
      <formula1>1</formula1>
    </dataValidation>
    <dataValidation type="list" allowBlank="1" showInputMessage="1" showErrorMessage="1" sqref="H26:K26" xr:uid="{00000000-0002-0000-0600-000005000000}">
      <formula1>$L$24:$L$26</formula1>
    </dataValidation>
    <dataValidation type="list" allowBlank="1" showInputMessage="1" showErrorMessage="1" sqref="C18:F18" xr:uid="{00000000-0002-0000-0600-000006000000}">
      <formula1>$A$18:$A$19</formula1>
    </dataValidation>
    <dataValidation type="list" allowBlank="1" showInputMessage="1" showErrorMessage="1" sqref="C15:F15" xr:uid="{00000000-0002-0000-0600-000007000000}">
      <formula1>$A$15:$A$16</formula1>
    </dataValidation>
  </dataValidations>
  <pageMargins left="0.75" right="0.75" top="1" bottom="1" header="0.5" footer="0.5"/>
  <pageSetup paperSize="9" scale="36" orientation="landscape" horizontalDpi="300" verticalDpi="300" r:id="rId1"/>
  <headerFooter alignWithMargins="0">
    <oddFooter>&amp;L Remedial targets worksheet v3.1
&amp;R&amp;D, &amp;T
&amp;F&amp;A</oddFooter>
  </headerFooter>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23">
    <pageSetUpPr fitToPage="1"/>
  </sheetPr>
  <dimension ref="A1:AE57"/>
  <sheetViews>
    <sheetView workbookViewId="0">
      <selection activeCell="C10" sqref="C10"/>
    </sheetView>
  </sheetViews>
  <sheetFormatPr defaultRowHeight="12.75" x14ac:dyDescent="0.2"/>
  <cols>
    <col min="1" max="1" width="1.28515625" style="350" customWidth="1"/>
    <col min="2" max="2" width="39" style="81" customWidth="1"/>
    <col min="3" max="3" width="18.5703125" style="64" customWidth="1"/>
    <col min="4" max="4" width="9.140625" style="81"/>
    <col min="5" max="5" width="48.140625" style="81" customWidth="1"/>
    <col min="6" max="6" width="17.5703125" style="81" customWidth="1"/>
    <col min="7" max="7" width="9.140625" style="81"/>
    <col min="8" max="8" width="14.5703125" style="81" customWidth="1"/>
    <col min="9" max="9" width="15.42578125" style="81" customWidth="1"/>
    <col min="10" max="10" width="29.140625" style="81" customWidth="1"/>
    <col min="11" max="11" width="12.5703125" style="81" customWidth="1"/>
    <col min="12" max="12" width="40.42578125" style="81" customWidth="1"/>
    <col min="13" max="15" width="9.140625" style="81"/>
    <col min="16" max="16" width="0.140625" style="81" customWidth="1"/>
    <col min="17" max="16384" width="9.140625" style="81"/>
  </cols>
  <sheetData>
    <row r="1" spans="1:31" s="350" customFormat="1" ht="18" x14ac:dyDescent="0.25">
      <c r="B1" s="351" t="s">
        <v>286</v>
      </c>
      <c r="C1" s="352"/>
      <c r="D1" s="353"/>
      <c r="E1" s="353"/>
      <c r="F1" s="353"/>
      <c r="G1" s="353"/>
      <c r="H1" s="353"/>
    </row>
    <row r="2" spans="1:31" s="350" customFormat="1" x14ac:dyDescent="0.2">
      <c r="B2" s="353" t="s">
        <v>303</v>
      </c>
      <c r="C2" s="352"/>
      <c r="D2" s="353"/>
      <c r="E2" s="353"/>
      <c r="F2" s="368"/>
      <c r="G2" s="368"/>
      <c r="H2" s="368"/>
    </row>
    <row r="3" spans="1:31" s="350" customFormat="1" ht="15.75" x14ac:dyDescent="0.25">
      <c r="B3" s="354" t="s">
        <v>287</v>
      </c>
      <c r="C3" s="352"/>
      <c r="D3" s="353"/>
      <c r="E3" s="353"/>
      <c r="F3" s="368"/>
      <c r="G3" s="368"/>
      <c r="H3" s="368"/>
    </row>
    <row r="4" spans="1:31" s="350" customFormat="1" x14ac:dyDescent="0.2">
      <c r="B4" s="353"/>
      <c r="C4" s="352"/>
      <c r="D4" s="353"/>
      <c r="E4" s="353"/>
      <c r="F4" s="368"/>
      <c r="G4" s="368"/>
      <c r="H4" s="368"/>
    </row>
    <row r="5" spans="1:31" s="350" customFormat="1" x14ac:dyDescent="0.2">
      <c r="B5" s="355" t="s">
        <v>37</v>
      </c>
      <c r="C5" s="356" t="s">
        <v>11</v>
      </c>
      <c r="D5" s="357" t="s">
        <v>10</v>
      </c>
      <c r="E5" s="384" t="s">
        <v>188</v>
      </c>
      <c r="F5" s="368"/>
      <c r="G5" s="368"/>
      <c r="H5" s="368"/>
      <c r="I5" s="358"/>
      <c r="J5" s="358"/>
      <c r="K5" s="358"/>
      <c r="L5" s="358"/>
      <c r="M5" s="358"/>
      <c r="N5" s="358"/>
      <c r="O5" s="358"/>
      <c r="P5" s="358"/>
      <c r="Q5" s="358"/>
    </row>
    <row r="6" spans="1:31" s="350" customFormat="1" x14ac:dyDescent="0.2">
      <c r="B6" s="353"/>
      <c r="C6" s="352" t="s">
        <v>94</v>
      </c>
      <c r="D6" s="353"/>
      <c r="E6" s="353"/>
      <c r="F6" s="368"/>
      <c r="G6" s="368"/>
      <c r="H6" s="368"/>
      <c r="I6" s="359"/>
      <c r="J6" s="359"/>
      <c r="K6" s="359"/>
      <c r="L6" s="358"/>
      <c r="M6" s="358"/>
      <c r="N6" s="358"/>
      <c r="O6" s="358"/>
      <c r="P6" s="358"/>
      <c r="Q6" s="358"/>
    </row>
    <row r="7" spans="1:31" x14ac:dyDescent="0.2">
      <c r="B7" s="360" t="s">
        <v>288</v>
      </c>
      <c r="C7" s="361">
        <v>20</v>
      </c>
      <c r="D7" s="353" t="s">
        <v>289</v>
      </c>
      <c r="E7" s="388"/>
      <c r="F7" s="368"/>
      <c r="G7" s="368"/>
      <c r="H7" s="368"/>
      <c r="I7" s="359"/>
      <c r="J7" s="359"/>
      <c r="K7" s="359"/>
      <c r="L7" s="358"/>
      <c r="M7" s="358"/>
      <c r="N7" s="358"/>
      <c r="O7" s="358"/>
      <c r="P7" s="358"/>
      <c r="Q7" s="358"/>
      <c r="R7" s="350"/>
      <c r="S7" s="350"/>
      <c r="T7" s="350"/>
      <c r="U7" s="350"/>
      <c r="V7" s="350"/>
      <c r="W7" s="350"/>
      <c r="X7" s="350"/>
      <c r="Y7" s="350"/>
      <c r="Z7" s="350"/>
      <c r="AA7" s="350"/>
      <c r="AB7" s="350"/>
      <c r="AC7" s="350"/>
      <c r="AD7" s="350"/>
      <c r="AE7" s="350"/>
    </row>
    <row r="8" spans="1:31" ht="14.25" x14ac:dyDescent="0.2">
      <c r="B8" s="360" t="s">
        <v>290</v>
      </c>
      <c r="C8" s="363">
        <v>2.78</v>
      </c>
      <c r="D8" s="353" t="s">
        <v>377</v>
      </c>
      <c r="E8" s="388" t="s">
        <v>313</v>
      </c>
      <c r="F8" s="368"/>
      <c r="G8" s="368"/>
      <c r="H8" s="368"/>
      <c r="I8" s="359"/>
      <c r="J8" s="359"/>
      <c r="K8" s="359"/>
      <c r="L8" s="358"/>
      <c r="M8" s="358"/>
      <c r="N8" s="358"/>
      <c r="O8" s="358"/>
      <c r="P8" s="358"/>
      <c r="Q8" s="358"/>
      <c r="R8" s="350"/>
      <c r="S8" s="350"/>
      <c r="T8" s="350"/>
      <c r="U8" s="350"/>
      <c r="V8" s="350"/>
      <c r="W8" s="350"/>
      <c r="X8" s="350"/>
      <c r="Y8" s="350"/>
      <c r="Z8" s="350"/>
      <c r="AA8" s="350"/>
      <c r="AB8" s="350"/>
      <c r="AC8" s="350"/>
      <c r="AD8" s="350"/>
      <c r="AE8" s="350"/>
    </row>
    <row r="9" spans="1:31" ht="14.25" x14ac:dyDescent="0.2">
      <c r="B9" s="360" t="s">
        <v>291</v>
      </c>
      <c r="C9" s="361">
        <v>1.8</v>
      </c>
      <c r="D9" s="353" t="s">
        <v>377</v>
      </c>
      <c r="E9" s="388"/>
      <c r="F9" s="368"/>
      <c r="G9" s="368"/>
      <c r="H9" s="368"/>
      <c r="I9" s="359"/>
      <c r="J9" s="359"/>
      <c r="K9" s="359"/>
      <c r="L9" s="358"/>
      <c r="M9" s="358"/>
      <c r="N9" s="358"/>
      <c r="O9" s="358"/>
      <c r="P9" s="358"/>
      <c r="Q9" s="358"/>
      <c r="R9" s="350"/>
      <c r="S9" s="350"/>
      <c r="T9" s="350"/>
      <c r="U9" s="350"/>
      <c r="V9" s="350"/>
      <c r="W9" s="350"/>
      <c r="X9" s="350"/>
      <c r="Y9" s="350"/>
      <c r="Z9" s="350"/>
      <c r="AA9" s="350"/>
      <c r="AB9" s="350"/>
      <c r="AC9" s="350"/>
      <c r="AD9" s="350"/>
      <c r="AE9" s="350"/>
    </row>
    <row r="10" spans="1:31" x14ac:dyDescent="0.2">
      <c r="B10" s="360"/>
      <c r="C10" s="352"/>
      <c r="D10" s="353"/>
      <c r="E10" s="353"/>
      <c r="F10" s="368"/>
      <c r="G10" s="368"/>
      <c r="H10" s="368"/>
      <c r="I10" s="359"/>
      <c r="J10" s="359"/>
      <c r="K10" s="359"/>
      <c r="L10" s="358"/>
      <c r="M10" s="358"/>
      <c r="N10" s="358"/>
      <c r="O10" s="358"/>
      <c r="P10" s="358"/>
      <c r="Q10" s="358"/>
      <c r="R10" s="350"/>
      <c r="S10" s="350"/>
      <c r="T10" s="350"/>
      <c r="U10" s="350"/>
      <c r="V10" s="350"/>
      <c r="W10" s="350"/>
      <c r="X10" s="350"/>
      <c r="Y10" s="350"/>
      <c r="Z10" s="350"/>
      <c r="AA10" s="350"/>
      <c r="AB10" s="350"/>
      <c r="AC10" s="350"/>
      <c r="AD10" s="350"/>
      <c r="AE10" s="350"/>
    </row>
    <row r="11" spans="1:31" s="350" customFormat="1" x14ac:dyDescent="0.2">
      <c r="B11" s="364" t="s">
        <v>36</v>
      </c>
      <c r="C11" s="352"/>
      <c r="D11" s="353"/>
      <c r="E11" s="353"/>
      <c r="F11" s="368"/>
      <c r="G11" s="368"/>
      <c r="H11" s="368"/>
      <c r="I11" s="359"/>
      <c r="J11" s="359"/>
      <c r="K11" s="359"/>
      <c r="L11" s="358"/>
      <c r="M11" s="358"/>
      <c r="N11" s="358"/>
      <c r="O11" s="358"/>
      <c r="P11" s="358"/>
      <c r="Q11" s="358"/>
    </row>
    <row r="12" spans="1:31" s="358" customFormat="1" x14ac:dyDescent="0.2">
      <c r="B12" s="365" t="s">
        <v>292</v>
      </c>
      <c r="C12" s="366">
        <f>(C8/C9)-1</f>
        <v>0.54444444444444429</v>
      </c>
      <c r="D12" s="353" t="s">
        <v>79</v>
      </c>
      <c r="E12" s="367"/>
      <c r="F12" s="368"/>
      <c r="G12" s="368"/>
      <c r="H12" s="368"/>
      <c r="I12" s="369"/>
      <c r="J12" s="369"/>
      <c r="K12" s="369"/>
      <c r="L12" s="369"/>
      <c r="M12" s="369"/>
      <c r="N12" s="369"/>
      <c r="O12" s="369"/>
      <c r="P12" s="369"/>
    </row>
    <row r="13" spans="1:31" s="358" customFormat="1" x14ac:dyDescent="0.2">
      <c r="B13" s="365" t="s">
        <v>293</v>
      </c>
      <c r="C13" s="366">
        <f>C7*C8/C12</f>
        <v>102.12244897959185</v>
      </c>
      <c r="D13" s="367" t="s">
        <v>294</v>
      </c>
      <c r="E13" s="367"/>
      <c r="F13" s="368"/>
      <c r="G13" s="359"/>
      <c r="H13" s="367"/>
      <c r="I13" s="369"/>
      <c r="J13" s="369"/>
      <c r="K13" s="369"/>
      <c r="L13" s="369"/>
      <c r="M13" s="369"/>
      <c r="N13" s="369"/>
      <c r="O13" s="369"/>
      <c r="P13" s="369"/>
    </row>
    <row r="14" spans="1:31" s="358" customFormat="1" ht="13.5" thickBot="1" x14ac:dyDescent="0.25">
      <c r="B14" s="365"/>
      <c r="C14" s="370"/>
      <c r="D14" s="367"/>
      <c r="E14" s="367"/>
      <c r="F14" s="368"/>
      <c r="G14" s="359"/>
      <c r="H14" s="367"/>
      <c r="I14" s="369"/>
      <c r="J14" s="369"/>
      <c r="K14" s="369"/>
      <c r="L14" s="369"/>
      <c r="M14" s="369"/>
      <c r="N14" s="369"/>
      <c r="O14" s="369"/>
      <c r="P14" s="369"/>
    </row>
    <row r="15" spans="1:31" s="207" customFormat="1" x14ac:dyDescent="0.2">
      <c r="A15" s="358"/>
      <c r="B15" s="371" t="s">
        <v>295</v>
      </c>
      <c r="C15" s="372">
        <f>1-C9/C8</f>
        <v>0.35251798561151071</v>
      </c>
      <c r="D15" s="373" t="s">
        <v>79</v>
      </c>
      <c r="E15" s="374"/>
      <c r="F15" s="368"/>
      <c r="G15" s="359"/>
      <c r="H15" s="367"/>
      <c r="I15" s="369"/>
      <c r="J15" s="369"/>
      <c r="K15" s="369"/>
      <c r="L15" s="369"/>
      <c r="M15" s="369"/>
      <c r="N15" s="369"/>
      <c r="O15" s="369"/>
      <c r="P15" s="369"/>
      <c r="Q15" s="358"/>
      <c r="R15" s="358"/>
      <c r="S15" s="358"/>
      <c r="T15" s="358"/>
      <c r="U15" s="358"/>
      <c r="V15" s="358"/>
      <c r="W15" s="358"/>
      <c r="X15" s="358"/>
      <c r="Y15" s="358"/>
      <c r="Z15" s="358"/>
      <c r="AA15" s="358"/>
      <c r="AB15" s="358"/>
      <c r="AC15" s="358"/>
      <c r="AD15" s="358"/>
      <c r="AE15" s="358"/>
    </row>
    <row r="16" spans="1:31" s="207" customFormat="1" x14ac:dyDescent="0.2">
      <c r="A16" s="358"/>
      <c r="B16" s="375" t="s">
        <v>296</v>
      </c>
      <c r="C16" s="376">
        <f>IF(C13&gt;100,0,((100-($C$13))*$C$15)/100)</f>
        <v>0</v>
      </c>
      <c r="D16" s="377" t="s">
        <v>79</v>
      </c>
      <c r="E16" s="367"/>
      <c r="F16" s="378"/>
      <c r="G16" s="359"/>
      <c r="H16" s="367"/>
      <c r="I16" s="369"/>
      <c r="J16" s="369"/>
      <c r="K16" s="369"/>
      <c r="L16" s="369"/>
      <c r="M16" s="369"/>
      <c r="N16" s="369"/>
      <c r="O16" s="369"/>
      <c r="P16" s="369"/>
      <c r="Q16" s="358"/>
      <c r="R16" s="358"/>
      <c r="S16" s="358"/>
      <c r="T16" s="358"/>
      <c r="U16" s="358"/>
      <c r="V16" s="358"/>
      <c r="W16" s="358"/>
      <c r="X16" s="358"/>
      <c r="Y16" s="358"/>
      <c r="Z16" s="358"/>
      <c r="AA16" s="358"/>
      <c r="AB16" s="358"/>
      <c r="AC16" s="358"/>
      <c r="AD16" s="358"/>
      <c r="AE16" s="358"/>
    </row>
    <row r="17" spans="1:31" s="207" customFormat="1" ht="13.5" thickBot="1" x14ac:dyDescent="0.25">
      <c r="A17" s="358"/>
      <c r="B17" s="379" t="s">
        <v>297</v>
      </c>
      <c r="C17" s="380">
        <f>C15-C16</f>
        <v>0.35251798561151071</v>
      </c>
      <c r="D17" s="381" t="s">
        <v>79</v>
      </c>
      <c r="E17" s="367"/>
      <c r="F17" s="368"/>
      <c r="G17" s="359"/>
      <c r="H17" s="367"/>
      <c r="I17" s="369"/>
      <c r="J17" s="369"/>
      <c r="K17" s="369"/>
      <c r="L17" s="369"/>
      <c r="M17" s="369"/>
      <c r="N17" s="369"/>
      <c r="O17" s="369"/>
      <c r="P17" s="369"/>
      <c r="Q17" s="358"/>
      <c r="R17" s="358"/>
      <c r="S17" s="358"/>
      <c r="T17" s="358"/>
      <c r="U17" s="358"/>
      <c r="V17" s="358"/>
      <c r="W17" s="358"/>
      <c r="X17" s="358"/>
      <c r="Y17" s="358"/>
      <c r="Z17" s="358"/>
      <c r="AA17" s="358"/>
      <c r="AB17" s="358"/>
      <c r="AC17" s="358"/>
      <c r="AD17" s="358"/>
      <c r="AE17" s="358"/>
    </row>
    <row r="18" spans="1:31" s="358" customFormat="1" x14ac:dyDescent="0.2">
      <c r="B18" s="382"/>
      <c r="C18" s="383"/>
      <c r="D18" s="384"/>
      <c r="E18" s="367"/>
      <c r="F18" s="368"/>
      <c r="G18" s="359"/>
      <c r="H18" s="367"/>
      <c r="I18" s="369"/>
      <c r="J18" s="369"/>
      <c r="K18" s="369"/>
      <c r="L18" s="369"/>
      <c r="M18" s="369"/>
      <c r="N18" s="369"/>
      <c r="O18" s="369"/>
      <c r="P18" s="369"/>
    </row>
    <row r="19" spans="1:31" s="358" customFormat="1" x14ac:dyDescent="0.2">
      <c r="B19" s="382"/>
      <c r="C19" s="383"/>
      <c r="D19" s="384"/>
      <c r="E19" s="367"/>
      <c r="F19" s="368"/>
      <c r="G19" s="359"/>
      <c r="H19" s="367"/>
      <c r="I19" s="369"/>
      <c r="J19" s="369"/>
      <c r="K19" s="369"/>
      <c r="L19" s="369"/>
      <c r="M19" s="369"/>
      <c r="N19" s="369"/>
      <c r="O19" s="369"/>
      <c r="P19" s="369"/>
    </row>
    <row r="20" spans="1:31" s="358" customFormat="1" x14ac:dyDescent="0.2">
      <c r="B20" s="365"/>
      <c r="C20" s="385"/>
      <c r="D20" s="359"/>
      <c r="E20" s="367"/>
      <c r="F20" s="368"/>
      <c r="G20" s="367"/>
      <c r="H20" s="367"/>
      <c r="I20" s="369"/>
      <c r="J20" s="369"/>
      <c r="K20" s="369"/>
      <c r="L20" s="369"/>
      <c r="M20" s="369"/>
      <c r="N20" s="369"/>
      <c r="O20" s="369"/>
      <c r="P20" s="369"/>
    </row>
    <row r="21" spans="1:31" s="350" customFormat="1" ht="15.75" x14ac:dyDescent="0.25">
      <c r="B21" s="354" t="s">
        <v>298</v>
      </c>
      <c r="C21" s="352"/>
      <c r="D21" s="353"/>
      <c r="E21" s="353"/>
      <c r="F21" s="353"/>
      <c r="G21" s="353"/>
      <c r="H21" s="353"/>
    </row>
    <row r="22" spans="1:31" s="350" customFormat="1" x14ac:dyDescent="0.2">
      <c r="B22" s="360"/>
      <c r="C22" s="352"/>
      <c r="D22" s="353"/>
      <c r="E22" s="353"/>
      <c r="F22" s="353"/>
      <c r="G22" s="353"/>
      <c r="H22" s="353"/>
    </row>
    <row r="23" spans="1:31" s="350" customFormat="1" x14ac:dyDescent="0.2">
      <c r="B23" s="355" t="s">
        <v>37</v>
      </c>
      <c r="C23" s="356" t="s">
        <v>11</v>
      </c>
      <c r="D23" s="357" t="s">
        <v>10</v>
      </c>
      <c r="E23" s="353"/>
      <c r="F23" s="353"/>
      <c r="G23" s="353"/>
      <c r="H23" s="353"/>
    </row>
    <row r="24" spans="1:31" x14ac:dyDescent="0.2">
      <c r="B24" s="360" t="s">
        <v>299</v>
      </c>
      <c r="C24" s="361">
        <v>20</v>
      </c>
      <c r="D24" s="353" t="s">
        <v>289</v>
      </c>
      <c r="E24" s="388"/>
      <c r="F24" s="362"/>
      <c r="G24" s="353"/>
      <c r="H24" s="353"/>
      <c r="I24" s="350"/>
      <c r="J24" s="350"/>
      <c r="K24" s="350"/>
      <c r="L24" s="350"/>
      <c r="M24" s="350"/>
      <c r="N24" s="350"/>
      <c r="O24" s="350"/>
      <c r="P24" s="350"/>
      <c r="Q24" s="350"/>
      <c r="R24" s="350"/>
      <c r="S24" s="350"/>
      <c r="T24" s="350"/>
      <c r="U24" s="350"/>
      <c r="V24" s="350"/>
      <c r="W24" s="350"/>
      <c r="X24" s="350"/>
      <c r="Y24" s="350"/>
      <c r="Z24" s="350"/>
      <c r="AA24" s="350"/>
      <c r="AB24" s="350"/>
      <c r="AC24" s="350"/>
      <c r="AD24" s="350"/>
      <c r="AE24" s="350"/>
    </row>
    <row r="25" spans="1:31" ht="14.25" x14ac:dyDescent="0.2">
      <c r="B25" s="360" t="s">
        <v>290</v>
      </c>
      <c r="C25" s="363">
        <v>2.78</v>
      </c>
      <c r="D25" s="353" t="s">
        <v>377</v>
      </c>
      <c r="E25" s="388" t="s">
        <v>313</v>
      </c>
      <c r="F25" s="362"/>
      <c r="G25" s="353"/>
      <c r="H25" s="353"/>
      <c r="I25" s="350"/>
      <c r="J25" s="350"/>
      <c r="K25" s="350"/>
      <c r="L25" s="350"/>
      <c r="M25" s="350"/>
      <c r="N25" s="350"/>
      <c r="O25" s="350"/>
      <c r="P25" s="350"/>
      <c r="Q25" s="350"/>
      <c r="R25" s="350"/>
      <c r="S25" s="350"/>
      <c r="T25" s="350"/>
      <c r="U25" s="350"/>
      <c r="V25" s="350"/>
      <c r="W25" s="350"/>
      <c r="X25" s="350"/>
      <c r="Y25" s="350"/>
      <c r="Z25" s="350"/>
      <c r="AA25" s="350"/>
      <c r="AB25" s="350"/>
      <c r="AC25" s="350"/>
      <c r="AD25" s="350"/>
      <c r="AE25" s="350"/>
    </row>
    <row r="26" spans="1:31" ht="14.25" x14ac:dyDescent="0.2">
      <c r="B26" s="360" t="s">
        <v>300</v>
      </c>
      <c r="C26" s="361">
        <v>2</v>
      </c>
      <c r="D26" s="353" t="s">
        <v>377</v>
      </c>
      <c r="E26" s="388"/>
      <c r="F26" s="362"/>
      <c r="G26" s="353"/>
      <c r="H26" s="353"/>
      <c r="I26" s="350"/>
      <c r="J26" s="350"/>
      <c r="K26" s="350"/>
      <c r="L26" s="350"/>
      <c r="M26" s="350"/>
      <c r="N26" s="350"/>
      <c r="O26" s="350"/>
      <c r="P26" s="350"/>
      <c r="Q26" s="350"/>
      <c r="R26" s="350"/>
      <c r="S26" s="350"/>
      <c r="T26" s="350"/>
      <c r="U26" s="350"/>
      <c r="V26" s="350"/>
      <c r="W26" s="350"/>
      <c r="X26" s="350"/>
      <c r="Y26" s="350"/>
      <c r="Z26" s="350"/>
      <c r="AA26" s="350"/>
      <c r="AB26" s="350"/>
      <c r="AC26" s="350"/>
      <c r="AD26" s="350"/>
      <c r="AE26" s="350"/>
    </row>
    <row r="27" spans="1:31" s="350" customFormat="1" x14ac:dyDescent="0.2">
      <c r="B27" s="360"/>
      <c r="C27" s="352"/>
      <c r="D27" s="353"/>
      <c r="E27" s="353"/>
      <c r="F27" s="362"/>
      <c r="G27" s="353"/>
      <c r="H27" s="353"/>
    </row>
    <row r="28" spans="1:31" s="350" customFormat="1" x14ac:dyDescent="0.2">
      <c r="B28" s="364" t="s">
        <v>36</v>
      </c>
      <c r="C28" s="352"/>
      <c r="D28" s="353"/>
      <c r="E28" s="353"/>
      <c r="F28" s="353"/>
      <c r="G28" s="353"/>
      <c r="H28" s="353"/>
    </row>
    <row r="29" spans="1:31" s="350" customFormat="1" x14ac:dyDescent="0.2">
      <c r="B29" s="365" t="s">
        <v>292</v>
      </c>
      <c r="C29" s="366">
        <f>(C25/C30)-1</f>
        <v>0.66799999999999971</v>
      </c>
      <c r="D29" s="359" t="s">
        <v>79</v>
      </c>
      <c r="E29" s="353"/>
      <c r="F29" s="353"/>
      <c r="G29" s="353"/>
      <c r="H29" s="353"/>
    </row>
    <row r="30" spans="1:31" s="350" customFormat="1" ht="14.25" x14ac:dyDescent="0.2">
      <c r="B30" s="365" t="s">
        <v>301</v>
      </c>
      <c r="C30" s="366">
        <f>(100*C26)/(100+C24)</f>
        <v>1.6666666666666667</v>
      </c>
      <c r="D30" s="353" t="s">
        <v>377</v>
      </c>
      <c r="E30" s="353"/>
      <c r="F30" s="353"/>
      <c r="G30" s="353"/>
      <c r="H30" s="353"/>
    </row>
    <row r="31" spans="1:31" s="350" customFormat="1" x14ac:dyDescent="0.2">
      <c r="B31" s="365" t="s">
        <v>293</v>
      </c>
      <c r="C31" s="366">
        <f>C24*C25/C29</f>
        <v>83.233532934131759</v>
      </c>
      <c r="D31" s="367" t="s">
        <v>294</v>
      </c>
      <c r="E31" s="353"/>
      <c r="F31" s="353"/>
      <c r="G31" s="353"/>
      <c r="H31" s="353"/>
    </row>
    <row r="32" spans="1:31" s="350" customFormat="1" ht="13.5" thickBot="1" x14ac:dyDescent="0.25">
      <c r="B32" s="360"/>
      <c r="C32" s="352"/>
      <c r="D32" s="353"/>
      <c r="E32" s="353"/>
      <c r="F32" s="353"/>
      <c r="G32" s="353"/>
      <c r="H32" s="353"/>
    </row>
    <row r="33" spans="2:31" x14ac:dyDescent="0.2">
      <c r="B33" s="371" t="s">
        <v>295</v>
      </c>
      <c r="C33" s="372">
        <f>1-C30/C25</f>
        <v>0.40047961630695439</v>
      </c>
      <c r="D33" s="373" t="s">
        <v>79</v>
      </c>
      <c r="E33" s="374" t="str">
        <f>IF(C31&gt;100,"ERROR, PERCENT SATURATION IN EXCESS OF 100%","")</f>
        <v/>
      </c>
      <c r="F33" s="353"/>
      <c r="G33" s="353"/>
      <c r="H33" s="353"/>
      <c r="I33" s="350"/>
      <c r="J33" s="350"/>
      <c r="K33" s="350"/>
      <c r="L33" s="350"/>
      <c r="M33" s="350"/>
      <c r="N33" s="350"/>
      <c r="O33" s="350"/>
      <c r="P33" s="350"/>
      <c r="Q33" s="350"/>
      <c r="R33" s="350"/>
      <c r="S33" s="350"/>
      <c r="T33" s="350"/>
      <c r="U33" s="350"/>
      <c r="V33" s="350"/>
      <c r="W33" s="350"/>
      <c r="X33" s="350"/>
      <c r="Y33" s="350"/>
      <c r="Z33" s="350"/>
      <c r="AA33" s="350"/>
      <c r="AB33" s="350"/>
      <c r="AC33" s="350"/>
      <c r="AD33" s="350"/>
      <c r="AE33" s="350"/>
    </row>
    <row r="34" spans="2:31" x14ac:dyDescent="0.2">
      <c r="B34" s="375" t="s">
        <v>296</v>
      </c>
      <c r="C34" s="376">
        <f>IF(C31&gt;100,0,((100-(C31))*C33)/100)</f>
        <v>6.7146282973621005E-2</v>
      </c>
      <c r="D34" s="377" t="s">
        <v>79</v>
      </c>
      <c r="E34" s="353"/>
      <c r="F34" s="353"/>
      <c r="G34" s="353"/>
      <c r="H34" s="353"/>
      <c r="I34" s="350"/>
      <c r="J34" s="350"/>
      <c r="K34" s="350"/>
      <c r="L34" s="350"/>
      <c r="M34" s="350"/>
      <c r="N34" s="350"/>
      <c r="O34" s="350"/>
      <c r="P34" s="350"/>
      <c r="Q34" s="350"/>
      <c r="R34" s="350"/>
      <c r="S34" s="350"/>
      <c r="T34" s="350"/>
      <c r="U34" s="350"/>
      <c r="V34" s="350"/>
      <c r="W34" s="350"/>
      <c r="X34" s="350"/>
      <c r="Y34" s="350"/>
      <c r="Z34" s="350"/>
      <c r="AA34" s="350"/>
      <c r="AB34" s="350"/>
      <c r="AC34" s="350"/>
      <c r="AD34" s="350"/>
      <c r="AE34" s="350"/>
    </row>
    <row r="35" spans="2:31" ht="13.5" thickBot="1" x14ac:dyDescent="0.25">
      <c r="B35" s="379" t="s">
        <v>297</v>
      </c>
      <c r="C35" s="380">
        <f>C33-C34</f>
        <v>0.33333333333333337</v>
      </c>
      <c r="D35" s="381" t="s">
        <v>79</v>
      </c>
      <c r="E35" s="353"/>
      <c r="F35" s="353"/>
      <c r="G35" s="353"/>
      <c r="H35" s="353"/>
      <c r="I35" s="350"/>
      <c r="J35" s="350"/>
      <c r="K35" s="350"/>
      <c r="L35" s="350"/>
      <c r="M35" s="350"/>
      <c r="N35" s="350"/>
      <c r="O35" s="350"/>
      <c r="P35" s="350"/>
      <c r="Q35" s="350"/>
      <c r="R35" s="350"/>
      <c r="S35" s="350"/>
      <c r="T35" s="350"/>
      <c r="U35" s="350"/>
      <c r="V35" s="350"/>
      <c r="W35" s="350"/>
      <c r="X35" s="350"/>
      <c r="Y35" s="350"/>
      <c r="Z35" s="350"/>
      <c r="AA35" s="350"/>
      <c r="AB35" s="350"/>
      <c r="AC35" s="350"/>
      <c r="AD35" s="350"/>
      <c r="AE35" s="350"/>
    </row>
    <row r="36" spans="2:31" s="350" customFormat="1" x14ac:dyDescent="0.2">
      <c r="B36" s="360"/>
      <c r="C36" s="352"/>
      <c r="D36" s="353"/>
      <c r="E36" s="353"/>
      <c r="F36" s="353"/>
      <c r="G36" s="353"/>
      <c r="H36" s="353"/>
    </row>
    <row r="37" spans="2:31" s="350" customFormat="1" x14ac:dyDescent="0.2">
      <c r="B37" s="353"/>
      <c r="C37" s="352"/>
      <c r="D37" s="353"/>
      <c r="E37" s="353"/>
      <c r="F37" s="353"/>
      <c r="G37" s="353"/>
      <c r="H37" s="353"/>
    </row>
    <row r="38" spans="2:31" s="350" customFormat="1" x14ac:dyDescent="0.2">
      <c r="B38" s="386" t="s">
        <v>302</v>
      </c>
      <c r="C38" s="352"/>
      <c r="D38" s="353"/>
      <c r="E38" s="353"/>
      <c r="F38" s="353"/>
      <c r="G38" s="353"/>
      <c r="H38" s="353"/>
    </row>
    <row r="39" spans="2:31" s="350" customFormat="1" x14ac:dyDescent="0.2">
      <c r="B39" s="353"/>
      <c r="C39" s="352"/>
      <c r="D39" s="353"/>
      <c r="E39" s="353"/>
      <c r="F39" s="353"/>
      <c r="G39" s="353"/>
      <c r="H39" s="353"/>
    </row>
    <row r="40" spans="2:31" s="350" customFormat="1" x14ac:dyDescent="0.2">
      <c r="B40" s="353"/>
      <c r="C40" s="352"/>
      <c r="D40" s="353"/>
      <c r="E40" s="353"/>
      <c r="F40" s="353"/>
      <c r="G40" s="353"/>
      <c r="H40" s="353"/>
    </row>
    <row r="41" spans="2:31" s="350" customFormat="1" x14ac:dyDescent="0.2">
      <c r="C41" s="387"/>
    </row>
    <row r="42" spans="2:31" s="350" customFormat="1" x14ac:dyDescent="0.2">
      <c r="C42" s="387"/>
    </row>
    <row r="43" spans="2:31" s="350" customFormat="1" x14ac:dyDescent="0.2">
      <c r="C43" s="387"/>
    </row>
    <row r="44" spans="2:31" s="350" customFormat="1" x14ac:dyDescent="0.2">
      <c r="C44" s="387"/>
    </row>
    <row r="45" spans="2:31" s="350" customFormat="1" x14ac:dyDescent="0.2">
      <c r="C45" s="387"/>
    </row>
    <row r="46" spans="2:31" s="350" customFormat="1" x14ac:dyDescent="0.2">
      <c r="C46" s="387"/>
    </row>
    <row r="47" spans="2:31" s="350" customFormat="1" x14ac:dyDescent="0.2">
      <c r="C47" s="387"/>
    </row>
    <row r="48" spans="2:31" s="350" customFormat="1" x14ac:dyDescent="0.2">
      <c r="C48" s="387"/>
    </row>
    <row r="49" spans="3:3" s="350" customFormat="1" x14ac:dyDescent="0.2">
      <c r="C49" s="387"/>
    </row>
    <row r="50" spans="3:3" s="350" customFormat="1" x14ac:dyDescent="0.2">
      <c r="C50" s="387"/>
    </row>
    <row r="51" spans="3:3" s="350" customFormat="1" x14ac:dyDescent="0.2">
      <c r="C51" s="387"/>
    </row>
    <row r="52" spans="3:3" s="350" customFormat="1" x14ac:dyDescent="0.2">
      <c r="C52" s="387"/>
    </row>
    <row r="53" spans="3:3" s="350" customFormat="1" x14ac:dyDescent="0.2">
      <c r="C53" s="387"/>
    </row>
    <row r="54" spans="3:3" s="350" customFormat="1" x14ac:dyDescent="0.2">
      <c r="C54" s="387"/>
    </row>
    <row r="55" spans="3:3" s="350" customFormat="1" x14ac:dyDescent="0.2">
      <c r="C55" s="387"/>
    </row>
    <row r="56" spans="3:3" s="350" customFormat="1" x14ac:dyDescent="0.2">
      <c r="C56" s="387"/>
    </row>
    <row r="57" spans="3:3" s="350" customFormat="1" x14ac:dyDescent="0.2">
      <c r="C57" s="387"/>
    </row>
  </sheetData>
  <sheetProtection password="CA8F" sheet="1" objects="1" scenarios="1"/>
  <phoneticPr fontId="0" type="noConversion"/>
  <conditionalFormatting sqref="C5 C23">
    <cfRule type="expression" dxfId="6" priority="1" stopIfTrue="1">
      <formula>$S$133=8</formula>
    </cfRule>
  </conditionalFormatting>
  <pageMargins left="0.75" right="0.75" top="1" bottom="1" header="0.5" footer="0.5"/>
  <pageSetup paperSize="9" scale="90" orientation="landscape"/>
  <headerFooter alignWithMargins="0"/>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K29"/>
  <sheetViews>
    <sheetView zoomScale="75" workbookViewId="0">
      <selection activeCell="L22" sqref="L22"/>
    </sheetView>
  </sheetViews>
  <sheetFormatPr defaultRowHeight="12.75" x14ac:dyDescent="0.2"/>
  <cols>
    <col min="1" max="1" width="1.28515625" customWidth="1"/>
    <col min="2" max="2" width="38.5703125" customWidth="1"/>
    <col min="3" max="3" width="10.140625" customWidth="1"/>
    <col min="4" max="5" width="10.7109375" customWidth="1"/>
    <col min="6" max="6" width="0.85546875" customWidth="1"/>
    <col min="7" max="8" width="10.7109375" customWidth="1"/>
    <col min="9" max="9" width="0.85546875" customWidth="1"/>
    <col min="10" max="11" width="10.7109375" customWidth="1"/>
  </cols>
  <sheetData>
    <row r="1" spans="1:10" ht="3.75" customHeight="1" x14ac:dyDescent="0.2"/>
    <row r="2" spans="1:10" s="17" customFormat="1" ht="20.25" x14ac:dyDescent="0.3">
      <c r="A2" s="17" t="s">
        <v>184</v>
      </c>
    </row>
    <row r="3" spans="1:10" s="150" customFormat="1" ht="15.75" x14ac:dyDescent="0.25">
      <c r="A3" s="150" t="s">
        <v>185</v>
      </c>
    </row>
    <row r="6" spans="1:10" s="16" customFormat="1" x14ac:dyDescent="0.2">
      <c r="B6" s="16" t="s">
        <v>102</v>
      </c>
      <c r="C6" s="6" t="s">
        <v>186</v>
      </c>
      <c r="E6" s="32" t="s">
        <v>187</v>
      </c>
      <c r="F6" s="32"/>
      <c r="G6" s="16" t="s">
        <v>188</v>
      </c>
    </row>
    <row r="7" spans="1:10" x14ac:dyDescent="0.2">
      <c r="B7" s="164" t="s">
        <v>31</v>
      </c>
      <c r="C7" s="165" t="s">
        <v>189</v>
      </c>
      <c r="D7" s="178">
        <f>(0.00000001)*864</f>
        <v>8.6400000000000003E-6</v>
      </c>
      <c r="E7" s="166" t="s">
        <v>25</v>
      </c>
      <c r="F7" s="166"/>
      <c r="G7" s="538" t="s">
        <v>386</v>
      </c>
      <c r="H7" s="539"/>
      <c r="I7" s="539"/>
      <c r="J7" s="540"/>
    </row>
    <row r="8" spans="1:10" x14ac:dyDescent="0.2">
      <c r="B8" s="164" t="s">
        <v>29</v>
      </c>
      <c r="C8" s="165" t="s">
        <v>191</v>
      </c>
      <c r="D8" s="178">
        <v>1</v>
      </c>
      <c r="E8" s="166" t="s">
        <v>192</v>
      </c>
      <c r="F8" s="166"/>
      <c r="G8" s="538" t="s">
        <v>387</v>
      </c>
      <c r="H8" s="539"/>
      <c r="I8" s="539"/>
      <c r="J8" s="540"/>
    </row>
    <row r="9" spans="1:10" x14ac:dyDescent="0.2">
      <c r="B9" s="164" t="s">
        <v>193</v>
      </c>
      <c r="C9" s="165" t="s">
        <v>1</v>
      </c>
      <c r="D9" s="178">
        <v>0.3</v>
      </c>
      <c r="E9" s="166" t="s">
        <v>79</v>
      </c>
      <c r="F9" s="166"/>
      <c r="G9" s="538" t="s">
        <v>388</v>
      </c>
      <c r="H9" s="539"/>
      <c r="I9" s="539"/>
      <c r="J9" s="540"/>
    </row>
    <row r="10" spans="1:10" x14ac:dyDescent="0.2">
      <c r="B10" s="164"/>
      <c r="C10" s="165"/>
      <c r="D10" s="189"/>
      <c r="E10" s="166"/>
      <c r="F10" s="166"/>
      <c r="G10" s="182"/>
      <c r="H10" s="182"/>
      <c r="I10" s="182"/>
      <c r="J10" s="182"/>
    </row>
    <row r="11" spans="1:10" x14ac:dyDescent="0.2">
      <c r="B11" s="164" t="s">
        <v>194</v>
      </c>
      <c r="C11" s="165" t="s">
        <v>195</v>
      </c>
      <c r="D11" s="178">
        <v>1</v>
      </c>
      <c r="E11" s="166" t="s">
        <v>26</v>
      </c>
      <c r="F11" s="166"/>
      <c r="G11" s="541"/>
      <c r="H11" s="539"/>
      <c r="I11" s="539"/>
      <c r="J11" s="540"/>
    </row>
    <row r="12" spans="1:10" x14ac:dyDescent="0.2">
      <c r="B12" s="164" t="s">
        <v>196</v>
      </c>
      <c r="C12" s="165" t="s">
        <v>68</v>
      </c>
      <c r="D12" s="178">
        <v>100</v>
      </c>
      <c r="E12" s="166" t="s">
        <v>26</v>
      </c>
      <c r="F12" s="166"/>
      <c r="G12" s="541"/>
      <c r="H12" s="539"/>
      <c r="I12" s="539"/>
      <c r="J12" s="540"/>
    </row>
    <row r="13" spans="1:10" x14ac:dyDescent="0.2">
      <c r="B13" s="164" t="s">
        <v>197</v>
      </c>
      <c r="C13" s="165" t="s">
        <v>14</v>
      </c>
      <c r="D13" s="178">
        <v>0</v>
      </c>
      <c r="E13" s="166" t="s">
        <v>26</v>
      </c>
      <c r="F13" s="166"/>
      <c r="G13" s="541"/>
      <c r="H13" s="539"/>
      <c r="I13" s="539"/>
      <c r="J13" s="540"/>
    </row>
    <row r="14" spans="1:10" ht="13.5" x14ac:dyDescent="0.2">
      <c r="B14" s="1" t="s">
        <v>248</v>
      </c>
      <c r="C14" s="188" t="s">
        <v>35</v>
      </c>
      <c r="D14" s="178">
        <v>2</v>
      </c>
      <c r="E14" s="166" t="s">
        <v>244</v>
      </c>
      <c r="F14" s="166"/>
      <c r="G14" s="541"/>
      <c r="H14" s="539"/>
      <c r="I14" s="539"/>
      <c r="J14" s="540"/>
    </row>
    <row r="15" spans="1:10" x14ac:dyDescent="0.2">
      <c r="B15" s="164" t="s">
        <v>243</v>
      </c>
      <c r="C15" s="165" t="s">
        <v>13</v>
      </c>
      <c r="D15" s="178">
        <v>50</v>
      </c>
      <c r="E15" s="166" t="s">
        <v>23</v>
      </c>
      <c r="F15" s="166"/>
      <c r="G15" s="541"/>
      <c r="H15" s="539"/>
      <c r="I15" s="539"/>
      <c r="J15" s="540"/>
    </row>
    <row r="16" spans="1:10" x14ac:dyDescent="0.2">
      <c r="B16" s="164" t="s">
        <v>198</v>
      </c>
      <c r="C16" s="165" t="s">
        <v>199</v>
      </c>
      <c r="D16" s="479">
        <f>1+(D15*D14)/D9</f>
        <v>334.33333333333337</v>
      </c>
      <c r="E16" s="166"/>
      <c r="F16" s="166"/>
      <c r="G16" s="541"/>
      <c r="H16" s="539"/>
      <c r="I16" s="539"/>
      <c r="J16" s="540"/>
    </row>
    <row r="17" spans="2:11" x14ac:dyDescent="0.2">
      <c r="B17" s="164"/>
      <c r="C17" s="165"/>
      <c r="D17" s="166"/>
      <c r="E17" s="192"/>
      <c r="F17" s="166"/>
    </row>
    <row r="18" spans="2:11" x14ac:dyDescent="0.2">
      <c r="B18" s="164"/>
      <c r="C18" s="165"/>
      <c r="D18" s="166"/>
      <c r="E18" s="166"/>
      <c r="F18" s="166"/>
    </row>
    <row r="19" spans="2:11" x14ac:dyDescent="0.2">
      <c r="B19" s="164"/>
      <c r="C19" s="165"/>
      <c r="D19" s="166"/>
      <c r="E19" s="166"/>
      <c r="F19" s="166"/>
    </row>
    <row r="20" spans="2:11" x14ac:dyDescent="0.2">
      <c r="B20" s="167" t="s">
        <v>200</v>
      </c>
      <c r="C20" s="168" t="s">
        <v>201</v>
      </c>
      <c r="D20" s="176">
        <f>(D7*D8)/(D9*86400)</f>
        <v>3.3333333333333332E-10</v>
      </c>
      <c r="E20" s="177" t="s">
        <v>212</v>
      </c>
      <c r="F20" s="173"/>
      <c r="G20" s="176">
        <f>(D7*D8)/D9</f>
        <v>2.8800000000000002E-5</v>
      </c>
      <c r="H20" s="175" t="s">
        <v>190</v>
      </c>
      <c r="J20" s="176">
        <f>(365*D7*D8)/D9</f>
        <v>1.0512000000000001E-2</v>
      </c>
      <c r="K20" s="177" t="s">
        <v>210</v>
      </c>
    </row>
    <row r="21" spans="2:11" x14ac:dyDescent="0.2">
      <c r="B21" s="167" t="s">
        <v>202</v>
      </c>
      <c r="C21" s="168" t="s">
        <v>203</v>
      </c>
      <c r="D21" s="176">
        <f>D13/D20</f>
        <v>0</v>
      </c>
      <c r="E21" s="177" t="s">
        <v>213</v>
      </c>
      <c r="F21" s="173"/>
      <c r="G21" s="176">
        <f>D13/G20</f>
        <v>0</v>
      </c>
      <c r="H21" s="175" t="s">
        <v>21</v>
      </c>
      <c r="J21" s="176">
        <f>D13/J20</f>
        <v>0</v>
      </c>
      <c r="K21" s="177" t="s">
        <v>211</v>
      </c>
    </row>
    <row r="22" spans="2:11" ht="14.25" x14ac:dyDescent="0.2">
      <c r="B22" s="167" t="s">
        <v>265</v>
      </c>
      <c r="C22" s="168" t="s">
        <v>64</v>
      </c>
      <c r="D22" s="176">
        <f>D7*D8*D11*D12/86400</f>
        <v>1E-8</v>
      </c>
      <c r="E22" s="177" t="s">
        <v>214</v>
      </c>
      <c r="F22" s="173"/>
      <c r="G22" s="176">
        <f>D7*D8*D11*D12</f>
        <v>8.6400000000000008E-4</v>
      </c>
      <c r="H22" s="175" t="s">
        <v>215</v>
      </c>
      <c r="J22" s="176">
        <f>D7*D8*D11*D12*365</f>
        <v>0.31536000000000003</v>
      </c>
      <c r="K22" s="177" t="s">
        <v>216</v>
      </c>
    </row>
    <row r="23" spans="2:11" x14ac:dyDescent="0.2">
      <c r="B23" s="164"/>
      <c r="C23" s="165"/>
      <c r="D23" s="171"/>
      <c r="E23" s="166"/>
      <c r="F23" s="174"/>
    </row>
    <row r="24" spans="2:11" x14ac:dyDescent="0.2">
      <c r="B24" s="167" t="s">
        <v>204</v>
      </c>
      <c r="C24" s="168" t="s">
        <v>205</v>
      </c>
      <c r="D24" s="169">
        <f>(D7*D8)/(86400*D9*D16)</f>
        <v>9.9700897308075763E-13</v>
      </c>
      <c r="E24" s="177" t="s">
        <v>212</v>
      </c>
      <c r="F24" s="173"/>
      <c r="G24" s="169">
        <f>(D7*D8)/(D9*D16)</f>
        <v>8.6141575274177456E-8</v>
      </c>
      <c r="H24" s="170" t="s">
        <v>190</v>
      </c>
      <c r="J24" s="169">
        <f>(365*D7*D8)/(D9*D16)</f>
        <v>3.1441674975074774E-5</v>
      </c>
      <c r="K24" s="177" t="s">
        <v>210</v>
      </c>
    </row>
    <row r="25" spans="2:11" x14ac:dyDescent="0.2">
      <c r="B25" s="167" t="s">
        <v>206</v>
      </c>
      <c r="C25" s="168" t="s">
        <v>207</v>
      </c>
      <c r="D25" s="169">
        <f>D13/D24</f>
        <v>0</v>
      </c>
      <c r="E25" s="177" t="s">
        <v>213</v>
      </c>
      <c r="F25" s="173"/>
      <c r="G25" s="169">
        <f>D13/G24</f>
        <v>0</v>
      </c>
      <c r="H25" s="170" t="s">
        <v>21</v>
      </c>
      <c r="J25" s="169">
        <f>D13/J24</f>
        <v>0</v>
      </c>
      <c r="K25" s="177" t="s">
        <v>211</v>
      </c>
    </row>
    <row r="29" spans="2:11" x14ac:dyDescent="0.2">
      <c r="D29" s="401"/>
      <c r="G29" s="401"/>
      <c r="J29" s="401"/>
    </row>
  </sheetData>
  <sheetProtection password="CA8F" sheet="1" objects="1" scenarios="1"/>
  <mergeCells count="9">
    <mergeCell ref="G7:J7"/>
    <mergeCell ref="G8:J8"/>
    <mergeCell ref="G9:J9"/>
    <mergeCell ref="G11:J11"/>
    <mergeCell ref="G16:J16"/>
    <mergeCell ref="G12:J12"/>
    <mergeCell ref="G13:J13"/>
    <mergeCell ref="G14:J14"/>
    <mergeCell ref="G15:J15"/>
  </mergeCells>
  <phoneticPr fontId="0" type="noConversion"/>
  <pageMargins left="0.75" right="0.75" top="1" bottom="1" header="0.5" footer="0.5"/>
  <pageSetup paperSize="9" orientation="landscape" horizontalDpi="300" verticalDpi="300"/>
  <headerFooter alignWithMargins="0">
    <oddFooter>&amp;L Remedial targets worksheet v3.1
&amp;R&amp;D, &amp;T
&amp;F&amp;A</oddFooter>
  </headerFooter>
  <legacy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pageSetUpPr fitToPage="1"/>
  </sheetPr>
  <dimension ref="B1:T33"/>
  <sheetViews>
    <sheetView topLeftCell="A4" workbookViewId="0">
      <pane xSplit="3" topLeftCell="D1" activePane="topRight" state="frozenSplit"/>
      <selection activeCell="D33" sqref="D33"/>
      <selection pane="topRight" activeCell="F37" sqref="F37"/>
    </sheetView>
  </sheetViews>
  <sheetFormatPr defaultRowHeight="12.75" x14ac:dyDescent="0.2"/>
  <cols>
    <col min="1" max="1" width="3.28515625" style="36" customWidth="1"/>
    <col min="2" max="3" width="14.42578125" style="35" customWidth="1"/>
    <col min="4" max="4" width="12.85546875" style="35" bestFit="1" customWidth="1"/>
    <col min="5" max="5" width="3.5703125" style="36" customWidth="1"/>
    <col min="6" max="6" width="37.140625" style="36" customWidth="1"/>
    <col min="7" max="7" width="9.85546875" style="36" customWidth="1"/>
    <col min="8" max="8" width="9.28515625" style="36" customWidth="1"/>
    <col min="9" max="9" width="9.42578125" style="36" customWidth="1"/>
    <col min="10" max="10" width="19.28515625" style="36" customWidth="1"/>
    <col min="11" max="18" width="8.140625" style="36" customWidth="1"/>
    <col min="19" max="19" width="13.7109375" style="36" customWidth="1"/>
    <col min="20" max="16384" width="9.140625" style="36"/>
  </cols>
  <sheetData>
    <row r="1" spans="2:20" ht="15.75" x14ac:dyDescent="0.25">
      <c r="B1" s="52" t="s">
        <v>326</v>
      </c>
    </row>
    <row r="2" spans="2:20" x14ac:dyDescent="0.2">
      <c r="B2" s="38" t="s">
        <v>89</v>
      </c>
      <c r="C2" s="96" t="str">
        <f>'Level1 Soil'!$D$8</f>
        <v>SO4</v>
      </c>
      <c r="D2" s="88"/>
    </row>
    <row r="3" spans="2:20" x14ac:dyDescent="0.2">
      <c r="K3" s="41"/>
      <c r="L3" s="42"/>
      <c r="N3" s="35"/>
      <c r="O3" s="41"/>
      <c r="P3" s="41"/>
      <c r="Q3" s="41"/>
      <c r="R3" s="41"/>
    </row>
    <row r="4" spans="2:20" x14ac:dyDescent="0.2">
      <c r="B4" s="38" t="s">
        <v>102</v>
      </c>
      <c r="C4" s="38" t="s">
        <v>11</v>
      </c>
      <c r="D4" s="38" t="s">
        <v>159</v>
      </c>
      <c r="F4" s="37" t="s">
        <v>164</v>
      </c>
      <c r="K4" s="41"/>
      <c r="L4" s="41"/>
      <c r="N4" s="44"/>
      <c r="O4" s="41"/>
      <c r="P4" s="41"/>
      <c r="Q4" s="41"/>
      <c r="R4" s="41"/>
    </row>
    <row r="5" spans="2:20" ht="14.25" x14ac:dyDescent="0.2">
      <c r="B5" s="40" t="s">
        <v>103</v>
      </c>
      <c r="C5" s="39"/>
      <c r="D5" s="39"/>
      <c r="E5" s="35"/>
      <c r="F5" s="72" t="s">
        <v>136</v>
      </c>
      <c r="G5" s="542" t="str">
        <f>'Level1 Soil'!F7</f>
        <v>User specified value for partition coefficient</v>
      </c>
      <c r="H5" s="542"/>
      <c r="I5" s="542"/>
      <c r="J5" s="542"/>
      <c r="K5" s="41"/>
      <c r="L5" s="41"/>
      <c r="N5" s="44"/>
      <c r="O5" s="41"/>
      <c r="P5" s="41"/>
      <c r="Q5" s="41"/>
      <c r="R5" s="41"/>
    </row>
    <row r="6" spans="2:20" x14ac:dyDescent="0.2">
      <c r="B6" s="43"/>
      <c r="C6" s="43"/>
      <c r="D6" s="43"/>
      <c r="E6" s="36" t="s">
        <v>94</v>
      </c>
      <c r="F6" s="50"/>
      <c r="G6" s="42" t="s">
        <v>95</v>
      </c>
      <c r="H6" s="42" t="s">
        <v>95</v>
      </c>
      <c r="I6" s="42" t="s">
        <v>96</v>
      </c>
      <c r="J6" s="36" t="s">
        <v>23</v>
      </c>
      <c r="K6" s="41"/>
      <c r="L6" s="41"/>
      <c r="N6" s="44"/>
      <c r="O6" s="41"/>
      <c r="P6" s="41"/>
      <c r="Q6" s="41"/>
      <c r="R6" s="41"/>
    </row>
    <row r="7" spans="2:20" ht="16.5" x14ac:dyDescent="0.2">
      <c r="B7" s="51" t="s">
        <v>97</v>
      </c>
      <c r="C7" s="327">
        <f>'Level1 Soil'!D9</f>
        <v>400</v>
      </c>
      <c r="D7" s="43" t="s">
        <v>22</v>
      </c>
      <c r="F7" s="40" t="s">
        <v>105</v>
      </c>
      <c r="K7" s="41"/>
      <c r="L7" s="41"/>
      <c r="N7" s="44"/>
      <c r="O7" s="41"/>
      <c r="P7" s="41"/>
      <c r="Q7" s="41"/>
      <c r="R7" s="41"/>
      <c r="T7" s="44"/>
    </row>
    <row r="8" spans="2:20" x14ac:dyDescent="0.2">
      <c r="B8" s="43" t="s">
        <v>13</v>
      </c>
      <c r="C8" s="327">
        <f>'Level1 Soil'!D29</f>
        <v>0</v>
      </c>
      <c r="D8" s="80" t="s">
        <v>23</v>
      </c>
      <c r="F8" s="47" t="s">
        <v>106</v>
      </c>
      <c r="G8" s="328">
        <f>$C$15/(1+10^($C$17-$C$18))</f>
        <v>0</v>
      </c>
      <c r="H8" s="328">
        <f>$C$16*(1-(1+10^($C$17-$C$18))^-1)</f>
        <v>0</v>
      </c>
      <c r="I8" s="328">
        <f>C19*(G8+H8)</f>
        <v>0</v>
      </c>
      <c r="K8" s="41"/>
      <c r="L8" s="41"/>
      <c r="N8" s="44"/>
      <c r="O8" s="41"/>
      <c r="P8" s="41"/>
      <c r="Q8" s="41"/>
      <c r="R8" s="41"/>
    </row>
    <row r="9" spans="2:20" x14ac:dyDescent="0.2">
      <c r="B9" s="43" t="s">
        <v>53</v>
      </c>
      <c r="C9" s="328">
        <f>'Level1 Soil'!D20</f>
        <v>0</v>
      </c>
      <c r="D9" s="43" t="s">
        <v>79</v>
      </c>
      <c r="I9" s="41"/>
      <c r="K9" s="41"/>
      <c r="L9" s="41"/>
      <c r="N9" s="44"/>
      <c r="O9" s="41"/>
      <c r="P9" s="41"/>
      <c r="Q9" s="41"/>
      <c r="R9" s="41"/>
    </row>
    <row r="10" spans="2:20" x14ac:dyDescent="0.2">
      <c r="B10" s="43" t="s">
        <v>54</v>
      </c>
      <c r="C10" s="328">
        <f>'Level1 Soil'!D21</f>
        <v>0</v>
      </c>
      <c r="D10" s="43" t="s">
        <v>23</v>
      </c>
      <c r="F10" s="40" t="s">
        <v>358</v>
      </c>
      <c r="G10" s="41"/>
      <c r="H10" s="41"/>
      <c r="I10" s="455">
        <f>'Level1 Soil'!$D$29</f>
        <v>0</v>
      </c>
      <c r="J10" s="36" t="s">
        <v>23</v>
      </c>
      <c r="K10" s="41"/>
      <c r="L10" s="41"/>
      <c r="N10" s="44"/>
      <c r="O10" s="41"/>
      <c r="P10" s="41"/>
      <c r="Q10" s="41"/>
      <c r="R10" s="41"/>
    </row>
    <row r="11" spans="2:20" ht="18.75" x14ac:dyDescent="0.2">
      <c r="B11" s="5" t="s">
        <v>137</v>
      </c>
      <c r="C11" s="327">
        <f>'Level1 Soil'!D13</f>
        <v>0</v>
      </c>
      <c r="D11" s="43" t="s">
        <v>79</v>
      </c>
      <c r="K11" s="41"/>
      <c r="L11" s="41"/>
      <c r="N11" s="44"/>
      <c r="O11" s="41"/>
      <c r="P11" s="41"/>
      <c r="Q11" s="41"/>
      <c r="R11" s="41"/>
    </row>
    <row r="12" spans="2:20" ht="15" x14ac:dyDescent="0.2">
      <c r="B12" s="5" t="s">
        <v>87</v>
      </c>
      <c r="C12" s="327">
        <f>'Level1 Soil'!D14</f>
        <v>0</v>
      </c>
      <c r="D12" s="43" t="s">
        <v>79</v>
      </c>
      <c r="F12" s="92" t="s">
        <v>104</v>
      </c>
      <c r="G12" s="462" t="e">
        <f>C7*(C8+((C11+C12*C14)/C13))</f>
        <v>#DIV/0!</v>
      </c>
      <c r="H12" s="93" t="s">
        <v>78</v>
      </c>
      <c r="I12" s="94" t="s">
        <v>144</v>
      </c>
      <c r="J12" s="106" t="str">
        <f>'Level1 Soil'!$D$8</f>
        <v>SO4</v>
      </c>
      <c r="K12" s="41"/>
      <c r="L12" s="41"/>
      <c r="N12" s="44"/>
      <c r="O12" s="41"/>
      <c r="P12" s="41"/>
      <c r="Q12" s="41"/>
      <c r="R12" s="41"/>
    </row>
    <row r="13" spans="2:20" ht="15" x14ac:dyDescent="0.2">
      <c r="B13" s="5" t="s">
        <v>35</v>
      </c>
      <c r="C13" s="327">
        <f>'Level1 Soil'!D15</f>
        <v>0</v>
      </c>
      <c r="D13" s="43" t="s">
        <v>24</v>
      </c>
      <c r="K13" s="41"/>
      <c r="L13" s="41"/>
      <c r="N13" s="44"/>
      <c r="O13" s="41"/>
      <c r="P13" s="41"/>
      <c r="Q13" s="41"/>
      <c r="R13" s="41"/>
    </row>
    <row r="14" spans="2:20" x14ac:dyDescent="0.2">
      <c r="B14" s="43" t="str">
        <f>'Level1 Soil'!C16</f>
        <v>H</v>
      </c>
      <c r="C14" s="327">
        <f>'Level1 Soil'!D16</f>
        <v>0</v>
      </c>
      <c r="D14" s="43" t="s">
        <v>80</v>
      </c>
      <c r="F14" s="464" t="s">
        <v>226</v>
      </c>
      <c r="G14" s="41"/>
      <c r="H14" s="41"/>
      <c r="I14" s="455" t="e">
        <f>I10+(C11+C12*C14)/C13</f>
        <v>#DIV/0!</v>
      </c>
      <c r="K14" s="41"/>
      <c r="L14" s="41"/>
      <c r="N14" s="44"/>
      <c r="O14" s="41"/>
      <c r="P14" s="41"/>
      <c r="Q14" s="41"/>
      <c r="R14" s="41"/>
    </row>
    <row r="15" spans="2:20" ht="14.25" customHeight="1" x14ac:dyDescent="0.2">
      <c r="B15" s="43" t="str">
        <f>'Level1 Soil'!C23</f>
        <v>Koc,n</v>
      </c>
      <c r="C15" s="328">
        <f>'Level1 Soil'!D23</f>
        <v>0</v>
      </c>
      <c r="D15" s="43" t="s">
        <v>23</v>
      </c>
      <c r="I15" s="41"/>
      <c r="K15" s="41"/>
      <c r="L15" s="41"/>
      <c r="N15" s="44"/>
      <c r="O15" s="41"/>
      <c r="P15" s="41"/>
      <c r="Q15" s="41"/>
      <c r="R15" s="41"/>
    </row>
    <row r="16" spans="2:20" ht="14.25" customHeight="1" x14ac:dyDescent="0.2">
      <c r="B16" s="43" t="str">
        <f>'Level1 Soil'!C24</f>
        <v>Koc,i</v>
      </c>
      <c r="C16" s="328">
        <f>'Level1 Soil'!D24</f>
        <v>0</v>
      </c>
      <c r="D16" s="43" t="s">
        <v>23</v>
      </c>
      <c r="F16" s="74" t="s">
        <v>143</v>
      </c>
      <c r="G16" s="543" t="str">
        <f>Introduction!$B$28</f>
        <v>Parrys Quarry HRA</v>
      </c>
      <c r="H16" s="543"/>
      <c r="I16" s="544"/>
      <c r="J16" s="322"/>
      <c r="K16" s="41"/>
      <c r="L16" s="41"/>
      <c r="N16" s="44"/>
      <c r="O16" s="41"/>
      <c r="P16" s="41"/>
      <c r="Q16" s="41"/>
      <c r="R16" s="41"/>
    </row>
    <row r="17" spans="2:18" ht="14.25" customHeight="1" x14ac:dyDescent="0.2">
      <c r="B17" s="43" t="str">
        <f>'Level1 Soil'!C25</f>
        <v>pH</v>
      </c>
      <c r="C17" s="328">
        <f>'Level1 Soil'!D25</f>
        <v>0</v>
      </c>
      <c r="D17" s="43" t="s">
        <v>138</v>
      </c>
      <c r="F17" s="77" t="s">
        <v>141</v>
      </c>
      <c r="G17" s="545" t="str">
        <f>Introduction!$B$31</f>
        <v>A R Morris</v>
      </c>
      <c r="H17" s="545"/>
      <c r="I17" s="546"/>
      <c r="J17" s="322"/>
      <c r="K17" s="41"/>
      <c r="L17" s="41"/>
      <c r="N17" s="44"/>
      <c r="O17" s="41"/>
      <c r="P17" s="41"/>
      <c r="Q17" s="41"/>
      <c r="R17" s="41"/>
    </row>
    <row r="18" spans="2:18" ht="14.25" customHeight="1" x14ac:dyDescent="0.2">
      <c r="B18" s="43" t="str">
        <f>'Level1 Soil'!C26</f>
        <v>pKa</v>
      </c>
      <c r="C18" s="328">
        <f>'Level1 Soil'!D26</f>
        <v>0</v>
      </c>
      <c r="D18" s="43"/>
      <c r="F18" s="77" t="s">
        <v>142</v>
      </c>
      <c r="G18" s="95">
        <f>Introduction!$B$32</f>
        <v>43993</v>
      </c>
      <c r="H18" s="95"/>
      <c r="I18" s="84"/>
      <c r="J18" s="322"/>
      <c r="K18" s="41"/>
      <c r="L18" s="41"/>
      <c r="N18" s="44"/>
      <c r="O18" s="41"/>
      <c r="P18" s="41"/>
      <c r="Q18" s="41"/>
      <c r="R18" s="41"/>
    </row>
    <row r="19" spans="2:18" ht="14.25" customHeight="1" x14ac:dyDescent="0.2">
      <c r="B19" s="348" t="s">
        <v>285</v>
      </c>
      <c r="C19" s="328">
        <f>'Level1 Soil'!$D$27</f>
        <v>0</v>
      </c>
      <c r="D19" s="43" t="s">
        <v>79</v>
      </c>
      <c r="F19" s="78" t="s">
        <v>158</v>
      </c>
      <c r="G19" s="105">
        <f>Introduction!$E$32</f>
        <v>1.01</v>
      </c>
      <c r="H19" s="79"/>
      <c r="I19" s="83"/>
      <c r="J19" s="322"/>
      <c r="K19" s="41"/>
      <c r="L19" s="41"/>
      <c r="N19" s="44"/>
      <c r="O19" s="41"/>
      <c r="P19" s="41"/>
      <c r="Q19" s="41"/>
      <c r="R19" s="41"/>
    </row>
    <row r="20" spans="2:18" ht="14.25" customHeight="1" x14ac:dyDescent="0.2">
      <c r="C20" s="349"/>
      <c r="D20" s="43"/>
      <c r="G20" s="41"/>
      <c r="H20" s="41"/>
      <c r="I20" s="41"/>
      <c r="K20" s="41"/>
      <c r="L20" s="41"/>
      <c r="N20" s="44"/>
      <c r="O20" s="41"/>
      <c r="P20" s="41"/>
      <c r="Q20" s="41"/>
      <c r="R20" s="41"/>
    </row>
    <row r="21" spans="2:18" ht="14.25" customHeight="1" x14ac:dyDescent="0.2">
      <c r="B21" s="43"/>
      <c r="C21" s="43"/>
      <c r="D21" s="43"/>
      <c r="G21" s="41"/>
      <c r="H21" s="41"/>
      <c r="I21" s="41"/>
      <c r="K21" s="41"/>
      <c r="L21" s="41"/>
      <c r="N21" s="44"/>
      <c r="O21" s="41"/>
      <c r="P21" s="41"/>
      <c r="Q21" s="41"/>
      <c r="R21" s="41"/>
    </row>
    <row r="22" spans="2:18" ht="14.25" customHeight="1" x14ac:dyDescent="0.2">
      <c r="B22" s="43"/>
      <c r="C22" s="43"/>
      <c r="G22" s="41"/>
      <c r="H22" s="41"/>
      <c r="I22" s="41"/>
      <c r="K22" s="41"/>
      <c r="L22" s="41"/>
      <c r="N22" s="44"/>
      <c r="O22" s="41"/>
      <c r="P22" s="41"/>
      <c r="Q22" s="41"/>
      <c r="R22" s="41"/>
    </row>
    <row r="23" spans="2:18" x14ac:dyDescent="0.2">
      <c r="D23" s="43"/>
      <c r="G23" s="455"/>
      <c r="H23" s="41"/>
      <c r="I23" s="41"/>
      <c r="K23" s="41"/>
      <c r="L23" s="41"/>
      <c r="N23" s="44"/>
      <c r="O23" s="41"/>
      <c r="P23" s="41"/>
      <c r="Q23" s="41"/>
      <c r="R23" s="41"/>
    </row>
    <row r="24" spans="2:18" x14ac:dyDescent="0.2">
      <c r="B24" s="43"/>
      <c r="C24" s="43"/>
      <c r="D24" s="43"/>
      <c r="E24" s="43"/>
      <c r="G24" s="455"/>
      <c r="H24" s="41"/>
      <c r="I24" s="41"/>
      <c r="K24" s="41"/>
      <c r="L24" s="41"/>
      <c r="N24" s="44"/>
      <c r="O24" s="41"/>
      <c r="P24" s="41"/>
      <c r="Q24" s="41"/>
      <c r="R24" s="41"/>
    </row>
    <row r="25" spans="2:18" x14ac:dyDescent="0.2">
      <c r="B25" s="43"/>
      <c r="C25" s="43"/>
      <c r="D25" s="43"/>
      <c r="E25" s="43"/>
      <c r="G25" s="41"/>
      <c r="H25" s="41"/>
      <c r="I25" s="41"/>
      <c r="K25" s="41"/>
      <c r="L25" s="41"/>
      <c r="N25" s="44"/>
      <c r="O25" s="41"/>
      <c r="P25" s="41"/>
      <c r="Q25" s="41"/>
      <c r="R25" s="41"/>
    </row>
    <row r="26" spans="2:18" x14ac:dyDescent="0.2">
      <c r="B26" s="43"/>
      <c r="C26" s="43"/>
      <c r="D26" s="43"/>
      <c r="E26" s="43"/>
      <c r="G26" s="41"/>
      <c r="H26" s="41"/>
      <c r="I26" s="41"/>
      <c r="K26" s="41"/>
      <c r="L26" s="41"/>
      <c r="N26" s="44"/>
      <c r="O26" s="41"/>
      <c r="P26" s="41"/>
      <c r="Q26" s="41"/>
      <c r="R26" s="41"/>
    </row>
    <row r="27" spans="2:18" x14ac:dyDescent="0.2">
      <c r="B27" s="43"/>
      <c r="C27" s="43"/>
      <c r="D27" s="43"/>
      <c r="G27" s="41"/>
      <c r="H27" s="41"/>
      <c r="I27" s="41"/>
      <c r="K27" s="41"/>
      <c r="L27" s="41"/>
      <c r="N27" s="44"/>
      <c r="O27" s="41"/>
      <c r="P27" s="41"/>
      <c r="Q27" s="41"/>
      <c r="R27" s="41"/>
    </row>
    <row r="28" spans="2:18" x14ac:dyDescent="0.2">
      <c r="B28" s="43"/>
      <c r="C28" s="43"/>
      <c r="D28" s="43"/>
      <c r="G28" s="41"/>
    </row>
    <row r="29" spans="2:18" x14ac:dyDescent="0.2">
      <c r="B29" s="43"/>
      <c r="C29" s="43"/>
      <c r="D29" s="43"/>
    </row>
    <row r="30" spans="2:18" x14ac:dyDescent="0.2">
      <c r="B30" s="43"/>
      <c r="C30" s="43"/>
    </row>
    <row r="32" spans="2:18" x14ac:dyDescent="0.2">
      <c r="F32" s="457"/>
      <c r="G32" s="456"/>
    </row>
    <row r="33" spans="6:7" x14ac:dyDescent="0.2">
      <c r="F33" s="457"/>
      <c r="G33" s="456"/>
    </row>
  </sheetData>
  <sheetProtection password="CA8F" sheet="1" objects="1" scenarios="1"/>
  <mergeCells count="3">
    <mergeCell ref="G5:J5"/>
    <mergeCell ref="G16:I16"/>
    <mergeCell ref="G17:I17"/>
  </mergeCells>
  <phoneticPr fontId="0" type="noConversion"/>
  <conditionalFormatting sqref="G8:I8 C15:C19">
    <cfRule type="expression" dxfId="5" priority="1" stopIfTrue="1">
      <formula>$G$5="User specified value for partition coefficient"</formula>
    </cfRule>
    <cfRule type="expression" dxfId="4" priority="2" stopIfTrue="1">
      <formula>$G$5="Calculate for non-polar organic chemicals"</formula>
    </cfRule>
  </conditionalFormatting>
  <conditionalFormatting sqref="C9:C10">
    <cfRule type="expression" dxfId="3" priority="3" stopIfTrue="1">
      <formula>$G$5="User specified value for partition coefficient"</formula>
    </cfRule>
    <cfRule type="expression" dxfId="2" priority="4" stopIfTrue="1">
      <formula>$G$5="Calculate for ionic organic chemicals"</formula>
    </cfRule>
  </conditionalFormatting>
  <pageMargins left="0.75" right="0.75" top="1" bottom="1" header="0.5" footer="0.5"/>
  <pageSetup paperSize="9" scale="93" orientation="landscape" verticalDpi="300"/>
  <headerFooter alignWithMargins="0">
    <oddFooter>&amp;LRemedial targets worksheet v3.1&amp;R&amp;D, &amp;T
&amp;F</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B1:T32"/>
  <sheetViews>
    <sheetView workbookViewId="0">
      <pane xSplit="3" topLeftCell="F1" activePane="topRight" state="frozenSplit"/>
      <selection activeCell="D33" sqref="D33"/>
      <selection pane="topRight" activeCell="F41" sqref="F41"/>
    </sheetView>
  </sheetViews>
  <sheetFormatPr defaultRowHeight="12.75" x14ac:dyDescent="0.2"/>
  <cols>
    <col min="1" max="1" width="3.28515625" style="36" customWidth="1"/>
    <col min="2" max="2" width="16.5703125" style="35" customWidth="1"/>
    <col min="3" max="3" width="16.28515625" style="35" customWidth="1"/>
    <col min="4" max="4" width="6.5703125" style="35" bestFit="1" customWidth="1"/>
    <col min="5" max="5" width="3.85546875" style="36" customWidth="1"/>
    <col min="6" max="6" width="49" style="36" customWidth="1"/>
    <col min="7" max="7" width="13.42578125" style="36" bestFit="1" customWidth="1"/>
    <col min="8" max="8" width="6.28515625" style="36" customWidth="1"/>
    <col min="9" max="9" width="11.140625" style="36" customWidth="1"/>
    <col min="10" max="10" width="14" style="36" customWidth="1"/>
    <col min="11" max="18" width="8.140625" style="36" customWidth="1"/>
    <col min="19" max="19" width="13.7109375" style="36" customWidth="1"/>
    <col min="20" max="16384" width="9.140625" style="36"/>
  </cols>
  <sheetData>
    <row r="1" spans="2:20" ht="15.75" x14ac:dyDescent="0.25">
      <c r="B1" s="52" t="s">
        <v>325</v>
      </c>
    </row>
    <row r="2" spans="2:20" ht="15" x14ac:dyDescent="0.25">
      <c r="B2" s="97" t="str">
        <f>'Level1 Calc'!B2</f>
        <v>Contaminant</v>
      </c>
      <c r="C2" s="97" t="str">
        <f>'Level1 Calc'!C2</f>
        <v>SO4</v>
      </c>
      <c r="D2" s="82"/>
      <c r="G2" s="74" t="s">
        <v>160</v>
      </c>
      <c r="H2" s="75"/>
      <c r="I2" s="76" t="str">
        <f>Introduction!$B$28</f>
        <v>Parrys Quarry HRA</v>
      </c>
      <c r="J2" s="98"/>
    </row>
    <row r="3" spans="2:20" ht="15.75" x14ac:dyDescent="0.25">
      <c r="B3" s="52"/>
      <c r="G3" s="77" t="s">
        <v>142</v>
      </c>
      <c r="H3" s="25"/>
      <c r="I3" s="95">
        <f>Introduction!$B$32</f>
        <v>43993</v>
      </c>
      <c r="J3" s="85"/>
    </row>
    <row r="4" spans="2:20" x14ac:dyDescent="0.2">
      <c r="B4" s="38" t="s">
        <v>102</v>
      </c>
      <c r="C4" s="38" t="s">
        <v>11</v>
      </c>
      <c r="D4" s="38" t="s">
        <v>159</v>
      </c>
      <c r="G4" s="78" t="s">
        <v>158</v>
      </c>
      <c r="H4" s="79"/>
      <c r="I4" s="105">
        <f>Introduction!$E$32</f>
        <v>1.01</v>
      </c>
      <c r="J4" s="91"/>
    </row>
    <row r="5" spans="2:20" ht="14.25" x14ac:dyDescent="0.2">
      <c r="B5" s="40" t="s">
        <v>103</v>
      </c>
      <c r="C5" s="39"/>
      <c r="D5" s="39"/>
    </row>
    <row r="6" spans="2:20" x14ac:dyDescent="0.2">
      <c r="C6" s="327" t="s">
        <v>94</v>
      </c>
      <c r="D6" s="43"/>
      <c r="E6" s="35"/>
      <c r="F6"/>
      <c r="G6"/>
      <c r="H6"/>
      <c r="K6" s="41"/>
      <c r="L6" s="42"/>
      <c r="N6" s="35"/>
      <c r="O6" s="41"/>
      <c r="P6" s="41"/>
      <c r="Q6" s="41"/>
      <c r="R6" s="41"/>
    </row>
    <row r="7" spans="2:20" x14ac:dyDescent="0.2">
      <c r="B7" s="43" t="str">
        <f>'Level2 Soil'!C25</f>
        <v>Mz</v>
      </c>
      <c r="C7" s="327" t="e">
        <f>IF('Level2 Soil'!$D$24='Level2 Soil'!$M$24,'Level2 Soil'!$D$25,'Level2 Soil'!$D$26)</f>
        <v>#DIV/0!</v>
      </c>
      <c r="D7" s="43" t="s">
        <v>26</v>
      </c>
      <c r="F7"/>
      <c r="G7"/>
      <c r="H7"/>
      <c r="K7" s="41"/>
      <c r="L7" s="41"/>
      <c r="N7" s="44"/>
      <c r="O7" s="41"/>
      <c r="P7" s="41"/>
      <c r="Q7" s="41"/>
      <c r="R7" s="41"/>
    </row>
    <row r="8" spans="2:20" x14ac:dyDescent="0.2">
      <c r="B8" s="43" t="str">
        <f>'Level2 Soil'!C18</f>
        <v>L</v>
      </c>
      <c r="C8" s="327">
        <f>'Level2 Soil'!D18</f>
        <v>0</v>
      </c>
      <c r="D8" s="80" t="s">
        <v>26</v>
      </c>
      <c r="H8" s="41"/>
      <c r="I8" s="42"/>
      <c r="K8" s="41"/>
      <c r="L8" s="41"/>
      <c r="N8" s="44"/>
      <c r="O8" s="41"/>
      <c r="P8" s="41"/>
      <c r="Q8" s="41"/>
      <c r="R8" s="41"/>
    </row>
    <row r="9" spans="2:20" x14ac:dyDescent="0.2">
      <c r="B9" s="43" t="str">
        <f>'Level2 Soil'!C19</f>
        <v>da</v>
      </c>
      <c r="C9" s="327">
        <f>'Level2 Soil'!D19</f>
        <v>0</v>
      </c>
      <c r="D9" s="43" t="s">
        <v>26</v>
      </c>
      <c r="G9" s="35" t="s">
        <v>150</v>
      </c>
      <c r="H9" s="41"/>
      <c r="I9" s="41"/>
      <c r="K9" s="41"/>
      <c r="L9" s="41"/>
      <c r="N9" s="44"/>
      <c r="O9" s="41"/>
      <c r="P9" s="41"/>
      <c r="Q9" s="41"/>
      <c r="R9" s="41"/>
    </row>
    <row r="10" spans="2:20" x14ac:dyDescent="0.2">
      <c r="B10" s="43" t="str">
        <f>'Level2 Soil'!C14</f>
        <v>Inf</v>
      </c>
      <c r="C10" s="327">
        <f>'Level2 Soil'!D14</f>
        <v>0</v>
      </c>
      <c r="D10" s="43" t="s">
        <v>25</v>
      </c>
      <c r="G10" s="35" t="s">
        <v>7</v>
      </c>
      <c r="H10" s="41"/>
      <c r="I10" s="41"/>
      <c r="K10" s="41"/>
      <c r="L10" s="41"/>
      <c r="N10" s="44"/>
      <c r="O10" s="41"/>
      <c r="P10" s="41"/>
      <c r="Q10" s="41"/>
      <c r="R10" s="41"/>
      <c r="T10" s="44"/>
    </row>
    <row r="11" spans="2:20" x14ac:dyDescent="0.2">
      <c r="B11" s="43" t="str">
        <f>'Level2 Soil'!C20</f>
        <v>K</v>
      </c>
      <c r="C11" s="327">
        <f>'Level2 Soil'!D20</f>
        <v>0</v>
      </c>
      <c r="D11" s="43" t="s">
        <v>25</v>
      </c>
      <c r="F11" s="37"/>
      <c r="G11" s="35"/>
      <c r="H11" s="41"/>
      <c r="I11" s="41"/>
      <c r="K11" s="41"/>
      <c r="L11" s="41"/>
      <c r="N11" s="44"/>
      <c r="O11" s="41"/>
      <c r="P11" s="41"/>
      <c r="Q11" s="41"/>
      <c r="R11" s="41"/>
    </row>
    <row r="12" spans="2:20" x14ac:dyDescent="0.2">
      <c r="B12" s="43" t="str">
        <f>'Level2 Soil'!C21</f>
        <v>i</v>
      </c>
      <c r="C12" s="327">
        <f>'Level2 Soil'!D21</f>
        <v>0</v>
      </c>
      <c r="D12" s="43"/>
      <c r="F12" s="36" t="s">
        <v>108</v>
      </c>
      <c r="G12" s="295" t="e">
        <f>(($C$11*$C$12*$C$7+$C$8*$C$10)*$C$17-C$11*$C$12*$C$7*$C$18)/($C$8*$C$10*$C$17)</f>
        <v>#DIV/0!</v>
      </c>
      <c r="I12" s="41"/>
      <c r="K12" s="41"/>
      <c r="L12" s="41"/>
      <c r="N12" s="44"/>
      <c r="O12" s="41"/>
      <c r="P12" s="41"/>
      <c r="Q12" s="41"/>
      <c r="R12" s="41"/>
    </row>
    <row r="13" spans="2:20" x14ac:dyDescent="0.2">
      <c r="B13" s="43"/>
      <c r="C13" s="327"/>
      <c r="D13" s="43" t="s">
        <v>69</v>
      </c>
      <c r="F13" s="45" t="s">
        <v>94</v>
      </c>
      <c r="G13" s="35"/>
      <c r="I13" s="48"/>
      <c r="K13" s="41"/>
      <c r="L13" s="41"/>
      <c r="N13" s="44"/>
      <c r="O13" s="41"/>
      <c r="P13" s="41"/>
      <c r="Q13" s="41"/>
      <c r="R13" s="41"/>
    </row>
    <row r="14" spans="2:20" x14ac:dyDescent="0.2">
      <c r="B14" s="43" t="str">
        <f>'Level2 Soil'!C15</f>
        <v>A</v>
      </c>
      <c r="C14" s="327">
        <f>'Level2 Soil'!D15</f>
        <v>0</v>
      </c>
      <c r="D14" s="43" t="s">
        <v>70</v>
      </c>
      <c r="F14" s="70" t="s">
        <v>107</v>
      </c>
      <c r="G14" s="329" t="e">
        <f>(($C$11*$C$12*$C$7+$C$8*$C$10)*$C$16)/($C$11*$C$12*$C$7*$C$18+$C$8*$C$10*$C$16)</f>
        <v>#DIV/0!</v>
      </c>
      <c r="H14" s="41"/>
      <c r="I14" s="41"/>
      <c r="K14" s="41"/>
      <c r="L14" s="41"/>
      <c r="N14" s="44"/>
      <c r="O14" s="41"/>
      <c r="P14" s="41"/>
      <c r="Q14" s="41"/>
      <c r="R14" s="41"/>
    </row>
    <row r="15" spans="2:20" x14ac:dyDescent="0.2">
      <c r="B15" s="43"/>
      <c r="C15" s="327"/>
      <c r="D15" s="43" t="s">
        <v>69</v>
      </c>
      <c r="G15" s="295"/>
      <c r="H15" s="41"/>
      <c r="I15" s="41"/>
      <c r="K15" s="41"/>
      <c r="L15" s="41"/>
      <c r="N15" s="44"/>
      <c r="O15" s="41"/>
      <c r="P15" s="41"/>
      <c r="Q15" s="41"/>
      <c r="R15" s="41"/>
    </row>
    <row r="16" spans="2:20" x14ac:dyDescent="0.2">
      <c r="B16" s="43" t="str">
        <f>'Level2 Soil'!C41</f>
        <v>Cc</v>
      </c>
      <c r="C16" s="327">
        <f>'Level2 Soil'!D41</f>
        <v>0</v>
      </c>
      <c r="D16" s="43" t="s">
        <v>22</v>
      </c>
      <c r="G16" s="35"/>
      <c r="H16" s="41"/>
      <c r="I16" s="41"/>
      <c r="K16" s="41"/>
      <c r="L16" s="41"/>
      <c r="N16" s="44"/>
      <c r="O16" s="41"/>
      <c r="P16" s="41"/>
      <c r="Q16" s="41"/>
      <c r="R16" s="41"/>
    </row>
    <row r="17" spans="2:18" ht="16.5" x14ac:dyDescent="0.2">
      <c r="B17" s="51" t="s">
        <v>97</v>
      </c>
      <c r="C17" s="327">
        <f>'Level2 Soil'!D7</f>
        <v>400</v>
      </c>
      <c r="D17" s="43" t="s">
        <v>22</v>
      </c>
      <c r="F17" s="45"/>
      <c r="G17" s="73"/>
      <c r="H17" s="41"/>
      <c r="I17" s="41"/>
      <c r="K17" s="41"/>
      <c r="L17" s="41"/>
      <c r="N17" s="44"/>
      <c r="O17" s="41"/>
      <c r="P17" s="41"/>
      <c r="Q17" s="41"/>
      <c r="R17" s="41"/>
    </row>
    <row r="18" spans="2:18" ht="14.25" customHeight="1" x14ac:dyDescent="0.2">
      <c r="B18" s="43" t="str">
        <f>'Level2 Soil'!C23</f>
        <v>Cu</v>
      </c>
      <c r="C18" s="327">
        <f>'Level2 Soil'!D23</f>
        <v>0</v>
      </c>
      <c r="D18" s="43" t="s">
        <v>22</v>
      </c>
      <c r="G18" s="295"/>
      <c r="H18" s="41"/>
      <c r="I18" s="41"/>
      <c r="K18" s="41"/>
      <c r="L18" s="41"/>
      <c r="N18" s="44"/>
      <c r="O18" s="41"/>
      <c r="P18" s="41"/>
      <c r="Q18" s="41"/>
      <c r="R18" s="41"/>
    </row>
    <row r="19" spans="2:18" ht="14.25" customHeight="1" x14ac:dyDescent="0.2">
      <c r="B19" s="43" t="str">
        <f>'Level2 Soil'!C22</f>
        <v>w</v>
      </c>
      <c r="C19" s="327">
        <f>'Level2 Soil'!D22</f>
        <v>0</v>
      </c>
      <c r="D19" s="43" t="s">
        <v>26</v>
      </c>
      <c r="G19" s="35"/>
      <c r="H19" s="41"/>
      <c r="I19" s="41"/>
      <c r="K19" s="41"/>
      <c r="L19" s="41"/>
      <c r="N19" s="44"/>
      <c r="O19" s="41"/>
      <c r="P19" s="41"/>
      <c r="Q19" s="41"/>
      <c r="R19" s="41"/>
    </row>
    <row r="20" spans="2:18" ht="14.25" customHeight="1" x14ac:dyDescent="0.2">
      <c r="B20" s="43"/>
      <c r="C20" s="43"/>
      <c r="D20" s="43"/>
      <c r="G20" s="35"/>
      <c r="H20" s="41"/>
      <c r="I20" s="41"/>
      <c r="K20" s="41"/>
      <c r="L20" s="41"/>
      <c r="N20" s="44"/>
      <c r="O20" s="41"/>
      <c r="P20" s="41"/>
      <c r="Q20" s="41"/>
      <c r="R20" s="41"/>
    </row>
    <row r="21" spans="2:18" ht="14.25" customHeight="1" x14ac:dyDescent="0.2">
      <c r="B21" s="46"/>
      <c r="C21"/>
      <c r="D21" s="43"/>
      <c r="F21" s="69"/>
      <c r="G21" s="26"/>
      <c r="H21" s="41"/>
      <c r="I21" s="41"/>
      <c r="K21" s="41"/>
      <c r="L21" s="41"/>
      <c r="N21" s="44"/>
      <c r="O21" s="41"/>
      <c r="P21" s="41"/>
      <c r="Q21" s="41"/>
      <c r="R21" s="41"/>
    </row>
    <row r="22" spans="2:18" ht="14.25" customHeight="1" x14ac:dyDescent="0.2">
      <c r="B22" s="43"/>
      <c r="C22" s="43"/>
      <c r="D22" s="43"/>
      <c r="F22" s="27"/>
      <c r="G22" s="26"/>
      <c r="H22" s="41"/>
      <c r="I22" s="41"/>
      <c r="K22" s="41"/>
      <c r="L22" s="41"/>
      <c r="N22" s="44"/>
      <c r="O22" s="41"/>
      <c r="P22" s="41"/>
      <c r="Q22" s="41"/>
      <c r="R22" s="41"/>
    </row>
    <row r="23" spans="2:18" ht="14.25" customHeight="1" x14ac:dyDescent="0.2">
      <c r="B23" s="43"/>
      <c r="C23" s="43"/>
      <c r="D23" s="43"/>
      <c r="H23" s="41"/>
      <c r="I23" s="41"/>
      <c r="K23" s="41"/>
      <c r="L23" s="41"/>
      <c r="N23" s="44"/>
      <c r="O23" s="41"/>
      <c r="P23" s="41"/>
      <c r="Q23" s="41"/>
      <c r="R23" s="41"/>
    </row>
    <row r="24" spans="2:18" ht="14.25" customHeight="1" x14ac:dyDescent="0.2">
      <c r="G24" s="26" t="s">
        <v>94</v>
      </c>
      <c r="H24" s="41"/>
      <c r="I24" s="41"/>
      <c r="K24" s="41"/>
      <c r="L24" s="41"/>
      <c r="N24" s="44"/>
      <c r="O24" s="41"/>
      <c r="P24" s="41"/>
      <c r="Q24" s="41"/>
      <c r="R24" s="41"/>
    </row>
    <row r="25" spans="2:18" ht="14.25" customHeight="1" x14ac:dyDescent="0.2">
      <c r="B25" s="43"/>
      <c r="C25" s="43"/>
      <c r="D25" s="43"/>
      <c r="F25" s="71"/>
      <c r="G25" s="26"/>
      <c r="H25" s="41"/>
      <c r="I25" s="41"/>
      <c r="K25" s="41"/>
      <c r="L25" s="41"/>
      <c r="N25" s="44"/>
      <c r="O25" s="41"/>
      <c r="P25" s="41"/>
      <c r="Q25" s="41"/>
      <c r="R25" s="41"/>
    </row>
    <row r="26" spans="2:18" x14ac:dyDescent="0.2">
      <c r="B26" s="43"/>
      <c r="C26" s="43"/>
      <c r="D26" s="43"/>
      <c r="F26" s="70"/>
      <c r="G26" s="329"/>
      <c r="H26" s="41"/>
      <c r="I26" s="41"/>
      <c r="K26" s="41"/>
      <c r="L26" s="41"/>
      <c r="N26" s="44"/>
      <c r="O26" s="41"/>
      <c r="P26" s="41"/>
      <c r="Q26" s="41"/>
      <c r="R26" s="41"/>
    </row>
    <row r="27" spans="2:18" x14ac:dyDescent="0.2">
      <c r="B27" s="43"/>
      <c r="C27" s="43"/>
      <c r="D27" s="43"/>
      <c r="E27" s="43"/>
      <c r="F27" s="24"/>
      <c r="G27" s="26"/>
      <c r="H27" s="41"/>
      <c r="I27" s="41"/>
      <c r="K27" s="41"/>
      <c r="L27" s="41"/>
      <c r="N27" s="44"/>
      <c r="O27" s="41"/>
      <c r="P27" s="41"/>
      <c r="Q27" s="41"/>
      <c r="R27" s="41"/>
    </row>
    <row r="28" spans="2:18" x14ac:dyDescent="0.2">
      <c r="B28" s="43"/>
      <c r="C28" s="43"/>
      <c r="D28" s="43"/>
      <c r="E28" s="43"/>
      <c r="F28" s="71"/>
      <c r="G28" s="26"/>
      <c r="H28" s="41"/>
      <c r="I28" s="41"/>
      <c r="K28" s="41"/>
      <c r="L28" s="41"/>
      <c r="N28" s="44"/>
      <c r="O28" s="41"/>
      <c r="P28" s="41"/>
      <c r="Q28" s="41"/>
      <c r="R28" s="41"/>
    </row>
    <row r="29" spans="2:18" x14ac:dyDescent="0.2">
      <c r="B29" s="43"/>
      <c r="C29" s="43"/>
      <c r="D29" s="43"/>
      <c r="E29" s="43"/>
      <c r="F29" s="70"/>
      <c r="G29" s="329"/>
      <c r="H29" s="41"/>
      <c r="I29" s="41"/>
      <c r="K29" s="41"/>
      <c r="L29" s="41"/>
      <c r="N29" s="44"/>
      <c r="O29" s="41"/>
      <c r="P29" s="41"/>
      <c r="Q29" s="41"/>
      <c r="R29" s="41"/>
    </row>
    <row r="30" spans="2:18" x14ac:dyDescent="0.2">
      <c r="B30" s="43"/>
      <c r="C30" s="43"/>
      <c r="D30" s="43"/>
      <c r="K30" s="84"/>
      <c r="L30" s="41"/>
      <c r="N30" s="44"/>
      <c r="O30" s="41"/>
      <c r="P30" s="41"/>
      <c r="Q30" s="41"/>
      <c r="R30" s="41"/>
    </row>
    <row r="31" spans="2:18" x14ac:dyDescent="0.2">
      <c r="B31" s="43"/>
      <c r="C31" s="43"/>
      <c r="D31" s="43"/>
      <c r="I31" s="456"/>
      <c r="K31" s="84"/>
    </row>
    <row r="32" spans="2:18" x14ac:dyDescent="0.2">
      <c r="K32" s="84"/>
    </row>
  </sheetData>
  <sheetProtection password="CA8F" sheet="1" objects="1" scenarios="1"/>
  <phoneticPr fontId="0" type="noConversion"/>
  <conditionalFormatting sqref="C6:C19">
    <cfRule type="expression" dxfId="1" priority="1" stopIfTrue="1">
      <formula>$G$7=2</formula>
    </cfRule>
    <cfRule type="expression" dxfId="0" priority="2" stopIfTrue="1">
      <formula>$G$7=3</formula>
    </cfRule>
  </conditionalFormatting>
  <pageMargins left="0.75" right="0.75" top="1" bottom="1" header="0.5" footer="0.5"/>
  <pageSetup paperSize="9" orientation="landscape" verticalDpi="300"/>
  <headerFooter alignWithMargins="0">
    <oddFooter>&amp;LRemedial targets worksheet v3.1&amp;R&amp;D, &amp;T
&amp;F&amp;A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pageSetUpPr fitToPage="1"/>
  </sheetPr>
  <dimension ref="A1:Y48"/>
  <sheetViews>
    <sheetView zoomScale="75" workbookViewId="0">
      <pane xSplit="3" topLeftCell="D1" activePane="topRight" state="frozenSplit"/>
      <selection activeCell="D33" sqref="D33"/>
      <selection pane="topRight"/>
    </sheetView>
  </sheetViews>
  <sheetFormatPr defaultRowHeight="12.75" x14ac:dyDescent="0.2"/>
  <cols>
    <col min="1" max="1" width="2.140625" customWidth="1"/>
    <col min="2" max="2" width="17.85546875" style="2" bestFit="1" customWidth="1"/>
    <col min="3" max="3" width="13.85546875" style="2" bestFit="1" customWidth="1"/>
    <col min="4" max="4" width="8.7109375" style="2" customWidth="1"/>
    <col min="5" max="5" width="8.140625" customWidth="1"/>
    <col min="6" max="6" width="7.28515625" customWidth="1"/>
    <col min="7" max="7" width="9.85546875" customWidth="1"/>
    <col min="8" max="8" width="9.5703125" customWidth="1"/>
    <col min="9" max="10" width="9.85546875" customWidth="1"/>
    <col min="11" max="11" width="6.42578125" customWidth="1"/>
    <col min="12" max="12" width="10.42578125" customWidth="1"/>
    <col min="13" max="13" width="13" customWidth="1"/>
    <col min="14" max="14" width="9.85546875" customWidth="1"/>
    <col min="15" max="15" width="13.5703125" customWidth="1"/>
    <col min="16" max="16" width="9.5703125" customWidth="1"/>
    <col min="17" max="17" width="9.28515625" customWidth="1"/>
    <col min="18" max="18" width="11.85546875" customWidth="1"/>
    <col min="19" max="19" width="8.7109375" customWidth="1"/>
    <col min="20" max="20" width="10.7109375" customWidth="1"/>
    <col min="21" max="21" width="8.7109375" customWidth="1"/>
    <col min="22" max="22" width="11.85546875" customWidth="1"/>
    <col min="23" max="23" width="8.7109375" customWidth="1"/>
    <col min="24" max="24" width="15.42578125" customWidth="1"/>
  </cols>
  <sheetData>
    <row r="1" spans="1:25" x14ac:dyDescent="0.2">
      <c r="A1" s="478"/>
      <c r="F1" s="16" t="s">
        <v>57</v>
      </c>
    </row>
    <row r="2" spans="1:25" x14ac:dyDescent="0.2">
      <c r="B2" s="6" t="str">
        <f>'Level2 Calc'!B2</f>
        <v>Contaminant</v>
      </c>
      <c r="C2" s="6" t="str">
        <f>'Level2 Calc'!C2</f>
        <v>SO4</v>
      </c>
      <c r="D2" s="6"/>
      <c r="F2" t="s">
        <v>223</v>
      </c>
    </row>
    <row r="3" spans="1:25" ht="14.25" x14ac:dyDescent="0.2">
      <c r="C3" s="3"/>
      <c r="D3" s="3"/>
      <c r="E3" s="2"/>
      <c r="F3" s="2" t="s">
        <v>52</v>
      </c>
      <c r="G3" s="11" t="s">
        <v>121</v>
      </c>
      <c r="H3" s="11" t="s">
        <v>122</v>
      </c>
      <c r="I3" s="11" t="s">
        <v>47</v>
      </c>
      <c r="J3" s="13" t="s">
        <v>123</v>
      </c>
      <c r="K3" s="13" t="s">
        <v>48</v>
      </c>
      <c r="L3" s="11" t="s">
        <v>124</v>
      </c>
      <c r="M3" s="11" t="s">
        <v>47</v>
      </c>
      <c r="N3" s="13" t="s">
        <v>125</v>
      </c>
      <c r="O3" s="13" t="s">
        <v>48</v>
      </c>
      <c r="P3" s="11" t="s">
        <v>126</v>
      </c>
      <c r="Q3" s="11" t="s">
        <v>49</v>
      </c>
      <c r="R3" s="11" t="s">
        <v>127</v>
      </c>
      <c r="S3" s="11" t="s">
        <v>49</v>
      </c>
      <c r="T3" s="22" t="s">
        <v>128</v>
      </c>
      <c r="U3" s="22" t="s">
        <v>49</v>
      </c>
      <c r="V3" s="22" t="s">
        <v>129</v>
      </c>
      <c r="W3" s="22" t="s">
        <v>49</v>
      </c>
      <c r="X3" s="31" t="s">
        <v>271</v>
      </c>
    </row>
    <row r="4" spans="1:25" ht="15.75" x14ac:dyDescent="0.25">
      <c r="B4" s="9" t="s">
        <v>46</v>
      </c>
      <c r="C4" s="9" t="s">
        <v>11</v>
      </c>
      <c r="D4" s="9" t="s">
        <v>159</v>
      </c>
      <c r="E4" s="2"/>
      <c r="F4" s="2"/>
      <c r="G4" s="11"/>
      <c r="H4" s="11"/>
      <c r="I4" s="11"/>
      <c r="J4" s="13"/>
      <c r="K4" s="13"/>
      <c r="L4" s="11" t="s">
        <v>94</v>
      </c>
      <c r="M4" s="11"/>
      <c r="N4" s="13"/>
      <c r="O4" s="13"/>
      <c r="P4" s="11"/>
      <c r="Q4" s="11"/>
      <c r="R4" s="11"/>
      <c r="S4" s="11"/>
      <c r="T4" s="22"/>
      <c r="U4" s="22"/>
      <c r="V4" s="22"/>
      <c r="W4" s="22"/>
      <c r="X4" s="2"/>
    </row>
    <row r="5" spans="1:25" ht="16.5" x14ac:dyDescent="0.2">
      <c r="B5" s="51" t="s">
        <v>97</v>
      </c>
      <c r="C5" s="197">
        <f>'Level3 Soil'!D8</f>
        <v>400</v>
      </c>
      <c r="D5" s="8" t="s">
        <v>22</v>
      </c>
      <c r="E5" s="64">
        <v>1</v>
      </c>
      <c r="F5" s="64">
        <f>$C$17/20*E5</f>
        <v>0</v>
      </c>
      <c r="G5" s="141">
        <f>0.125</f>
        <v>0.125</v>
      </c>
      <c r="H5" s="132" t="e">
        <f t="shared" ref="H5:H24" si="0">$F5/(2*$C$21)*(1-(1+(4*$C$9*$C$21)/$C$30)^0.5)</f>
        <v>#DIV/0!</v>
      </c>
      <c r="I5" s="132" t="e">
        <f>EXP(H5)</f>
        <v>#DIV/0!</v>
      </c>
      <c r="J5" s="133" t="e">
        <f>1/(2*(SQRT($C$21*$C$30*$C$20)))*($F5-($C$30*$C$20)*(1+(4*$C$9*$C$21)/$C$30)^0.5)</f>
        <v>#DIV/0!</v>
      </c>
      <c r="K5" s="22" t="e">
        <f t="shared" ref="K5:K24" si="1">IF(J5&lt;-4,2,IF(J5&gt;4,0,IF(J5&gt;=0,ERFC(J5),1+ERF(-J5))))</f>
        <v>#DIV/0!</v>
      </c>
      <c r="L5" s="132" t="e">
        <f>$F5/(2*$C$21)*(1+(1+(4*$C$9*$C$21)/$C$30)^0.5)</f>
        <v>#DIV/0!</v>
      </c>
      <c r="M5" s="132" t="e">
        <f t="shared" ref="M5:M24" si="2">IF(L5&gt;700,EXP(700),EXP(L5))</f>
        <v>#DIV/0!</v>
      </c>
      <c r="N5" s="133" t="e">
        <f>1/(2*(SQRT($C$21*$C$30*$C$20)))*($F5+($C$30*$C$20)*(1+(4*$C$9*$C$21)/$C$30)^0.5)</f>
        <v>#DIV/0!</v>
      </c>
      <c r="O5" s="22" t="e">
        <f t="shared" ref="O5:O24" si="3">IF(N5&lt;-4,2,IF(N5&gt;4,0,IF(N5&gt;=0,ERFC(N5),1+ERF(-N5))))</f>
        <v>#DIV/0!</v>
      </c>
      <c r="P5" s="132" t="e">
        <f>(($C$18+0.5*$C$10)/(2*SQRT($C$22*$F5)))</f>
        <v>#DIV/0!</v>
      </c>
      <c r="Q5" s="22" t="e">
        <f t="shared" ref="Q5:Q24" si="4">IF(P5&lt;0,IF(P5&lt;-10,-1,-ERF(-P5)),IF(P5&gt;10,1,ERF(P5)))</f>
        <v>#DIV/0!</v>
      </c>
      <c r="R5" s="132" t="e">
        <f>(($C$18-0.5*$C$10)/(2*SQRT($C$22*$F5)))</f>
        <v>#DIV/0!</v>
      </c>
      <c r="S5" s="22" t="e">
        <f t="shared" ref="S5:S24" si="5">IF(R5&lt;0,IF(R5&lt;-10,-1,-ERF(-R5)),IF(R5&gt;10,1,ERF(R5)))</f>
        <v>#DIV/0!</v>
      </c>
      <c r="T5" s="133" t="e">
        <f>(($C$19+0.5*$C$11)/(2*SQRT($C$23*$F5)))</f>
        <v>#DIV/0!</v>
      </c>
      <c r="U5" s="22" t="e">
        <f t="shared" ref="U5:U24" si="6">IF(T5&lt;0,IF(T5&lt;-10,-1,-ERF(-T5)),IF(T5&gt;10,1,ERF(T5)))</f>
        <v>#DIV/0!</v>
      </c>
      <c r="V5" s="133" t="e">
        <f>(($C$19-0.5*$C$11)/(2*SQRT($C$23*$F5)))</f>
        <v>#DIV/0!</v>
      </c>
      <c r="W5" s="22" t="e">
        <f t="shared" ref="W5:W24" si="7">IF(V5&lt;0,IF(V5&lt;-10,-1,-ERF(-V5)),IF(V5&gt;10,1,ERF(V5)))</f>
        <v>#DIV/0!</v>
      </c>
      <c r="X5" s="130" t="e">
        <f>G5*(I5*K5+M5*O5)*(Q5-S5)*(U5-W5)</f>
        <v>#DIV/0!</v>
      </c>
    </row>
    <row r="6" spans="1:25" ht="14.25" x14ac:dyDescent="0.2">
      <c r="B6" s="4" t="s">
        <v>8</v>
      </c>
      <c r="C6" s="197" t="e">
        <f>'Level3 Soil'!D9</f>
        <v>#DIV/0!</v>
      </c>
      <c r="D6" s="8"/>
      <c r="E6" s="64">
        <v>2</v>
      </c>
      <c r="F6" s="64">
        <f t="shared" ref="F6:F24" si="8">$C$17/20*E6</f>
        <v>0</v>
      </c>
      <c r="G6" s="141">
        <f t="shared" ref="G6:G24" si="9">0.125</f>
        <v>0.125</v>
      </c>
      <c r="H6" s="132" t="e">
        <f t="shared" si="0"/>
        <v>#DIV/0!</v>
      </c>
      <c r="I6" s="132" t="e">
        <f t="shared" ref="I6:I24" si="10">EXP(H6)</f>
        <v>#DIV/0!</v>
      </c>
      <c r="J6" s="133" t="e">
        <f t="shared" ref="J6:J24" si="11">1/(2*(SQRT($C$21*$C$30*$C$20)))*($F6-($C$30*$C$20)*(1+(4*$C$9*$C$21)/$C$30)^0.5)</f>
        <v>#DIV/0!</v>
      </c>
      <c r="K6" s="22" t="e">
        <f t="shared" si="1"/>
        <v>#DIV/0!</v>
      </c>
      <c r="L6" s="132" t="e">
        <f t="shared" ref="L6:L24" si="12">$F6/(2*$C$21)*(1+(1+(4*$C$9*$C$21)/$C$30)^0.5)</f>
        <v>#DIV/0!</v>
      </c>
      <c r="M6" s="132" t="e">
        <f t="shared" si="2"/>
        <v>#DIV/0!</v>
      </c>
      <c r="N6" s="133" t="e">
        <f t="shared" ref="N6:N24" si="13">1/(2*(SQRT($C$21*$C$30*$C$20)))*($F6+($C$30*$C$20)*(1+(4*$C$9*$C$21)/$C$30)^0.5)</f>
        <v>#DIV/0!</v>
      </c>
      <c r="O6" s="22" t="e">
        <f t="shared" si="3"/>
        <v>#DIV/0!</v>
      </c>
      <c r="P6" s="132" t="e">
        <f t="shared" ref="P6:P24" si="14">(($C$18+0.5*$C$10)/(2*SQRT($C$22*$F6)))</f>
        <v>#DIV/0!</v>
      </c>
      <c r="Q6" s="22" t="e">
        <f t="shared" si="4"/>
        <v>#DIV/0!</v>
      </c>
      <c r="R6" s="132" t="e">
        <f t="shared" ref="R6:R24" si="15">(($C$18-0.5*$C$10)/(2*SQRT($C$22*$F6)))</f>
        <v>#DIV/0!</v>
      </c>
      <c r="S6" s="22" t="e">
        <f t="shared" si="5"/>
        <v>#DIV/0!</v>
      </c>
      <c r="T6" s="133" t="e">
        <f t="shared" ref="T6:T24" si="16">(($C$19+0.5*$C$11)/(2*SQRT($C$23*$F6)))</f>
        <v>#DIV/0!</v>
      </c>
      <c r="U6" s="22" t="e">
        <f t="shared" si="6"/>
        <v>#DIV/0!</v>
      </c>
      <c r="V6" s="133" t="e">
        <f t="shared" ref="V6:V24" si="17">(($C$19-0.5*$C$11)/(2*SQRT($C$23*$F6)))</f>
        <v>#DIV/0!</v>
      </c>
      <c r="W6" s="22" t="e">
        <f t="shared" si="7"/>
        <v>#DIV/0!</v>
      </c>
      <c r="X6" s="130" t="e">
        <f t="shared" ref="X6:X24" si="18">G6*(I6*K6+M6*O6)*(Q6-S6)*(U6-W6)</f>
        <v>#DIV/0!</v>
      </c>
    </row>
    <row r="7" spans="1:25" ht="14.25" x14ac:dyDescent="0.2">
      <c r="B7" s="4"/>
      <c r="C7" s="197"/>
      <c r="D7" s="8"/>
      <c r="E7" s="64">
        <v>3</v>
      </c>
      <c r="F7" s="64">
        <f t="shared" si="8"/>
        <v>0</v>
      </c>
      <c r="G7" s="141">
        <f t="shared" si="9"/>
        <v>0.125</v>
      </c>
      <c r="H7" s="132" t="e">
        <f t="shared" si="0"/>
        <v>#DIV/0!</v>
      </c>
      <c r="I7" s="132" t="e">
        <f t="shared" si="10"/>
        <v>#DIV/0!</v>
      </c>
      <c r="J7" s="133" t="e">
        <f t="shared" si="11"/>
        <v>#DIV/0!</v>
      </c>
      <c r="K7" s="22" t="e">
        <f t="shared" si="1"/>
        <v>#DIV/0!</v>
      </c>
      <c r="L7" s="132" t="e">
        <f t="shared" si="12"/>
        <v>#DIV/0!</v>
      </c>
      <c r="M7" s="132" t="e">
        <f t="shared" si="2"/>
        <v>#DIV/0!</v>
      </c>
      <c r="N7" s="133" t="e">
        <f t="shared" si="13"/>
        <v>#DIV/0!</v>
      </c>
      <c r="O7" s="22" t="e">
        <f t="shared" si="3"/>
        <v>#DIV/0!</v>
      </c>
      <c r="P7" s="132" t="e">
        <f t="shared" si="14"/>
        <v>#DIV/0!</v>
      </c>
      <c r="Q7" s="22" t="e">
        <f t="shared" si="4"/>
        <v>#DIV/0!</v>
      </c>
      <c r="R7" s="132" t="e">
        <f t="shared" si="15"/>
        <v>#DIV/0!</v>
      </c>
      <c r="S7" s="22" t="e">
        <f t="shared" si="5"/>
        <v>#DIV/0!</v>
      </c>
      <c r="T7" s="133" t="e">
        <f t="shared" si="16"/>
        <v>#DIV/0!</v>
      </c>
      <c r="U7" s="22" t="e">
        <f t="shared" si="6"/>
        <v>#DIV/0!</v>
      </c>
      <c r="V7" s="133" t="e">
        <f t="shared" si="17"/>
        <v>#DIV/0!</v>
      </c>
      <c r="W7" s="22" t="e">
        <f t="shared" si="7"/>
        <v>#DIV/0!</v>
      </c>
      <c r="X7" s="130" t="e">
        <f t="shared" si="18"/>
        <v>#DIV/0!</v>
      </c>
    </row>
    <row r="8" spans="1:25" ht="14.25" x14ac:dyDescent="0.2">
      <c r="B8" s="4"/>
      <c r="C8" s="197"/>
      <c r="D8" s="8"/>
      <c r="E8" s="64">
        <v>4</v>
      </c>
      <c r="F8" s="64">
        <f t="shared" si="8"/>
        <v>0</v>
      </c>
      <c r="G8" s="141">
        <f t="shared" si="9"/>
        <v>0.125</v>
      </c>
      <c r="H8" s="132" t="e">
        <f t="shared" si="0"/>
        <v>#DIV/0!</v>
      </c>
      <c r="I8" s="132" t="e">
        <f t="shared" si="10"/>
        <v>#DIV/0!</v>
      </c>
      <c r="J8" s="133" t="e">
        <f t="shared" si="11"/>
        <v>#DIV/0!</v>
      </c>
      <c r="K8" s="22" t="e">
        <f t="shared" si="1"/>
        <v>#DIV/0!</v>
      </c>
      <c r="L8" s="132" t="e">
        <f t="shared" si="12"/>
        <v>#DIV/0!</v>
      </c>
      <c r="M8" s="132" t="e">
        <f t="shared" si="2"/>
        <v>#DIV/0!</v>
      </c>
      <c r="N8" s="133" t="e">
        <f t="shared" si="13"/>
        <v>#DIV/0!</v>
      </c>
      <c r="O8" s="22" t="e">
        <f t="shared" si="3"/>
        <v>#DIV/0!</v>
      </c>
      <c r="P8" s="132" t="e">
        <f t="shared" si="14"/>
        <v>#DIV/0!</v>
      </c>
      <c r="Q8" s="22" t="e">
        <f t="shared" si="4"/>
        <v>#DIV/0!</v>
      </c>
      <c r="R8" s="132" t="e">
        <f t="shared" si="15"/>
        <v>#DIV/0!</v>
      </c>
      <c r="S8" s="22" t="e">
        <f t="shared" si="5"/>
        <v>#DIV/0!</v>
      </c>
      <c r="T8" s="133" t="e">
        <f t="shared" si="16"/>
        <v>#DIV/0!</v>
      </c>
      <c r="U8" s="22" t="e">
        <f t="shared" si="6"/>
        <v>#DIV/0!</v>
      </c>
      <c r="V8" s="133" t="e">
        <f t="shared" si="17"/>
        <v>#DIV/0!</v>
      </c>
      <c r="W8" s="22" t="e">
        <f t="shared" si="7"/>
        <v>#DIV/0!</v>
      </c>
      <c r="X8" s="130" t="e">
        <f t="shared" si="18"/>
        <v>#DIV/0!</v>
      </c>
      <c r="Y8" s="18"/>
    </row>
    <row r="9" spans="1:25" ht="15" x14ac:dyDescent="0.2">
      <c r="B9" s="5" t="s">
        <v>34</v>
      </c>
      <c r="C9" s="197">
        <f>'Level3 Soil'!D43</f>
        <v>1000000</v>
      </c>
      <c r="D9" s="2" t="s">
        <v>151</v>
      </c>
      <c r="E9" s="64">
        <v>5</v>
      </c>
      <c r="F9" s="64">
        <f t="shared" si="8"/>
        <v>0</v>
      </c>
      <c r="G9" s="141">
        <f t="shared" si="9"/>
        <v>0.125</v>
      </c>
      <c r="H9" s="132" t="e">
        <f t="shared" si="0"/>
        <v>#DIV/0!</v>
      </c>
      <c r="I9" s="132" t="e">
        <f t="shared" si="10"/>
        <v>#DIV/0!</v>
      </c>
      <c r="J9" s="133" t="e">
        <f t="shared" si="11"/>
        <v>#DIV/0!</v>
      </c>
      <c r="K9" s="22" t="e">
        <f t="shared" si="1"/>
        <v>#DIV/0!</v>
      </c>
      <c r="L9" s="132" t="e">
        <f t="shared" si="12"/>
        <v>#DIV/0!</v>
      </c>
      <c r="M9" s="132" t="e">
        <f t="shared" si="2"/>
        <v>#DIV/0!</v>
      </c>
      <c r="N9" s="133" t="e">
        <f t="shared" si="13"/>
        <v>#DIV/0!</v>
      </c>
      <c r="O9" s="22" t="e">
        <f t="shared" si="3"/>
        <v>#DIV/0!</v>
      </c>
      <c r="P9" s="132" t="e">
        <f t="shared" si="14"/>
        <v>#DIV/0!</v>
      </c>
      <c r="Q9" s="22" t="e">
        <f t="shared" si="4"/>
        <v>#DIV/0!</v>
      </c>
      <c r="R9" s="132" t="e">
        <f t="shared" si="15"/>
        <v>#DIV/0!</v>
      </c>
      <c r="S9" s="22" t="e">
        <f t="shared" si="5"/>
        <v>#DIV/0!</v>
      </c>
      <c r="T9" s="133" t="e">
        <f t="shared" si="16"/>
        <v>#DIV/0!</v>
      </c>
      <c r="U9" s="22" t="e">
        <f t="shared" si="6"/>
        <v>#DIV/0!</v>
      </c>
      <c r="V9" s="133" t="e">
        <f t="shared" si="17"/>
        <v>#DIV/0!</v>
      </c>
      <c r="W9" s="22" t="e">
        <f t="shared" si="7"/>
        <v>#DIV/0!</v>
      </c>
      <c r="X9" s="130" t="e">
        <f t="shared" si="18"/>
        <v>#DIV/0!</v>
      </c>
    </row>
    <row r="10" spans="1:25" ht="14.25" x14ac:dyDescent="0.2">
      <c r="B10" s="4" t="s">
        <v>50</v>
      </c>
      <c r="C10" s="197">
        <f>'Level3 Soil'!D22</f>
        <v>0</v>
      </c>
      <c r="D10" s="2" t="s">
        <v>26</v>
      </c>
      <c r="E10" s="64">
        <v>6</v>
      </c>
      <c r="F10" s="64">
        <f t="shared" si="8"/>
        <v>0</v>
      </c>
      <c r="G10" s="141">
        <f t="shared" si="9"/>
        <v>0.125</v>
      </c>
      <c r="H10" s="132" t="e">
        <f t="shared" si="0"/>
        <v>#DIV/0!</v>
      </c>
      <c r="I10" s="132" t="e">
        <f t="shared" si="10"/>
        <v>#DIV/0!</v>
      </c>
      <c r="J10" s="133" t="e">
        <f t="shared" si="11"/>
        <v>#DIV/0!</v>
      </c>
      <c r="K10" s="22" t="e">
        <f t="shared" si="1"/>
        <v>#DIV/0!</v>
      </c>
      <c r="L10" s="132" t="e">
        <f t="shared" si="12"/>
        <v>#DIV/0!</v>
      </c>
      <c r="M10" s="132" t="e">
        <f t="shared" si="2"/>
        <v>#DIV/0!</v>
      </c>
      <c r="N10" s="133" t="e">
        <f t="shared" si="13"/>
        <v>#DIV/0!</v>
      </c>
      <c r="O10" s="22" t="e">
        <f t="shared" si="3"/>
        <v>#DIV/0!</v>
      </c>
      <c r="P10" s="132" t="e">
        <f t="shared" si="14"/>
        <v>#DIV/0!</v>
      </c>
      <c r="Q10" s="22" t="e">
        <f t="shared" si="4"/>
        <v>#DIV/0!</v>
      </c>
      <c r="R10" s="132" t="e">
        <f t="shared" si="15"/>
        <v>#DIV/0!</v>
      </c>
      <c r="S10" s="22" t="e">
        <f t="shared" si="5"/>
        <v>#DIV/0!</v>
      </c>
      <c r="T10" s="133" t="e">
        <f t="shared" si="16"/>
        <v>#DIV/0!</v>
      </c>
      <c r="U10" s="22" t="e">
        <f t="shared" si="6"/>
        <v>#DIV/0!</v>
      </c>
      <c r="V10" s="133" t="e">
        <f t="shared" si="17"/>
        <v>#DIV/0!</v>
      </c>
      <c r="W10" s="22" t="e">
        <f t="shared" si="7"/>
        <v>#DIV/0!</v>
      </c>
      <c r="X10" s="130" t="e">
        <f t="shared" si="18"/>
        <v>#DIV/0!</v>
      </c>
    </row>
    <row r="11" spans="1:25" ht="14.25" x14ac:dyDescent="0.2">
      <c r="B11" s="4" t="s">
        <v>153</v>
      </c>
      <c r="C11" s="197" t="e">
        <f>IF(B34=1,'Level2 Calc'!C7,'Level3 Soil'!D23)</f>
        <v>#DIV/0!</v>
      </c>
      <c r="D11" s="2" t="s">
        <v>26</v>
      </c>
      <c r="E11" s="64">
        <v>7</v>
      </c>
      <c r="F11" s="64">
        <f t="shared" si="8"/>
        <v>0</v>
      </c>
      <c r="G11" s="141">
        <f t="shared" si="9"/>
        <v>0.125</v>
      </c>
      <c r="H11" s="132" t="e">
        <f t="shared" si="0"/>
        <v>#DIV/0!</v>
      </c>
      <c r="I11" s="132" t="e">
        <f t="shared" si="10"/>
        <v>#DIV/0!</v>
      </c>
      <c r="J11" s="133" t="e">
        <f t="shared" si="11"/>
        <v>#DIV/0!</v>
      </c>
      <c r="K11" s="22" t="e">
        <f t="shared" si="1"/>
        <v>#DIV/0!</v>
      </c>
      <c r="L11" s="132" t="e">
        <f t="shared" si="12"/>
        <v>#DIV/0!</v>
      </c>
      <c r="M11" s="132" t="e">
        <f t="shared" si="2"/>
        <v>#DIV/0!</v>
      </c>
      <c r="N11" s="133" t="e">
        <f t="shared" si="13"/>
        <v>#DIV/0!</v>
      </c>
      <c r="O11" s="22" t="e">
        <f t="shared" si="3"/>
        <v>#DIV/0!</v>
      </c>
      <c r="P11" s="132" t="e">
        <f t="shared" si="14"/>
        <v>#DIV/0!</v>
      </c>
      <c r="Q11" s="22" t="e">
        <f t="shared" si="4"/>
        <v>#DIV/0!</v>
      </c>
      <c r="R11" s="132" t="e">
        <f t="shared" si="15"/>
        <v>#DIV/0!</v>
      </c>
      <c r="S11" s="22" t="e">
        <f t="shared" si="5"/>
        <v>#DIV/0!</v>
      </c>
      <c r="T11" s="133" t="e">
        <f t="shared" si="16"/>
        <v>#DIV/0!</v>
      </c>
      <c r="U11" s="22" t="e">
        <f t="shared" si="6"/>
        <v>#DIV/0!</v>
      </c>
      <c r="V11" s="133" t="e">
        <f t="shared" si="17"/>
        <v>#DIV/0!</v>
      </c>
      <c r="W11" s="22" t="e">
        <f t="shared" si="7"/>
        <v>#DIV/0!</v>
      </c>
      <c r="X11" s="130" t="e">
        <f t="shared" si="18"/>
        <v>#DIV/0!</v>
      </c>
    </row>
    <row r="12" spans="1:25" ht="14.25" x14ac:dyDescent="0.2">
      <c r="B12" s="4" t="s">
        <v>13</v>
      </c>
      <c r="C12" s="197">
        <f>'Level3 Soil'!K22</f>
        <v>0</v>
      </c>
      <c r="D12" s="2" t="s">
        <v>23</v>
      </c>
      <c r="E12" s="64">
        <v>8</v>
      </c>
      <c r="F12" s="64">
        <f t="shared" si="8"/>
        <v>0</v>
      </c>
      <c r="G12" s="141">
        <f t="shared" si="9"/>
        <v>0.125</v>
      </c>
      <c r="H12" s="132" t="e">
        <f t="shared" si="0"/>
        <v>#DIV/0!</v>
      </c>
      <c r="I12" s="132" t="e">
        <f t="shared" si="10"/>
        <v>#DIV/0!</v>
      </c>
      <c r="J12" s="133" t="e">
        <f t="shared" si="11"/>
        <v>#DIV/0!</v>
      </c>
      <c r="K12" s="22" t="e">
        <f t="shared" si="1"/>
        <v>#DIV/0!</v>
      </c>
      <c r="L12" s="132" t="e">
        <f t="shared" si="12"/>
        <v>#DIV/0!</v>
      </c>
      <c r="M12" s="132" t="e">
        <f t="shared" si="2"/>
        <v>#DIV/0!</v>
      </c>
      <c r="N12" s="133" t="e">
        <f t="shared" si="13"/>
        <v>#DIV/0!</v>
      </c>
      <c r="O12" s="22" t="e">
        <f t="shared" si="3"/>
        <v>#DIV/0!</v>
      </c>
      <c r="P12" s="132" t="e">
        <f t="shared" si="14"/>
        <v>#DIV/0!</v>
      </c>
      <c r="Q12" s="22" t="e">
        <f t="shared" si="4"/>
        <v>#DIV/0!</v>
      </c>
      <c r="R12" s="132" t="e">
        <f t="shared" si="15"/>
        <v>#DIV/0!</v>
      </c>
      <c r="S12" s="22" t="e">
        <f t="shared" si="5"/>
        <v>#DIV/0!</v>
      </c>
      <c r="T12" s="133" t="e">
        <f t="shared" si="16"/>
        <v>#DIV/0!</v>
      </c>
      <c r="U12" s="22" t="e">
        <f t="shared" si="6"/>
        <v>#DIV/0!</v>
      </c>
      <c r="V12" s="133" t="e">
        <f t="shared" si="17"/>
        <v>#DIV/0!</v>
      </c>
      <c r="W12" s="22" t="e">
        <f t="shared" si="7"/>
        <v>#DIV/0!</v>
      </c>
      <c r="X12" s="130" t="e">
        <f t="shared" si="18"/>
        <v>#DIV/0!</v>
      </c>
    </row>
    <row r="13" spans="1:25" ht="15" x14ac:dyDescent="0.2">
      <c r="B13" s="5" t="s">
        <v>35</v>
      </c>
      <c r="C13" s="197">
        <f>'Level3 Soil'!D24</f>
        <v>0</v>
      </c>
      <c r="D13" s="2" t="s">
        <v>24</v>
      </c>
      <c r="E13" s="64">
        <v>9</v>
      </c>
      <c r="F13" s="64">
        <f t="shared" si="8"/>
        <v>0</v>
      </c>
      <c r="G13" s="141">
        <f t="shared" si="9"/>
        <v>0.125</v>
      </c>
      <c r="H13" s="132" t="e">
        <f t="shared" si="0"/>
        <v>#DIV/0!</v>
      </c>
      <c r="I13" s="132" t="e">
        <f t="shared" si="10"/>
        <v>#DIV/0!</v>
      </c>
      <c r="J13" s="133" t="e">
        <f t="shared" si="11"/>
        <v>#DIV/0!</v>
      </c>
      <c r="K13" s="22" t="e">
        <f t="shared" si="1"/>
        <v>#DIV/0!</v>
      </c>
      <c r="L13" s="132" t="e">
        <f t="shared" si="12"/>
        <v>#DIV/0!</v>
      </c>
      <c r="M13" s="132" t="e">
        <f t="shared" si="2"/>
        <v>#DIV/0!</v>
      </c>
      <c r="N13" s="133" t="e">
        <f t="shared" si="13"/>
        <v>#DIV/0!</v>
      </c>
      <c r="O13" s="22" t="e">
        <f t="shared" si="3"/>
        <v>#DIV/0!</v>
      </c>
      <c r="P13" s="132" t="e">
        <f t="shared" si="14"/>
        <v>#DIV/0!</v>
      </c>
      <c r="Q13" s="22" t="e">
        <f t="shared" si="4"/>
        <v>#DIV/0!</v>
      </c>
      <c r="R13" s="132" t="e">
        <f t="shared" si="15"/>
        <v>#DIV/0!</v>
      </c>
      <c r="S13" s="22" t="e">
        <f t="shared" si="5"/>
        <v>#DIV/0!</v>
      </c>
      <c r="T13" s="133" t="e">
        <f t="shared" si="16"/>
        <v>#DIV/0!</v>
      </c>
      <c r="U13" s="22" t="e">
        <f t="shared" si="6"/>
        <v>#DIV/0!</v>
      </c>
      <c r="V13" s="133" t="e">
        <f t="shared" si="17"/>
        <v>#DIV/0!</v>
      </c>
      <c r="W13" s="22" t="e">
        <f t="shared" si="7"/>
        <v>#DIV/0!</v>
      </c>
      <c r="X13" s="130" t="e">
        <f t="shared" si="18"/>
        <v>#DIV/0!</v>
      </c>
    </row>
    <row r="14" spans="1:25" ht="14.25" x14ac:dyDescent="0.2">
      <c r="B14" s="4" t="s">
        <v>1</v>
      </c>
      <c r="C14" s="197">
        <f>'Level3 Soil'!D25</f>
        <v>0</v>
      </c>
      <c r="E14" s="64">
        <v>10</v>
      </c>
      <c r="F14" s="64">
        <f t="shared" si="8"/>
        <v>0</v>
      </c>
      <c r="G14" s="141">
        <f t="shared" si="9"/>
        <v>0.125</v>
      </c>
      <c r="H14" s="132" t="e">
        <f t="shared" si="0"/>
        <v>#DIV/0!</v>
      </c>
      <c r="I14" s="132" t="e">
        <f t="shared" si="10"/>
        <v>#DIV/0!</v>
      </c>
      <c r="J14" s="133" t="e">
        <f t="shared" si="11"/>
        <v>#DIV/0!</v>
      </c>
      <c r="K14" s="22" t="e">
        <f t="shared" si="1"/>
        <v>#DIV/0!</v>
      </c>
      <c r="L14" s="132" t="e">
        <f t="shared" si="12"/>
        <v>#DIV/0!</v>
      </c>
      <c r="M14" s="132" t="e">
        <f t="shared" si="2"/>
        <v>#DIV/0!</v>
      </c>
      <c r="N14" s="133" t="e">
        <f t="shared" si="13"/>
        <v>#DIV/0!</v>
      </c>
      <c r="O14" s="22" t="e">
        <f t="shared" si="3"/>
        <v>#DIV/0!</v>
      </c>
      <c r="P14" s="132" t="e">
        <f t="shared" si="14"/>
        <v>#DIV/0!</v>
      </c>
      <c r="Q14" s="22" t="e">
        <f t="shared" si="4"/>
        <v>#DIV/0!</v>
      </c>
      <c r="R14" s="132" t="e">
        <f t="shared" si="15"/>
        <v>#DIV/0!</v>
      </c>
      <c r="S14" s="22" t="e">
        <f t="shared" si="5"/>
        <v>#DIV/0!</v>
      </c>
      <c r="T14" s="133" t="e">
        <f t="shared" si="16"/>
        <v>#DIV/0!</v>
      </c>
      <c r="U14" s="22" t="e">
        <f t="shared" si="6"/>
        <v>#DIV/0!</v>
      </c>
      <c r="V14" s="133" t="e">
        <f t="shared" si="17"/>
        <v>#DIV/0!</v>
      </c>
      <c r="W14" s="22" t="e">
        <f t="shared" si="7"/>
        <v>#DIV/0!</v>
      </c>
      <c r="X14" s="130" t="e">
        <f t="shared" si="18"/>
        <v>#DIV/0!</v>
      </c>
    </row>
    <row r="15" spans="1:25" ht="14.25" x14ac:dyDescent="0.2">
      <c r="B15" s="4" t="s">
        <v>44</v>
      </c>
      <c r="C15" s="197" t="e">
        <f>'Level3 Soil'!D44</f>
        <v>#DIV/0!</v>
      </c>
      <c r="E15" s="64">
        <v>11</v>
      </c>
      <c r="F15" s="64">
        <f t="shared" si="8"/>
        <v>0</v>
      </c>
      <c r="G15" s="141">
        <f t="shared" si="9"/>
        <v>0.125</v>
      </c>
      <c r="H15" s="132" t="e">
        <f t="shared" si="0"/>
        <v>#DIV/0!</v>
      </c>
      <c r="I15" s="132" t="e">
        <f t="shared" si="10"/>
        <v>#DIV/0!</v>
      </c>
      <c r="J15" s="133" t="e">
        <f t="shared" si="11"/>
        <v>#DIV/0!</v>
      </c>
      <c r="K15" s="22" t="e">
        <f t="shared" si="1"/>
        <v>#DIV/0!</v>
      </c>
      <c r="L15" s="132" t="e">
        <f t="shared" si="12"/>
        <v>#DIV/0!</v>
      </c>
      <c r="M15" s="132" t="e">
        <f t="shared" si="2"/>
        <v>#DIV/0!</v>
      </c>
      <c r="N15" s="133" t="e">
        <f t="shared" si="13"/>
        <v>#DIV/0!</v>
      </c>
      <c r="O15" s="22" t="e">
        <f t="shared" si="3"/>
        <v>#DIV/0!</v>
      </c>
      <c r="P15" s="132" t="e">
        <f t="shared" si="14"/>
        <v>#DIV/0!</v>
      </c>
      <c r="Q15" s="22" t="e">
        <f t="shared" si="4"/>
        <v>#DIV/0!</v>
      </c>
      <c r="R15" s="132" t="e">
        <f t="shared" si="15"/>
        <v>#DIV/0!</v>
      </c>
      <c r="S15" s="22" t="e">
        <f t="shared" si="5"/>
        <v>#DIV/0!</v>
      </c>
      <c r="T15" s="133" t="e">
        <f t="shared" si="16"/>
        <v>#DIV/0!</v>
      </c>
      <c r="U15" s="22" t="e">
        <f t="shared" si="6"/>
        <v>#DIV/0!</v>
      </c>
      <c r="V15" s="133" t="e">
        <f t="shared" si="17"/>
        <v>#DIV/0!</v>
      </c>
      <c r="W15" s="22" t="e">
        <f t="shared" si="7"/>
        <v>#DIV/0!</v>
      </c>
      <c r="X15" s="130" t="e">
        <f t="shared" si="18"/>
        <v>#DIV/0!</v>
      </c>
    </row>
    <row r="16" spans="1:25" ht="14.25" customHeight="1" x14ac:dyDescent="0.2">
      <c r="B16" s="4" t="s">
        <v>189</v>
      </c>
      <c r="C16" s="197">
        <f>IF(B34=1,'Level2 Soil'!D20,'Level3 Soil'!D27)</f>
        <v>0</v>
      </c>
      <c r="D16" s="2" t="s">
        <v>25</v>
      </c>
      <c r="E16" s="64">
        <v>12</v>
      </c>
      <c r="F16" s="64">
        <f t="shared" si="8"/>
        <v>0</v>
      </c>
      <c r="G16" s="141">
        <f t="shared" si="9"/>
        <v>0.125</v>
      </c>
      <c r="H16" s="132" t="e">
        <f t="shared" si="0"/>
        <v>#DIV/0!</v>
      </c>
      <c r="I16" s="132" t="e">
        <f t="shared" si="10"/>
        <v>#DIV/0!</v>
      </c>
      <c r="J16" s="133" t="e">
        <f t="shared" si="11"/>
        <v>#DIV/0!</v>
      </c>
      <c r="K16" s="22" t="e">
        <f t="shared" si="1"/>
        <v>#DIV/0!</v>
      </c>
      <c r="L16" s="132" t="e">
        <f t="shared" si="12"/>
        <v>#DIV/0!</v>
      </c>
      <c r="M16" s="132" t="e">
        <f t="shared" si="2"/>
        <v>#DIV/0!</v>
      </c>
      <c r="N16" s="133" t="e">
        <f t="shared" si="13"/>
        <v>#DIV/0!</v>
      </c>
      <c r="O16" s="22" t="e">
        <f t="shared" si="3"/>
        <v>#DIV/0!</v>
      </c>
      <c r="P16" s="132" t="e">
        <f t="shared" si="14"/>
        <v>#DIV/0!</v>
      </c>
      <c r="Q16" s="22" t="e">
        <f t="shared" si="4"/>
        <v>#DIV/0!</v>
      </c>
      <c r="R16" s="132" t="e">
        <f t="shared" si="15"/>
        <v>#DIV/0!</v>
      </c>
      <c r="S16" s="22" t="e">
        <f t="shared" si="5"/>
        <v>#DIV/0!</v>
      </c>
      <c r="T16" s="133" t="e">
        <f t="shared" si="16"/>
        <v>#DIV/0!</v>
      </c>
      <c r="U16" s="22" t="e">
        <f t="shared" si="6"/>
        <v>#DIV/0!</v>
      </c>
      <c r="V16" s="133" t="e">
        <f t="shared" si="17"/>
        <v>#DIV/0!</v>
      </c>
      <c r="W16" s="22" t="e">
        <f t="shared" si="7"/>
        <v>#DIV/0!</v>
      </c>
      <c r="X16" s="130" t="e">
        <f t="shared" si="18"/>
        <v>#DIV/0!</v>
      </c>
    </row>
    <row r="17" spans="2:24" ht="14.25" customHeight="1" x14ac:dyDescent="0.2">
      <c r="B17" s="4" t="s">
        <v>14</v>
      </c>
      <c r="C17" s="197">
        <f>'Level3 Soil'!D28</f>
        <v>0</v>
      </c>
      <c r="D17" s="2" t="s">
        <v>26</v>
      </c>
      <c r="E17" s="64">
        <v>13</v>
      </c>
      <c r="F17" s="64">
        <f t="shared" si="8"/>
        <v>0</v>
      </c>
      <c r="G17" s="141">
        <f t="shared" si="9"/>
        <v>0.125</v>
      </c>
      <c r="H17" s="132" t="e">
        <f t="shared" si="0"/>
        <v>#DIV/0!</v>
      </c>
      <c r="I17" s="132" t="e">
        <f t="shared" si="10"/>
        <v>#DIV/0!</v>
      </c>
      <c r="J17" s="133" t="e">
        <f t="shared" si="11"/>
        <v>#DIV/0!</v>
      </c>
      <c r="K17" s="22" t="e">
        <f t="shared" si="1"/>
        <v>#DIV/0!</v>
      </c>
      <c r="L17" s="132" t="e">
        <f t="shared" si="12"/>
        <v>#DIV/0!</v>
      </c>
      <c r="M17" s="132" t="e">
        <f t="shared" si="2"/>
        <v>#DIV/0!</v>
      </c>
      <c r="N17" s="133" t="e">
        <f t="shared" si="13"/>
        <v>#DIV/0!</v>
      </c>
      <c r="O17" s="22" t="e">
        <f t="shared" si="3"/>
        <v>#DIV/0!</v>
      </c>
      <c r="P17" s="132" t="e">
        <f t="shared" si="14"/>
        <v>#DIV/0!</v>
      </c>
      <c r="Q17" s="22" t="e">
        <f t="shared" si="4"/>
        <v>#DIV/0!</v>
      </c>
      <c r="R17" s="132" t="e">
        <f t="shared" si="15"/>
        <v>#DIV/0!</v>
      </c>
      <c r="S17" s="22" t="e">
        <f t="shared" si="5"/>
        <v>#DIV/0!</v>
      </c>
      <c r="T17" s="133" t="e">
        <f t="shared" si="16"/>
        <v>#DIV/0!</v>
      </c>
      <c r="U17" s="22" t="e">
        <f t="shared" si="6"/>
        <v>#DIV/0!</v>
      </c>
      <c r="V17" s="133" t="e">
        <f t="shared" si="17"/>
        <v>#DIV/0!</v>
      </c>
      <c r="W17" s="22" t="e">
        <f t="shared" si="7"/>
        <v>#DIV/0!</v>
      </c>
      <c r="X17" s="130" t="e">
        <f t="shared" si="18"/>
        <v>#DIV/0!</v>
      </c>
    </row>
    <row r="18" spans="2:24" ht="14.25" customHeight="1" x14ac:dyDescent="0.2">
      <c r="B18" s="4" t="s">
        <v>16</v>
      </c>
      <c r="C18" s="197">
        <f>'Level3 Soil'!D29</f>
        <v>0</v>
      </c>
      <c r="D18" s="2" t="s">
        <v>26</v>
      </c>
      <c r="E18" s="64">
        <v>14</v>
      </c>
      <c r="F18" s="64">
        <f t="shared" si="8"/>
        <v>0</v>
      </c>
      <c r="G18" s="141">
        <f t="shared" si="9"/>
        <v>0.125</v>
      </c>
      <c r="H18" s="132" t="e">
        <f t="shared" si="0"/>
        <v>#DIV/0!</v>
      </c>
      <c r="I18" s="132" t="e">
        <f t="shared" si="10"/>
        <v>#DIV/0!</v>
      </c>
      <c r="J18" s="133" t="e">
        <f t="shared" si="11"/>
        <v>#DIV/0!</v>
      </c>
      <c r="K18" s="22" t="e">
        <f t="shared" si="1"/>
        <v>#DIV/0!</v>
      </c>
      <c r="L18" s="132" t="e">
        <f t="shared" si="12"/>
        <v>#DIV/0!</v>
      </c>
      <c r="M18" s="132" t="e">
        <f t="shared" si="2"/>
        <v>#DIV/0!</v>
      </c>
      <c r="N18" s="133" t="e">
        <f t="shared" si="13"/>
        <v>#DIV/0!</v>
      </c>
      <c r="O18" s="22" t="e">
        <f t="shared" si="3"/>
        <v>#DIV/0!</v>
      </c>
      <c r="P18" s="132" t="e">
        <f t="shared" si="14"/>
        <v>#DIV/0!</v>
      </c>
      <c r="Q18" s="22" t="e">
        <f t="shared" si="4"/>
        <v>#DIV/0!</v>
      </c>
      <c r="R18" s="132" t="e">
        <f t="shared" si="15"/>
        <v>#DIV/0!</v>
      </c>
      <c r="S18" s="22" t="e">
        <f t="shared" si="5"/>
        <v>#DIV/0!</v>
      </c>
      <c r="T18" s="133" t="e">
        <f t="shared" si="16"/>
        <v>#DIV/0!</v>
      </c>
      <c r="U18" s="22" t="e">
        <f t="shared" si="6"/>
        <v>#DIV/0!</v>
      </c>
      <c r="V18" s="133" t="e">
        <f t="shared" si="17"/>
        <v>#DIV/0!</v>
      </c>
      <c r="W18" s="22" t="e">
        <f t="shared" si="7"/>
        <v>#DIV/0!</v>
      </c>
      <c r="X18" s="130" t="e">
        <f t="shared" si="18"/>
        <v>#DIV/0!</v>
      </c>
    </row>
    <row r="19" spans="2:24" ht="14.25" customHeight="1" x14ac:dyDescent="0.2">
      <c r="B19" s="4" t="s">
        <v>15</v>
      </c>
      <c r="C19" s="197">
        <f>'Level3 Soil'!D30</f>
        <v>0</v>
      </c>
      <c r="D19" s="2" t="s">
        <v>26</v>
      </c>
      <c r="E19" s="64">
        <v>15</v>
      </c>
      <c r="F19" s="64">
        <f t="shared" si="8"/>
        <v>0</v>
      </c>
      <c r="G19" s="141">
        <f t="shared" si="9"/>
        <v>0.125</v>
      </c>
      <c r="H19" s="132" t="e">
        <f t="shared" si="0"/>
        <v>#DIV/0!</v>
      </c>
      <c r="I19" s="132" t="e">
        <f t="shared" si="10"/>
        <v>#DIV/0!</v>
      </c>
      <c r="J19" s="133" t="e">
        <f t="shared" si="11"/>
        <v>#DIV/0!</v>
      </c>
      <c r="K19" s="22" t="e">
        <f t="shared" si="1"/>
        <v>#DIV/0!</v>
      </c>
      <c r="L19" s="132" t="e">
        <f t="shared" si="12"/>
        <v>#DIV/0!</v>
      </c>
      <c r="M19" s="132" t="e">
        <f t="shared" si="2"/>
        <v>#DIV/0!</v>
      </c>
      <c r="N19" s="133" t="e">
        <f t="shared" si="13"/>
        <v>#DIV/0!</v>
      </c>
      <c r="O19" s="22" t="e">
        <f t="shared" si="3"/>
        <v>#DIV/0!</v>
      </c>
      <c r="P19" s="132" t="e">
        <f t="shared" si="14"/>
        <v>#DIV/0!</v>
      </c>
      <c r="Q19" s="22" t="e">
        <f t="shared" si="4"/>
        <v>#DIV/0!</v>
      </c>
      <c r="R19" s="132" t="e">
        <f t="shared" si="15"/>
        <v>#DIV/0!</v>
      </c>
      <c r="S19" s="22" t="e">
        <f t="shared" si="5"/>
        <v>#DIV/0!</v>
      </c>
      <c r="T19" s="133" t="e">
        <f t="shared" si="16"/>
        <v>#DIV/0!</v>
      </c>
      <c r="U19" s="22" t="e">
        <f t="shared" si="6"/>
        <v>#DIV/0!</v>
      </c>
      <c r="V19" s="133" t="e">
        <f t="shared" si="17"/>
        <v>#DIV/0!</v>
      </c>
      <c r="W19" s="22" t="e">
        <f t="shared" si="7"/>
        <v>#DIV/0!</v>
      </c>
      <c r="X19" s="130" t="e">
        <f t="shared" si="18"/>
        <v>#DIV/0!</v>
      </c>
    </row>
    <row r="20" spans="2:24" ht="14.25" customHeight="1" x14ac:dyDescent="0.2">
      <c r="B20" s="4" t="s">
        <v>17</v>
      </c>
      <c r="C20" s="197">
        <f>'Level3 Soil'!D31</f>
        <v>0</v>
      </c>
      <c r="D20" s="2" t="s">
        <v>21</v>
      </c>
      <c r="E20" s="64">
        <v>16</v>
      </c>
      <c r="F20" s="64">
        <f t="shared" si="8"/>
        <v>0</v>
      </c>
      <c r="G20" s="141">
        <f t="shared" si="9"/>
        <v>0.125</v>
      </c>
      <c r="H20" s="132" t="e">
        <f t="shared" si="0"/>
        <v>#DIV/0!</v>
      </c>
      <c r="I20" s="132" t="e">
        <f t="shared" si="10"/>
        <v>#DIV/0!</v>
      </c>
      <c r="J20" s="133" t="e">
        <f t="shared" si="11"/>
        <v>#DIV/0!</v>
      </c>
      <c r="K20" s="22" t="e">
        <f t="shared" si="1"/>
        <v>#DIV/0!</v>
      </c>
      <c r="L20" s="132" t="e">
        <f t="shared" si="12"/>
        <v>#DIV/0!</v>
      </c>
      <c r="M20" s="132" t="e">
        <f t="shared" si="2"/>
        <v>#DIV/0!</v>
      </c>
      <c r="N20" s="133" t="e">
        <f t="shared" si="13"/>
        <v>#DIV/0!</v>
      </c>
      <c r="O20" s="22" t="e">
        <f t="shared" si="3"/>
        <v>#DIV/0!</v>
      </c>
      <c r="P20" s="132" t="e">
        <f t="shared" si="14"/>
        <v>#DIV/0!</v>
      </c>
      <c r="Q20" s="22" t="e">
        <f t="shared" si="4"/>
        <v>#DIV/0!</v>
      </c>
      <c r="R20" s="132" t="e">
        <f t="shared" si="15"/>
        <v>#DIV/0!</v>
      </c>
      <c r="S20" s="22" t="e">
        <f t="shared" si="5"/>
        <v>#DIV/0!</v>
      </c>
      <c r="T20" s="133" t="e">
        <f t="shared" si="16"/>
        <v>#DIV/0!</v>
      </c>
      <c r="U20" s="22" t="e">
        <f t="shared" si="6"/>
        <v>#DIV/0!</v>
      </c>
      <c r="V20" s="133" t="e">
        <f t="shared" si="17"/>
        <v>#DIV/0!</v>
      </c>
      <c r="W20" s="22" t="e">
        <f t="shared" si="7"/>
        <v>#DIV/0!</v>
      </c>
      <c r="X20" s="130" t="e">
        <f t="shared" si="18"/>
        <v>#DIV/0!</v>
      </c>
    </row>
    <row r="21" spans="2:24" ht="14.25" customHeight="1" x14ac:dyDescent="0.2">
      <c r="B21" s="4" t="s">
        <v>18</v>
      </c>
      <c r="C21" s="197">
        <f>'Level3 Soil'!D34</f>
        <v>0</v>
      </c>
      <c r="D21" s="8" t="s">
        <v>26</v>
      </c>
      <c r="E21" s="64">
        <v>17</v>
      </c>
      <c r="F21" s="64">
        <f t="shared" si="8"/>
        <v>0</v>
      </c>
      <c r="G21" s="141">
        <f t="shared" si="9"/>
        <v>0.125</v>
      </c>
      <c r="H21" s="132" t="e">
        <f t="shared" si="0"/>
        <v>#DIV/0!</v>
      </c>
      <c r="I21" s="132" t="e">
        <f t="shared" si="10"/>
        <v>#DIV/0!</v>
      </c>
      <c r="J21" s="133" t="e">
        <f t="shared" si="11"/>
        <v>#DIV/0!</v>
      </c>
      <c r="K21" s="22" t="e">
        <f t="shared" si="1"/>
        <v>#DIV/0!</v>
      </c>
      <c r="L21" s="132" t="e">
        <f t="shared" si="12"/>
        <v>#DIV/0!</v>
      </c>
      <c r="M21" s="132" t="e">
        <f t="shared" si="2"/>
        <v>#DIV/0!</v>
      </c>
      <c r="N21" s="133" t="e">
        <f t="shared" si="13"/>
        <v>#DIV/0!</v>
      </c>
      <c r="O21" s="22" t="e">
        <f t="shared" si="3"/>
        <v>#DIV/0!</v>
      </c>
      <c r="P21" s="132" t="e">
        <f t="shared" si="14"/>
        <v>#DIV/0!</v>
      </c>
      <c r="Q21" s="22" t="e">
        <f t="shared" si="4"/>
        <v>#DIV/0!</v>
      </c>
      <c r="R21" s="132" t="e">
        <f t="shared" si="15"/>
        <v>#DIV/0!</v>
      </c>
      <c r="S21" s="22" t="e">
        <f t="shared" si="5"/>
        <v>#DIV/0!</v>
      </c>
      <c r="T21" s="133" t="e">
        <f t="shared" si="16"/>
        <v>#DIV/0!</v>
      </c>
      <c r="U21" s="22" t="e">
        <f t="shared" si="6"/>
        <v>#DIV/0!</v>
      </c>
      <c r="V21" s="133" t="e">
        <f t="shared" si="17"/>
        <v>#DIV/0!</v>
      </c>
      <c r="W21" s="22" t="e">
        <f t="shared" si="7"/>
        <v>#DIV/0!</v>
      </c>
      <c r="X21" s="130" t="e">
        <f t="shared" si="18"/>
        <v>#DIV/0!</v>
      </c>
    </row>
    <row r="22" spans="2:24" ht="14.25" customHeight="1" x14ac:dyDescent="0.2">
      <c r="B22" s="4" t="s">
        <v>20</v>
      </c>
      <c r="C22" s="197">
        <f>'Level3 Soil'!D35</f>
        <v>0</v>
      </c>
      <c r="D22" s="8" t="s">
        <v>26</v>
      </c>
      <c r="E22" s="64">
        <v>18</v>
      </c>
      <c r="F22" s="64">
        <f t="shared" si="8"/>
        <v>0</v>
      </c>
      <c r="G22" s="141">
        <f t="shared" si="9"/>
        <v>0.125</v>
      </c>
      <c r="H22" s="132" t="e">
        <f t="shared" si="0"/>
        <v>#DIV/0!</v>
      </c>
      <c r="I22" s="132" t="e">
        <f t="shared" si="10"/>
        <v>#DIV/0!</v>
      </c>
      <c r="J22" s="133" t="e">
        <f t="shared" si="11"/>
        <v>#DIV/0!</v>
      </c>
      <c r="K22" s="22" t="e">
        <f t="shared" si="1"/>
        <v>#DIV/0!</v>
      </c>
      <c r="L22" s="132" t="e">
        <f t="shared" si="12"/>
        <v>#DIV/0!</v>
      </c>
      <c r="M22" s="132" t="e">
        <f t="shared" si="2"/>
        <v>#DIV/0!</v>
      </c>
      <c r="N22" s="133" t="e">
        <f t="shared" si="13"/>
        <v>#DIV/0!</v>
      </c>
      <c r="O22" s="22" t="e">
        <f t="shared" si="3"/>
        <v>#DIV/0!</v>
      </c>
      <c r="P22" s="132" t="e">
        <f t="shared" si="14"/>
        <v>#DIV/0!</v>
      </c>
      <c r="Q22" s="22" t="e">
        <f t="shared" si="4"/>
        <v>#DIV/0!</v>
      </c>
      <c r="R22" s="132" t="e">
        <f t="shared" si="15"/>
        <v>#DIV/0!</v>
      </c>
      <c r="S22" s="22" t="e">
        <f t="shared" si="5"/>
        <v>#DIV/0!</v>
      </c>
      <c r="T22" s="133" t="e">
        <f t="shared" si="16"/>
        <v>#DIV/0!</v>
      </c>
      <c r="U22" s="22" t="e">
        <f t="shared" si="6"/>
        <v>#DIV/0!</v>
      </c>
      <c r="V22" s="133" t="e">
        <f t="shared" si="17"/>
        <v>#DIV/0!</v>
      </c>
      <c r="W22" s="22" t="e">
        <f t="shared" si="7"/>
        <v>#DIV/0!</v>
      </c>
      <c r="X22" s="130" t="e">
        <f t="shared" si="18"/>
        <v>#DIV/0!</v>
      </c>
    </row>
    <row r="23" spans="2:24" ht="14.25" customHeight="1" x14ac:dyDescent="0.2">
      <c r="B23" s="4" t="s">
        <v>19</v>
      </c>
      <c r="C23" s="197">
        <f>'Level3 Soil'!D36</f>
        <v>0</v>
      </c>
      <c r="D23" s="8" t="s">
        <v>26</v>
      </c>
      <c r="E23" s="64">
        <v>19</v>
      </c>
      <c r="F23" s="64">
        <f t="shared" si="8"/>
        <v>0</v>
      </c>
      <c r="G23" s="141">
        <f t="shared" si="9"/>
        <v>0.125</v>
      </c>
      <c r="H23" s="132" t="e">
        <f t="shared" si="0"/>
        <v>#DIV/0!</v>
      </c>
      <c r="I23" s="132" t="e">
        <f t="shared" si="10"/>
        <v>#DIV/0!</v>
      </c>
      <c r="J23" s="133" t="e">
        <f t="shared" si="11"/>
        <v>#DIV/0!</v>
      </c>
      <c r="K23" s="22" t="e">
        <f t="shared" si="1"/>
        <v>#DIV/0!</v>
      </c>
      <c r="L23" s="132" t="e">
        <f t="shared" si="12"/>
        <v>#DIV/0!</v>
      </c>
      <c r="M23" s="132" t="e">
        <f t="shared" si="2"/>
        <v>#DIV/0!</v>
      </c>
      <c r="N23" s="133" t="e">
        <f t="shared" si="13"/>
        <v>#DIV/0!</v>
      </c>
      <c r="O23" s="22" t="e">
        <f t="shared" si="3"/>
        <v>#DIV/0!</v>
      </c>
      <c r="P23" s="132" t="e">
        <f t="shared" si="14"/>
        <v>#DIV/0!</v>
      </c>
      <c r="Q23" s="22" t="e">
        <f t="shared" si="4"/>
        <v>#DIV/0!</v>
      </c>
      <c r="R23" s="132" t="e">
        <f t="shared" si="15"/>
        <v>#DIV/0!</v>
      </c>
      <c r="S23" s="22" t="e">
        <f t="shared" si="5"/>
        <v>#DIV/0!</v>
      </c>
      <c r="T23" s="133" t="e">
        <f t="shared" si="16"/>
        <v>#DIV/0!</v>
      </c>
      <c r="U23" s="22" t="e">
        <f t="shared" si="6"/>
        <v>#DIV/0!</v>
      </c>
      <c r="V23" s="133" t="e">
        <f t="shared" si="17"/>
        <v>#DIV/0!</v>
      </c>
      <c r="W23" s="22" t="e">
        <f t="shared" si="7"/>
        <v>#DIV/0!</v>
      </c>
      <c r="X23" s="130" t="e">
        <f t="shared" si="18"/>
        <v>#DIV/0!</v>
      </c>
    </row>
    <row r="24" spans="2:24" x14ac:dyDescent="0.2">
      <c r="C24" s="8"/>
      <c r="D24" s="8"/>
      <c r="E24" s="64">
        <v>20</v>
      </c>
      <c r="F24" s="64">
        <f t="shared" si="8"/>
        <v>0</v>
      </c>
      <c r="G24" s="141">
        <f t="shared" si="9"/>
        <v>0.125</v>
      </c>
      <c r="H24" s="132" t="e">
        <f t="shared" si="0"/>
        <v>#DIV/0!</v>
      </c>
      <c r="I24" s="132" t="e">
        <f t="shared" si="10"/>
        <v>#DIV/0!</v>
      </c>
      <c r="J24" s="133" t="e">
        <f t="shared" si="11"/>
        <v>#DIV/0!</v>
      </c>
      <c r="K24" s="22" t="e">
        <f t="shared" si="1"/>
        <v>#DIV/0!</v>
      </c>
      <c r="L24" s="132" t="e">
        <f t="shared" si="12"/>
        <v>#DIV/0!</v>
      </c>
      <c r="M24" s="132" t="e">
        <f t="shared" si="2"/>
        <v>#DIV/0!</v>
      </c>
      <c r="N24" s="133" t="e">
        <f t="shared" si="13"/>
        <v>#DIV/0!</v>
      </c>
      <c r="O24" s="22" t="e">
        <f t="shared" si="3"/>
        <v>#DIV/0!</v>
      </c>
      <c r="P24" s="132" t="e">
        <f t="shared" si="14"/>
        <v>#DIV/0!</v>
      </c>
      <c r="Q24" s="22" t="e">
        <f t="shared" si="4"/>
        <v>#DIV/0!</v>
      </c>
      <c r="R24" s="132" t="e">
        <f t="shared" si="15"/>
        <v>#DIV/0!</v>
      </c>
      <c r="S24" s="22" t="e">
        <f t="shared" si="5"/>
        <v>#DIV/0!</v>
      </c>
      <c r="T24" s="133" t="e">
        <f t="shared" si="16"/>
        <v>#DIV/0!</v>
      </c>
      <c r="U24" s="22" t="e">
        <f t="shared" si="6"/>
        <v>#DIV/0!</v>
      </c>
      <c r="V24" s="133" t="e">
        <f t="shared" si="17"/>
        <v>#DIV/0!</v>
      </c>
      <c r="W24" s="22" t="e">
        <f t="shared" si="7"/>
        <v>#DIV/0!</v>
      </c>
      <c r="X24" s="130" t="e">
        <f t="shared" si="18"/>
        <v>#DIV/0!</v>
      </c>
    </row>
    <row r="25" spans="2:24" x14ac:dyDescent="0.2">
      <c r="C25" s="8"/>
      <c r="D25" s="8"/>
      <c r="E25" s="8"/>
      <c r="G25" s="10"/>
      <c r="H25" s="10"/>
      <c r="I25" s="10"/>
      <c r="J25" s="12"/>
      <c r="K25" s="14"/>
      <c r="L25" s="10"/>
      <c r="M25" s="113"/>
      <c r="N25" s="12"/>
      <c r="O25" s="14"/>
      <c r="P25" s="10"/>
      <c r="Q25" s="10"/>
      <c r="R25" s="10"/>
      <c r="S25" s="10"/>
      <c r="T25" s="15"/>
      <c r="U25" s="15"/>
      <c r="V25" s="15"/>
      <c r="W25" s="15"/>
    </row>
    <row r="26" spans="2:24" ht="15.75" x14ac:dyDescent="0.25">
      <c r="B26" s="9" t="s">
        <v>45</v>
      </c>
      <c r="C26" s="65" t="s">
        <v>11</v>
      </c>
      <c r="D26" s="65"/>
      <c r="F26" t="s">
        <v>327</v>
      </c>
      <c r="M26" s="68"/>
    </row>
    <row r="27" spans="2:24" ht="14.25" x14ac:dyDescent="0.2">
      <c r="C27" s="4"/>
      <c r="D27" s="4"/>
      <c r="E27" s="2"/>
      <c r="F27" s="2" t="s">
        <v>52</v>
      </c>
      <c r="G27" s="11" t="s">
        <v>121</v>
      </c>
      <c r="H27" s="11" t="s">
        <v>122</v>
      </c>
      <c r="I27" s="11" t="s">
        <v>47</v>
      </c>
      <c r="J27" s="13" t="s">
        <v>123</v>
      </c>
      <c r="K27" s="13" t="s">
        <v>48</v>
      </c>
      <c r="L27" s="11" t="s">
        <v>124</v>
      </c>
      <c r="M27" s="112" t="s">
        <v>47</v>
      </c>
      <c r="N27" s="13" t="s">
        <v>125</v>
      </c>
      <c r="O27" s="13" t="s">
        <v>48</v>
      </c>
      <c r="P27" s="11" t="s">
        <v>126</v>
      </c>
      <c r="Q27" s="11" t="s">
        <v>49</v>
      </c>
      <c r="R27" s="11" t="s">
        <v>127</v>
      </c>
      <c r="S27" s="11" t="s">
        <v>49</v>
      </c>
      <c r="T27" s="22" t="s">
        <v>128</v>
      </c>
      <c r="U27" s="22" t="s">
        <v>49</v>
      </c>
      <c r="V27" s="22" t="s">
        <v>129</v>
      </c>
      <c r="W27" s="22" t="s">
        <v>49</v>
      </c>
      <c r="X27" s="31" t="s">
        <v>271</v>
      </c>
    </row>
    <row r="28" spans="2:24" ht="14.25" x14ac:dyDescent="0.2">
      <c r="B28" s="4" t="s">
        <v>38</v>
      </c>
      <c r="C28" s="109" t="e">
        <f>(C16*C15)/C14</f>
        <v>#DIV/0!</v>
      </c>
      <c r="D28" s="2" t="s">
        <v>25</v>
      </c>
      <c r="E28" s="2"/>
      <c r="F28" s="2"/>
      <c r="G28" s="11"/>
      <c r="H28" s="11"/>
      <c r="I28" s="11"/>
      <c r="J28" s="13"/>
      <c r="K28" s="13"/>
      <c r="L28" s="11"/>
      <c r="M28" s="112"/>
      <c r="N28" s="13"/>
      <c r="O28" s="13"/>
      <c r="P28" s="11"/>
      <c r="Q28" s="11"/>
      <c r="R28" s="11"/>
      <c r="S28" s="11"/>
      <c r="T28" s="22"/>
      <c r="U28" s="22"/>
      <c r="V28" s="22"/>
      <c r="W28" s="22"/>
      <c r="X28" s="2"/>
    </row>
    <row r="29" spans="2:24" ht="14.25" x14ac:dyDescent="0.2">
      <c r="B29" s="4" t="s">
        <v>0</v>
      </c>
      <c r="C29" s="109" t="e">
        <f>'Level3 Soil'!D42</f>
        <v>#DIV/0!</v>
      </c>
      <c r="D29" s="109"/>
      <c r="E29" s="64">
        <v>1</v>
      </c>
      <c r="F29" s="64">
        <f>$C$17/20*E29</f>
        <v>0</v>
      </c>
      <c r="G29" s="141">
        <f t="shared" ref="G29:G48" si="19">0.125</f>
        <v>0.125</v>
      </c>
      <c r="H29" s="132" t="e">
        <f t="shared" ref="H29:H48" si="20">$F29/(2*$C$21)*(1-(1+(4*$C$9*$C$21)/$C$30)^0.5)</f>
        <v>#DIV/0!</v>
      </c>
      <c r="I29" s="132" t="e">
        <f>EXP(H29)</f>
        <v>#DIV/0!</v>
      </c>
      <c r="J29" s="133" t="e">
        <f>1/(2*(SQRT($C$21*$C$30*$C$20)))*($F29-($C$30*$C$20)*(1+(4*$C$9*$C$21)/$C$30)^0.5)</f>
        <v>#DIV/0!</v>
      </c>
      <c r="K29" s="22" t="e">
        <f t="shared" ref="K29:K48" si="21">IF(J29&lt;-4,2,IF(J29&gt;4,0,IF(J29&gt;=0,ERFC(J29),1+ERF(-J29))))</f>
        <v>#DIV/0!</v>
      </c>
      <c r="L29" s="132" t="e">
        <f>$F29/(2*$C$21)*(1+(1+(4*$C$9*$C$21)/$C$30)^0.5)</f>
        <v>#DIV/0!</v>
      </c>
      <c r="M29" s="132" t="e">
        <f>IF(L29&gt;700,EXP(700),EXP(L29))</f>
        <v>#DIV/0!</v>
      </c>
      <c r="N29" s="133" t="e">
        <f>1/(2*(SQRT($C$21*$C$30*$C$20)))*($F29+($C$30*$C$20)*(1+(4*$C$9*$C$21)/$C$30)^0.5)</f>
        <v>#DIV/0!</v>
      </c>
      <c r="O29" s="22" t="e">
        <f t="shared" ref="O29:O48" si="22">IF(N29&lt;-4,2,IF(N29&gt;4,0,IF(N29&gt;=0,ERFC(N29),1+ERF(-N29))))</f>
        <v>#DIV/0!</v>
      </c>
      <c r="P29" s="132" t="e">
        <f>(($C$18+0.5*$C$10)/(2*SQRT($C$22*$F29)))</f>
        <v>#DIV/0!</v>
      </c>
      <c r="Q29" s="22" t="e">
        <f t="shared" ref="Q29:Q48" si="23">IF(P29&lt;0,IF(P29&lt;-10,-1,-ERF(-P29)),IF(P29&gt;10,1,ERF(P29)))</f>
        <v>#DIV/0!</v>
      </c>
      <c r="R29" s="132" t="e">
        <f>(($C$18-0.5*$C$10)/(2*SQRT($C$22*$F29)))</f>
        <v>#DIV/0!</v>
      </c>
      <c r="S29" s="22" t="e">
        <f t="shared" ref="S29:S48" si="24">IF(R29&lt;0,IF(R29&lt;-10,-1,-ERF(-R29)),IF(R29&gt;10,1,ERF(R29)))</f>
        <v>#DIV/0!</v>
      </c>
      <c r="T29" s="133" t="e">
        <f>(($C$19+$C$11)/(2*SQRT($C$23*$F29)))</f>
        <v>#DIV/0!</v>
      </c>
      <c r="U29" s="22" t="e">
        <f t="shared" ref="U29:U48" si="25">IF(T29&lt;0,IF(T29&lt;-10,-1,-ERF(-T29)),IF(T29&gt;10,1,ERF(T29)))</f>
        <v>#DIV/0!</v>
      </c>
      <c r="V29" s="133" t="e">
        <f>(($C$19-$C$11)/(2*SQRT($C$23*$F29)))</f>
        <v>#DIV/0!</v>
      </c>
      <c r="W29" s="22" t="e">
        <f t="shared" ref="W29:W48" si="26">IF(V29&lt;0,IF(V29&lt;-10,-1,-ERF(-V29)),IF(V29&gt;10,1,ERF(V29)))</f>
        <v>#DIV/0!</v>
      </c>
      <c r="X29" s="130" t="e">
        <f>G29*(I29*K29+M29*O29)*(Q29-S29)*(U29-W29)</f>
        <v>#DIV/0!</v>
      </c>
    </row>
    <row r="30" spans="2:24" ht="14.25" x14ac:dyDescent="0.2">
      <c r="B30" s="4" t="s">
        <v>41</v>
      </c>
      <c r="C30" s="109" t="e">
        <f>C28/C29</f>
        <v>#DIV/0!</v>
      </c>
      <c r="D30" s="2" t="s">
        <v>25</v>
      </c>
      <c r="E30" s="64">
        <v>2</v>
      </c>
      <c r="F30" s="64">
        <f t="shared" ref="F30:F48" si="27">$C$17/20*E30</f>
        <v>0</v>
      </c>
      <c r="G30" s="141">
        <f t="shared" si="19"/>
        <v>0.125</v>
      </c>
      <c r="H30" s="132" t="e">
        <f t="shared" si="20"/>
        <v>#DIV/0!</v>
      </c>
      <c r="I30" s="132" t="e">
        <f t="shared" ref="I30:I48" si="28">EXP(H30)</f>
        <v>#DIV/0!</v>
      </c>
      <c r="J30" s="133" t="e">
        <f t="shared" ref="J30:J48" si="29">1/(2*(SQRT($C$21*$C$30*$C$20)))*($F30-($C$30*$C$20)*(1+(4*$C$9*$C$21)/$C$30)^0.5)</f>
        <v>#DIV/0!</v>
      </c>
      <c r="K30" s="22" t="e">
        <f t="shared" si="21"/>
        <v>#DIV/0!</v>
      </c>
      <c r="L30" s="132" t="e">
        <f t="shared" ref="L30:L48" si="30">$F30/(2*$C$21)*(1+(1+(4*$C$9*$C$21)/$C$30)^0.5)</f>
        <v>#DIV/0!</v>
      </c>
      <c r="M30" s="132" t="e">
        <f t="shared" ref="M30:M48" si="31">IF(L30&gt;700,EXP(700),EXP(L30))</f>
        <v>#DIV/0!</v>
      </c>
      <c r="N30" s="133" t="e">
        <f t="shared" ref="N30:N48" si="32">1/(2*(SQRT($C$21*$C$30*$C$20)))*($F30+($C$30*$C$20)*(1+(4*$C$9*$C$21)/$C$30)^0.5)</f>
        <v>#DIV/0!</v>
      </c>
      <c r="O30" s="22" t="e">
        <f t="shared" si="22"/>
        <v>#DIV/0!</v>
      </c>
      <c r="P30" s="132" t="e">
        <f t="shared" ref="P30:P48" si="33">(($C$18+0.5*$C$10)/(2*SQRT($C$22*$F30)))</f>
        <v>#DIV/0!</v>
      </c>
      <c r="Q30" s="22" t="e">
        <f t="shared" si="23"/>
        <v>#DIV/0!</v>
      </c>
      <c r="R30" s="132" t="e">
        <f t="shared" ref="R30:R48" si="34">(($C$18-0.5*$C$10)/(2*SQRT($C$22*$F30)))</f>
        <v>#DIV/0!</v>
      </c>
      <c r="S30" s="22" t="e">
        <f t="shared" si="24"/>
        <v>#DIV/0!</v>
      </c>
      <c r="T30" s="133" t="e">
        <f t="shared" ref="T30:T48" si="35">(($C$19+$C$11)/(2*SQRT($C$23*$F30)))</f>
        <v>#DIV/0!</v>
      </c>
      <c r="U30" s="22" t="e">
        <f t="shared" si="25"/>
        <v>#DIV/0!</v>
      </c>
      <c r="V30" s="133" t="e">
        <f t="shared" ref="V30:V48" si="36">(($C$19-$C$11)/(2*SQRT($C$23*$F30)))</f>
        <v>#DIV/0!</v>
      </c>
      <c r="W30" s="22" t="e">
        <f t="shared" si="26"/>
        <v>#DIV/0!</v>
      </c>
      <c r="X30" s="130" t="e">
        <f t="shared" ref="X30:X48" si="37">G30*(I30*K30+M30*O30)*(Q30-S30)*(U30-W30)</f>
        <v>#DIV/0!</v>
      </c>
    </row>
    <row r="31" spans="2:24" x14ac:dyDescent="0.2">
      <c r="E31" s="64">
        <v>3</v>
      </c>
      <c r="F31" s="64">
        <f t="shared" si="27"/>
        <v>0</v>
      </c>
      <c r="G31" s="141">
        <f t="shared" si="19"/>
        <v>0.125</v>
      </c>
      <c r="H31" s="132" t="e">
        <f t="shared" si="20"/>
        <v>#DIV/0!</v>
      </c>
      <c r="I31" s="132" t="e">
        <f t="shared" si="28"/>
        <v>#DIV/0!</v>
      </c>
      <c r="J31" s="133" t="e">
        <f t="shared" si="29"/>
        <v>#DIV/0!</v>
      </c>
      <c r="K31" s="22" t="e">
        <f t="shared" si="21"/>
        <v>#DIV/0!</v>
      </c>
      <c r="L31" s="132" t="e">
        <f t="shared" si="30"/>
        <v>#DIV/0!</v>
      </c>
      <c r="M31" s="132" t="e">
        <f t="shared" si="31"/>
        <v>#DIV/0!</v>
      </c>
      <c r="N31" s="133" t="e">
        <f t="shared" si="32"/>
        <v>#DIV/0!</v>
      </c>
      <c r="O31" s="22" t="e">
        <f t="shared" si="22"/>
        <v>#DIV/0!</v>
      </c>
      <c r="P31" s="132" t="e">
        <f t="shared" si="33"/>
        <v>#DIV/0!</v>
      </c>
      <c r="Q31" s="22" t="e">
        <f t="shared" si="23"/>
        <v>#DIV/0!</v>
      </c>
      <c r="R31" s="132" t="e">
        <f t="shared" si="34"/>
        <v>#DIV/0!</v>
      </c>
      <c r="S31" s="22" t="e">
        <f t="shared" si="24"/>
        <v>#DIV/0!</v>
      </c>
      <c r="T31" s="133" t="e">
        <f t="shared" si="35"/>
        <v>#DIV/0!</v>
      </c>
      <c r="U31" s="22" t="e">
        <f t="shared" si="25"/>
        <v>#DIV/0!</v>
      </c>
      <c r="V31" s="133" t="e">
        <f t="shared" si="36"/>
        <v>#DIV/0!</v>
      </c>
      <c r="W31" s="22" t="e">
        <f t="shared" si="26"/>
        <v>#DIV/0!</v>
      </c>
      <c r="X31" s="130" t="e">
        <f t="shared" si="37"/>
        <v>#DIV/0!</v>
      </c>
    </row>
    <row r="32" spans="2:24" x14ac:dyDescent="0.2">
      <c r="E32" s="64">
        <v>4</v>
      </c>
      <c r="F32" s="64">
        <f t="shared" si="27"/>
        <v>0</v>
      </c>
      <c r="G32" s="141">
        <f t="shared" si="19"/>
        <v>0.125</v>
      </c>
      <c r="H32" s="132" t="e">
        <f t="shared" si="20"/>
        <v>#DIV/0!</v>
      </c>
      <c r="I32" s="132" t="e">
        <f t="shared" si="28"/>
        <v>#DIV/0!</v>
      </c>
      <c r="J32" s="133" t="e">
        <f t="shared" si="29"/>
        <v>#DIV/0!</v>
      </c>
      <c r="K32" s="22" t="e">
        <f t="shared" si="21"/>
        <v>#DIV/0!</v>
      </c>
      <c r="L32" s="132" t="e">
        <f t="shared" si="30"/>
        <v>#DIV/0!</v>
      </c>
      <c r="M32" s="132" t="e">
        <f t="shared" si="31"/>
        <v>#DIV/0!</v>
      </c>
      <c r="N32" s="133" t="e">
        <f t="shared" si="32"/>
        <v>#DIV/0!</v>
      </c>
      <c r="O32" s="22" t="e">
        <f t="shared" si="22"/>
        <v>#DIV/0!</v>
      </c>
      <c r="P32" s="132" t="e">
        <f t="shared" si="33"/>
        <v>#DIV/0!</v>
      </c>
      <c r="Q32" s="22" t="e">
        <f t="shared" si="23"/>
        <v>#DIV/0!</v>
      </c>
      <c r="R32" s="132" t="e">
        <f t="shared" si="34"/>
        <v>#DIV/0!</v>
      </c>
      <c r="S32" s="22" t="e">
        <f t="shared" si="24"/>
        <v>#DIV/0!</v>
      </c>
      <c r="T32" s="133" t="e">
        <f t="shared" si="35"/>
        <v>#DIV/0!</v>
      </c>
      <c r="U32" s="22" t="e">
        <f t="shared" si="25"/>
        <v>#DIV/0!</v>
      </c>
      <c r="V32" s="133" t="e">
        <f t="shared" si="36"/>
        <v>#DIV/0!</v>
      </c>
      <c r="W32" s="22" t="e">
        <f t="shared" si="26"/>
        <v>#DIV/0!</v>
      </c>
      <c r="X32" s="130" t="e">
        <f t="shared" si="37"/>
        <v>#DIV/0!</v>
      </c>
    </row>
    <row r="33" spans="2:24" x14ac:dyDescent="0.2">
      <c r="E33" s="64">
        <v>5</v>
      </c>
      <c r="F33" s="64">
        <f t="shared" si="27"/>
        <v>0</v>
      </c>
      <c r="G33" s="141">
        <f t="shared" si="19"/>
        <v>0.125</v>
      </c>
      <c r="H33" s="132" t="e">
        <f t="shared" si="20"/>
        <v>#DIV/0!</v>
      </c>
      <c r="I33" s="132" t="e">
        <f t="shared" si="28"/>
        <v>#DIV/0!</v>
      </c>
      <c r="J33" s="133" t="e">
        <f t="shared" si="29"/>
        <v>#DIV/0!</v>
      </c>
      <c r="K33" s="22" t="e">
        <f t="shared" si="21"/>
        <v>#DIV/0!</v>
      </c>
      <c r="L33" s="132" t="e">
        <f t="shared" si="30"/>
        <v>#DIV/0!</v>
      </c>
      <c r="M33" s="132" t="e">
        <f t="shared" si="31"/>
        <v>#DIV/0!</v>
      </c>
      <c r="N33" s="133" t="e">
        <f t="shared" si="32"/>
        <v>#DIV/0!</v>
      </c>
      <c r="O33" s="22" t="e">
        <f t="shared" si="22"/>
        <v>#DIV/0!</v>
      </c>
      <c r="P33" s="132" t="e">
        <f t="shared" si="33"/>
        <v>#DIV/0!</v>
      </c>
      <c r="Q33" s="22" t="e">
        <f t="shared" si="23"/>
        <v>#DIV/0!</v>
      </c>
      <c r="R33" s="132" t="e">
        <f t="shared" si="34"/>
        <v>#DIV/0!</v>
      </c>
      <c r="S33" s="22" t="e">
        <f t="shared" si="24"/>
        <v>#DIV/0!</v>
      </c>
      <c r="T33" s="133" t="e">
        <f t="shared" si="35"/>
        <v>#DIV/0!</v>
      </c>
      <c r="U33" s="22" t="e">
        <f t="shared" si="25"/>
        <v>#DIV/0!</v>
      </c>
      <c r="V33" s="133" t="e">
        <f t="shared" si="36"/>
        <v>#DIV/0!</v>
      </c>
      <c r="W33" s="22" t="e">
        <f t="shared" si="26"/>
        <v>#DIV/0!</v>
      </c>
      <c r="X33" s="130" t="e">
        <f t="shared" si="37"/>
        <v>#DIV/0!</v>
      </c>
    </row>
    <row r="34" spans="2:24" x14ac:dyDescent="0.2">
      <c r="B34" s="64"/>
      <c r="E34" s="64">
        <v>6</v>
      </c>
      <c r="F34" s="64">
        <f t="shared" si="27"/>
        <v>0</v>
      </c>
      <c r="G34" s="141">
        <f t="shared" si="19"/>
        <v>0.125</v>
      </c>
      <c r="H34" s="132" t="e">
        <f t="shared" si="20"/>
        <v>#DIV/0!</v>
      </c>
      <c r="I34" s="132" t="e">
        <f t="shared" si="28"/>
        <v>#DIV/0!</v>
      </c>
      <c r="J34" s="133" t="e">
        <f t="shared" si="29"/>
        <v>#DIV/0!</v>
      </c>
      <c r="K34" s="22" t="e">
        <f t="shared" si="21"/>
        <v>#DIV/0!</v>
      </c>
      <c r="L34" s="132" t="e">
        <f t="shared" si="30"/>
        <v>#DIV/0!</v>
      </c>
      <c r="M34" s="132" t="e">
        <f t="shared" si="31"/>
        <v>#DIV/0!</v>
      </c>
      <c r="N34" s="133" t="e">
        <f t="shared" si="32"/>
        <v>#DIV/0!</v>
      </c>
      <c r="O34" s="22" t="e">
        <f t="shared" si="22"/>
        <v>#DIV/0!</v>
      </c>
      <c r="P34" s="132" t="e">
        <f t="shared" si="33"/>
        <v>#DIV/0!</v>
      </c>
      <c r="Q34" s="22" t="e">
        <f t="shared" si="23"/>
        <v>#DIV/0!</v>
      </c>
      <c r="R34" s="132" t="e">
        <f t="shared" si="34"/>
        <v>#DIV/0!</v>
      </c>
      <c r="S34" s="22" t="e">
        <f t="shared" si="24"/>
        <v>#DIV/0!</v>
      </c>
      <c r="T34" s="133" t="e">
        <f t="shared" si="35"/>
        <v>#DIV/0!</v>
      </c>
      <c r="U34" s="22" t="e">
        <f t="shared" si="25"/>
        <v>#DIV/0!</v>
      </c>
      <c r="V34" s="133" t="e">
        <f t="shared" si="36"/>
        <v>#DIV/0!</v>
      </c>
      <c r="W34" s="22" t="e">
        <f t="shared" si="26"/>
        <v>#DIV/0!</v>
      </c>
      <c r="X34" s="130" t="e">
        <f t="shared" si="37"/>
        <v>#DIV/0!</v>
      </c>
    </row>
    <row r="35" spans="2:24" x14ac:dyDescent="0.2">
      <c r="E35" s="64">
        <v>7</v>
      </c>
      <c r="F35" s="64">
        <f t="shared" si="27"/>
        <v>0</v>
      </c>
      <c r="G35" s="141">
        <f t="shared" si="19"/>
        <v>0.125</v>
      </c>
      <c r="H35" s="132" t="e">
        <f t="shared" si="20"/>
        <v>#DIV/0!</v>
      </c>
      <c r="I35" s="132" t="e">
        <f t="shared" si="28"/>
        <v>#DIV/0!</v>
      </c>
      <c r="J35" s="133" t="e">
        <f t="shared" si="29"/>
        <v>#DIV/0!</v>
      </c>
      <c r="K35" s="22" t="e">
        <f t="shared" si="21"/>
        <v>#DIV/0!</v>
      </c>
      <c r="L35" s="132" t="e">
        <f t="shared" si="30"/>
        <v>#DIV/0!</v>
      </c>
      <c r="M35" s="132" t="e">
        <f t="shared" si="31"/>
        <v>#DIV/0!</v>
      </c>
      <c r="N35" s="133" t="e">
        <f t="shared" si="32"/>
        <v>#DIV/0!</v>
      </c>
      <c r="O35" s="22" t="e">
        <f t="shared" si="22"/>
        <v>#DIV/0!</v>
      </c>
      <c r="P35" s="132" t="e">
        <f t="shared" si="33"/>
        <v>#DIV/0!</v>
      </c>
      <c r="Q35" s="22" t="e">
        <f t="shared" si="23"/>
        <v>#DIV/0!</v>
      </c>
      <c r="R35" s="132" t="e">
        <f t="shared" si="34"/>
        <v>#DIV/0!</v>
      </c>
      <c r="S35" s="22" t="e">
        <f t="shared" si="24"/>
        <v>#DIV/0!</v>
      </c>
      <c r="T35" s="133" t="e">
        <f t="shared" si="35"/>
        <v>#DIV/0!</v>
      </c>
      <c r="U35" s="22" t="e">
        <f t="shared" si="25"/>
        <v>#DIV/0!</v>
      </c>
      <c r="V35" s="133" t="e">
        <f t="shared" si="36"/>
        <v>#DIV/0!</v>
      </c>
      <c r="W35" s="22" t="e">
        <f t="shared" si="26"/>
        <v>#DIV/0!</v>
      </c>
      <c r="X35" s="130" t="e">
        <f t="shared" si="37"/>
        <v>#DIV/0!</v>
      </c>
    </row>
    <row r="36" spans="2:24" x14ac:dyDescent="0.2">
      <c r="E36" s="64">
        <v>8</v>
      </c>
      <c r="F36" s="64">
        <f t="shared" si="27"/>
        <v>0</v>
      </c>
      <c r="G36" s="141">
        <f t="shared" si="19"/>
        <v>0.125</v>
      </c>
      <c r="H36" s="132" t="e">
        <f t="shared" si="20"/>
        <v>#DIV/0!</v>
      </c>
      <c r="I36" s="132" t="e">
        <f t="shared" si="28"/>
        <v>#DIV/0!</v>
      </c>
      <c r="J36" s="133" t="e">
        <f t="shared" si="29"/>
        <v>#DIV/0!</v>
      </c>
      <c r="K36" s="22" t="e">
        <f t="shared" si="21"/>
        <v>#DIV/0!</v>
      </c>
      <c r="L36" s="132" t="e">
        <f t="shared" si="30"/>
        <v>#DIV/0!</v>
      </c>
      <c r="M36" s="132" t="e">
        <f t="shared" si="31"/>
        <v>#DIV/0!</v>
      </c>
      <c r="N36" s="133" t="e">
        <f t="shared" si="32"/>
        <v>#DIV/0!</v>
      </c>
      <c r="O36" s="22" t="e">
        <f t="shared" si="22"/>
        <v>#DIV/0!</v>
      </c>
      <c r="P36" s="132" t="e">
        <f t="shared" si="33"/>
        <v>#DIV/0!</v>
      </c>
      <c r="Q36" s="22" t="e">
        <f t="shared" si="23"/>
        <v>#DIV/0!</v>
      </c>
      <c r="R36" s="132" t="e">
        <f t="shared" si="34"/>
        <v>#DIV/0!</v>
      </c>
      <c r="S36" s="22" t="e">
        <f t="shared" si="24"/>
        <v>#DIV/0!</v>
      </c>
      <c r="T36" s="133" t="e">
        <f t="shared" si="35"/>
        <v>#DIV/0!</v>
      </c>
      <c r="U36" s="22" t="e">
        <f t="shared" si="25"/>
        <v>#DIV/0!</v>
      </c>
      <c r="V36" s="133" t="e">
        <f t="shared" si="36"/>
        <v>#DIV/0!</v>
      </c>
      <c r="W36" s="22" t="e">
        <f t="shared" si="26"/>
        <v>#DIV/0!</v>
      </c>
      <c r="X36" s="130" t="e">
        <f t="shared" si="37"/>
        <v>#DIV/0!</v>
      </c>
    </row>
    <row r="37" spans="2:24" x14ac:dyDescent="0.2">
      <c r="E37" s="64">
        <v>9</v>
      </c>
      <c r="F37" s="64">
        <f t="shared" si="27"/>
        <v>0</v>
      </c>
      <c r="G37" s="141">
        <f t="shared" si="19"/>
        <v>0.125</v>
      </c>
      <c r="H37" s="132" t="e">
        <f t="shared" si="20"/>
        <v>#DIV/0!</v>
      </c>
      <c r="I37" s="132" t="e">
        <f t="shared" si="28"/>
        <v>#DIV/0!</v>
      </c>
      <c r="J37" s="133" t="e">
        <f t="shared" si="29"/>
        <v>#DIV/0!</v>
      </c>
      <c r="K37" s="22" t="e">
        <f t="shared" si="21"/>
        <v>#DIV/0!</v>
      </c>
      <c r="L37" s="132" t="e">
        <f t="shared" si="30"/>
        <v>#DIV/0!</v>
      </c>
      <c r="M37" s="132" t="e">
        <f t="shared" si="31"/>
        <v>#DIV/0!</v>
      </c>
      <c r="N37" s="133" t="e">
        <f t="shared" si="32"/>
        <v>#DIV/0!</v>
      </c>
      <c r="O37" s="22" t="e">
        <f t="shared" si="22"/>
        <v>#DIV/0!</v>
      </c>
      <c r="P37" s="132" t="e">
        <f t="shared" si="33"/>
        <v>#DIV/0!</v>
      </c>
      <c r="Q37" s="22" t="e">
        <f t="shared" si="23"/>
        <v>#DIV/0!</v>
      </c>
      <c r="R37" s="132" t="e">
        <f t="shared" si="34"/>
        <v>#DIV/0!</v>
      </c>
      <c r="S37" s="22" t="e">
        <f t="shared" si="24"/>
        <v>#DIV/0!</v>
      </c>
      <c r="T37" s="133" t="e">
        <f t="shared" si="35"/>
        <v>#DIV/0!</v>
      </c>
      <c r="U37" s="22" t="e">
        <f t="shared" si="25"/>
        <v>#DIV/0!</v>
      </c>
      <c r="V37" s="133" t="e">
        <f t="shared" si="36"/>
        <v>#DIV/0!</v>
      </c>
      <c r="W37" s="22" t="e">
        <f t="shared" si="26"/>
        <v>#DIV/0!</v>
      </c>
      <c r="X37" s="130" t="e">
        <f t="shared" si="37"/>
        <v>#DIV/0!</v>
      </c>
    </row>
    <row r="38" spans="2:24" x14ac:dyDescent="0.2">
      <c r="E38" s="64">
        <v>10</v>
      </c>
      <c r="F38" s="64">
        <f t="shared" si="27"/>
        <v>0</v>
      </c>
      <c r="G38" s="141">
        <f t="shared" si="19"/>
        <v>0.125</v>
      </c>
      <c r="H38" s="132" t="e">
        <f t="shared" si="20"/>
        <v>#DIV/0!</v>
      </c>
      <c r="I38" s="132" t="e">
        <f t="shared" si="28"/>
        <v>#DIV/0!</v>
      </c>
      <c r="J38" s="133" t="e">
        <f t="shared" si="29"/>
        <v>#DIV/0!</v>
      </c>
      <c r="K38" s="22" t="e">
        <f t="shared" si="21"/>
        <v>#DIV/0!</v>
      </c>
      <c r="L38" s="132" t="e">
        <f t="shared" si="30"/>
        <v>#DIV/0!</v>
      </c>
      <c r="M38" s="132" t="e">
        <f t="shared" si="31"/>
        <v>#DIV/0!</v>
      </c>
      <c r="N38" s="133" t="e">
        <f t="shared" si="32"/>
        <v>#DIV/0!</v>
      </c>
      <c r="O38" s="22" t="e">
        <f t="shared" si="22"/>
        <v>#DIV/0!</v>
      </c>
      <c r="P38" s="132" t="e">
        <f t="shared" si="33"/>
        <v>#DIV/0!</v>
      </c>
      <c r="Q38" s="22" t="e">
        <f t="shared" si="23"/>
        <v>#DIV/0!</v>
      </c>
      <c r="R38" s="132" t="e">
        <f t="shared" si="34"/>
        <v>#DIV/0!</v>
      </c>
      <c r="S38" s="22" t="e">
        <f t="shared" si="24"/>
        <v>#DIV/0!</v>
      </c>
      <c r="T38" s="133" t="e">
        <f t="shared" si="35"/>
        <v>#DIV/0!</v>
      </c>
      <c r="U38" s="22" t="e">
        <f t="shared" si="25"/>
        <v>#DIV/0!</v>
      </c>
      <c r="V38" s="133" t="e">
        <f t="shared" si="36"/>
        <v>#DIV/0!</v>
      </c>
      <c r="W38" s="22" t="e">
        <f t="shared" si="26"/>
        <v>#DIV/0!</v>
      </c>
      <c r="X38" s="130" t="e">
        <f t="shared" si="37"/>
        <v>#DIV/0!</v>
      </c>
    </row>
    <row r="39" spans="2:24" x14ac:dyDescent="0.2">
      <c r="E39" s="64">
        <v>11</v>
      </c>
      <c r="F39" s="64">
        <f t="shared" si="27"/>
        <v>0</v>
      </c>
      <c r="G39" s="141">
        <f t="shared" si="19"/>
        <v>0.125</v>
      </c>
      <c r="H39" s="132" t="e">
        <f t="shared" si="20"/>
        <v>#DIV/0!</v>
      </c>
      <c r="I39" s="132" t="e">
        <f t="shared" si="28"/>
        <v>#DIV/0!</v>
      </c>
      <c r="J39" s="133" t="e">
        <f t="shared" si="29"/>
        <v>#DIV/0!</v>
      </c>
      <c r="K39" s="22" t="e">
        <f t="shared" si="21"/>
        <v>#DIV/0!</v>
      </c>
      <c r="L39" s="132" t="e">
        <f t="shared" si="30"/>
        <v>#DIV/0!</v>
      </c>
      <c r="M39" s="132" t="e">
        <f t="shared" si="31"/>
        <v>#DIV/0!</v>
      </c>
      <c r="N39" s="133" t="e">
        <f t="shared" si="32"/>
        <v>#DIV/0!</v>
      </c>
      <c r="O39" s="22" t="e">
        <f t="shared" si="22"/>
        <v>#DIV/0!</v>
      </c>
      <c r="P39" s="132" t="e">
        <f t="shared" si="33"/>
        <v>#DIV/0!</v>
      </c>
      <c r="Q39" s="22" t="e">
        <f t="shared" si="23"/>
        <v>#DIV/0!</v>
      </c>
      <c r="R39" s="132" t="e">
        <f t="shared" si="34"/>
        <v>#DIV/0!</v>
      </c>
      <c r="S39" s="22" t="e">
        <f t="shared" si="24"/>
        <v>#DIV/0!</v>
      </c>
      <c r="T39" s="133" t="e">
        <f t="shared" si="35"/>
        <v>#DIV/0!</v>
      </c>
      <c r="U39" s="22" t="e">
        <f t="shared" si="25"/>
        <v>#DIV/0!</v>
      </c>
      <c r="V39" s="133" t="e">
        <f t="shared" si="36"/>
        <v>#DIV/0!</v>
      </c>
      <c r="W39" s="22" t="e">
        <f t="shared" si="26"/>
        <v>#DIV/0!</v>
      </c>
      <c r="X39" s="130" t="e">
        <f t="shared" si="37"/>
        <v>#DIV/0!</v>
      </c>
    </row>
    <row r="40" spans="2:24" x14ac:dyDescent="0.2">
      <c r="E40" s="64">
        <v>12</v>
      </c>
      <c r="F40" s="64">
        <f t="shared" si="27"/>
        <v>0</v>
      </c>
      <c r="G40" s="141">
        <f t="shared" si="19"/>
        <v>0.125</v>
      </c>
      <c r="H40" s="132" t="e">
        <f t="shared" si="20"/>
        <v>#DIV/0!</v>
      </c>
      <c r="I40" s="132" t="e">
        <f t="shared" si="28"/>
        <v>#DIV/0!</v>
      </c>
      <c r="J40" s="133" t="e">
        <f t="shared" si="29"/>
        <v>#DIV/0!</v>
      </c>
      <c r="K40" s="22" t="e">
        <f t="shared" si="21"/>
        <v>#DIV/0!</v>
      </c>
      <c r="L40" s="132" t="e">
        <f t="shared" si="30"/>
        <v>#DIV/0!</v>
      </c>
      <c r="M40" s="132" t="e">
        <f t="shared" si="31"/>
        <v>#DIV/0!</v>
      </c>
      <c r="N40" s="133" t="e">
        <f t="shared" si="32"/>
        <v>#DIV/0!</v>
      </c>
      <c r="O40" s="22" t="e">
        <f t="shared" si="22"/>
        <v>#DIV/0!</v>
      </c>
      <c r="P40" s="132" t="e">
        <f t="shared" si="33"/>
        <v>#DIV/0!</v>
      </c>
      <c r="Q40" s="22" t="e">
        <f t="shared" si="23"/>
        <v>#DIV/0!</v>
      </c>
      <c r="R40" s="132" t="e">
        <f t="shared" si="34"/>
        <v>#DIV/0!</v>
      </c>
      <c r="S40" s="22" t="e">
        <f t="shared" si="24"/>
        <v>#DIV/0!</v>
      </c>
      <c r="T40" s="133" t="e">
        <f t="shared" si="35"/>
        <v>#DIV/0!</v>
      </c>
      <c r="U40" s="22" t="e">
        <f t="shared" si="25"/>
        <v>#DIV/0!</v>
      </c>
      <c r="V40" s="133" t="e">
        <f t="shared" si="36"/>
        <v>#DIV/0!</v>
      </c>
      <c r="W40" s="22" t="e">
        <f t="shared" si="26"/>
        <v>#DIV/0!</v>
      </c>
      <c r="X40" s="130" t="e">
        <f t="shared" si="37"/>
        <v>#DIV/0!</v>
      </c>
    </row>
    <row r="41" spans="2:24" x14ac:dyDescent="0.2">
      <c r="E41" s="64">
        <v>13</v>
      </c>
      <c r="F41" s="64">
        <f t="shared" si="27"/>
        <v>0</v>
      </c>
      <c r="G41" s="141">
        <f t="shared" si="19"/>
        <v>0.125</v>
      </c>
      <c r="H41" s="132" t="e">
        <f t="shared" si="20"/>
        <v>#DIV/0!</v>
      </c>
      <c r="I41" s="132" t="e">
        <f t="shared" si="28"/>
        <v>#DIV/0!</v>
      </c>
      <c r="J41" s="133" t="e">
        <f t="shared" si="29"/>
        <v>#DIV/0!</v>
      </c>
      <c r="K41" s="22" t="e">
        <f t="shared" si="21"/>
        <v>#DIV/0!</v>
      </c>
      <c r="L41" s="132" t="e">
        <f t="shared" si="30"/>
        <v>#DIV/0!</v>
      </c>
      <c r="M41" s="132" t="e">
        <f t="shared" si="31"/>
        <v>#DIV/0!</v>
      </c>
      <c r="N41" s="133" t="e">
        <f t="shared" si="32"/>
        <v>#DIV/0!</v>
      </c>
      <c r="O41" s="22" t="e">
        <f t="shared" si="22"/>
        <v>#DIV/0!</v>
      </c>
      <c r="P41" s="132" t="e">
        <f t="shared" si="33"/>
        <v>#DIV/0!</v>
      </c>
      <c r="Q41" s="22" t="e">
        <f t="shared" si="23"/>
        <v>#DIV/0!</v>
      </c>
      <c r="R41" s="132" t="e">
        <f t="shared" si="34"/>
        <v>#DIV/0!</v>
      </c>
      <c r="S41" s="22" t="e">
        <f t="shared" si="24"/>
        <v>#DIV/0!</v>
      </c>
      <c r="T41" s="133" t="e">
        <f t="shared" si="35"/>
        <v>#DIV/0!</v>
      </c>
      <c r="U41" s="22" t="e">
        <f t="shared" si="25"/>
        <v>#DIV/0!</v>
      </c>
      <c r="V41" s="133" t="e">
        <f t="shared" si="36"/>
        <v>#DIV/0!</v>
      </c>
      <c r="W41" s="22" t="e">
        <f t="shared" si="26"/>
        <v>#DIV/0!</v>
      </c>
      <c r="X41" s="130" t="e">
        <f t="shared" si="37"/>
        <v>#DIV/0!</v>
      </c>
    </row>
    <row r="42" spans="2:24" x14ac:dyDescent="0.2">
      <c r="E42" s="64">
        <v>14</v>
      </c>
      <c r="F42" s="64">
        <f t="shared" si="27"/>
        <v>0</v>
      </c>
      <c r="G42" s="141">
        <f t="shared" si="19"/>
        <v>0.125</v>
      </c>
      <c r="H42" s="132" t="e">
        <f t="shared" si="20"/>
        <v>#DIV/0!</v>
      </c>
      <c r="I42" s="132" t="e">
        <f t="shared" si="28"/>
        <v>#DIV/0!</v>
      </c>
      <c r="J42" s="133" t="e">
        <f t="shared" si="29"/>
        <v>#DIV/0!</v>
      </c>
      <c r="K42" s="22" t="e">
        <f t="shared" si="21"/>
        <v>#DIV/0!</v>
      </c>
      <c r="L42" s="132" t="e">
        <f t="shared" si="30"/>
        <v>#DIV/0!</v>
      </c>
      <c r="M42" s="132" t="e">
        <f t="shared" si="31"/>
        <v>#DIV/0!</v>
      </c>
      <c r="N42" s="133" t="e">
        <f t="shared" si="32"/>
        <v>#DIV/0!</v>
      </c>
      <c r="O42" s="22" t="e">
        <f t="shared" si="22"/>
        <v>#DIV/0!</v>
      </c>
      <c r="P42" s="132" t="e">
        <f t="shared" si="33"/>
        <v>#DIV/0!</v>
      </c>
      <c r="Q42" s="22" t="e">
        <f t="shared" si="23"/>
        <v>#DIV/0!</v>
      </c>
      <c r="R42" s="132" t="e">
        <f t="shared" si="34"/>
        <v>#DIV/0!</v>
      </c>
      <c r="S42" s="22" t="e">
        <f t="shared" si="24"/>
        <v>#DIV/0!</v>
      </c>
      <c r="T42" s="133" t="e">
        <f t="shared" si="35"/>
        <v>#DIV/0!</v>
      </c>
      <c r="U42" s="22" t="e">
        <f t="shared" si="25"/>
        <v>#DIV/0!</v>
      </c>
      <c r="V42" s="133" t="e">
        <f t="shared" si="36"/>
        <v>#DIV/0!</v>
      </c>
      <c r="W42" s="22" t="e">
        <f t="shared" si="26"/>
        <v>#DIV/0!</v>
      </c>
      <c r="X42" s="130" t="e">
        <f t="shared" si="37"/>
        <v>#DIV/0!</v>
      </c>
    </row>
    <row r="43" spans="2:24" x14ac:dyDescent="0.2">
      <c r="E43" s="64">
        <v>15</v>
      </c>
      <c r="F43" s="64">
        <f t="shared" si="27"/>
        <v>0</v>
      </c>
      <c r="G43" s="141">
        <f t="shared" si="19"/>
        <v>0.125</v>
      </c>
      <c r="H43" s="132" t="e">
        <f>$F43/(2*$C$21)*(1-(1+(4*$C$9*$C$21)/$C$30)^0.5)</f>
        <v>#DIV/0!</v>
      </c>
      <c r="I43" s="132" t="e">
        <f t="shared" si="28"/>
        <v>#DIV/0!</v>
      </c>
      <c r="J43" s="133" t="e">
        <f t="shared" si="29"/>
        <v>#DIV/0!</v>
      </c>
      <c r="K43" s="22" t="e">
        <f t="shared" si="21"/>
        <v>#DIV/0!</v>
      </c>
      <c r="L43" s="132" t="e">
        <f t="shared" si="30"/>
        <v>#DIV/0!</v>
      </c>
      <c r="M43" s="132" t="e">
        <f t="shared" si="31"/>
        <v>#DIV/0!</v>
      </c>
      <c r="N43" s="133" t="e">
        <f t="shared" si="32"/>
        <v>#DIV/0!</v>
      </c>
      <c r="O43" s="22" t="e">
        <f t="shared" si="22"/>
        <v>#DIV/0!</v>
      </c>
      <c r="P43" s="132" t="e">
        <f t="shared" si="33"/>
        <v>#DIV/0!</v>
      </c>
      <c r="Q43" s="22" t="e">
        <f t="shared" si="23"/>
        <v>#DIV/0!</v>
      </c>
      <c r="R43" s="132" t="e">
        <f t="shared" si="34"/>
        <v>#DIV/0!</v>
      </c>
      <c r="S43" s="22" t="e">
        <f t="shared" si="24"/>
        <v>#DIV/0!</v>
      </c>
      <c r="T43" s="133" t="e">
        <f t="shared" si="35"/>
        <v>#DIV/0!</v>
      </c>
      <c r="U43" s="22" t="e">
        <f t="shared" si="25"/>
        <v>#DIV/0!</v>
      </c>
      <c r="V43" s="133" t="e">
        <f t="shared" si="36"/>
        <v>#DIV/0!</v>
      </c>
      <c r="W43" s="22" t="e">
        <f t="shared" si="26"/>
        <v>#DIV/0!</v>
      </c>
      <c r="X43" s="130" t="e">
        <f t="shared" si="37"/>
        <v>#DIV/0!</v>
      </c>
    </row>
    <row r="44" spans="2:24" x14ac:dyDescent="0.2">
      <c r="E44" s="64">
        <v>16</v>
      </c>
      <c r="F44" s="64">
        <f t="shared" si="27"/>
        <v>0</v>
      </c>
      <c r="G44" s="141">
        <f t="shared" si="19"/>
        <v>0.125</v>
      </c>
      <c r="H44" s="132" t="e">
        <f t="shared" si="20"/>
        <v>#DIV/0!</v>
      </c>
      <c r="I44" s="132" t="e">
        <f t="shared" si="28"/>
        <v>#DIV/0!</v>
      </c>
      <c r="J44" s="133" t="e">
        <f t="shared" si="29"/>
        <v>#DIV/0!</v>
      </c>
      <c r="K44" s="22" t="e">
        <f t="shared" si="21"/>
        <v>#DIV/0!</v>
      </c>
      <c r="L44" s="132" t="e">
        <f t="shared" si="30"/>
        <v>#DIV/0!</v>
      </c>
      <c r="M44" s="132" t="e">
        <f t="shared" si="31"/>
        <v>#DIV/0!</v>
      </c>
      <c r="N44" s="133" t="e">
        <f t="shared" si="32"/>
        <v>#DIV/0!</v>
      </c>
      <c r="O44" s="22" t="e">
        <f t="shared" si="22"/>
        <v>#DIV/0!</v>
      </c>
      <c r="P44" s="132" t="e">
        <f t="shared" si="33"/>
        <v>#DIV/0!</v>
      </c>
      <c r="Q44" s="22" t="e">
        <f t="shared" si="23"/>
        <v>#DIV/0!</v>
      </c>
      <c r="R44" s="132" t="e">
        <f t="shared" si="34"/>
        <v>#DIV/0!</v>
      </c>
      <c r="S44" s="22" t="e">
        <f t="shared" si="24"/>
        <v>#DIV/0!</v>
      </c>
      <c r="T44" s="133" t="e">
        <f t="shared" si="35"/>
        <v>#DIV/0!</v>
      </c>
      <c r="U44" s="22" t="e">
        <f t="shared" si="25"/>
        <v>#DIV/0!</v>
      </c>
      <c r="V44" s="133" t="e">
        <f t="shared" si="36"/>
        <v>#DIV/0!</v>
      </c>
      <c r="W44" s="22" t="e">
        <f t="shared" si="26"/>
        <v>#DIV/0!</v>
      </c>
      <c r="X44" s="130" t="e">
        <f t="shared" si="37"/>
        <v>#DIV/0!</v>
      </c>
    </row>
    <row r="45" spans="2:24" x14ac:dyDescent="0.2">
      <c r="E45" s="64">
        <v>17</v>
      </c>
      <c r="F45" s="64">
        <f t="shared" si="27"/>
        <v>0</v>
      </c>
      <c r="G45" s="141">
        <f t="shared" si="19"/>
        <v>0.125</v>
      </c>
      <c r="H45" s="132" t="e">
        <f t="shared" si="20"/>
        <v>#DIV/0!</v>
      </c>
      <c r="I45" s="132" t="e">
        <f t="shared" si="28"/>
        <v>#DIV/0!</v>
      </c>
      <c r="J45" s="133" t="e">
        <f t="shared" si="29"/>
        <v>#DIV/0!</v>
      </c>
      <c r="K45" s="22" t="e">
        <f t="shared" si="21"/>
        <v>#DIV/0!</v>
      </c>
      <c r="L45" s="132" t="e">
        <f t="shared" si="30"/>
        <v>#DIV/0!</v>
      </c>
      <c r="M45" s="132" t="e">
        <f t="shared" si="31"/>
        <v>#DIV/0!</v>
      </c>
      <c r="N45" s="133" t="e">
        <f t="shared" si="32"/>
        <v>#DIV/0!</v>
      </c>
      <c r="O45" s="22" t="e">
        <f t="shared" si="22"/>
        <v>#DIV/0!</v>
      </c>
      <c r="P45" s="132" t="e">
        <f t="shared" si="33"/>
        <v>#DIV/0!</v>
      </c>
      <c r="Q45" s="22" t="e">
        <f t="shared" si="23"/>
        <v>#DIV/0!</v>
      </c>
      <c r="R45" s="132" t="e">
        <f t="shared" si="34"/>
        <v>#DIV/0!</v>
      </c>
      <c r="S45" s="22" t="e">
        <f t="shared" si="24"/>
        <v>#DIV/0!</v>
      </c>
      <c r="T45" s="133" t="e">
        <f t="shared" si="35"/>
        <v>#DIV/0!</v>
      </c>
      <c r="U45" s="22" t="e">
        <f t="shared" si="25"/>
        <v>#DIV/0!</v>
      </c>
      <c r="V45" s="133" t="e">
        <f t="shared" si="36"/>
        <v>#DIV/0!</v>
      </c>
      <c r="W45" s="22" t="e">
        <f t="shared" si="26"/>
        <v>#DIV/0!</v>
      </c>
      <c r="X45" s="130" t="e">
        <f t="shared" si="37"/>
        <v>#DIV/0!</v>
      </c>
    </row>
    <row r="46" spans="2:24" x14ac:dyDescent="0.2">
      <c r="E46" s="64">
        <v>18</v>
      </c>
      <c r="F46" s="64">
        <f t="shared" si="27"/>
        <v>0</v>
      </c>
      <c r="G46" s="141">
        <f t="shared" si="19"/>
        <v>0.125</v>
      </c>
      <c r="H46" s="132" t="e">
        <f t="shared" si="20"/>
        <v>#DIV/0!</v>
      </c>
      <c r="I46" s="132" t="e">
        <f t="shared" si="28"/>
        <v>#DIV/0!</v>
      </c>
      <c r="J46" s="133" t="e">
        <f t="shared" si="29"/>
        <v>#DIV/0!</v>
      </c>
      <c r="K46" s="22" t="e">
        <f t="shared" si="21"/>
        <v>#DIV/0!</v>
      </c>
      <c r="L46" s="132" t="e">
        <f t="shared" si="30"/>
        <v>#DIV/0!</v>
      </c>
      <c r="M46" s="132" t="e">
        <f t="shared" si="31"/>
        <v>#DIV/0!</v>
      </c>
      <c r="N46" s="133" t="e">
        <f t="shared" si="32"/>
        <v>#DIV/0!</v>
      </c>
      <c r="O46" s="22" t="e">
        <f t="shared" si="22"/>
        <v>#DIV/0!</v>
      </c>
      <c r="P46" s="132" t="e">
        <f t="shared" si="33"/>
        <v>#DIV/0!</v>
      </c>
      <c r="Q46" s="22" t="e">
        <f t="shared" si="23"/>
        <v>#DIV/0!</v>
      </c>
      <c r="R46" s="132" t="e">
        <f t="shared" si="34"/>
        <v>#DIV/0!</v>
      </c>
      <c r="S46" s="22" t="e">
        <f t="shared" si="24"/>
        <v>#DIV/0!</v>
      </c>
      <c r="T46" s="133" t="e">
        <f t="shared" si="35"/>
        <v>#DIV/0!</v>
      </c>
      <c r="U46" s="22" t="e">
        <f t="shared" si="25"/>
        <v>#DIV/0!</v>
      </c>
      <c r="V46" s="133" t="e">
        <f t="shared" si="36"/>
        <v>#DIV/0!</v>
      </c>
      <c r="W46" s="22" t="e">
        <f t="shared" si="26"/>
        <v>#DIV/0!</v>
      </c>
      <c r="X46" s="130" t="e">
        <f t="shared" si="37"/>
        <v>#DIV/0!</v>
      </c>
    </row>
    <row r="47" spans="2:24" x14ac:dyDescent="0.2">
      <c r="B47" s="103" t="s">
        <v>142</v>
      </c>
      <c r="C47" s="108">
        <f>Introduction!B32</f>
        <v>43993</v>
      </c>
      <c r="D47" s="110"/>
      <c r="E47" s="64">
        <v>19</v>
      </c>
      <c r="F47" s="64">
        <f t="shared" si="27"/>
        <v>0</v>
      </c>
      <c r="G47" s="141">
        <f t="shared" si="19"/>
        <v>0.125</v>
      </c>
      <c r="H47" s="132" t="e">
        <f t="shared" si="20"/>
        <v>#DIV/0!</v>
      </c>
      <c r="I47" s="132" t="e">
        <f t="shared" si="28"/>
        <v>#DIV/0!</v>
      </c>
      <c r="J47" s="133" t="e">
        <f t="shared" si="29"/>
        <v>#DIV/0!</v>
      </c>
      <c r="K47" s="22" t="e">
        <f t="shared" si="21"/>
        <v>#DIV/0!</v>
      </c>
      <c r="L47" s="132" t="e">
        <f t="shared" si="30"/>
        <v>#DIV/0!</v>
      </c>
      <c r="M47" s="132" t="e">
        <f t="shared" si="31"/>
        <v>#DIV/0!</v>
      </c>
      <c r="N47" s="133" t="e">
        <f t="shared" si="32"/>
        <v>#DIV/0!</v>
      </c>
      <c r="O47" s="22" t="e">
        <f t="shared" si="22"/>
        <v>#DIV/0!</v>
      </c>
      <c r="P47" s="132" t="e">
        <f t="shared" si="33"/>
        <v>#DIV/0!</v>
      </c>
      <c r="Q47" s="22" t="e">
        <f t="shared" si="23"/>
        <v>#DIV/0!</v>
      </c>
      <c r="R47" s="132" t="e">
        <f t="shared" si="34"/>
        <v>#DIV/0!</v>
      </c>
      <c r="S47" s="22" t="e">
        <f t="shared" si="24"/>
        <v>#DIV/0!</v>
      </c>
      <c r="T47" s="133" t="e">
        <f t="shared" si="35"/>
        <v>#DIV/0!</v>
      </c>
      <c r="U47" s="22" t="e">
        <f t="shared" si="25"/>
        <v>#DIV/0!</v>
      </c>
      <c r="V47" s="133" t="e">
        <f t="shared" si="36"/>
        <v>#DIV/0!</v>
      </c>
      <c r="W47" s="22" t="e">
        <f t="shared" si="26"/>
        <v>#DIV/0!</v>
      </c>
      <c r="X47" s="130" t="e">
        <f t="shared" si="37"/>
        <v>#DIV/0!</v>
      </c>
    </row>
    <row r="48" spans="2:24" x14ac:dyDescent="0.2">
      <c r="B48" s="104" t="s">
        <v>158</v>
      </c>
      <c r="C48" s="107">
        <f>Introduction!E32</f>
        <v>1.01</v>
      </c>
      <c r="D48" s="111"/>
      <c r="E48" s="64">
        <v>20</v>
      </c>
      <c r="F48" s="64">
        <f t="shared" si="27"/>
        <v>0</v>
      </c>
      <c r="G48" s="141">
        <f t="shared" si="19"/>
        <v>0.125</v>
      </c>
      <c r="H48" s="132" t="e">
        <f t="shared" si="20"/>
        <v>#DIV/0!</v>
      </c>
      <c r="I48" s="132" t="e">
        <f t="shared" si="28"/>
        <v>#DIV/0!</v>
      </c>
      <c r="J48" s="133" t="e">
        <f t="shared" si="29"/>
        <v>#DIV/0!</v>
      </c>
      <c r="K48" s="22" t="e">
        <f t="shared" si="21"/>
        <v>#DIV/0!</v>
      </c>
      <c r="L48" s="132" t="e">
        <f t="shared" si="30"/>
        <v>#DIV/0!</v>
      </c>
      <c r="M48" s="132" t="e">
        <f t="shared" si="31"/>
        <v>#DIV/0!</v>
      </c>
      <c r="N48" s="133" t="e">
        <f t="shared" si="32"/>
        <v>#DIV/0!</v>
      </c>
      <c r="O48" s="22" t="e">
        <f t="shared" si="22"/>
        <v>#DIV/0!</v>
      </c>
      <c r="P48" s="132" t="e">
        <f t="shared" si="33"/>
        <v>#DIV/0!</v>
      </c>
      <c r="Q48" s="22" t="e">
        <f t="shared" si="23"/>
        <v>#DIV/0!</v>
      </c>
      <c r="R48" s="132" t="e">
        <f t="shared" si="34"/>
        <v>#DIV/0!</v>
      </c>
      <c r="S48" s="22" t="e">
        <f t="shared" si="24"/>
        <v>#DIV/0!</v>
      </c>
      <c r="T48" s="133" t="e">
        <f t="shared" si="35"/>
        <v>#DIV/0!</v>
      </c>
      <c r="U48" s="22" t="e">
        <f t="shared" si="25"/>
        <v>#DIV/0!</v>
      </c>
      <c r="V48" s="133" t="e">
        <f t="shared" si="36"/>
        <v>#DIV/0!</v>
      </c>
      <c r="W48" s="22" t="e">
        <f t="shared" si="26"/>
        <v>#DIV/0!</v>
      </c>
      <c r="X48" s="130" t="e">
        <f t="shared" si="37"/>
        <v>#DIV/0!</v>
      </c>
    </row>
  </sheetData>
  <phoneticPr fontId="0" type="noConversion"/>
  <pageMargins left="0.75" right="0.75" top="1" bottom="1" header="0.5" footer="0.5"/>
  <pageSetup paperSize="9" scale="45" orientation="landscape" verticalDpi="300"/>
  <headerFooter alignWithMargins="0">
    <oddFooter>&amp;LRemedial targets worksheet v3.1&amp;R&amp;D, &amp;T
&amp;F&amp;A</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1">
    <pageSetUpPr fitToPage="1"/>
  </sheetPr>
  <dimension ref="B1:R49"/>
  <sheetViews>
    <sheetView zoomScale="75" workbookViewId="0">
      <pane xSplit="3" topLeftCell="D1" activePane="topRight" state="frozenSplit"/>
      <selection activeCell="D33" sqref="D33"/>
      <selection pane="topRight" activeCell="I30" sqref="I30"/>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0.42578125" customWidth="1"/>
    <col min="9" max="9" width="9.28515625" customWidth="1"/>
    <col min="10" max="10" width="10.7109375" customWidth="1"/>
    <col min="11" max="11" width="8.140625" customWidth="1"/>
    <col min="12" max="12" width="10.140625" customWidth="1"/>
    <col min="13" max="13" width="8.140625" customWidth="1"/>
    <col min="14" max="14" width="9.5703125" customWidth="1"/>
    <col min="15" max="15" width="6.7109375" customWidth="1"/>
    <col min="16" max="16" width="10.140625" customWidth="1"/>
    <col min="17" max="17" width="8.140625" customWidth="1"/>
    <col min="18" max="18" width="16.7109375" customWidth="1"/>
    <col min="19" max="19" width="8.140625" customWidth="1"/>
  </cols>
  <sheetData>
    <row r="1" spans="2:18" x14ac:dyDescent="0.2">
      <c r="F1" s="16" t="s">
        <v>58</v>
      </c>
    </row>
    <row r="2" spans="2:18" ht="15.75" x14ac:dyDescent="0.25">
      <c r="B2" s="9" t="str">
        <f>'Level3.1 Soil Calc'!B2</f>
        <v>Contaminant</v>
      </c>
      <c r="C2" s="9" t="str">
        <f>'Level3.1 Soil Calc'!C2</f>
        <v>SO4</v>
      </c>
      <c r="D2" s="9"/>
      <c r="F2" t="s">
        <v>223</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31" t="s">
        <v>271</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197">
        <f>'Level3 Soil'!D8</f>
        <v>400</v>
      </c>
      <c r="D5" s="8" t="s">
        <v>22</v>
      </c>
      <c r="E5" s="2">
        <v>1</v>
      </c>
      <c r="F5" s="2">
        <f>$C$17/20*E5</f>
        <v>0</v>
      </c>
      <c r="G5" s="11">
        <f t="shared" ref="G5:G24" si="0">0.25</f>
        <v>0.25</v>
      </c>
      <c r="H5" s="132" t="e">
        <f t="shared" ref="H5:H24" si="1">$F5/(2*$C$20)*(1-(1+(4*$C$9*$C$20)/$C$30)^0.5)</f>
        <v>#DIV/0!</v>
      </c>
      <c r="I5" s="132" t="e">
        <f>EXP(H5)</f>
        <v>#DIV/0!</v>
      </c>
      <c r="J5" s="133" t="e">
        <f t="shared" ref="J5:J24" si="2">(($C$18+0.5*$C$10)/(2*SQRT($C$21*$F5)))</f>
        <v>#DIV/0!</v>
      </c>
      <c r="K5" s="22" t="e">
        <f t="shared" ref="K5:K24" si="3">IF(J5&lt;0,IF(J5&lt;-10,-1,-ERF(-J5)),IF(J5&gt;10,1,ERF(J5)))</f>
        <v>#DIV/0!</v>
      </c>
      <c r="L5" s="132" t="e">
        <f t="shared" ref="L5:L24" si="4">(($C$18-0.5*$C$10)/(2*SQRT($C$21*$F5)))</f>
        <v>#DIV/0!</v>
      </c>
      <c r="M5" s="22" t="e">
        <f t="shared" ref="M5:M24" si="5">IF(L5&lt;0,IF(L5&lt;-10,-1,-ERF(-L5)),IF(L5&gt;10,1,ERF(L5)))</f>
        <v>#DIV/0!</v>
      </c>
      <c r="N5" s="133" t="e">
        <f t="shared" ref="N5:N24" si="6">(($C$19+0.5*$C$11)/(2*SQRT($C$22*$F5)))</f>
        <v>#DIV/0!</v>
      </c>
      <c r="O5" s="22" t="e">
        <f t="shared" ref="O5:O24" si="7">IF(N5&lt;0,IF(N5&lt;-10,-1,-ERF(-N5)),IF(N5&gt;10,1,ERF(N5)))</f>
        <v>#DIV/0!</v>
      </c>
      <c r="P5" s="132" t="e">
        <f t="shared" ref="P5:P24" si="8">(($C$19-0.5*$C$11)/(2*SQRT($C$22*$F5)))</f>
        <v>#DIV/0!</v>
      </c>
      <c r="Q5" s="22" t="e">
        <f t="shared" ref="Q5:Q24" si="9">IF(P5&lt;0,IF(P5&lt;-10,-1,-ERF(-P5)),IF(P5&gt;10,1,ERF(P5)))</f>
        <v>#DIV/0!</v>
      </c>
      <c r="R5" s="144" t="e">
        <f>G5*I5*(K5-M5)*(O5-Q5)</f>
        <v>#DIV/0!</v>
      </c>
    </row>
    <row r="6" spans="2:18" ht="14.25" x14ac:dyDescent="0.2">
      <c r="B6" s="4" t="s">
        <v>8</v>
      </c>
      <c r="C6" s="197" t="e">
        <f>'Level3 Soil'!D9</f>
        <v>#DIV/0!</v>
      </c>
      <c r="D6" s="8"/>
      <c r="E6" s="2">
        <v>2</v>
      </c>
      <c r="F6" s="2">
        <f t="shared" ref="F6:F24" si="10">$C$17/20*E6</f>
        <v>0</v>
      </c>
      <c r="G6" s="11">
        <f t="shared" si="0"/>
        <v>0.25</v>
      </c>
      <c r="H6" s="132" t="e">
        <f t="shared" si="1"/>
        <v>#DIV/0!</v>
      </c>
      <c r="I6" s="132" t="e">
        <f t="shared" ref="I6:I24" si="11">EXP(H6)</f>
        <v>#DIV/0!</v>
      </c>
      <c r="J6" s="133" t="e">
        <f t="shared" si="2"/>
        <v>#DIV/0!</v>
      </c>
      <c r="K6" s="22" t="e">
        <f t="shared" si="3"/>
        <v>#DIV/0!</v>
      </c>
      <c r="L6" s="132" t="e">
        <f t="shared" si="4"/>
        <v>#DIV/0!</v>
      </c>
      <c r="M6" s="22" t="e">
        <f t="shared" si="5"/>
        <v>#DIV/0!</v>
      </c>
      <c r="N6" s="133" t="e">
        <f t="shared" si="6"/>
        <v>#DIV/0!</v>
      </c>
      <c r="O6" s="22" t="e">
        <f t="shared" si="7"/>
        <v>#DIV/0!</v>
      </c>
      <c r="P6" s="132" t="e">
        <f t="shared" si="8"/>
        <v>#DIV/0!</v>
      </c>
      <c r="Q6" s="22" t="e">
        <f t="shared" si="9"/>
        <v>#DIV/0!</v>
      </c>
      <c r="R6" s="144" t="e">
        <f t="shared" ref="R6:R24" si="12">G6*I6*(K6-M6)*(O6-Q6)</f>
        <v>#DIV/0!</v>
      </c>
    </row>
    <row r="7" spans="2:18" ht="14.25" x14ac:dyDescent="0.2">
      <c r="B7" s="4"/>
      <c r="C7" s="197"/>
      <c r="D7" s="8"/>
      <c r="E7" s="2">
        <v>3</v>
      </c>
      <c r="F7" s="2">
        <f t="shared" si="10"/>
        <v>0</v>
      </c>
      <c r="G7" s="11">
        <f t="shared" si="0"/>
        <v>0.25</v>
      </c>
      <c r="H7" s="132" t="e">
        <f t="shared" si="1"/>
        <v>#DIV/0!</v>
      </c>
      <c r="I7" s="132" t="e">
        <f t="shared" si="11"/>
        <v>#DIV/0!</v>
      </c>
      <c r="J7" s="133" t="e">
        <f t="shared" si="2"/>
        <v>#DIV/0!</v>
      </c>
      <c r="K7" s="22" t="e">
        <f t="shared" si="3"/>
        <v>#DIV/0!</v>
      </c>
      <c r="L7" s="132" t="e">
        <f t="shared" si="4"/>
        <v>#DIV/0!</v>
      </c>
      <c r="M7" s="22" t="e">
        <f t="shared" si="5"/>
        <v>#DIV/0!</v>
      </c>
      <c r="N7" s="133" t="e">
        <f t="shared" si="6"/>
        <v>#DIV/0!</v>
      </c>
      <c r="O7" s="22" t="e">
        <f t="shared" si="7"/>
        <v>#DIV/0!</v>
      </c>
      <c r="P7" s="132" t="e">
        <f t="shared" si="8"/>
        <v>#DIV/0!</v>
      </c>
      <c r="Q7" s="22" t="e">
        <f t="shared" si="9"/>
        <v>#DIV/0!</v>
      </c>
      <c r="R7" s="144" t="e">
        <f t="shared" si="12"/>
        <v>#DIV/0!</v>
      </c>
    </row>
    <row r="8" spans="2:18" x14ac:dyDescent="0.2">
      <c r="B8"/>
      <c r="C8" s="198"/>
      <c r="D8"/>
      <c r="E8" s="2">
        <v>4</v>
      </c>
      <c r="F8" s="2">
        <f t="shared" si="10"/>
        <v>0</v>
      </c>
      <c r="G8" s="11">
        <f t="shared" si="0"/>
        <v>0.25</v>
      </c>
      <c r="H8" s="132" t="e">
        <f t="shared" si="1"/>
        <v>#DIV/0!</v>
      </c>
      <c r="I8" s="132" t="e">
        <f t="shared" si="11"/>
        <v>#DIV/0!</v>
      </c>
      <c r="J8" s="133" t="e">
        <f t="shared" si="2"/>
        <v>#DIV/0!</v>
      </c>
      <c r="K8" s="22" t="e">
        <f t="shared" si="3"/>
        <v>#DIV/0!</v>
      </c>
      <c r="L8" s="132" t="e">
        <f t="shared" si="4"/>
        <v>#DIV/0!</v>
      </c>
      <c r="M8" s="22" t="e">
        <f t="shared" si="5"/>
        <v>#DIV/0!</v>
      </c>
      <c r="N8" s="133" t="e">
        <f t="shared" si="6"/>
        <v>#DIV/0!</v>
      </c>
      <c r="O8" s="22" t="e">
        <f t="shared" si="7"/>
        <v>#DIV/0!</v>
      </c>
      <c r="P8" s="132" t="e">
        <f t="shared" si="8"/>
        <v>#DIV/0!</v>
      </c>
      <c r="Q8" s="22" t="e">
        <f t="shared" si="9"/>
        <v>#DIV/0!</v>
      </c>
      <c r="R8" s="144" t="e">
        <f t="shared" si="12"/>
        <v>#DIV/0!</v>
      </c>
    </row>
    <row r="9" spans="2:18" ht="15" x14ac:dyDescent="0.2">
      <c r="B9" s="5" t="s">
        <v>34</v>
      </c>
      <c r="C9" s="197">
        <f>'Level3 Soil'!D43</f>
        <v>1000000</v>
      </c>
      <c r="D9" s="2" t="s">
        <v>151</v>
      </c>
      <c r="E9" s="2">
        <v>5</v>
      </c>
      <c r="F9" s="2">
        <f t="shared" si="10"/>
        <v>0</v>
      </c>
      <c r="G9" s="11">
        <f t="shared" si="0"/>
        <v>0.25</v>
      </c>
      <c r="H9" s="132" t="e">
        <f t="shared" si="1"/>
        <v>#DIV/0!</v>
      </c>
      <c r="I9" s="132" t="e">
        <f t="shared" si="11"/>
        <v>#DIV/0!</v>
      </c>
      <c r="J9" s="133" t="e">
        <f t="shared" si="2"/>
        <v>#DIV/0!</v>
      </c>
      <c r="K9" s="22" t="e">
        <f t="shared" si="3"/>
        <v>#DIV/0!</v>
      </c>
      <c r="L9" s="132" t="e">
        <f t="shared" si="4"/>
        <v>#DIV/0!</v>
      </c>
      <c r="M9" s="22" t="e">
        <f t="shared" si="5"/>
        <v>#DIV/0!</v>
      </c>
      <c r="N9" s="133" t="e">
        <f t="shared" si="6"/>
        <v>#DIV/0!</v>
      </c>
      <c r="O9" s="22" t="e">
        <f t="shared" si="7"/>
        <v>#DIV/0!</v>
      </c>
      <c r="P9" s="132" t="e">
        <f t="shared" si="8"/>
        <v>#DIV/0!</v>
      </c>
      <c r="Q9" s="22" t="e">
        <f t="shared" si="9"/>
        <v>#DIV/0!</v>
      </c>
      <c r="R9" s="144" t="e">
        <f t="shared" si="12"/>
        <v>#DIV/0!</v>
      </c>
    </row>
    <row r="10" spans="2:18" ht="14.25" x14ac:dyDescent="0.2">
      <c r="B10" s="4" t="s">
        <v>50</v>
      </c>
      <c r="C10" s="197">
        <f>'Level3 Soil'!D22</f>
        <v>0</v>
      </c>
      <c r="D10" s="2" t="s">
        <v>26</v>
      </c>
      <c r="E10" s="2">
        <v>6</v>
      </c>
      <c r="F10" s="2">
        <f t="shared" si="10"/>
        <v>0</v>
      </c>
      <c r="G10" s="11">
        <f t="shared" si="0"/>
        <v>0.25</v>
      </c>
      <c r="H10" s="132" t="e">
        <f t="shared" si="1"/>
        <v>#DIV/0!</v>
      </c>
      <c r="I10" s="132" t="e">
        <f t="shared" si="11"/>
        <v>#DIV/0!</v>
      </c>
      <c r="J10" s="133" t="e">
        <f t="shared" si="2"/>
        <v>#DIV/0!</v>
      </c>
      <c r="K10" s="22" t="e">
        <f t="shared" si="3"/>
        <v>#DIV/0!</v>
      </c>
      <c r="L10" s="132" t="e">
        <f t="shared" si="4"/>
        <v>#DIV/0!</v>
      </c>
      <c r="M10" s="22" t="e">
        <f t="shared" si="5"/>
        <v>#DIV/0!</v>
      </c>
      <c r="N10" s="133" t="e">
        <f t="shared" si="6"/>
        <v>#DIV/0!</v>
      </c>
      <c r="O10" s="22" t="e">
        <f t="shared" si="7"/>
        <v>#DIV/0!</v>
      </c>
      <c r="P10" s="132" t="e">
        <f t="shared" si="8"/>
        <v>#DIV/0!</v>
      </c>
      <c r="Q10" s="22" t="e">
        <f t="shared" si="9"/>
        <v>#DIV/0!</v>
      </c>
      <c r="R10" s="144" t="e">
        <f t="shared" si="12"/>
        <v>#DIV/0!</v>
      </c>
    </row>
    <row r="11" spans="2:18" ht="14.25" x14ac:dyDescent="0.2">
      <c r="B11" s="4" t="s">
        <v>153</v>
      </c>
      <c r="C11" s="197" t="e">
        <f>IF('Level3.2 Soil Calc'!B33=1,'Level2 Calc'!C7,'Level3 Soil'!D23)</f>
        <v>#DIV/0!</v>
      </c>
      <c r="D11" s="2" t="s">
        <v>26</v>
      </c>
      <c r="E11" s="2">
        <v>7</v>
      </c>
      <c r="F11" s="2">
        <f t="shared" si="10"/>
        <v>0</v>
      </c>
      <c r="G11" s="11">
        <f t="shared" si="0"/>
        <v>0.25</v>
      </c>
      <c r="H11" s="132" t="e">
        <f t="shared" si="1"/>
        <v>#DIV/0!</v>
      </c>
      <c r="I11" s="132" t="e">
        <f t="shared" si="11"/>
        <v>#DIV/0!</v>
      </c>
      <c r="J11" s="133" t="e">
        <f t="shared" si="2"/>
        <v>#DIV/0!</v>
      </c>
      <c r="K11" s="22" t="e">
        <f t="shared" si="3"/>
        <v>#DIV/0!</v>
      </c>
      <c r="L11" s="132" t="e">
        <f t="shared" si="4"/>
        <v>#DIV/0!</v>
      </c>
      <c r="M11" s="22" t="e">
        <f t="shared" si="5"/>
        <v>#DIV/0!</v>
      </c>
      <c r="N11" s="133" t="e">
        <f t="shared" si="6"/>
        <v>#DIV/0!</v>
      </c>
      <c r="O11" s="22" t="e">
        <f t="shared" si="7"/>
        <v>#DIV/0!</v>
      </c>
      <c r="P11" s="132" t="e">
        <f t="shared" si="8"/>
        <v>#DIV/0!</v>
      </c>
      <c r="Q11" s="22" t="e">
        <f t="shared" si="9"/>
        <v>#DIV/0!</v>
      </c>
      <c r="R11" s="144" t="e">
        <f t="shared" si="12"/>
        <v>#DIV/0!</v>
      </c>
    </row>
    <row r="12" spans="2:18" ht="14.25" x14ac:dyDescent="0.2">
      <c r="B12" s="4" t="s">
        <v>13</v>
      </c>
      <c r="C12" s="197">
        <f>'Level3 Soil'!K22</f>
        <v>0</v>
      </c>
      <c r="D12" s="2" t="s">
        <v>23</v>
      </c>
      <c r="E12" s="2">
        <v>8</v>
      </c>
      <c r="F12" s="2">
        <f t="shared" si="10"/>
        <v>0</v>
      </c>
      <c r="G12" s="11">
        <f t="shared" si="0"/>
        <v>0.25</v>
      </c>
      <c r="H12" s="132" t="e">
        <f t="shared" si="1"/>
        <v>#DIV/0!</v>
      </c>
      <c r="I12" s="132" t="e">
        <f t="shared" si="11"/>
        <v>#DIV/0!</v>
      </c>
      <c r="J12" s="133" t="e">
        <f t="shared" si="2"/>
        <v>#DIV/0!</v>
      </c>
      <c r="K12" s="22" t="e">
        <f t="shared" si="3"/>
        <v>#DIV/0!</v>
      </c>
      <c r="L12" s="132" t="e">
        <f t="shared" si="4"/>
        <v>#DIV/0!</v>
      </c>
      <c r="M12" s="22" t="e">
        <f t="shared" si="5"/>
        <v>#DIV/0!</v>
      </c>
      <c r="N12" s="133" t="e">
        <f t="shared" si="6"/>
        <v>#DIV/0!</v>
      </c>
      <c r="O12" s="22" t="e">
        <f t="shared" si="7"/>
        <v>#DIV/0!</v>
      </c>
      <c r="P12" s="132" t="e">
        <f t="shared" si="8"/>
        <v>#DIV/0!</v>
      </c>
      <c r="Q12" s="22" t="e">
        <f t="shared" si="9"/>
        <v>#DIV/0!</v>
      </c>
      <c r="R12" s="144" t="e">
        <f t="shared" si="12"/>
        <v>#DIV/0!</v>
      </c>
    </row>
    <row r="13" spans="2:18" ht="15" x14ac:dyDescent="0.2">
      <c r="B13" s="5" t="s">
        <v>35</v>
      </c>
      <c r="C13" s="197">
        <f>'Level3 Soil'!D24</f>
        <v>0</v>
      </c>
      <c r="D13" s="2" t="s">
        <v>24</v>
      </c>
      <c r="E13" s="2">
        <v>9</v>
      </c>
      <c r="F13" s="2">
        <f t="shared" si="10"/>
        <v>0</v>
      </c>
      <c r="G13" s="11">
        <f t="shared" si="0"/>
        <v>0.25</v>
      </c>
      <c r="H13" s="132" t="e">
        <f t="shared" si="1"/>
        <v>#DIV/0!</v>
      </c>
      <c r="I13" s="132" t="e">
        <f t="shared" si="11"/>
        <v>#DIV/0!</v>
      </c>
      <c r="J13" s="133" t="e">
        <f t="shared" si="2"/>
        <v>#DIV/0!</v>
      </c>
      <c r="K13" s="22" t="e">
        <f t="shared" si="3"/>
        <v>#DIV/0!</v>
      </c>
      <c r="L13" s="132" t="e">
        <f t="shared" si="4"/>
        <v>#DIV/0!</v>
      </c>
      <c r="M13" s="22" t="e">
        <f t="shared" si="5"/>
        <v>#DIV/0!</v>
      </c>
      <c r="N13" s="133" t="e">
        <f t="shared" si="6"/>
        <v>#DIV/0!</v>
      </c>
      <c r="O13" s="22" t="e">
        <f t="shared" si="7"/>
        <v>#DIV/0!</v>
      </c>
      <c r="P13" s="132" t="e">
        <f t="shared" si="8"/>
        <v>#DIV/0!</v>
      </c>
      <c r="Q13" s="22" t="e">
        <f t="shared" si="9"/>
        <v>#DIV/0!</v>
      </c>
      <c r="R13" s="144" t="e">
        <f t="shared" si="12"/>
        <v>#DIV/0!</v>
      </c>
    </row>
    <row r="14" spans="2:18" ht="14.25" x14ac:dyDescent="0.2">
      <c r="B14" s="4" t="s">
        <v>1</v>
      </c>
      <c r="C14" s="197">
        <f>'Level3 Soil'!D25</f>
        <v>0</v>
      </c>
      <c r="E14" s="2">
        <v>10</v>
      </c>
      <c r="F14" s="2">
        <f t="shared" si="10"/>
        <v>0</v>
      </c>
      <c r="G14" s="11">
        <f t="shared" si="0"/>
        <v>0.25</v>
      </c>
      <c r="H14" s="132" t="e">
        <f t="shared" si="1"/>
        <v>#DIV/0!</v>
      </c>
      <c r="I14" s="132" t="e">
        <f t="shared" si="11"/>
        <v>#DIV/0!</v>
      </c>
      <c r="J14" s="133" t="e">
        <f t="shared" si="2"/>
        <v>#DIV/0!</v>
      </c>
      <c r="K14" s="22" t="e">
        <f t="shared" si="3"/>
        <v>#DIV/0!</v>
      </c>
      <c r="L14" s="132" t="e">
        <f t="shared" si="4"/>
        <v>#DIV/0!</v>
      </c>
      <c r="M14" s="22" t="e">
        <f t="shared" si="5"/>
        <v>#DIV/0!</v>
      </c>
      <c r="N14" s="133" t="e">
        <f t="shared" si="6"/>
        <v>#DIV/0!</v>
      </c>
      <c r="O14" s="22" t="e">
        <f t="shared" si="7"/>
        <v>#DIV/0!</v>
      </c>
      <c r="P14" s="132" t="e">
        <f t="shared" si="8"/>
        <v>#DIV/0!</v>
      </c>
      <c r="Q14" s="22" t="e">
        <f t="shared" si="9"/>
        <v>#DIV/0!</v>
      </c>
      <c r="R14" s="144" t="e">
        <f t="shared" si="12"/>
        <v>#DIV/0!</v>
      </c>
    </row>
    <row r="15" spans="2:18" ht="14.25" x14ac:dyDescent="0.2">
      <c r="B15" s="4" t="s">
        <v>44</v>
      </c>
      <c r="C15" s="197" t="e">
        <f>'Level3 Soil'!D44</f>
        <v>#DIV/0!</v>
      </c>
      <c r="E15" s="2">
        <v>11</v>
      </c>
      <c r="F15" s="2">
        <f t="shared" si="10"/>
        <v>0</v>
      </c>
      <c r="G15" s="11">
        <f t="shared" si="0"/>
        <v>0.25</v>
      </c>
      <c r="H15" s="132" t="e">
        <f t="shared" si="1"/>
        <v>#DIV/0!</v>
      </c>
      <c r="I15" s="132" t="e">
        <f t="shared" si="11"/>
        <v>#DIV/0!</v>
      </c>
      <c r="J15" s="133" t="e">
        <f t="shared" si="2"/>
        <v>#DIV/0!</v>
      </c>
      <c r="K15" s="22" t="e">
        <f t="shared" si="3"/>
        <v>#DIV/0!</v>
      </c>
      <c r="L15" s="132" t="e">
        <f t="shared" si="4"/>
        <v>#DIV/0!</v>
      </c>
      <c r="M15" s="22" t="e">
        <f t="shared" si="5"/>
        <v>#DIV/0!</v>
      </c>
      <c r="N15" s="133" t="e">
        <f t="shared" si="6"/>
        <v>#DIV/0!</v>
      </c>
      <c r="O15" s="22" t="e">
        <f t="shared" si="7"/>
        <v>#DIV/0!</v>
      </c>
      <c r="P15" s="132" t="e">
        <f t="shared" si="8"/>
        <v>#DIV/0!</v>
      </c>
      <c r="Q15" s="22" t="e">
        <f t="shared" si="9"/>
        <v>#DIV/0!</v>
      </c>
      <c r="R15" s="144" t="e">
        <f t="shared" si="12"/>
        <v>#DIV/0!</v>
      </c>
    </row>
    <row r="16" spans="2:18" ht="14.25" customHeight="1" x14ac:dyDescent="0.2">
      <c r="B16" s="4" t="s">
        <v>189</v>
      </c>
      <c r="C16" s="197">
        <f>IF(B33=1,'Level2 Soil'!D20,'Level3 Soil'!D27)</f>
        <v>0</v>
      </c>
      <c r="D16" s="2" t="s">
        <v>25</v>
      </c>
      <c r="E16" s="2">
        <v>12</v>
      </c>
      <c r="F16" s="2">
        <f t="shared" si="10"/>
        <v>0</v>
      </c>
      <c r="G16" s="11">
        <f t="shared" si="0"/>
        <v>0.25</v>
      </c>
      <c r="H16" s="132" t="e">
        <f t="shared" si="1"/>
        <v>#DIV/0!</v>
      </c>
      <c r="I16" s="132" t="e">
        <f t="shared" si="11"/>
        <v>#DIV/0!</v>
      </c>
      <c r="J16" s="133" t="e">
        <f t="shared" si="2"/>
        <v>#DIV/0!</v>
      </c>
      <c r="K16" s="22" t="e">
        <f t="shared" si="3"/>
        <v>#DIV/0!</v>
      </c>
      <c r="L16" s="132" t="e">
        <f t="shared" si="4"/>
        <v>#DIV/0!</v>
      </c>
      <c r="M16" s="22" t="e">
        <f t="shared" si="5"/>
        <v>#DIV/0!</v>
      </c>
      <c r="N16" s="133" t="e">
        <f t="shared" si="6"/>
        <v>#DIV/0!</v>
      </c>
      <c r="O16" s="22" t="e">
        <f t="shared" si="7"/>
        <v>#DIV/0!</v>
      </c>
      <c r="P16" s="132" t="e">
        <f t="shared" si="8"/>
        <v>#DIV/0!</v>
      </c>
      <c r="Q16" s="22" t="e">
        <f t="shared" si="9"/>
        <v>#DIV/0!</v>
      </c>
      <c r="R16" s="144" t="e">
        <f t="shared" si="12"/>
        <v>#DIV/0!</v>
      </c>
    </row>
    <row r="17" spans="2:18" ht="14.25" customHeight="1" x14ac:dyDescent="0.2">
      <c r="B17" s="4" t="s">
        <v>14</v>
      </c>
      <c r="C17" s="197">
        <f>'Level3 Soil'!D28</f>
        <v>0</v>
      </c>
      <c r="D17" s="2" t="s">
        <v>26</v>
      </c>
      <c r="E17" s="2">
        <v>13</v>
      </c>
      <c r="F17" s="2">
        <f t="shared" si="10"/>
        <v>0</v>
      </c>
      <c r="G17" s="11">
        <f t="shared" si="0"/>
        <v>0.25</v>
      </c>
      <c r="H17" s="132" t="e">
        <f t="shared" si="1"/>
        <v>#DIV/0!</v>
      </c>
      <c r="I17" s="132" t="e">
        <f t="shared" si="11"/>
        <v>#DIV/0!</v>
      </c>
      <c r="J17" s="133" t="e">
        <f t="shared" si="2"/>
        <v>#DIV/0!</v>
      </c>
      <c r="K17" s="22" t="e">
        <f t="shared" si="3"/>
        <v>#DIV/0!</v>
      </c>
      <c r="L17" s="132" t="e">
        <f t="shared" si="4"/>
        <v>#DIV/0!</v>
      </c>
      <c r="M17" s="22" t="e">
        <f t="shared" si="5"/>
        <v>#DIV/0!</v>
      </c>
      <c r="N17" s="133" t="e">
        <f t="shared" si="6"/>
        <v>#DIV/0!</v>
      </c>
      <c r="O17" s="22" t="e">
        <f t="shared" si="7"/>
        <v>#DIV/0!</v>
      </c>
      <c r="P17" s="132" t="e">
        <f t="shared" si="8"/>
        <v>#DIV/0!</v>
      </c>
      <c r="Q17" s="22" t="e">
        <f t="shared" si="9"/>
        <v>#DIV/0!</v>
      </c>
      <c r="R17" s="144" t="e">
        <f t="shared" si="12"/>
        <v>#DIV/0!</v>
      </c>
    </row>
    <row r="18" spans="2:18" ht="14.25" customHeight="1" x14ac:dyDescent="0.2">
      <c r="B18" s="4" t="s">
        <v>16</v>
      </c>
      <c r="C18" s="197">
        <v>0</v>
      </c>
      <c r="D18" s="2" t="s">
        <v>26</v>
      </c>
      <c r="E18" s="2">
        <v>14</v>
      </c>
      <c r="F18" s="2">
        <f t="shared" si="10"/>
        <v>0</v>
      </c>
      <c r="G18" s="11">
        <f t="shared" si="0"/>
        <v>0.25</v>
      </c>
      <c r="H18" s="132" t="e">
        <f t="shared" si="1"/>
        <v>#DIV/0!</v>
      </c>
      <c r="I18" s="132" t="e">
        <f t="shared" si="11"/>
        <v>#DIV/0!</v>
      </c>
      <c r="J18" s="133" t="e">
        <f t="shared" si="2"/>
        <v>#DIV/0!</v>
      </c>
      <c r="K18" s="22" t="e">
        <f t="shared" si="3"/>
        <v>#DIV/0!</v>
      </c>
      <c r="L18" s="132" t="e">
        <f t="shared" si="4"/>
        <v>#DIV/0!</v>
      </c>
      <c r="M18" s="22" t="e">
        <f t="shared" si="5"/>
        <v>#DIV/0!</v>
      </c>
      <c r="N18" s="133" t="e">
        <f t="shared" si="6"/>
        <v>#DIV/0!</v>
      </c>
      <c r="O18" s="22" t="e">
        <f t="shared" si="7"/>
        <v>#DIV/0!</v>
      </c>
      <c r="P18" s="132" t="e">
        <f t="shared" si="8"/>
        <v>#DIV/0!</v>
      </c>
      <c r="Q18" s="22" t="e">
        <f t="shared" si="9"/>
        <v>#DIV/0!</v>
      </c>
      <c r="R18" s="144" t="e">
        <f t="shared" si="12"/>
        <v>#DIV/0!</v>
      </c>
    </row>
    <row r="19" spans="2:18" ht="14.25" customHeight="1" x14ac:dyDescent="0.2">
      <c r="B19" s="4" t="s">
        <v>15</v>
      </c>
      <c r="C19" s="197">
        <v>0</v>
      </c>
      <c r="D19" s="2" t="s">
        <v>26</v>
      </c>
      <c r="E19" s="2">
        <v>15</v>
      </c>
      <c r="F19" s="2">
        <f t="shared" si="10"/>
        <v>0</v>
      </c>
      <c r="G19" s="11">
        <f t="shared" si="0"/>
        <v>0.25</v>
      </c>
      <c r="H19" s="132" t="e">
        <f t="shared" si="1"/>
        <v>#DIV/0!</v>
      </c>
      <c r="I19" s="132" t="e">
        <f t="shared" si="11"/>
        <v>#DIV/0!</v>
      </c>
      <c r="J19" s="133" t="e">
        <f t="shared" si="2"/>
        <v>#DIV/0!</v>
      </c>
      <c r="K19" s="22" t="e">
        <f t="shared" si="3"/>
        <v>#DIV/0!</v>
      </c>
      <c r="L19" s="132" t="e">
        <f t="shared" si="4"/>
        <v>#DIV/0!</v>
      </c>
      <c r="M19" s="22" t="e">
        <f t="shared" si="5"/>
        <v>#DIV/0!</v>
      </c>
      <c r="N19" s="133" t="e">
        <f t="shared" si="6"/>
        <v>#DIV/0!</v>
      </c>
      <c r="O19" s="22" t="e">
        <f t="shared" si="7"/>
        <v>#DIV/0!</v>
      </c>
      <c r="P19" s="132" t="e">
        <f t="shared" si="8"/>
        <v>#DIV/0!</v>
      </c>
      <c r="Q19" s="22" t="e">
        <f t="shared" si="9"/>
        <v>#DIV/0!</v>
      </c>
      <c r="R19" s="144" t="e">
        <f t="shared" si="12"/>
        <v>#DIV/0!</v>
      </c>
    </row>
    <row r="20" spans="2:18" ht="14.25" customHeight="1" x14ac:dyDescent="0.2">
      <c r="B20" s="4" t="s">
        <v>18</v>
      </c>
      <c r="C20" s="197">
        <f>'Level3 Soil'!D34</f>
        <v>0</v>
      </c>
      <c r="D20" s="8" t="s">
        <v>26</v>
      </c>
      <c r="E20" s="2">
        <v>16</v>
      </c>
      <c r="F20" s="2">
        <f t="shared" si="10"/>
        <v>0</v>
      </c>
      <c r="G20" s="11">
        <f t="shared" si="0"/>
        <v>0.25</v>
      </c>
      <c r="H20" s="132" t="e">
        <f t="shared" si="1"/>
        <v>#DIV/0!</v>
      </c>
      <c r="I20" s="132" t="e">
        <f t="shared" si="11"/>
        <v>#DIV/0!</v>
      </c>
      <c r="J20" s="133" t="e">
        <f t="shared" si="2"/>
        <v>#DIV/0!</v>
      </c>
      <c r="K20" s="22" t="e">
        <f t="shared" si="3"/>
        <v>#DIV/0!</v>
      </c>
      <c r="L20" s="132" t="e">
        <f t="shared" si="4"/>
        <v>#DIV/0!</v>
      </c>
      <c r="M20" s="22" t="e">
        <f t="shared" si="5"/>
        <v>#DIV/0!</v>
      </c>
      <c r="N20" s="133" t="e">
        <f t="shared" si="6"/>
        <v>#DIV/0!</v>
      </c>
      <c r="O20" s="22" t="e">
        <f t="shared" si="7"/>
        <v>#DIV/0!</v>
      </c>
      <c r="P20" s="132" t="e">
        <f t="shared" si="8"/>
        <v>#DIV/0!</v>
      </c>
      <c r="Q20" s="22" t="e">
        <f t="shared" si="9"/>
        <v>#DIV/0!</v>
      </c>
      <c r="R20" s="144" t="e">
        <f t="shared" si="12"/>
        <v>#DIV/0!</v>
      </c>
    </row>
    <row r="21" spans="2:18" ht="14.25" customHeight="1" x14ac:dyDescent="0.2">
      <c r="B21" s="4" t="s">
        <v>20</v>
      </c>
      <c r="C21" s="197">
        <f>'Level3 Soil'!D35</f>
        <v>0</v>
      </c>
      <c r="D21" s="8" t="s">
        <v>26</v>
      </c>
      <c r="E21" s="2">
        <v>17</v>
      </c>
      <c r="F21" s="2">
        <f t="shared" si="10"/>
        <v>0</v>
      </c>
      <c r="G21" s="11">
        <f t="shared" si="0"/>
        <v>0.25</v>
      </c>
      <c r="H21" s="132" t="e">
        <f t="shared" si="1"/>
        <v>#DIV/0!</v>
      </c>
      <c r="I21" s="132" t="e">
        <f t="shared" si="11"/>
        <v>#DIV/0!</v>
      </c>
      <c r="J21" s="133" t="e">
        <f t="shared" si="2"/>
        <v>#DIV/0!</v>
      </c>
      <c r="K21" s="22" t="e">
        <f t="shared" si="3"/>
        <v>#DIV/0!</v>
      </c>
      <c r="L21" s="132" t="e">
        <f t="shared" si="4"/>
        <v>#DIV/0!</v>
      </c>
      <c r="M21" s="22" t="e">
        <f t="shared" si="5"/>
        <v>#DIV/0!</v>
      </c>
      <c r="N21" s="133" t="e">
        <f t="shared" si="6"/>
        <v>#DIV/0!</v>
      </c>
      <c r="O21" s="22" t="e">
        <f t="shared" si="7"/>
        <v>#DIV/0!</v>
      </c>
      <c r="P21" s="132" t="e">
        <f t="shared" si="8"/>
        <v>#DIV/0!</v>
      </c>
      <c r="Q21" s="22" t="e">
        <f t="shared" si="9"/>
        <v>#DIV/0!</v>
      </c>
      <c r="R21" s="144" t="e">
        <f t="shared" si="12"/>
        <v>#DIV/0!</v>
      </c>
    </row>
    <row r="22" spans="2:18" ht="14.25" customHeight="1" x14ac:dyDescent="0.2">
      <c r="B22" s="4" t="s">
        <v>19</v>
      </c>
      <c r="C22" s="197">
        <f>'Level3 Soil'!D36</f>
        <v>0</v>
      </c>
      <c r="D22" s="8" t="s">
        <v>26</v>
      </c>
      <c r="E22" s="2">
        <v>18</v>
      </c>
      <c r="F22" s="2">
        <f t="shared" si="10"/>
        <v>0</v>
      </c>
      <c r="G22" s="11">
        <f t="shared" si="0"/>
        <v>0.25</v>
      </c>
      <c r="H22" s="132" t="e">
        <f t="shared" si="1"/>
        <v>#DIV/0!</v>
      </c>
      <c r="I22" s="132" t="e">
        <f t="shared" si="11"/>
        <v>#DIV/0!</v>
      </c>
      <c r="J22" s="133" t="e">
        <f t="shared" si="2"/>
        <v>#DIV/0!</v>
      </c>
      <c r="K22" s="22" t="e">
        <f t="shared" si="3"/>
        <v>#DIV/0!</v>
      </c>
      <c r="L22" s="132" t="e">
        <f t="shared" si="4"/>
        <v>#DIV/0!</v>
      </c>
      <c r="M22" s="22" t="e">
        <f t="shared" si="5"/>
        <v>#DIV/0!</v>
      </c>
      <c r="N22" s="133" t="e">
        <f t="shared" si="6"/>
        <v>#DIV/0!</v>
      </c>
      <c r="O22" s="22" t="e">
        <f t="shared" si="7"/>
        <v>#DIV/0!</v>
      </c>
      <c r="P22" s="132" t="e">
        <f t="shared" si="8"/>
        <v>#DIV/0!</v>
      </c>
      <c r="Q22" s="22" t="e">
        <f t="shared" si="9"/>
        <v>#DIV/0!</v>
      </c>
      <c r="R22" s="144" t="e">
        <f t="shared" si="12"/>
        <v>#DIV/0!</v>
      </c>
    </row>
    <row r="23" spans="2:18" ht="14.25" customHeight="1" x14ac:dyDescent="0.2">
      <c r="E23" s="2">
        <v>19</v>
      </c>
      <c r="F23" s="2">
        <f t="shared" si="10"/>
        <v>0</v>
      </c>
      <c r="G23" s="11">
        <f t="shared" si="0"/>
        <v>0.25</v>
      </c>
      <c r="H23" s="132" t="e">
        <f t="shared" si="1"/>
        <v>#DIV/0!</v>
      </c>
      <c r="I23" s="132" t="e">
        <f t="shared" si="11"/>
        <v>#DIV/0!</v>
      </c>
      <c r="J23" s="133" t="e">
        <f t="shared" si="2"/>
        <v>#DIV/0!</v>
      </c>
      <c r="K23" s="22" t="e">
        <f t="shared" si="3"/>
        <v>#DIV/0!</v>
      </c>
      <c r="L23" s="132" t="e">
        <f t="shared" si="4"/>
        <v>#DIV/0!</v>
      </c>
      <c r="M23" s="22" t="e">
        <f t="shared" si="5"/>
        <v>#DIV/0!</v>
      </c>
      <c r="N23" s="133" t="e">
        <f t="shared" si="6"/>
        <v>#DIV/0!</v>
      </c>
      <c r="O23" s="22" t="e">
        <f t="shared" si="7"/>
        <v>#DIV/0!</v>
      </c>
      <c r="P23" s="132" t="e">
        <f t="shared" si="8"/>
        <v>#DIV/0!</v>
      </c>
      <c r="Q23" s="22" t="e">
        <f t="shared" si="9"/>
        <v>#DIV/0!</v>
      </c>
      <c r="R23" s="144" t="e">
        <f t="shared" si="12"/>
        <v>#DIV/0!</v>
      </c>
    </row>
    <row r="24" spans="2:18" x14ac:dyDescent="0.2">
      <c r="C24" s="8"/>
      <c r="D24" s="8"/>
      <c r="E24" s="2">
        <v>20</v>
      </c>
      <c r="F24" s="2">
        <f t="shared" si="10"/>
        <v>0</v>
      </c>
      <c r="G24" s="11">
        <f t="shared" si="0"/>
        <v>0.25</v>
      </c>
      <c r="H24" s="132" t="e">
        <f t="shared" si="1"/>
        <v>#DIV/0!</v>
      </c>
      <c r="I24" s="132" t="e">
        <f t="shared" si="11"/>
        <v>#DIV/0!</v>
      </c>
      <c r="J24" s="133" t="e">
        <f t="shared" si="2"/>
        <v>#DIV/0!</v>
      </c>
      <c r="K24" s="22" t="e">
        <f t="shared" si="3"/>
        <v>#DIV/0!</v>
      </c>
      <c r="L24" s="132" t="e">
        <f t="shared" si="4"/>
        <v>#DIV/0!</v>
      </c>
      <c r="M24" s="22" t="e">
        <f t="shared" si="5"/>
        <v>#DIV/0!</v>
      </c>
      <c r="N24" s="133" t="e">
        <f t="shared" si="6"/>
        <v>#DIV/0!</v>
      </c>
      <c r="O24" s="22" t="e">
        <f t="shared" si="7"/>
        <v>#DIV/0!</v>
      </c>
      <c r="P24" s="132" t="e">
        <f t="shared" si="8"/>
        <v>#DIV/0!</v>
      </c>
      <c r="Q24" s="22" t="e">
        <f t="shared" si="9"/>
        <v>#DIV/0!</v>
      </c>
      <c r="R24" s="144" t="e">
        <f t="shared" si="12"/>
        <v>#DIV/0!</v>
      </c>
    </row>
    <row r="25" spans="2:18" x14ac:dyDescent="0.2">
      <c r="C25" s="8"/>
      <c r="D25" s="8"/>
      <c r="E25" s="8"/>
      <c r="J25" s="20"/>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67"/>
      <c r="D27" s="4"/>
      <c r="F27" t="s">
        <v>328</v>
      </c>
      <c r="J27" s="20"/>
      <c r="K27" s="20"/>
      <c r="N27" s="20"/>
      <c r="O27" s="20"/>
      <c r="P27" s="10"/>
      <c r="Q27" s="10"/>
      <c r="R27" s="68"/>
    </row>
    <row r="28" spans="2:18" ht="14.25" x14ac:dyDescent="0.2">
      <c r="B28" s="4" t="s">
        <v>38</v>
      </c>
      <c r="C28" s="186" t="e">
        <f>(C16*C15)/C14</f>
        <v>#DIV/0!</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31" t="s">
        <v>271</v>
      </c>
    </row>
    <row r="29" spans="2:18" ht="14.25" x14ac:dyDescent="0.2">
      <c r="B29" s="4" t="s">
        <v>0</v>
      </c>
      <c r="C29" s="186" t="e">
        <f>'Level3 Soil'!D42</f>
        <v>#DIV/0!</v>
      </c>
      <c r="D29" s="109"/>
      <c r="E29" s="2"/>
      <c r="F29" s="2"/>
      <c r="G29" s="11"/>
      <c r="H29" s="11"/>
      <c r="I29" s="11"/>
      <c r="J29" s="22"/>
      <c r="K29" s="22"/>
      <c r="L29" s="11"/>
      <c r="M29" s="11"/>
      <c r="N29" s="22"/>
      <c r="O29" s="22"/>
      <c r="P29" s="11"/>
      <c r="Q29" s="11"/>
      <c r="R29" s="68"/>
    </row>
    <row r="30" spans="2:18" ht="14.25" x14ac:dyDescent="0.2">
      <c r="B30" s="4" t="s">
        <v>41</v>
      </c>
      <c r="C30" s="186" t="e">
        <f>C28/C29</f>
        <v>#DIV/0!</v>
      </c>
      <c r="D30" s="2" t="s">
        <v>25</v>
      </c>
      <c r="E30" s="2">
        <v>1</v>
      </c>
      <c r="F30" s="2">
        <f>$C$17/20*E30</f>
        <v>0</v>
      </c>
      <c r="G30" s="11">
        <f>0.25</f>
        <v>0.25</v>
      </c>
      <c r="H30" s="132" t="e">
        <f t="shared" ref="H30:H49" si="13">$F30/(2*$C$20)*(1-(1+(4*$C$9*$C$20)/$C$30)^0.5)</f>
        <v>#DIV/0!</v>
      </c>
      <c r="I30" s="132" t="e">
        <f>EXP(H30)</f>
        <v>#DIV/0!</v>
      </c>
      <c r="J30" s="133" t="e">
        <f>(($C$18+0.5*$C$10)/(2*SQRT($C$21*$F30)))</f>
        <v>#DIV/0!</v>
      </c>
      <c r="K30" s="22" t="e">
        <f t="shared" ref="K30:K49" si="14">IF(J30&lt;0,IF(J30&lt;-10,-1,-ERF(-J30)),IF(J30&gt;10,1,ERF(J30)))</f>
        <v>#DIV/0!</v>
      </c>
      <c r="L30" s="132" t="e">
        <f>(($C$18-0.5*$C$10)/(2*SQRT($C$21*$F30)))</f>
        <v>#DIV/0!</v>
      </c>
      <c r="M30" s="22" t="e">
        <f t="shared" ref="M30:M49" si="15">IF(L30&lt;0,IF(L30&lt;-10,-1,-ERF(-L30)),IF(L30&gt;10,1,ERF(L30)))</f>
        <v>#DIV/0!</v>
      </c>
      <c r="N30" s="133" t="e">
        <f t="shared" ref="N30:N49" si="16">(($C$19+$C$11)/(2*SQRT($C$22*$F30)))</f>
        <v>#DIV/0!</v>
      </c>
      <c r="O30" s="22" t="e">
        <f t="shared" ref="O30:O49" si="17">IF(N30&lt;0,IF(N30&lt;-10,-1,-ERF(-N30)),IF(N30&gt;10,1,ERF(N30)))</f>
        <v>#DIV/0!</v>
      </c>
      <c r="P30" s="132" t="e">
        <f t="shared" ref="P30:P49" si="18">(($C$19-$C$11)/(2*SQRT($C$22*$F30)))</f>
        <v>#DIV/0!</v>
      </c>
      <c r="Q30" s="22" t="e">
        <f t="shared" ref="Q30:Q49" si="19">IF(P30&lt;0,IF(P30&lt;-10,-1,-ERF(-P30)),IF(P30&gt;10,1,ERF(P30)))</f>
        <v>#DIV/0!</v>
      </c>
      <c r="R30" s="131" t="e">
        <f>G30*I30*(K30-M30)*(O30-Q30)</f>
        <v>#DIV/0!</v>
      </c>
    </row>
    <row r="31" spans="2:18" x14ac:dyDescent="0.2">
      <c r="E31" s="2">
        <v>2</v>
      </c>
      <c r="F31" s="2">
        <f t="shared" ref="F31:F49" si="20">$C$17/20*E31</f>
        <v>0</v>
      </c>
      <c r="G31" s="11">
        <f t="shared" ref="G31:G49" si="21">0.25</f>
        <v>0.25</v>
      </c>
      <c r="H31" s="132" t="e">
        <f t="shared" si="13"/>
        <v>#DIV/0!</v>
      </c>
      <c r="I31" s="132" t="e">
        <f t="shared" ref="I31:I49" si="22">EXP(H31)</f>
        <v>#DIV/0!</v>
      </c>
      <c r="J31" s="133" t="e">
        <f t="shared" ref="J31:J49" si="23">(($C$18+0.5*$C$10)/(2*SQRT($C$21*$F31)))</f>
        <v>#DIV/0!</v>
      </c>
      <c r="K31" s="22" t="e">
        <f t="shared" si="14"/>
        <v>#DIV/0!</v>
      </c>
      <c r="L31" s="132" t="e">
        <f t="shared" ref="L31:L49" si="24">(($C$18-0.5*$C$10)/(2*SQRT($C$21*$F31)))</f>
        <v>#DIV/0!</v>
      </c>
      <c r="M31" s="22" t="e">
        <f t="shared" si="15"/>
        <v>#DIV/0!</v>
      </c>
      <c r="N31" s="133" t="e">
        <f t="shared" si="16"/>
        <v>#DIV/0!</v>
      </c>
      <c r="O31" s="22" t="e">
        <f t="shared" si="17"/>
        <v>#DIV/0!</v>
      </c>
      <c r="P31" s="132" t="e">
        <f t="shared" si="18"/>
        <v>#DIV/0!</v>
      </c>
      <c r="Q31" s="22" t="e">
        <f t="shared" si="19"/>
        <v>#DIV/0!</v>
      </c>
      <c r="R31" s="131" t="e">
        <f t="shared" ref="R31:R49" si="25">G31*I31*(K31-M31)*(O31-Q31)</f>
        <v>#DIV/0!</v>
      </c>
    </row>
    <row r="32" spans="2:18" x14ac:dyDescent="0.2">
      <c r="E32" s="2">
        <v>3</v>
      </c>
      <c r="F32" s="2">
        <f t="shared" si="20"/>
        <v>0</v>
      </c>
      <c r="G32" s="11">
        <f t="shared" si="21"/>
        <v>0.25</v>
      </c>
      <c r="H32" s="132" t="e">
        <f t="shared" si="13"/>
        <v>#DIV/0!</v>
      </c>
      <c r="I32" s="132" t="e">
        <f t="shared" si="22"/>
        <v>#DIV/0!</v>
      </c>
      <c r="J32" s="133" t="e">
        <f t="shared" si="23"/>
        <v>#DIV/0!</v>
      </c>
      <c r="K32" s="22" t="e">
        <f t="shared" si="14"/>
        <v>#DIV/0!</v>
      </c>
      <c r="L32" s="132" t="e">
        <f t="shared" si="24"/>
        <v>#DIV/0!</v>
      </c>
      <c r="M32" s="22" t="e">
        <f t="shared" si="15"/>
        <v>#DIV/0!</v>
      </c>
      <c r="N32" s="133" t="e">
        <f t="shared" si="16"/>
        <v>#DIV/0!</v>
      </c>
      <c r="O32" s="22" t="e">
        <f t="shared" si="17"/>
        <v>#DIV/0!</v>
      </c>
      <c r="P32" s="132" t="e">
        <f t="shared" si="18"/>
        <v>#DIV/0!</v>
      </c>
      <c r="Q32" s="22" t="e">
        <f t="shared" si="19"/>
        <v>#DIV/0!</v>
      </c>
      <c r="R32" s="131" t="e">
        <f t="shared" si="25"/>
        <v>#DIV/0!</v>
      </c>
    </row>
    <row r="33" spans="2:18" x14ac:dyDescent="0.2">
      <c r="E33" s="2">
        <v>4</v>
      </c>
      <c r="F33" s="2">
        <f t="shared" si="20"/>
        <v>0</v>
      </c>
      <c r="G33" s="11">
        <f t="shared" si="21"/>
        <v>0.25</v>
      </c>
      <c r="H33" s="132" t="e">
        <f t="shared" si="13"/>
        <v>#DIV/0!</v>
      </c>
      <c r="I33" s="132" t="e">
        <f t="shared" si="22"/>
        <v>#DIV/0!</v>
      </c>
      <c r="J33" s="133" t="e">
        <f t="shared" si="23"/>
        <v>#DIV/0!</v>
      </c>
      <c r="K33" s="22" t="e">
        <f t="shared" si="14"/>
        <v>#DIV/0!</v>
      </c>
      <c r="L33" s="132" t="e">
        <f t="shared" si="24"/>
        <v>#DIV/0!</v>
      </c>
      <c r="M33" s="22" t="e">
        <f t="shared" si="15"/>
        <v>#DIV/0!</v>
      </c>
      <c r="N33" s="133" t="e">
        <f t="shared" si="16"/>
        <v>#DIV/0!</v>
      </c>
      <c r="O33" s="22" t="e">
        <f t="shared" si="17"/>
        <v>#DIV/0!</v>
      </c>
      <c r="P33" s="132" t="e">
        <f t="shared" si="18"/>
        <v>#DIV/0!</v>
      </c>
      <c r="Q33" s="22" t="e">
        <f t="shared" si="19"/>
        <v>#DIV/0!</v>
      </c>
      <c r="R33" s="131" t="e">
        <f t="shared" si="25"/>
        <v>#DIV/0!</v>
      </c>
    </row>
    <row r="34" spans="2:18" x14ac:dyDescent="0.2">
      <c r="E34" s="2">
        <v>5</v>
      </c>
      <c r="F34" s="2">
        <f t="shared" si="20"/>
        <v>0</v>
      </c>
      <c r="G34" s="11">
        <f t="shared" si="21"/>
        <v>0.25</v>
      </c>
      <c r="H34" s="132" t="e">
        <f t="shared" si="13"/>
        <v>#DIV/0!</v>
      </c>
      <c r="I34" s="132" t="e">
        <f t="shared" si="22"/>
        <v>#DIV/0!</v>
      </c>
      <c r="J34" s="133" t="e">
        <f t="shared" si="23"/>
        <v>#DIV/0!</v>
      </c>
      <c r="K34" s="22" t="e">
        <f t="shared" si="14"/>
        <v>#DIV/0!</v>
      </c>
      <c r="L34" s="132" t="e">
        <f t="shared" si="24"/>
        <v>#DIV/0!</v>
      </c>
      <c r="M34" s="22" t="e">
        <f t="shared" si="15"/>
        <v>#DIV/0!</v>
      </c>
      <c r="N34" s="133" t="e">
        <f t="shared" si="16"/>
        <v>#DIV/0!</v>
      </c>
      <c r="O34" s="22" t="e">
        <f t="shared" si="17"/>
        <v>#DIV/0!</v>
      </c>
      <c r="P34" s="132" t="e">
        <f t="shared" si="18"/>
        <v>#DIV/0!</v>
      </c>
      <c r="Q34" s="22" t="e">
        <f t="shared" si="19"/>
        <v>#DIV/0!</v>
      </c>
      <c r="R34" s="131" t="e">
        <f t="shared" si="25"/>
        <v>#DIV/0!</v>
      </c>
    </row>
    <row r="35" spans="2:18" x14ac:dyDescent="0.2">
      <c r="E35" s="2">
        <v>6</v>
      </c>
      <c r="F35" s="2">
        <f t="shared" si="20"/>
        <v>0</v>
      </c>
      <c r="G35" s="11">
        <f t="shared" si="21"/>
        <v>0.25</v>
      </c>
      <c r="H35" s="132" t="e">
        <f t="shared" si="13"/>
        <v>#DIV/0!</v>
      </c>
      <c r="I35" s="132" t="e">
        <f t="shared" si="22"/>
        <v>#DIV/0!</v>
      </c>
      <c r="J35" s="133" t="e">
        <f t="shared" si="23"/>
        <v>#DIV/0!</v>
      </c>
      <c r="K35" s="22" t="e">
        <f t="shared" si="14"/>
        <v>#DIV/0!</v>
      </c>
      <c r="L35" s="132" t="e">
        <f t="shared" si="24"/>
        <v>#DIV/0!</v>
      </c>
      <c r="M35" s="22" t="e">
        <f t="shared" si="15"/>
        <v>#DIV/0!</v>
      </c>
      <c r="N35" s="133" t="e">
        <f t="shared" si="16"/>
        <v>#DIV/0!</v>
      </c>
      <c r="O35" s="22" t="e">
        <f t="shared" si="17"/>
        <v>#DIV/0!</v>
      </c>
      <c r="P35" s="132" t="e">
        <f t="shared" si="18"/>
        <v>#DIV/0!</v>
      </c>
      <c r="Q35" s="22" t="e">
        <f t="shared" si="19"/>
        <v>#DIV/0!</v>
      </c>
      <c r="R35" s="131" t="e">
        <f t="shared" si="25"/>
        <v>#DIV/0!</v>
      </c>
    </row>
    <row r="36" spans="2:18" x14ac:dyDescent="0.2">
      <c r="E36" s="2">
        <v>7</v>
      </c>
      <c r="F36" s="2">
        <f t="shared" si="20"/>
        <v>0</v>
      </c>
      <c r="G36" s="11">
        <f t="shared" si="21"/>
        <v>0.25</v>
      </c>
      <c r="H36" s="132" t="e">
        <f t="shared" si="13"/>
        <v>#DIV/0!</v>
      </c>
      <c r="I36" s="132" t="e">
        <f t="shared" si="22"/>
        <v>#DIV/0!</v>
      </c>
      <c r="J36" s="133" t="e">
        <f t="shared" si="23"/>
        <v>#DIV/0!</v>
      </c>
      <c r="K36" s="22" t="e">
        <f t="shared" si="14"/>
        <v>#DIV/0!</v>
      </c>
      <c r="L36" s="132" t="e">
        <f t="shared" si="24"/>
        <v>#DIV/0!</v>
      </c>
      <c r="M36" s="22" t="e">
        <f t="shared" si="15"/>
        <v>#DIV/0!</v>
      </c>
      <c r="N36" s="133" t="e">
        <f t="shared" si="16"/>
        <v>#DIV/0!</v>
      </c>
      <c r="O36" s="22" t="e">
        <f t="shared" si="17"/>
        <v>#DIV/0!</v>
      </c>
      <c r="P36" s="132" t="e">
        <f t="shared" si="18"/>
        <v>#DIV/0!</v>
      </c>
      <c r="Q36" s="22" t="e">
        <f t="shared" si="19"/>
        <v>#DIV/0!</v>
      </c>
      <c r="R36" s="131" t="e">
        <f t="shared" si="25"/>
        <v>#DIV/0!</v>
      </c>
    </row>
    <row r="37" spans="2:18" x14ac:dyDescent="0.2">
      <c r="E37" s="2">
        <v>8</v>
      </c>
      <c r="F37" s="2">
        <f t="shared" si="20"/>
        <v>0</v>
      </c>
      <c r="G37" s="11">
        <f t="shared" si="21"/>
        <v>0.25</v>
      </c>
      <c r="H37" s="132" t="e">
        <f t="shared" si="13"/>
        <v>#DIV/0!</v>
      </c>
      <c r="I37" s="132" t="e">
        <f t="shared" si="22"/>
        <v>#DIV/0!</v>
      </c>
      <c r="J37" s="133" t="e">
        <f t="shared" si="23"/>
        <v>#DIV/0!</v>
      </c>
      <c r="K37" s="22" t="e">
        <f t="shared" si="14"/>
        <v>#DIV/0!</v>
      </c>
      <c r="L37" s="132" t="e">
        <f t="shared" si="24"/>
        <v>#DIV/0!</v>
      </c>
      <c r="M37" s="22" t="e">
        <f t="shared" si="15"/>
        <v>#DIV/0!</v>
      </c>
      <c r="N37" s="133" t="e">
        <f t="shared" si="16"/>
        <v>#DIV/0!</v>
      </c>
      <c r="O37" s="22" t="e">
        <f t="shared" si="17"/>
        <v>#DIV/0!</v>
      </c>
      <c r="P37" s="132" t="e">
        <f t="shared" si="18"/>
        <v>#DIV/0!</v>
      </c>
      <c r="Q37" s="22" t="e">
        <f t="shared" si="19"/>
        <v>#DIV/0!</v>
      </c>
      <c r="R37" s="131" t="e">
        <f t="shared" si="25"/>
        <v>#DIV/0!</v>
      </c>
    </row>
    <row r="38" spans="2:18" x14ac:dyDescent="0.2">
      <c r="E38" s="2">
        <v>9</v>
      </c>
      <c r="F38" s="2">
        <f t="shared" si="20"/>
        <v>0</v>
      </c>
      <c r="G38" s="11">
        <f t="shared" si="21"/>
        <v>0.25</v>
      </c>
      <c r="H38" s="132" t="e">
        <f t="shared" si="13"/>
        <v>#DIV/0!</v>
      </c>
      <c r="I38" s="132" t="e">
        <f t="shared" si="22"/>
        <v>#DIV/0!</v>
      </c>
      <c r="J38" s="133" t="e">
        <f t="shared" si="23"/>
        <v>#DIV/0!</v>
      </c>
      <c r="K38" s="22" t="e">
        <f t="shared" si="14"/>
        <v>#DIV/0!</v>
      </c>
      <c r="L38" s="132" t="e">
        <f t="shared" si="24"/>
        <v>#DIV/0!</v>
      </c>
      <c r="M38" s="22" t="e">
        <f t="shared" si="15"/>
        <v>#DIV/0!</v>
      </c>
      <c r="N38" s="133" t="e">
        <f t="shared" si="16"/>
        <v>#DIV/0!</v>
      </c>
      <c r="O38" s="22" t="e">
        <f t="shared" si="17"/>
        <v>#DIV/0!</v>
      </c>
      <c r="P38" s="132" t="e">
        <f t="shared" si="18"/>
        <v>#DIV/0!</v>
      </c>
      <c r="Q38" s="22" t="e">
        <f t="shared" si="19"/>
        <v>#DIV/0!</v>
      </c>
      <c r="R38" s="131" t="e">
        <f t="shared" si="25"/>
        <v>#DIV/0!</v>
      </c>
    </row>
    <row r="39" spans="2:18" x14ac:dyDescent="0.2">
      <c r="E39" s="2">
        <v>10</v>
      </c>
      <c r="F39" s="2">
        <f t="shared" si="20"/>
        <v>0</v>
      </c>
      <c r="G39" s="11">
        <f t="shared" si="21"/>
        <v>0.25</v>
      </c>
      <c r="H39" s="132" t="e">
        <f t="shared" si="13"/>
        <v>#DIV/0!</v>
      </c>
      <c r="I39" s="132" t="e">
        <f t="shared" si="22"/>
        <v>#DIV/0!</v>
      </c>
      <c r="J39" s="133" t="e">
        <f t="shared" si="23"/>
        <v>#DIV/0!</v>
      </c>
      <c r="K39" s="22" t="e">
        <f t="shared" si="14"/>
        <v>#DIV/0!</v>
      </c>
      <c r="L39" s="132" t="e">
        <f t="shared" si="24"/>
        <v>#DIV/0!</v>
      </c>
      <c r="M39" s="22" t="e">
        <f t="shared" si="15"/>
        <v>#DIV/0!</v>
      </c>
      <c r="N39" s="133" t="e">
        <f t="shared" si="16"/>
        <v>#DIV/0!</v>
      </c>
      <c r="O39" s="22" t="e">
        <f t="shared" si="17"/>
        <v>#DIV/0!</v>
      </c>
      <c r="P39" s="132" t="e">
        <f t="shared" si="18"/>
        <v>#DIV/0!</v>
      </c>
      <c r="Q39" s="22" t="e">
        <f t="shared" si="19"/>
        <v>#DIV/0!</v>
      </c>
      <c r="R39" s="131" t="e">
        <f t="shared" si="25"/>
        <v>#DIV/0!</v>
      </c>
    </row>
    <row r="40" spans="2:18" x14ac:dyDescent="0.2">
      <c r="E40" s="2">
        <v>11</v>
      </c>
      <c r="F40" s="2">
        <f t="shared" si="20"/>
        <v>0</v>
      </c>
      <c r="G40" s="11">
        <f t="shared" si="21"/>
        <v>0.25</v>
      </c>
      <c r="H40" s="132" t="e">
        <f t="shared" si="13"/>
        <v>#DIV/0!</v>
      </c>
      <c r="I40" s="132" t="e">
        <f t="shared" si="22"/>
        <v>#DIV/0!</v>
      </c>
      <c r="J40" s="133" t="e">
        <f t="shared" si="23"/>
        <v>#DIV/0!</v>
      </c>
      <c r="K40" s="22" t="e">
        <f t="shared" si="14"/>
        <v>#DIV/0!</v>
      </c>
      <c r="L40" s="132" t="e">
        <f t="shared" si="24"/>
        <v>#DIV/0!</v>
      </c>
      <c r="M40" s="22" t="e">
        <f t="shared" si="15"/>
        <v>#DIV/0!</v>
      </c>
      <c r="N40" s="133" t="e">
        <f t="shared" si="16"/>
        <v>#DIV/0!</v>
      </c>
      <c r="O40" s="22" t="e">
        <f t="shared" si="17"/>
        <v>#DIV/0!</v>
      </c>
      <c r="P40" s="132" t="e">
        <f t="shared" si="18"/>
        <v>#DIV/0!</v>
      </c>
      <c r="Q40" s="22" t="e">
        <f t="shared" si="19"/>
        <v>#DIV/0!</v>
      </c>
      <c r="R40" s="131" t="e">
        <f t="shared" si="25"/>
        <v>#DIV/0!</v>
      </c>
    </row>
    <row r="41" spans="2:18" x14ac:dyDescent="0.2">
      <c r="E41" s="2">
        <v>12</v>
      </c>
      <c r="F41" s="2">
        <f t="shared" si="20"/>
        <v>0</v>
      </c>
      <c r="G41" s="11">
        <f t="shared" si="21"/>
        <v>0.25</v>
      </c>
      <c r="H41" s="132" t="e">
        <f t="shared" si="13"/>
        <v>#DIV/0!</v>
      </c>
      <c r="I41" s="132" t="e">
        <f t="shared" si="22"/>
        <v>#DIV/0!</v>
      </c>
      <c r="J41" s="133" t="e">
        <f t="shared" si="23"/>
        <v>#DIV/0!</v>
      </c>
      <c r="K41" s="22" t="e">
        <f t="shared" si="14"/>
        <v>#DIV/0!</v>
      </c>
      <c r="L41" s="132" t="e">
        <f t="shared" si="24"/>
        <v>#DIV/0!</v>
      </c>
      <c r="M41" s="22" t="e">
        <f t="shared" si="15"/>
        <v>#DIV/0!</v>
      </c>
      <c r="N41" s="133" t="e">
        <f t="shared" si="16"/>
        <v>#DIV/0!</v>
      </c>
      <c r="O41" s="22" t="e">
        <f t="shared" si="17"/>
        <v>#DIV/0!</v>
      </c>
      <c r="P41" s="132" t="e">
        <f t="shared" si="18"/>
        <v>#DIV/0!</v>
      </c>
      <c r="Q41" s="22" t="e">
        <f t="shared" si="19"/>
        <v>#DIV/0!</v>
      </c>
      <c r="R41" s="131" t="e">
        <f t="shared" si="25"/>
        <v>#DIV/0!</v>
      </c>
    </row>
    <row r="42" spans="2:18" x14ac:dyDescent="0.2">
      <c r="E42" s="2">
        <v>13</v>
      </c>
      <c r="F42" s="2">
        <f t="shared" si="20"/>
        <v>0</v>
      </c>
      <c r="G42" s="11">
        <f t="shared" si="21"/>
        <v>0.25</v>
      </c>
      <c r="H42" s="132" t="e">
        <f t="shared" si="13"/>
        <v>#DIV/0!</v>
      </c>
      <c r="I42" s="132" t="e">
        <f t="shared" si="22"/>
        <v>#DIV/0!</v>
      </c>
      <c r="J42" s="133" t="e">
        <f t="shared" si="23"/>
        <v>#DIV/0!</v>
      </c>
      <c r="K42" s="22" t="e">
        <f t="shared" si="14"/>
        <v>#DIV/0!</v>
      </c>
      <c r="L42" s="132" t="e">
        <f t="shared" si="24"/>
        <v>#DIV/0!</v>
      </c>
      <c r="M42" s="22" t="e">
        <f t="shared" si="15"/>
        <v>#DIV/0!</v>
      </c>
      <c r="N42" s="133" t="e">
        <f t="shared" si="16"/>
        <v>#DIV/0!</v>
      </c>
      <c r="O42" s="22" t="e">
        <f t="shared" si="17"/>
        <v>#DIV/0!</v>
      </c>
      <c r="P42" s="132" t="e">
        <f t="shared" si="18"/>
        <v>#DIV/0!</v>
      </c>
      <c r="Q42" s="22" t="e">
        <f t="shared" si="19"/>
        <v>#DIV/0!</v>
      </c>
      <c r="R42" s="131" t="e">
        <f t="shared" si="25"/>
        <v>#DIV/0!</v>
      </c>
    </row>
    <row r="43" spans="2:18" x14ac:dyDescent="0.2">
      <c r="E43" s="2">
        <v>14</v>
      </c>
      <c r="F43" s="2">
        <f t="shared" si="20"/>
        <v>0</v>
      </c>
      <c r="G43" s="11">
        <f t="shared" si="21"/>
        <v>0.25</v>
      </c>
      <c r="H43" s="132" t="e">
        <f t="shared" si="13"/>
        <v>#DIV/0!</v>
      </c>
      <c r="I43" s="132" t="e">
        <f t="shared" si="22"/>
        <v>#DIV/0!</v>
      </c>
      <c r="J43" s="133" t="e">
        <f t="shared" si="23"/>
        <v>#DIV/0!</v>
      </c>
      <c r="K43" s="22" t="e">
        <f t="shared" si="14"/>
        <v>#DIV/0!</v>
      </c>
      <c r="L43" s="132" t="e">
        <f t="shared" si="24"/>
        <v>#DIV/0!</v>
      </c>
      <c r="M43" s="22" t="e">
        <f t="shared" si="15"/>
        <v>#DIV/0!</v>
      </c>
      <c r="N43" s="133" t="e">
        <f t="shared" si="16"/>
        <v>#DIV/0!</v>
      </c>
      <c r="O43" s="22" t="e">
        <f t="shared" si="17"/>
        <v>#DIV/0!</v>
      </c>
      <c r="P43" s="132" t="e">
        <f t="shared" si="18"/>
        <v>#DIV/0!</v>
      </c>
      <c r="Q43" s="22" t="e">
        <f t="shared" si="19"/>
        <v>#DIV/0!</v>
      </c>
      <c r="R43" s="131" t="e">
        <f t="shared" si="25"/>
        <v>#DIV/0!</v>
      </c>
    </row>
    <row r="44" spans="2:18" x14ac:dyDescent="0.2">
      <c r="E44" s="2">
        <v>15</v>
      </c>
      <c r="F44" s="2">
        <f t="shared" si="20"/>
        <v>0</v>
      </c>
      <c r="G44" s="11">
        <f t="shared" si="21"/>
        <v>0.25</v>
      </c>
      <c r="H44" s="132" t="e">
        <f t="shared" si="13"/>
        <v>#DIV/0!</v>
      </c>
      <c r="I44" s="132" t="e">
        <f t="shared" si="22"/>
        <v>#DIV/0!</v>
      </c>
      <c r="J44" s="133" t="e">
        <f t="shared" si="23"/>
        <v>#DIV/0!</v>
      </c>
      <c r="K44" s="22" t="e">
        <f t="shared" si="14"/>
        <v>#DIV/0!</v>
      </c>
      <c r="L44" s="132" t="e">
        <f t="shared" si="24"/>
        <v>#DIV/0!</v>
      </c>
      <c r="M44" s="22" t="e">
        <f t="shared" si="15"/>
        <v>#DIV/0!</v>
      </c>
      <c r="N44" s="133" t="e">
        <f t="shared" si="16"/>
        <v>#DIV/0!</v>
      </c>
      <c r="O44" s="22" t="e">
        <f t="shared" si="17"/>
        <v>#DIV/0!</v>
      </c>
      <c r="P44" s="132" t="e">
        <f t="shared" si="18"/>
        <v>#DIV/0!</v>
      </c>
      <c r="Q44" s="22" t="e">
        <f t="shared" si="19"/>
        <v>#DIV/0!</v>
      </c>
      <c r="R44" s="131" t="e">
        <f t="shared" si="25"/>
        <v>#DIV/0!</v>
      </c>
    </row>
    <row r="45" spans="2:18" x14ac:dyDescent="0.2">
      <c r="E45" s="2">
        <v>16</v>
      </c>
      <c r="F45" s="2">
        <f t="shared" si="20"/>
        <v>0</v>
      </c>
      <c r="G45" s="11">
        <f t="shared" si="21"/>
        <v>0.25</v>
      </c>
      <c r="H45" s="132" t="e">
        <f t="shared" si="13"/>
        <v>#DIV/0!</v>
      </c>
      <c r="I45" s="132" t="e">
        <f t="shared" si="22"/>
        <v>#DIV/0!</v>
      </c>
      <c r="J45" s="133" t="e">
        <f t="shared" si="23"/>
        <v>#DIV/0!</v>
      </c>
      <c r="K45" s="22" t="e">
        <f t="shared" si="14"/>
        <v>#DIV/0!</v>
      </c>
      <c r="L45" s="132" t="e">
        <f t="shared" si="24"/>
        <v>#DIV/0!</v>
      </c>
      <c r="M45" s="22" t="e">
        <f t="shared" si="15"/>
        <v>#DIV/0!</v>
      </c>
      <c r="N45" s="133" t="e">
        <f t="shared" si="16"/>
        <v>#DIV/0!</v>
      </c>
      <c r="O45" s="22" t="e">
        <f t="shared" si="17"/>
        <v>#DIV/0!</v>
      </c>
      <c r="P45" s="132" t="e">
        <f t="shared" si="18"/>
        <v>#DIV/0!</v>
      </c>
      <c r="Q45" s="22" t="e">
        <f t="shared" si="19"/>
        <v>#DIV/0!</v>
      </c>
      <c r="R45" s="131" t="e">
        <f t="shared" si="25"/>
        <v>#DIV/0!</v>
      </c>
    </row>
    <row r="46" spans="2:18" x14ac:dyDescent="0.2">
      <c r="E46" s="2">
        <v>17</v>
      </c>
      <c r="F46" s="2">
        <f t="shared" si="20"/>
        <v>0</v>
      </c>
      <c r="G46" s="11">
        <f t="shared" si="21"/>
        <v>0.25</v>
      </c>
      <c r="H46" s="132" t="e">
        <f t="shared" si="13"/>
        <v>#DIV/0!</v>
      </c>
      <c r="I46" s="132" t="e">
        <f t="shared" si="22"/>
        <v>#DIV/0!</v>
      </c>
      <c r="J46" s="133" t="e">
        <f t="shared" si="23"/>
        <v>#DIV/0!</v>
      </c>
      <c r="K46" s="22" t="e">
        <f t="shared" si="14"/>
        <v>#DIV/0!</v>
      </c>
      <c r="L46" s="132" t="e">
        <f t="shared" si="24"/>
        <v>#DIV/0!</v>
      </c>
      <c r="M46" s="22" t="e">
        <f t="shared" si="15"/>
        <v>#DIV/0!</v>
      </c>
      <c r="N46" s="133" t="e">
        <f t="shared" si="16"/>
        <v>#DIV/0!</v>
      </c>
      <c r="O46" s="22" t="e">
        <f t="shared" si="17"/>
        <v>#DIV/0!</v>
      </c>
      <c r="P46" s="132" t="e">
        <f t="shared" si="18"/>
        <v>#DIV/0!</v>
      </c>
      <c r="Q46" s="22" t="e">
        <f t="shared" si="19"/>
        <v>#DIV/0!</v>
      </c>
      <c r="R46" s="131" t="e">
        <f t="shared" si="25"/>
        <v>#DIV/0!</v>
      </c>
    </row>
    <row r="47" spans="2:18" x14ac:dyDescent="0.2">
      <c r="E47" s="2">
        <v>18</v>
      </c>
      <c r="F47" s="2">
        <f t="shared" si="20"/>
        <v>0</v>
      </c>
      <c r="G47" s="11">
        <f t="shared" si="21"/>
        <v>0.25</v>
      </c>
      <c r="H47" s="132" t="e">
        <f t="shared" si="13"/>
        <v>#DIV/0!</v>
      </c>
      <c r="I47" s="132" t="e">
        <f t="shared" si="22"/>
        <v>#DIV/0!</v>
      </c>
      <c r="J47" s="133" t="e">
        <f t="shared" si="23"/>
        <v>#DIV/0!</v>
      </c>
      <c r="K47" s="22" t="e">
        <f t="shared" si="14"/>
        <v>#DIV/0!</v>
      </c>
      <c r="L47" s="132" t="e">
        <f t="shared" si="24"/>
        <v>#DIV/0!</v>
      </c>
      <c r="M47" s="22" t="e">
        <f t="shared" si="15"/>
        <v>#DIV/0!</v>
      </c>
      <c r="N47" s="133" t="e">
        <f t="shared" si="16"/>
        <v>#DIV/0!</v>
      </c>
      <c r="O47" s="22" t="e">
        <f t="shared" si="17"/>
        <v>#DIV/0!</v>
      </c>
      <c r="P47" s="132" t="e">
        <f t="shared" si="18"/>
        <v>#DIV/0!</v>
      </c>
      <c r="Q47" s="22" t="e">
        <f t="shared" si="19"/>
        <v>#DIV/0!</v>
      </c>
      <c r="R47" s="131" t="e">
        <f t="shared" si="25"/>
        <v>#DIV/0!</v>
      </c>
    </row>
    <row r="48" spans="2:18" x14ac:dyDescent="0.2">
      <c r="B48" s="103" t="s">
        <v>142</v>
      </c>
      <c r="C48" s="108">
        <f>Introduction!B32</f>
        <v>43993</v>
      </c>
      <c r="D48" s="110"/>
      <c r="E48" s="2">
        <v>19</v>
      </c>
      <c r="F48" s="2">
        <f t="shared" si="20"/>
        <v>0</v>
      </c>
      <c r="G48" s="11">
        <f t="shared" si="21"/>
        <v>0.25</v>
      </c>
      <c r="H48" s="132" t="e">
        <f t="shared" si="13"/>
        <v>#DIV/0!</v>
      </c>
      <c r="I48" s="132" t="e">
        <f t="shared" si="22"/>
        <v>#DIV/0!</v>
      </c>
      <c r="J48" s="133" t="e">
        <f t="shared" si="23"/>
        <v>#DIV/0!</v>
      </c>
      <c r="K48" s="22" t="e">
        <f t="shared" si="14"/>
        <v>#DIV/0!</v>
      </c>
      <c r="L48" s="132" t="e">
        <f t="shared" si="24"/>
        <v>#DIV/0!</v>
      </c>
      <c r="M48" s="22" t="e">
        <f t="shared" si="15"/>
        <v>#DIV/0!</v>
      </c>
      <c r="N48" s="133" t="e">
        <f t="shared" si="16"/>
        <v>#DIV/0!</v>
      </c>
      <c r="O48" s="22" t="e">
        <f t="shared" si="17"/>
        <v>#DIV/0!</v>
      </c>
      <c r="P48" s="132" t="e">
        <f t="shared" si="18"/>
        <v>#DIV/0!</v>
      </c>
      <c r="Q48" s="22" t="e">
        <f t="shared" si="19"/>
        <v>#DIV/0!</v>
      </c>
      <c r="R48" s="131" t="e">
        <f t="shared" si="25"/>
        <v>#DIV/0!</v>
      </c>
    </row>
    <row r="49" spans="2:18" x14ac:dyDescent="0.2">
      <c r="B49" s="104" t="s">
        <v>158</v>
      </c>
      <c r="C49" s="107">
        <f>Introduction!E32</f>
        <v>1.01</v>
      </c>
      <c r="D49" s="111"/>
      <c r="E49" s="2">
        <v>20</v>
      </c>
      <c r="F49" s="2">
        <f t="shared" si="20"/>
        <v>0</v>
      </c>
      <c r="G49" s="11">
        <f t="shared" si="21"/>
        <v>0.25</v>
      </c>
      <c r="H49" s="132" t="e">
        <f t="shared" si="13"/>
        <v>#DIV/0!</v>
      </c>
      <c r="I49" s="132" t="e">
        <f t="shared" si="22"/>
        <v>#DIV/0!</v>
      </c>
      <c r="J49" s="133" t="e">
        <f t="shared" si="23"/>
        <v>#DIV/0!</v>
      </c>
      <c r="K49" s="22" t="e">
        <f t="shared" si="14"/>
        <v>#DIV/0!</v>
      </c>
      <c r="L49" s="132" t="e">
        <f t="shared" si="24"/>
        <v>#DIV/0!</v>
      </c>
      <c r="M49" s="22" t="e">
        <f t="shared" si="15"/>
        <v>#DIV/0!</v>
      </c>
      <c r="N49" s="133" t="e">
        <f t="shared" si="16"/>
        <v>#DIV/0!</v>
      </c>
      <c r="O49" s="22" t="e">
        <f t="shared" si="17"/>
        <v>#DIV/0!</v>
      </c>
      <c r="P49" s="132" t="e">
        <f t="shared" si="18"/>
        <v>#DIV/0!</v>
      </c>
      <c r="Q49" s="22" t="e">
        <f t="shared" si="19"/>
        <v>#DIV/0!</v>
      </c>
      <c r="R49" s="131" t="e">
        <f t="shared" si="25"/>
        <v>#DIV/0!</v>
      </c>
    </row>
  </sheetData>
  <sheetProtection password="CA8F" sheet="1" objects="1" scenarios="1"/>
  <phoneticPr fontId="0" type="noConversion"/>
  <pageMargins left="0.75" right="0.4" top="1" bottom="1" header="0.5" footer="0.5"/>
  <pageSetup paperSize="9" scale="59" orientation="landscape" horizontalDpi="4294967292" verticalDpi="300"/>
  <headerFooter alignWithMargins="0">
    <oddFooter>&amp;LRemedial targets worksheet v3.1&amp;R&amp;D, &amp;T
&amp;F&amp;A</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2">
    <pageSetUpPr fitToPage="1"/>
  </sheetPr>
  <dimension ref="B1:V49"/>
  <sheetViews>
    <sheetView zoomScale="75" zoomScaleNormal="50" workbookViewId="0">
      <pane xSplit="3" topLeftCell="D1" activePane="topRight" state="frozenSplit"/>
      <selection activeCell="D33" sqref="D33"/>
      <selection pane="topRight" activeCell="C19" sqref="C19"/>
    </sheetView>
  </sheetViews>
  <sheetFormatPr defaultRowHeight="12.75" x14ac:dyDescent="0.2"/>
  <cols>
    <col min="1" max="1" width="3.28515625" customWidth="1"/>
    <col min="2" max="2" width="14" style="2" bestFit="1" customWidth="1"/>
    <col min="3" max="3" width="12" style="2" bestFit="1" customWidth="1"/>
    <col min="4" max="4" width="7.42578125" style="2" customWidth="1"/>
    <col min="5" max="5" width="4.28515625" customWidth="1"/>
    <col min="6" max="7" width="8.140625" customWidth="1"/>
    <col min="8" max="8" width="10.85546875" customWidth="1"/>
    <col min="9" max="10" width="10.140625" customWidth="1"/>
    <col min="11" max="11" width="6.28515625" customWidth="1"/>
    <col min="12" max="12" width="10.5703125" customWidth="1"/>
    <col min="13" max="13" width="7" bestFit="1" customWidth="1"/>
    <col min="14" max="14" width="10.28515625" customWidth="1"/>
    <col min="15" max="15" width="7.140625" customWidth="1"/>
    <col min="16" max="16" width="10.85546875" customWidth="1"/>
    <col min="17" max="17" width="7.140625" bestFit="1" customWidth="1"/>
    <col min="18" max="18" width="10.28515625" customWidth="1"/>
    <col min="19" max="19" width="6.85546875" customWidth="1"/>
    <col min="20" max="20" width="13.5703125" customWidth="1"/>
    <col min="21" max="23" width="8.140625" customWidth="1"/>
  </cols>
  <sheetData>
    <row r="1" spans="2:22" x14ac:dyDescent="0.2">
      <c r="F1" s="16" t="s">
        <v>59</v>
      </c>
    </row>
    <row r="2" spans="2:22" x14ac:dyDescent="0.2">
      <c r="F2" s="16"/>
    </row>
    <row r="3" spans="2:22" x14ac:dyDescent="0.2">
      <c r="B3" s="6" t="str">
        <f>'Level3.2 Soil Calc'!B2</f>
        <v>Contaminant</v>
      </c>
      <c r="C3" s="6" t="str">
        <f>'Level3.2 Soil Calc'!C2</f>
        <v>SO4</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11" t="s">
        <v>135</v>
      </c>
      <c r="S4" s="11" t="s">
        <v>49</v>
      </c>
      <c r="T4" s="31" t="s">
        <v>271</v>
      </c>
      <c r="U4" s="15"/>
      <c r="V4" s="15"/>
    </row>
    <row r="5" spans="2:22" ht="15.75" x14ac:dyDescent="0.25">
      <c r="B5" s="9" t="s">
        <v>46</v>
      </c>
      <c r="C5" s="9" t="s">
        <v>11</v>
      </c>
      <c r="D5" s="9" t="s">
        <v>159</v>
      </c>
      <c r="E5" s="2"/>
      <c r="F5" s="2" t="s">
        <v>26</v>
      </c>
      <c r="G5" s="11"/>
      <c r="H5" s="11"/>
      <c r="I5" s="11"/>
      <c r="J5" s="13"/>
      <c r="K5" s="13"/>
      <c r="L5" s="11"/>
      <c r="M5" s="11"/>
      <c r="N5" s="11"/>
      <c r="O5" s="11"/>
      <c r="P5" s="22"/>
      <c r="Q5" s="22"/>
      <c r="R5" s="11"/>
      <c r="S5" s="11"/>
      <c r="T5" s="64"/>
      <c r="U5" s="15"/>
      <c r="V5" s="15"/>
    </row>
    <row r="6" spans="2:22" ht="16.5" x14ac:dyDescent="0.2">
      <c r="B6" s="51" t="s">
        <v>97</v>
      </c>
      <c r="C6" s="8">
        <f>'Level3 Soil'!D8</f>
        <v>400</v>
      </c>
      <c r="D6" s="8" t="s">
        <v>22</v>
      </c>
      <c r="E6" s="81">
        <v>1</v>
      </c>
      <c r="F6" s="64">
        <f>$C$18/20*E6</f>
        <v>0</v>
      </c>
      <c r="G6" s="11">
        <f>0.125</f>
        <v>0.125</v>
      </c>
      <c r="H6" s="132" t="e">
        <f>$F6/(2*$C$22)*(1-(1+(4*$C$10*$C$22)/$C$31)^0.5)</f>
        <v>#DIV/0!</v>
      </c>
      <c r="I6" s="132" t="e">
        <f>EXP(H6)</f>
        <v>#DIV/0!</v>
      </c>
      <c r="J6" s="133" t="e">
        <f>1/(2*(SQRT($C$22*$C$31*$C$21)))*($F6-($C$31*$C$21)*(1+(4*$C$10*$C$22)/$C$31)^0.5)</f>
        <v>#DIV/0!</v>
      </c>
      <c r="K6" s="22" t="e">
        <f t="shared" ref="K6:K25" si="0">IF(J6&lt;-4,2,IF(J6&gt;4,0,IF(J6&gt;=0,ERFC(J6),1+ERF(-J6))))</f>
        <v>#DIV/0!</v>
      </c>
      <c r="L6" s="132" t="e">
        <f>(($C$19+0.5*$C$11)/(2*SQRT($C$23*$F6)))</f>
        <v>#DIV/0!</v>
      </c>
      <c r="M6" s="22" t="e">
        <f t="shared" ref="M6:M25" si="1">IF(L6&lt;0,IF(L6&lt;-10,-1,-ERF(-L6)),IF(L6&gt;10,1,ERF(L6)))</f>
        <v>#DIV/0!</v>
      </c>
      <c r="N6" s="132" t="e">
        <f>(($C$19-0.5*$C$11)/(2*SQRT($C$23*$F6)))</f>
        <v>#DIV/0!</v>
      </c>
      <c r="O6" s="22" t="e">
        <f t="shared" ref="O6:O25" si="2">IF(N6&lt;0,IF(N6&lt;-10,-1,-ERF(-N6)),IF(N6&gt;10,1,ERF(N6)))</f>
        <v>#DIV/0!</v>
      </c>
      <c r="P6" s="133" t="e">
        <f t="shared" ref="P6:P25" si="3">(($C$20+0.5*$C$12)/(2*SQRT($C$24*$F6)))</f>
        <v>#DIV/0!</v>
      </c>
      <c r="Q6" s="22" t="e">
        <f t="shared" ref="Q6:Q25" si="4">IF(P6&lt;0,IF(P6&lt;-10,-1,-ERF(-P6)),IF(P6&gt;10,1,ERF(P6)))</f>
        <v>#DIV/0!</v>
      </c>
      <c r="R6" s="132" t="e">
        <f>(($C$20-0.5*$C$12)/(2*SQRT($C$24*$F6)))</f>
        <v>#DIV/0!</v>
      </c>
      <c r="S6" s="22" t="e">
        <f t="shared" ref="S6:S25" si="5">IF(R6&lt;0,IF(R6&lt;-10,-1,-ERF(-R6)),IF(R6&gt;10,1,ERF(R6)))</f>
        <v>#DIV/0!</v>
      </c>
      <c r="T6" s="130" t="e">
        <f>G6*I6*K6*(M6-O6)*(Q6-S6)</f>
        <v>#DIV/0!</v>
      </c>
      <c r="U6" s="15"/>
      <c r="V6" s="15"/>
    </row>
    <row r="7" spans="2:22" ht="14.25" x14ac:dyDescent="0.2">
      <c r="B7" s="4" t="s">
        <v>8</v>
      </c>
      <c r="C7" s="109" t="e">
        <f>'Level3 Soil'!D9</f>
        <v>#DIV/0!</v>
      </c>
      <c r="D7" s="8"/>
      <c r="E7" s="81">
        <v>2</v>
      </c>
      <c r="F7" s="64">
        <f t="shared" ref="F7:F25" si="6">$C$18/20*E7</f>
        <v>0</v>
      </c>
      <c r="G7" s="11">
        <f t="shared" ref="G7:G25" si="7">0.125</f>
        <v>0.125</v>
      </c>
      <c r="H7" s="132" t="e">
        <f t="shared" ref="H7:H25" si="8">$F7/(2*$C$22)*(1-(1+(4*$C$10*$C$22)/$C$31)^0.5)</f>
        <v>#DIV/0!</v>
      </c>
      <c r="I7" s="132" t="e">
        <f t="shared" ref="I7:I25" si="9">EXP(H7)</f>
        <v>#DIV/0!</v>
      </c>
      <c r="J7" s="133" t="e">
        <f t="shared" ref="J7:J25" si="10">1/(2*(SQRT($C$22*$C$31*$C$21)))*($F7-($C$31*$C$21)*(1+(4*$C$10*$C$22)/$C$31)^0.5)</f>
        <v>#DIV/0!</v>
      </c>
      <c r="K7" s="22" t="e">
        <f t="shared" si="0"/>
        <v>#DIV/0!</v>
      </c>
      <c r="L7" s="132" t="e">
        <f t="shared" ref="L7:L25" si="11">(($C$19+0.5*$C$11)/(2*SQRT($C$23*$F7)))</f>
        <v>#DIV/0!</v>
      </c>
      <c r="M7" s="22" t="e">
        <f t="shared" si="1"/>
        <v>#DIV/0!</v>
      </c>
      <c r="N7" s="132" t="e">
        <f t="shared" ref="N7:N25" si="12">(($C$19-0.5*$C$11)/(2*SQRT($C$23*$F7)))</f>
        <v>#DIV/0!</v>
      </c>
      <c r="O7" s="22" t="e">
        <f t="shared" si="2"/>
        <v>#DIV/0!</v>
      </c>
      <c r="P7" s="133" t="e">
        <f t="shared" si="3"/>
        <v>#DIV/0!</v>
      </c>
      <c r="Q7" s="22" t="e">
        <f t="shared" si="4"/>
        <v>#DIV/0!</v>
      </c>
      <c r="R7" s="132" t="e">
        <f t="shared" ref="R7:R25" si="13">(($C$20-0.5*$C$12)/(2*SQRT($C$24*$F7)))</f>
        <v>#DIV/0!</v>
      </c>
      <c r="S7" s="22" t="e">
        <f t="shared" si="5"/>
        <v>#DIV/0!</v>
      </c>
      <c r="T7" s="130" t="e">
        <f t="shared" ref="T7:T25" si="14">G7*I7*K7*(M7-O7)*(Q7-S7)</f>
        <v>#DIV/0!</v>
      </c>
    </row>
    <row r="8" spans="2:22" ht="14.25" x14ac:dyDescent="0.2">
      <c r="B8" s="4"/>
      <c r="C8" s="8"/>
      <c r="D8" s="8"/>
      <c r="E8" s="81">
        <v>3</v>
      </c>
      <c r="F8" s="64">
        <f t="shared" si="6"/>
        <v>0</v>
      </c>
      <c r="G8" s="11">
        <f t="shared" si="7"/>
        <v>0.125</v>
      </c>
      <c r="H8" s="132" t="e">
        <f t="shared" si="8"/>
        <v>#DIV/0!</v>
      </c>
      <c r="I8" s="132" t="e">
        <f t="shared" si="9"/>
        <v>#DIV/0!</v>
      </c>
      <c r="J8" s="133" t="e">
        <f t="shared" si="10"/>
        <v>#DIV/0!</v>
      </c>
      <c r="K8" s="22" t="e">
        <f t="shared" si="0"/>
        <v>#DIV/0!</v>
      </c>
      <c r="L8" s="132" t="e">
        <f t="shared" si="11"/>
        <v>#DIV/0!</v>
      </c>
      <c r="M8" s="22" t="e">
        <f t="shared" si="1"/>
        <v>#DIV/0!</v>
      </c>
      <c r="N8" s="132" t="e">
        <f t="shared" si="12"/>
        <v>#DIV/0!</v>
      </c>
      <c r="O8" s="22" t="e">
        <f t="shared" si="2"/>
        <v>#DIV/0!</v>
      </c>
      <c r="P8" s="133" t="e">
        <f t="shared" si="3"/>
        <v>#DIV/0!</v>
      </c>
      <c r="Q8" s="22" t="e">
        <f t="shared" si="4"/>
        <v>#DIV/0!</v>
      </c>
      <c r="R8" s="132" t="e">
        <f t="shared" si="13"/>
        <v>#DIV/0!</v>
      </c>
      <c r="S8" s="22" t="e">
        <f t="shared" si="5"/>
        <v>#DIV/0!</v>
      </c>
      <c r="T8" s="130" t="e">
        <f t="shared" si="14"/>
        <v>#DIV/0!</v>
      </c>
    </row>
    <row r="9" spans="2:22" x14ac:dyDescent="0.2">
      <c r="B9"/>
      <c r="C9"/>
      <c r="D9"/>
      <c r="E9" s="81">
        <v>4</v>
      </c>
      <c r="F9" s="64">
        <f t="shared" si="6"/>
        <v>0</v>
      </c>
      <c r="G9" s="11">
        <f t="shared" si="7"/>
        <v>0.125</v>
      </c>
      <c r="H9" s="132" t="e">
        <f t="shared" si="8"/>
        <v>#DIV/0!</v>
      </c>
      <c r="I9" s="132" t="e">
        <f t="shared" si="9"/>
        <v>#DIV/0!</v>
      </c>
      <c r="J9" s="133" t="e">
        <f t="shared" si="10"/>
        <v>#DIV/0!</v>
      </c>
      <c r="K9" s="22" t="e">
        <f t="shared" si="0"/>
        <v>#DIV/0!</v>
      </c>
      <c r="L9" s="132" t="e">
        <f t="shared" si="11"/>
        <v>#DIV/0!</v>
      </c>
      <c r="M9" s="22" t="e">
        <f t="shared" si="1"/>
        <v>#DIV/0!</v>
      </c>
      <c r="N9" s="132" t="e">
        <f t="shared" si="12"/>
        <v>#DIV/0!</v>
      </c>
      <c r="O9" s="22" t="e">
        <f t="shared" si="2"/>
        <v>#DIV/0!</v>
      </c>
      <c r="P9" s="133" t="e">
        <f t="shared" si="3"/>
        <v>#DIV/0!</v>
      </c>
      <c r="Q9" s="22" t="e">
        <f t="shared" si="4"/>
        <v>#DIV/0!</v>
      </c>
      <c r="R9" s="132" t="e">
        <f t="shared" si="13"/>
        <v>#DIV/0!</v>
      </c>
      <c r="S9" s="22" t="e">
        <f t="shared" si="5"/>
        <v>#DIV/0!</v>
      </c>
      <c r="T9" s="130" t="e">
        <f t="shared" si="14"/>
        <v>#DIV/0!</v>
      </c>
    </row>
    <row r="10" spans="2:22" ht="15" x14ac:dyDescent="0.2">
      <c r="B10" s="5" t="s">
        <v>34</v>
      </c>
      <c r="C10" s="197">
        <f>'Level3 Soil'!D43</f>
        <v>1000000</v>
      </c>
      <c r="D10" s="2" t="s">
        <v>151</v>
      </c>
      <c r="E10" s="81">
        <v>5</v>
      </c>
      <c r="F10" s="64">
        <f t="shared" si="6"/>
        <v>0</v>
      </c>
      <c r="G10" s="11">
        <f t="shared" si="7"/>
        <v>0.125</v>
      </c>
      <c r="H10" s="132" t="e">
        <f t="shared" si="8"/>
        <v>#DIV/0!</v>
      </c>
      <c r="I10" s="132" t="e">
        <f t="shared" si="9"/>
        <v>#DIV/0!</v>
      </c>
      <c r="J10" s="133" t="e">
        <f t="shared" si="10"/>
        <v>#DIV/0!</v>
      </c>
      <c r="K10" s="22" t="e">
        <f t="shared" si="0"/>
        <v>#DIV/0!</v>
      </c>
      <c r="L10" s="132" t="e">
        <f t="shared" si="11"/>
        <v>#DIV/0!</v>
      </c>
      <c r="M10" s="22" t="e">
        <f t="shared" si="1"/>
        <v>#DIV/0!</v>
      </c>
      <c r="N10" s="132" t="e">
        <f t="shared" si="12"/>
        <v>#DIV/0!</v>
      </c>
      <c r="O10" s="22" t="e">
        <f t="shared" si="2"/>
        <v>#DIV/0!</v>
      </c>
      <c r="P10" s="133" t="e">
        <f t="shared" si="3"/>
        <v>#DIV/0!</v>
      </c>
      <c r="Q10" s="22" t="e">
        <f t="shared" si="4"/>
        <v>#DIV/0!</v>
      </c>
      <c r="R10" s="132" t="e">
        <f t="shared" si="13"/>
        <v>#DIV/0!</v>
      </c>
      <c r="S10" s="22" t="e">
        <f t="shared" si="5"/>
        <v>#DIV/0!</v>
      </c>
      <c r="T10" s="130" t="e">
        <f t="shared" si="14"/>
        <v>#DIV/0!</v>
      </c>
    </row>
    <row r="11" spans="2:22" ht="14.25" x14ac:dyDescent="0.2">
      <c r="B11" s="4" t="s">
        <v>50</v>
      </c>
      <c r="C11" s="197">
        <f>'Level3 Soil'!D22</f>
        <v>0</v>
      </c>
      <c r="D11" s="2" t="s">
        <v>26</v>
      </c>
      <c r="E11" s="81">
        <v>6</v>
      </c>
      <c r="F11" s="64">
        <f t="shared" si="6"/>
        <v>0</v>
      </c>
      <c r="G11" s="11">
        <f t="shared" si="7"/>
        <v>0.125</v>
      </c>
      <c r="H11" s="132" t="e">
        <f t="shared" si="8"/>
        <v>#DIV/0!</v>
      </c>
      <c r="I11" s="132" t="e">
        <f t="shared" si="9"/>
        <v>#DIV/0!</v>
      </c>
      <c r="J11" s="133" t="e">
        <f t="shared" si="10"/>
        <v>#DIV/0!</v>
      </c>
      <c r="K11" s="22" t="e">
        <f t="shared" si="0"/>
        <v>#DIV/0!</v>
      </c>
      <c r="L11" s="132" t="e">
        <f t="shared" si="11"/>
        <v>#DIV/0!</v>
      </c>
      <c r="M11" s="22" t="e">
        <f t="shared" si="1"/>
        <v>#DIV/0!</v>
      </c>
      <c r="N11" s="132" t="e">
        <f t="shared" si="12"/>
        <v>#DIV/0!</v>
      </c>
      <c r="O11" s="22" t="e">
        <f t="shared" si="2"/>
        <v>#DIV/0!</v>
      </c>
      <c r="P11" s="133" t="e">
        <f t="shared" si="3"/>
        <v>#DIV/0!</v>
      </c>
      <c r="Q11" s="22" t="e">
        <f t="shared" si="4"/>
        <v>#DIV/0!</v>
      </c>
      <c r="R11" s="132" t="e">
        <f t="shared" si="13"/>
        <v>#DIV/0!</v>
      </c>
      <c r="S11" s="22" t="e">
        <f t="shared" si="5"/>
        <v>#DIV/0!</v>
      </c>
      <c r="T11" s="130" t="e">
        <f t="shared" si="14"/>
        <v>#DIV/0!</v>
      </c>
    </row>
    <row r="12" spans="2:22" ht="14.25" x14ac:dyDescent="0.2">
      <c r="B12" s="4" t="s">
        <v>153</v>
      </c>
      <c r="C12" s="197" t="e">
        <f>IF(B34=1,'Level2 Calc'!C7,'Level3 Soil'!D23)</f>
        <v>#DIV/0!</v>
      </c>
      <c r="D12" s="2" t="s">
        <v>26</v>
      </c>
      <c r="E12" s="81">
        <v>7</v>
      </c>
      <c r="F12" s="64">
        <f t="shared" si="6"/>
        <v>0</v>
      </c>
      <c r="G12" s="11">
        <f t="shared" si="7"/>
        <v>0.125</v>
      </c>
      <c r="H12" s="132" t="e">
        <f t="shared" si="8"/>
        <v>#DIV/0!</v>
      </c>
      <c r="I12" s="132" t="e">
        <f t="shared" si="9"/>
        <v>#DIV/0!</v>
      </c>
      <c r="J12" s="133" t="e">
        <f t="shared" si="10"/>
        <v>#DIV/0!</v>
      </c>
      <c r="K12" s="22" t="e">
        <f t="shared" si="0"/>
        <v>#DIV/0!</v>
      </c>
      <c r="L12" s="132" t="e">
        <f t="shared" si="11"/>
        <v>#DIV/0!</v>
      </c>
      <c r="M12" s="22" t="e">
        <f t="shared" si="1"/>
        <v>#DIV/0!</v>
      </c>
      <c r="N12" s="132" t="e">
        <f t="shared" si="12"/>
        <v>#DIV/0!</v>
      </c>
      <c r="O12" s="22" t="e">
        <f t="shared" si="2"/>
        <v>#DIV/0!</v>
      </c>
      <c r="P12" s="133" t="e">
        <f t="shared" si="3"/>
        <v>#DIV/0!</v>
      </c>
      <c r="Q12" s="22" t="e">
        <f t="shared" si="4"/>
        <v>#DIV/0!</v>
      </c>
      <c r="R12" s="132" t="e">
        <f t="shared" si="13"/>
        <v>#DIV/0!</v>
      </c>
      <c r="S12" s="22" t="e">
        <f t="shared" si="5"/>
        <v>#DIV/0!</v>
      </c>
      <c r="T12" s="130" t="e">
        <f t="shared" si="14"/>
        <v>#DIV/0!</v>
      </c>
    </row>
    <row r="13" spans="2:22" ht="14.25" x14ac:dyDescent="0.2">
      <c r="B13" s="4" t="s">
        <v>13</v>
      </c>
      <c r="C13" s="197">
        <f>'Level3 Soil'!K22</f>
        <v>0</v>
      </c>
      <c r="D13" s="2" t="s">
        <v>23</v>
      </c>
      <c r="E13" s="81">
        <v>8</v>
      </c>
      <c r="F13" s="64">
        <f t="shared" si="6"/>
        <v>0</v>
      </c>
      <c r="G13" s="11">
        <f t="shared" si="7"/>
        <v>0.125</v>
      </c>
      <c r="H13" s="132" t="e">
        <f t="shared" si="8"/>
        <v>#DIV/0!</v>
      </c>
      <c r="I13" s="132" t="e">
        <f t="shared" si="9"/>
        <v>#DIV/0!</v>
      </c>
      <c r="J13" s="133" t="e">
        <f t="shared" si="10"/>
        <v>#DIV/0!</v>
      </c>
      <c r="K13" s="22" t="e">
        <f t="shared" si="0"/>
        <v>#DIV/0!</v>
      </c>
      <c r="L13" s="132" t="e">
        <f t="shared" si="11"/>
        <v>#DIV/0!</v>
      </c>
      <c r="M13" s="22" t="e">
        <f t="shared" si="1"/>
        <v>#DIV/0!</v>
      </c>
      <c r="N13" s="132" t="e">
        <f t="shared" si="12"/>
        <v>#DIV/0!</v>
      </c>
      <c r="O13" s="22" t="e">
        <f t="shared" si="2"/>
        <v>#DIV/0!</v>
      </c>
      <c r="P13" s="133" t="e">
        <f t="shared" si="3"/>
        <v>#DIV/0!</v>
      </c>
      <c r="Q13" s="22" t="e">
        <f t="shared" si="4"/>
        <v>#DIV/0!</v>
      </c>
      <c r="R13" s="132" t="e">
        <f t="shared" si="13"/>
        <v>#DIV/0!</v>
      </c>
      <c r="S13" s="22" t="e">
        <f t="shared" si="5"/>
        <v>#DIV/0!</v>
      </c>
      <c r="T13" s="130" t="e">
        <f t="shared" si="14"/>
        <v>#DIV/0!</v>
      </c>
    </row>
    <row r="14" spans="2:22" ht="15" x14ac:dyDescent="0.2">
      <c r="B14" s="5" t="s">
        <v>35</v>
      </c>
      <c r="C14" s="197">
        <f>'Level3 Soil'!D24</f>
        <v>0</v>
      </c>
      <c r="D14" s="2" t="s">
        <v>24</v>
      </c>
      <c r="E14" s="81">
        <v>9</v>
      </c>
      <c r="F14" s="64">
        <f t="shared" si="6"/>
        <v>0</v>
      </c>
      <c r="G14" s="11">
        <f t="shared" si="7"/>
        <v>0.125</v>
      </c>
      <c r="H14" s="132" t="e">
        <f t="shared" si="8"/>
        <v>#DIV/0!</v>
      </c>
      <c r="I14" s="132" t="e">
        <f t="shared" si="9"/>
        <v>#DIV/0!</v>
      </c>
      <c r="J14" s="133" t="e">
        <f t="shared" si="10"/>
        <v>#DIV/0!</v>
      </c>
      <c r="K14" s="22" t="e">
        <f t="shared" si="0"/>
        <v>#DIV/0!</v>
      </c>
      <c r="L14" s="132" t="e">
        <f t="shared" si="11"/>
        <v>#DIV/0!</v>
      </c>
      <c r="M14" s="22" t="e">
        <f t="shared" si="1"/>
        <v>#DIV/0!</v>
      </c>
      <c r="N14" s="132" t="e">
        <f t="shared" si="12"/>
        <v>#DIV/0!</v>
      </c>
      <c r="O14" s="22" t="e">
        <f t="shared" si="2"/>
        <v>#DIV/0!</v>
      </c>
      <c r="P14" s="133" t="e">
        <f t="shared" si="3"/>
        <v>#DIV/0!</v>
      </c>
      <c r="Q14" s="22" t="e">
        <f t="shared" si="4"/>
        <v>#DIV/0!</v>
      </c>
      <c r="R14" s="132" t="e">
        <f t="shared" si="13"/>
        <v>#DIV/0!</v>
      </c>
      <c r="S14" s="22" t="e">
        <f t="shared" si="5"/>
        <v>#DIV/0!</v>
      </c>
      <c r="T14" s="130" t="e">
        <f t="shared" si="14"/>
        <v>#DIV/0!</v>
      </c>
    </row>
    <row r="15" spans="2:22" ht="14.25" x14ac:dyDescent="0.2">
      <c r="B15" s="4" t="s">
        <v>1</v>
      </c>
      <c r="C15" s="197">
        <f>'Level3 Soil'!D25</f>
        <v>0</v>
      </c>
      <c r="E15" s="81">
        <v>10</v>
      </c>
      <c r="F15" s="64">
        <f t="shared" si="6"/>
        <v>0</v>
      </c>
      <c r="G15" s="11">
        <f t="shared" si="7"/>
        <v>0.125</v>
      </c>
      <c r="H15" s="132" t="e">
        <f t="shared" si="8"/>
        <v>#DIV/0!</v>
      </c>
      <c r="I15" s="132" t="e">
        <f t="shared" si="9"/>
        <v>#DIV/0!</v>
      </c>
      <c r="J15" s="133" t="e">
        <f t="shared" si="10"/>
        <v>#DIV/0!</v>
      </c>
      <c r="K15" s="22" t="e">
        <f t="shared" si="0"/>
        <v>#DIV/0!</v>
      </c>
      <c r="L15" s="132" t="e">
        <f t="shared" si="11"/>
        <v>#DIV/0!</v>
      </c>
      <c r="M15" s="22" t="e">
        <f t="shared" si="1"/>
        <v>#DIV/0!</v>
      </c>
      <c r="N15" s="132" t="e">
        <f t="shared" si="12"/>
        <v>#DIV/0!</v>
      </c>
      <c r="O15" s="22" t="e">
        <f t="shared" si="2"/>
        <v>#DIV/0!</v>
      </c>
      <c r="P15" s="133" t="e">
        <f t="shared" si="3"/>
        <v>#DIV/0!</v>
      </c>
      <c r="Q15" s="22" t="e">
        <f t="shared" si="4"/>
        <v>#DIV/0!</v>
      </c>
      <c r="R15" s="132" t="e">
        <f t="shared" si="13"/>
        <v>#DIV/0!</v>
      </c>
      <c r="S15" s="22" t="e">
        <f t="shared" si="5"/>
        <v>#DIV/0!</v>
      </c>
      <c r="T15" s="130" t="e">
        <f t="shared" si="14"/>
        <v>#DIV/0!</v>
      </c>
    </row>
    <row r="16" spans="2:22" ht="14.25" x14ac:dyDescent="0.2">
      <c r="B16" s="4" t="s">
        <v>44</v>
      </c>
      <c r="C16" s="197" t="e">
        <f>'Level3 Soil'!D44</f>
        <v>#DIV/0!</v>
      </c>
      <c r="E16" s="81">
        <v>11</v>
      </c>
      <c r="F16" s="64">
        <f t="shared" si="6"/>
        <v>0</v>
      </c>
      <c r="G16" s="11">
        <f t="shared" si="7"/>
        <v>0.125</v>
      </c>
      <c r="H16" s="132" t="e">
        <f t="shared" si="8"/>
        <v>#DIV/0!</v>
      </c>
      <c r="I16" s="132" t="e">
        <f t="shared" si="9"/>
        <v>#DIV/0!</v>
      </c>
      <c r="J16" s="133" t="e">
        <f t="shared" si="10"/>
        <v>#DIV/0!</v>
      </c>
      <c r="K16" s="22" t="e">
        <f t="shared" si="0"/>
        <v>#DIV/0!</v>
      </c>
      <c r="L16" s="132" t="e">
        <f t="shared" si="11"/>
        <v>#DIV/0!</v>
      </c>
      <c r="M16" s="22" t="e">
        <f t="shared" si="1"/>
        <v>#DIV/0!</v>
      </c>
      <c r="N16" s="132" t="e">
        <f t="shared" si="12"/>
        <v>#DIV/0!</v>
      </c>
      <c r="O16" s="22" t="e">
        <f t="shared" si="2"/>
        <v>#DIV/0!</v>
      </c>
      <c r="P16" s="133" t="e">
        <f t="shared" si="3"/>
        <v>#DIV/0!</v>
      </c>
      <c r="Q16" s="22" t="e">
        <f t="shared" si="4"/>
        <v>#DIV/0!</v>
      </c>
      <c r="R16" s="132" t="e">
        <f t="shared" si="13"/>
        <v>#DIV/0!</v>
      </c>
      <c r="S16" s="22" t="e">
        <f t="shared" si="5"/>
        <v>#DIV/0!</v>
      </c>
      <c r="T16" s="130" t="e">
        <f t="shared" si="14"/>
        <v>#DIV/0!</v>
      </c>
    </row>
    <row r="17" spans="2:22" ht="14.25" customHeight="1" x14ac:dyDescent="0.2">
      <c r="B17" s="4" t="s">
        <v>189</v>
      </c>
      <c r="C17" s="197">
        <f>IF(B34=1,'Level2 Soil'!D20,'Level3 Soil'!D27)</f>
        <v>0</v>
      </c>
      <c r="D17" s="2" t="s">
        <v>25</v>
      </c>
      <c r="E17" s="81">
        <v>12</v>
      </c>
      <c r="F17" s="64">
        <f t="shared" si="6"/>
        <v>0</v>
      </c>
      <c r="G17" s="11">
        <f t="shared" si="7"/>
        <v>0.125</v>
      </c>
      <c r="H17" s="132" t="e">
        <f t="shared" si="8"/>
        <v>#DIV/0!</v>
      </c>
      <c r="I17" s="132" t="e">
        <f t="shared" si="9"/>
        <v>#DIV/0!</v>
      </c>
      <c r="J17" s="133" t="e">
        <f t="shared" si="10"/>
        <v>#DIV/0!</v>
      </c>
      <c r="K17" s="22" t="e">
        <f t="shared" si="0"/>
        <v>#DIV/0!</v>
      </c>
      <c r="L17" s="132" t="e">
        <f t="shared" si="11"/>
        <v>#DIV/0!</v>
      </c>
      <c r="M17" s="22" t="e">
        <f t="shared" si="1"/>
        <v>#DIV/0!</v>
      </c>
      <c r="N17" s="132" t="e">
        <f t="shared" si="12"/>
        <v>#DIV/0!</v>
      </c>
      <c r="O17" s="22" t="e">
        <f t="shared" si="2"/>
        <v>#DIV/0!</v>
      </c>
      <c r="P17" s="133" t="e">
        <f t="shared" si="3"/>
        <v>#DIV/0!</v>
      </c>
      <c r="Q17" s="22" t="e">
        <f t="shared" si="4"/>
        <v>#DIV/0!</v>
      </c>
      <c r="R17" s="132" t="e">
        <f t="shared" si="13"/>
        <v>#DIV/0!</v>
      </c>
      <c r="S17" s="22" t="e">
        <f t="shared" si="5"/>
        <v>#DIV/0!</v>
      </c>
      <c r="T17" s="130" t="e">
        <f t="shared" si="14"/>
        <v>#DIV/0!</v>
      </c>
    </row>
    <row r="18" spans="2:22" ht="14.25" customHeight="1" x14ac:dyDescent="0.2">
      <c r="B18" s="4" t="s">
        <v>14</v>
      </c>
      <c r="C18" s="197">
        <f>'Level3 Soil'!D28</f>
        <v>0</v>
      </c>
      <c r="D18" s="2" t="s">
        <v>26</v>
      </c>
      <c r="E18" s="81">
        <v>13</v>
      </c>
      <c r="F18" s="64">
        <f t="shared" si="6"/>
        <v>0</v>
      </c>
      <c r="G18" s="11">
        <f t="shared" si="7"/>
        <v>0.125</v>
      </c>
      <c r="H18" s="132" t="e">
        <f t="shared" si="8"/>
        <v>#DIV/0!</v>
      </c>
      <c r="I18" s="132" t="e">
        <f t="shared" si="9"/>
        <v>#DIV/0!</v>
      </c>
      <c r="J18" s="133" t="e">
        <f t="shared" si="10"/>
        <v>#DIV/0!</v>
      </c>
      <c r="K18" s="22" t="e">
        <f t="shared" si="0"/>
        <v>#DIV/0!</v>
      </c>
      <c r="L18" s="132" t="e">
        <f t="shared" si="11"/>
        <v>#DIV/0!</v>
      </c>
      <c r="M18" s="22" t="e">
        <f t="shared" si="1"/>
        <v>#DIV/0!</v>
      </c>
      <c r="N18" s="132" t="e">
        <f t="shared" si="12"/>
        <v>#DIV/0!</v>
      </c>
      <c r="O18" s="22" t="e">
        <f t="shared" si="2"/>
        <v>#DIV/0!</v>
      </c>
      <c r="P18" s="133" t="e">
        <f t="shared" si="3"/>
        <v>#DIV/0!</v>
      </c>
      <c r="Q18" s="22" t="e">
        <f t="shared" si="4"/>
        <v>#DIV/0!</v>
      </c>
      <c r="R18" s="132" t="e">
        <f t="shared" si="13"/>
        <v>#DIV/0!</v>
      </c>
      <c r="S18" s="22" t="e">
        <f t="shared" si="5"/>
        <v>#DIV/0!</v>
      </c>
      <c r="T18" s="130" t="e">
        <f t="shared" si="14"/>
        <v>#DIV/0!</v>
      </c>
    </row>
    <row r="19" spans="2:22" ht="14.25" customHeight="1" x14ac:dyDescent="0.2">
      <c r="B19" s="4" t="s">
        <v>16</v>
      </c>
      <c r="C19" s="197">
        <v>0</v>
      </c>
      <c r="D19" s="2" t="s">
        <v>26</v>
      </c>
      <c r="E19" s="81">
        <v>14</v>
      </c>
      <c r="F19" s="64">
        <f t="shared" si="6"/>
        <v>0</v>
      </c>
      <c r="G19" s="11">
        <f t="shared" si="7"/>
        <v>0.125</v>
      </c>
      <c r="H19" s="132" t="e">
        <f t="shared" si="8"/>
        <v>#DIV/0!</v>
      </c>
      <c r="I19" s="132" t="e">
        <f t="shared" si="9"/>
        <v>#DIV/0!</v>
      </c>
      <c r="J19" s="133" t="e">
        <f t="shared" si="10"/>
        <v>#DIV/0!</v>
      </c>
      <c r="K19" s="22" t="e">
        <f t="shared" si="0"/>
        <v>#DIV/0!</v>
      </c>
      <c r="L19" s="132" t="e">
        <f t="shared" si="11"/>
        <v>#DIV/0!</v>
      </c>
      <c r="M19" s="22" t="e">
        <f t="shared" si="1"/>
        <v>#DIV/0!</v>
      </c>
      <c r="N19" s="132" t="e">
        <f t="shared" si="12"/>
        <v>#DIV/0!</v>
      </c>
      <c r="O19" s="22" t="e">
        <f t="shared" si="2"/>
        <v>#DIV/0!</v>
      </c>
      <c r="P19" s="133" t="e">
        <f t="shared" si="3"/>
        <v>#DIV/0!</v>
      </c>
      <c r="Q19" s="22" t="e">
        <f t="shared" si="4"/>
        <v>#DIV/0!</v>
      </c>
      <c r="R19" s="132" t="e">
        <f t="shared" si="13"/>
        <v>#DIV/0!</v>
      </c>
      <c r="S19" s="22" t="e">
        <f t="shared" si="5"/>
        <v>#DIV/0!</v>
      </c>
      <c r="T19" s="130" t="e">
        <f t="shared" si="14"/>
        <v>#DIV/0!</v>
      </c>
    </row>
    <row r="20" spans="2:22" ht="14.25" customHeight="1" x14ac:dyDescent="0.2">
      <c r="B20" s="4" t="s">
        <v>15</v>
      </c>
      <c r="C20" s="197">
        <v>0</v>
      </c>
      <c r="D20" s="2" t="s">
        <v>26</v>
      </c>
      <c r="E20" s="81">
        <v>15</v>
      </c>
      <c r="F20" s="64">
        <f t="shared" si="6"/>
        <v>0</v>
      </c>
      <c r="G20" s="11">
        <f t="shared" si="7"/>
        <v>0.125</v>
      </c>
      <c r="H20" s="132" t="e">
        <f t="shared" si="8"/>
        <v>#DIV/0!</v>
      </c>
      <c r="I20" s="132" t="e">
        <f t="shared" si="9"/>
        <v>#DIV/0!</v>
      </c>
      <c r="J20" s="133" t="e">
        <f t="shared" si="10"/>
        <v>#DIV/0!</v>
      </c>
      <c r="K20" s="22" t="e">
        <f t="shared" si="0"/>
        <v>#DIV/0!</v>
      </c>
      <c r="L20" s="132" t="e">
        <f t="shared" si="11"/>
        <v>#DIV/0!</v>
      </c>
      <c r="M20" s="22" t="e">
        <f t="shared" si="1"/>
        <v>#DIV/0!</v>
      </c>
      <c r="N20" s="132" t="e">
        <f t="shared" si="12"/>
        <v>#DIV/0!</v>
      </c>
      <c r="O20" s="22" t="e">
        <f t="shared" si="2"/>
        <v>#DIV/0!</v>
      </c>
      <c r="P20" s="133" t="e">
        <f t="shared" si="3"/>
        <v>#DIV/0!</v>
      </c>
      <c r="Q20" s="22" t="e">
        <f t="shared" si="4"/>
        <v>#DIV/0!</v>
      </c>
      <c r="R20" s="132" t="e">
        <f t="shared" si="13"/>
        <v>#DIV/0!</v>
      </c>
      <c r="S20" s="22" t="e">
        <f t="shared" si="5"/>
        <v>#DIV/0!</v>
      </c>
      <c r="T20" s="130" t="e">
        <f t="shared" si="14"/>
        <v>#DIV/0!</v>
      </c>
    </row>
    <row r="21" spans="2:22" ht="14.25" customHeight="1" x14ac:dyDescent="0.2">
      <c r="B21" s="4" t="s">
        <v>17</v>
      </c>
      <c r="C21" s="197">
        <f>'Level3 Soil'!D31</f>
        <v>0</v>
      </c>
      <c r="D21" s="2" t="s">
        <v>21</v>
      </c>
      <c r="E21" s="81">
        <v>16</v>
      </c>
      <c r="F21" s="64">
        <f t="shared" si="6"/>
        <v>0</v>
      </c>
      <c r="G21" s="11">
        <f t="shared" si="7"/>
        <v>0.125</v>
      </c>
      <c r="H21" s="132" t="e">
        <f t="shared" si="8"/>
        <v>#DIV/0!</v>
      </c>
      <c r="I21" s="132" t="e">
        <f t="shared" si="9"/>
        <v>#DIV/0!</v>
      </c>
      <c r="J21" s="133" t="e">
        <f t="shared" si="10"/>
        <v>#DIV/0!</v>
      </c>
      <c r="K21" s="22" t="e">
        <f t="shared" si="0"/>
        <v>#DIV/0!</v>
      </c>
      <c r="L21" s="132" t="e">
        <f t="shared" si="11"/>
        <v>#DIV/0!</v>
      </c>
      <c r="M21" s="22" t="e">
        <f t="shared" si="1"/>
        <v>#DIV/0!</v>
      </c>
      <c r="N21" s="132" t="e">
        <f t="shared" si="12"/>
        <v>#DIV/0!</v>
      </c>
      <c r="O21" s="22" t="e">
        <f t="shared" si="2"/>
        <v>#DIV/0!</v>
      </c>
      <c r="P21" s="133" t="e">
        <f t="shared" si="3"/>
        <v>#DIV/0!</v>
      </c>
      <c r="Q21" s="22" t="e">
        <f t="shared" si="4"/>
        <v>#DIV/0!</v>
      </c>
      <c r="R21" s="132" t="e">
        <f t="shared" si="13"/>
        <v>#DIV/0!</v>
      </c>
      <c r="S21" s="22" t="e">
        <f t="shared" si="5"/>
        <v>#DIV/0!</v>
      </c>
      <c r="T21" s="130" t="e">
        <f t="shared" si="14"/>
        <v>#DIV/0!</v>
      </c>
    </row>
    <row r="22" spans="2:22" ht="14.25" customHeight="1" x14ac:dyDescent="0.2">
      <c r="B22" s="4" t="s">
        <v>18</v>
      </c>
      <c r="C22" s="197">
        <f>'Level3 Soil'!D34</f>
        <v>0</v>
      </c>
      <c r="D22" s="8" t="s">
        <v>26</v>
      </c>
      <c r="E22" s="81">
        <v>17</v>
      </c>
      <c r="F22" s="64">
        <f t="shared" si="6"/>
        <v>0</v>
      </c>
      <c r="G22" s="11">
        <f t="shared" si="7"/>
        <v>0.125</v>
      </c>
      <c r="H22" s="132" t="e">
        <f t="shared" si="8"/>
        <v>#DIV/0!</v>
      </c>
      <c r="I22" s="132" t="e">
        <f t="shared" si="9"/>
        <v>#DIV/0!</v>
      </c>
      <c r="J22" s="133" t="e">
        <f t="shared" si="10"/>
        <v>#DIV/0!</v>
      </c>
      <c r="K22" s="22" t="e">
        <f t="shared" si="0"/>
        <v>#DIV/0!</v>
      </c>
      <c r="L22" s="132" t="e">
        <f t="shared" si="11"/>
        <v>#DIV/0!</v>
      </c>
      <c r="M22" s="22" t="e">
        <f t="shared" si="1"/>
        <v>#DIV/0!</v>
      </c>
      <c r="N22" s="132" t="e">
        <f t="shared" si="12"/>
        <v>#DIV/0!</v>
      </c>
      <c r="O22" s="22" t="e">
        <f t="shared" si="2"/>
        <v>#DIV/0!</v>
      </c>
      <c r="P22" s="133" t="e">
        <f t="shared" si="3"/>
        <v>#DIV/0!</v>
      </c>
      <c r="Q22" s="22" t="e">
        <f t="shared" si="4"/>
        <v>#DIV/0!</v>
      </c>
      <c r="R22" s="132" t="e">
        <f t="shared" si="13"/>
        <v>#DIV/0!</v>
      </c>
      <c r="S22" s="22" t="e">
        <f t="shared" si="5"/>
        <v>#DIV/0!</v>
      </c>
      <c r="T22" s="130" t="e">
        <f t="shared" si="14"/>
        <v>#DIV/0!</v>
      </c>
    </row>
    <row r="23" spans="2:22" ht="14.25" customHeight="1" x14ac:dyDescent="0.2">
      <c r="B23" s="4" t="s">
        <v>20</v>
      </c>
      <c r="C23" s="197">
        <f>'Level3 Soil'!D35</f>
        <v>0</v>
      </c>
      <c r="D23" s="8" t="s">
        <v>26</v>
      </c>
      <c r="E23" s="81">
        <v>18</v>
      </c>
      <c r="F23" s="64">
        <f t="shared" si="6"/>
        <v>0</v>
      </c>
      <c r="G23" s="11">
        <f t="shared" si="7"/>
        <v>0.125</v>
      </c>
      <c r="H23" s="132" t="e">
        <f t="shared" si="8"/>
        <v>#DIV/0!</v>
      </c>
      <c r="I23" s="132" t="e">
        <f t="shared" si="9"/>
        <v>#DIV/0!</v>
      </c>
      <c r="J23" s="133" t="e">
        <f t="shared" si="10"/>
        <v>#DIV/0!</v>
      </c>
      <c r="K23" s="22" t="e">
        <f t="shared" si="0"/>
        <v>#DIV/0!</v>
      </c>
      <c r="L23" s="132" t="e">
        <f t="shared" si="11"/>
        <v>#DIV/0!</v>
      </c>
      <c r="M23" s="22" t="e">
        <f t="shared" si="1"/>
        <v>#DIV/0!</v>
      </c>
      <c r="N23" s="132" t="e">
        <f t="shared" si="12"/>
        <v>#DIV/0!</v>
      </c>
      <c r="O23" s="22" t="e">
        <f t="shared" si="2"/>
        <v>#DIV/0!</v>
      </c>
      <c r="P23" s="133" t="e">
        <f t="shared" si="3"/>
        <v>#DIV/0!</v>
      </c>
      <c r="Q23" s="22" t="e">
        <f t="shared" si="4"/>
        <v>#DIV/0!</v>
      </c>
      <c r="R23" s="132" t="e">
        <f t="shared" si="13"/>
        <v>#DIV/0!</v>
      </c>
      <c r="S23" s="22" t="e">
        <f t="shared" si="5"/>
        <v>#DIV/0!</v>
      </c>
      <c r="T23" s="130" t="e">
        <f t="shared" si="14"/>
        <v>#DIV/0!</v>
      </c>
    </row>
    <row r="24" spans="2:22" ht="14.25" customHeight="1" x14ac:dyDescent="0.2">
      <c r="B24" s="4" t="s">
        <v>19</v>
      </c>
      <c r="C24" s="197">
        <f>'Level3 Soil'!D36</f>
        <v>0</v>
      </c>
      <c r="D24" s="8" t="s">
        <v>26</v>
      </c>
      <c r="E24" s="81">
        <v>19</v>
      </c>
      <c r="F24" s="64">
        <f t="shared" si="6"/>
        <v>0</v>
      </c>
      <c r="G24" s="11">
        <f t="shared" si="7"/>
        <v>0.125</v>
      </c>
      <c r="H24" s="132" t="e">
        <f t="shared" si="8"/>
        <v>#DIV/0!</v>
      </c>
      <c r="I24" s="132" t="e">
        <f t="shared" si="9"/>
        <v>#DIV/0!</v>
      </c>
      <c r="J24" s="133" t="e">
        <f t="shared" si="10"/>
        <v>#DIV/0!</v>
      </c>
      <c r="K24" s="22" t="e">
        <f t="shared" si="0"/>
        <v>#DIV/0!</v>
      </c>
      <c r="L24" s="132" t="e">
        <f t="shared" si="11"/>
        <v>#DIV/0!</v>
      </c>
      <c r="M24" s="22" t="e">
        <f t="shared" si="1"/>
        <v>#DIV/0!</v>
      </c>
      <c r="N24" s="132" t="e">
        <f t="shared" si="12"/>
        <v>#DIV/0!</v>
      </c>
      <c r="O24" s="22" t="e">
        <f t="shared" si="2"/>
        <v>#DIV/0!</v>
      </c>
      <c r="P24" s="133" t="e">
        <f t="shared" si="3"/>
        <v>#DIV/0!</v>
      </c>
      <c r="Q24" s="22" t="e">
        <f t="shared" si="4"/>
        <v>#DIV/0!</v>
      </c>
      <c r="R24" s="132" t="e">
        <f t="shared" si="13"/>
        <v>#DIV/0!</v>
      </c>
      <c r="S24" s="22" t="e">
        <f t="shared" si="5"/>
        <v>#DIV/0!</v>
      </c>
      <c r="T24" s="130" t="e">
        <f t="shared" si="14"/>
        <v>#DIV/0!</v>
      </c>
    </row>
    <row r="25" spans="2:22" x14ac:dyDescent="0.2">
      <c r="C25" s="8"/>
      <c r="D25" s="8"/>
      <c r="E25" s="81">
        <v>20</v>
      </c>
      <c r="F25" s="64">
        <f t="shared" si="6"/>
        <v>0</v>
      </c>
      <c r="G25" s="11">
        <f t="shared" si="7"/>
        <v>0.125</v>
      </c>
      <c r="H25" s="132" t="e">
        <f t="shared" si="8"/>
        <v>#DIV/0!</v>
      </c>
      <c r="I25" s="132" t="e">
        <f t="shared" si="9"/>
        <v>#DIV/0!</v>
      </c>
      <c r="J25" s="133" t="e">
        <f t="shared" si="10"/>
        <v>#DIV/0!</v>
      </c>
      <c r="K25" s="22" t="e">
        <f t="shared" si="0"/>
        <v>#DIV/0!</v>
      </c>
      <c r="L25" s="132" t="e">
        <f t="shared" si="11"/>
        <v>#DIV/0!</v>
      </c>
      <c r="M25" s="22" t="e">
        <f t="shared" si="1"/>
        <v>#DIV/0!</v>
      </c>
      <c r="N25" s="132" t="e">
        <f t="shared" si="12"/>
        <v>#DIV/0!</v>
      </c>
      <c r="O25" s="22" t="e">
        <f t="shared" si="2"/>
        <v>#DIV/0!</v>
      </c>
      <c r="P25" s="133" t="e">
        <f t="shared" si="3"/>
        <v>#DIV/0!</v>
      </c>
      <c r="Q25" s="22" t="e">
        <f t="shared" si="4"/>
        <v>#DIV/0!</v>
      </c>
      <c r="R25" s="132" t="e">
        <f t="shared" si="13"/>
        <v>#DIV/0!</v>
      </c>
      <c r="S25" s="22" t="e">
        <f t="shared" si="5"/>
        <v>#DIV/0!</v>
      </c>
      <c r="T25" s="130" t="e">
        <f t="shared" si="14"/>
        <v>#DIV/0!</v>
      </c>
      <c r="V25" s="68"/>
    </row>
    <row r="26" spans="2:22" x14ac:dyDescent="0.2">
      <c r="C26" s="8"/>
      <c r="D26" s="8"/>
      <c r="E26" s="8"/>
      <c r="P26" s="20"/>
      <c r="Q26" s="20"/>
      <c r="R26" s="10"/>
      <c r="S26" s="10"/>
    </row>
    <row r="27" spans="2:22" ht="15.75" x14ac:dyDescent="0.25">
      <c r="B27" s="9" t="s">
        <v>45</v>
      </c>
      <c r="C27" s="65" t="s">
        <v>11</v>
      </c>
      <c r="D27" s="65"/>
      <c r="F27" t="s">
        <v>329</v>
      </c>
      <c r="P27" s="20"/>
      <c r="Q27" s="20"/>
      <c r="R27" s="10"/>
      <c r="S27" s="1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11" t="s">
        <v>135</v>
      </c>
      <c r="S28" s="11" t="s">
        <v>49</v>
      </c>
      <c r="T28" s="31" t="s">
        <v>271</v>
      </c>
    </row>
    <row r="29" spans="2:22" ht="14.25" x14ac:dyDescent="0.2">
      <c r="B29" s="4" t="s">
        <v>38</v>
      </c>
      <c r="C29" s="186" t="e">
        <f>(C17*C16)/C15</f>
        <v>#DIV/0!</v>
      </c>
      <c r="D29" s="2" t="s">
        <v>25</v>
      </c>
      <c r="E29" s="2"/>
      <c r="F29" s="2" t="s">
        <v>26</v>
      </c>
      <c r="G29" s="11"/>
      <c r="H29" s="11"/>
      <c r="I29" s="11"/>
      <c r="J29" s="13"/>
      <c r="K29" s="13"/>
      <c r="L29" s="11"/>
      <c r="M29" s="11"/>
      <c r="N29" s="11"/>
      <c r="O29" s="11"/>
      <c r="P29" s="22"/>
      <c r="Q29" s="22"/>
      <c r="R29" s="11"/>
      <c r="S29" s="11"/>
      <c r="T29" s="64"/>
    </row>
    <row r="30" spans="2:22" ht="14.25" x14ac:dyDescent="0.2">
      <c r="B30" s="4" t="s">
        <v>0</v>
      </c>
      <c r="C30" s="186" t="e">
        <f>'Level3 Soil'!D42</f>
        <v>#DIV/0!</v>
      </c>
      <c r="D30" s="109"/>
      <c r="E30" s="81">
        <v>1</v>
      </c>
      <c r="F30" s="64">
        <f>$C$18/20*E30</f>
        <v>0</v>
      </c>
      <c r="G30" s="11">
        <f t="shared" ref="G30:G49" si="15">0.125</f>
        <v>0.125</v>
      </c>
      <c r="H30" s="132" t="e">
        <f t="shared" ref="H30:H49" si="16">$F30/(2*$C$22)*(1-(1+(4*$C$10*$C$22)/$C$31)^0.5)</f>
        <v>#DIV/0!</v>
      </c>
      <c r="I30" s="132" t="e">
        <f>EXP(H30)</f>
        <v>#DIV/0!</v>
      </c>
      <c r="J30" s="133" t="e">
        <f>1/(2*(SQRT($C$22*$C$31*$C$21)))*($F30-($C$31*$C$21)*(1+(4*$C$10*$C$22)/$C$31)^0.5)</f>
        <v>#DIV/0!</v>
      </c>
      <c r="K30" s="22" t="e">
        <f t="shared" ref="K30:K49" si="17">IF(J30&lt;-4,2,IF(J30&gt;4,0,IF(J30&gt;=0,ERFC(J30),1+ERF(-J30))))</f>
        <v>#DIV/0!</v>
      </c>
      <c r="L30" s="132" t="e">
        <f>(($C$19+0.5*$C$11)/(2*SQRT($C$23*$F30)))</f>
        <v>#DIV/0!</v>
      </c>
      <c r="M30" s="22" t="e">
        <f t="shared" ref="M30:M49" si="18">IF(L30&lt;0,IF(L30&lt;-10,-1,-ERF(-L30)),IF(L30&gt;10,1,ERF(L30)))</f>
        <v>#DIV/0!</v>
      </c>
      <c r="N30" s="132" t="e">
        <f>(($C$19-0.5*$C$11)/(2*SQRT($C$23*$F30)))</f>
        <v>#DIV/0!</v>
      </c>
      <c r="O30" s="22" t="e">
        <f t="shared" ref="O30:O49" si="19">IF(N30&lt;0,IF(N30&lt;-10,-1,-ERF(-N30)),IF(N30&gt;10,1,ERF(N30)))</f>
        <v>#DIV/0!</v>
      </c>
      <c r="P30" s="133" t="e">
        <f>(($C$20+$C$12)/(2*SQRT($C$24*$F30)))</f>
        <v>#DIV/0!</v>
      </c>
      <c r="Q30" s="22" t="e">
        <f t="shared" ref="Q30:Q49" si="20">IF(P30&lt;0,IF(P30&lt;-10,-1,-ERF(-P30)),IF(P30&gt;10,1,ERF(P30)))</f>
        <v>#DIV/0!</v>
      </c>
      <c r="R30" s="132" t="e">
        <f>(($C$20-$C$12)/(2*SQRT($C$24*$F30)))</f>
        <v>#DIV/0!</v>
      </c>
      <c r="S30" s="22" t="e">
        <f t="shared" ref="S30:S49" si="21">IF(R30&lt;0,IF(R30&lt;-10,-1,-ERF(-R30)),IF(R30&gt;10,1,ERF(R30)))</f>
        <v>#DIV/0!</v>
      </c>
      <c r="T30" s="130" t="e">
        <f>G30*I30*K30*(M30-O30)*(Q30-S30)</f>
        <v>#DIV/0!</v>
      </c>
    </row>
    <row r="31" spans="2:22" ht="14.25" x14ac:dyDescent="0.2">
      <c r="B31" s="4" t="s">
        <v>41</v>
      </c>
      <c r="C31" s="186" t="e">
        <f>C29/C30</f>
        <v>#DIV/0!</v>
      </c>
      <c r="D31" s="2" t="s">
        <v>25</v>
      </c>
      <c r="E31" s="81">
        <v>2</v>
      </c>
      <c r="F31" s="64">
        <f t="shared" ref="F31:F49" si="22">$C$18/20*E31</f>
        <v>0</v>
      </c>
      <c r="G31" s="11">
        <f t="shared" si="15"/>
        <v>0.125</v>
      </c>
      <c r="H31" s="132" t="e">
        <f t="shared" si="16"/>
        <v>#DIV/0!</v>
      </c>
      <c r="I31" s="132" t="e">
        <f t="shared" ref="I31:I49" si="23">EXP(H31)</f>
        <v>#DIV/0!</v>
      </c>
      <c r="J31" s="133" t="e">
        <f t="shared" ref="J31:J49" si="24">1/(2*(SQRT($C$22*$C$31*$C$21)))*($F31-($C$31*$C$21)*(1+(4*$C$10*$C$22)/$C$31)^0.5)</f>
        <v>#DIV/0!</v>
      </c>
      <c r="K31" s="22" t="e">
        <f t="shared" si="17"/>
        <v>#DIV/0!</v>
      </c>
      <c r="L31" s="132" t="e">
        <f t="shared" ref="L31:L49" si="25">(($C$19+0.5*$C$11)/(2*SQRT($C$23*$F31)))</f>
        <v>#DIV/0!</v>
      </c>
      <c r="M31" s="22" t="e">
        <f t="shared" si="18"/>
        <v>#DIV/0!</v>
      </c>
      <c r="N31" s="132" t="e">
        <f t="shared" ref="N31:N49" si="26">(($C$19-0.5*$C$11)/(2*SQRT($C$23*$F31)))</f>
        <v>#DIV/0!</v>
      </c>
      <c r="O31" s="22" t="e">
        <f t="shared" si="19"/>
        <v>#DIV/0!</v>
      </c>
      <c r="P31" s="133" t="e">
        <f t="shared" ref="P31:P49" si="27">(($C$20+$C$12)/(2*SQRT($C$24*$F31)))</f>
        <v>#DIV/0!</v>
      </c>
      <c r="Q31" s="22" t="e">
        <f t="shared" si="20"/>
        <v>#DIV/0!</v>
      </c>
      <c r="R31" s="132" t="e">
        <f t="shared" ref="R31:R49" si="28">(($C$20-$C$12)/(2*SQRT($C$24*$F31)))</f>
        <v>#DIV/0!</v>
      </c>
      <c r="S31" s="22" t="e">
        <f t="shared" si="21"/>
        <v>#DIV/0!</v>
      </c>
      <c r="T31" s="130" t="e">
        <f t="shared" ref="T31:T49" si="29">G31*I31*K31*(M31-O31)*(Q31-S31)</f>
        <v>#DIV/0!</v>
      </c>
    </row>
    <row r="32" spans="2:22" x14ac:dyDescent="0.2">
      <c r="E32" s="81">
        <v>3</v>
      </c>
      <c r="F32" s="64">
        <f t="shared" si="22"/>
        <v>0</v>
      </c>
      <c r="G32" s="11">
        <f t="shared" si="15"/>
        <v>0.125</v>
      </c>
      <c r="H32" s="132" t="e">
        <f t="shared" si="16"/>
        <v>#DIV/0!</v>
      </c>
      <c r="I32" s="132" t="e">
        <f t="shared" si="23"/>
        <v>#DIV/0!</v>
      </c>
      <c r="J32" s="133" t="e">
        <f t="shared" si="24"/>
        <v>#DIV/0!</v>
      </c>
      <c r="K32" s="22" t="e">
        <f t="shared" si="17"/>
        <v>#DIV/0!</v>
      </c>
      <c r="L32" s="132" t="e">
        <f t="shared" si="25"/>
        <v>#DIV/0!</v>
      </c>
      <c r="M32" s="22" t="e">
        <f t="shared" si="18"/>
        <v>#DIV/0!</v>
      </c>
      <c r="N32" s="132" t="e">
        <f t="shared" si="26"/>
        <v>#DIV/0!</v>
      </c>
      <c r="O32" s="22" t="e">
        <f t="shared" si="19"/>
        <v>#DIV/0!</v>
      </c>
      <c r="P32" s="133" t="e">
        <f t="shared" si="27"/>
        <v>#DIV/0!</v>
      </c>
      <c r="Q32" s="22" t="e">
        <f t="shared" si="20"/>
        <v>#DIV/0!</v>
      </c>
      <c r="R32" s="132" t="e">
        <f t="shared" si="28"/>
        <v>#DIV/0!</v>
      </c>
      <c r="S32" s="22" t="e">
        <f t="shared" si="21"/>
        <v>#DIV/0!</v>
      </c>
      <c r="T32" s="130" t="e">
        <f t="shared" si="29"/>
        <v>#DIV/0!</v>
      </c>
    </row>
    <row r="33" spans="2:20" x14ac:dyDescent="0.2">
      <c r="E33" s="81">
        <v>4</v>
      </c>
      <c r="F33" s="64">
        <f t="shared" si="22"/>
        <v>0</v>
      </c>
      <c r="G33" s="11">
        <f t="shared" si="15"/>
        <v>0.125</v>
      </c>
      <c r="H33" s="132" t="e">
        <f t="shared" si="16"/>
        <v>#DIV/0!</v>
      </c>
      <c r="I33" s="132" t="e">
        <f t="shared" si="23"/>
        <v>#DIV/0!</v>
      </c>
      <c r="J33" s="133" t="e">
        <f t="shared" si="24"/>
        <v>#DIV/0!</v>
      </c>
      <c r="K33" s="22" t="e">
        <f t="shared" si="17"/>
        <v>#DIV/0!</v>
      </c>
      <c r="L33" s="132" t="e">
        <f t="shared" si="25"/>
        <v>#DIV/0!</v>
      </c>
      <c r="M33" s="22" t="e">
        <f t="shared" si="18"/>
        <v>#DIV/0!</v>
      </c>
      <c r="N33" s="132" t="e">
        <f t="shared" si="26"/>
        <v>#DIV/0!</v>
      </c>
      <c r="O33" s="22" t="e">
        <f t="shared" si="19"/>
        <v>#DIV/0!</v>
      </c>
      <c r="P33" s="133" t="e">
        <f t="shared" si="27"/>
        <v>#DIV/0!</v>
      </c>
      <c r="Q33" s="22" t="e">
        <f t="shared" si="20"/>
        <v>#DIV/0!</v>
      </c>
      <c r="R33" s="132" t="e">
        <f t="shared" si="28"/>
        <v>#DIV/0!</v>
      </c>
      <c r="S33" s="22" t="e">
        <f t="shared" si="21"/>
        <v>#DIV/0!</v>
      </c>
      <c r="T33" s="130" t="e">
        <f t="shared" si="29"/>
        <v>#DIV/0!</v>
      </c>
    </row>
    <row r="34" spans="2:20" x14ac:dyDescent="0.2">
      <c r="E34" s="81">
        <v>5</v>
      </c>
      <c r="F34" s="64">
        <f t="shared" si="22"/>
        <v>0</v>
      </c>
      <c r="G34" s="11">
        <f t="shared" si="15"/>
        <v>0.125</v>
      </c>
      <c r="H34" s="132" t="e">
        <f t="shared" si="16"/>
        <v>#DIV/0!</v>
      </c>
      <c r="I34" s="132" t="e">
        <f t="shared" si="23"/>
        <v>#DIV/0!</v>
      </c>
      <c r="J34" s="133" t="e">
        <f t="shared" si="24"/>
        <v>#DIV/0!</v>
      </c>
      <c r="K34" s="22" t="e">
        <f t="shared" si="17"/>
        <v>#DIV/0!</v>
      </c>
      <c r="L34" s="132" t="e">
        <f t="shared" si="25"/>
        <v>#DIV/0!</v>
      </c>
      <c r="M34" s="22" t="e">
        <f t="shared" si="18"/>
        <v>#DIV/0!</v>
      </c>
      <c r="N34" s="132" t="e">
        <f t="shared" si="26"/>
        <v>#DIV/0!</v>
      </c>
      <c r="O34" s="22" t="e">
        <f t="shared" si="19"/>
        <v>#DIV/0!</v>
      </c>
      <c r="P34" s="133" t="e">
        <f t="shared" si="27"/>
        <v>#DIV/0!</v>
      </c>
      <c r="Q34" s="22" t="e">
        <f t="shared" si="20"/>
        <v>#DIV/0!</v>
      </c>
      <c r="R34" s="132" t="e">
        <f t="shared" si="28"/>
        <v>#DIV/0!</v>
      </c>
      <c r="S34" s="22" t="e">
        <f t="shared" si="21"/>
        <v>#DIV/0!</v>
      </c>
      <c r="T34" s="130" t="e">
        <f t="shared" si="29"/>
        <v>#DIV/0!</v>
      </c>
    </row>
    <row r="35" spans="2:20" x14ac:dyDescent="0.2">
      <c r="E35" s="81">
        <v>6</v>
      </c>
      <c r="F35" s="64">
        <f t="shared" si="22"/>
        <v>0</v>
      </c>
      <c r="G35" s="11">
        <f t="shared" si="15"/>
        <v>0.125</v>
      </c>
      <c r="H35" s="132" t="e">
        <f t="shared" si="16"/>
        <v>#DIV/0!</v>
      </c>
      <c r="I35" s="132" t="e">
        <f t="shared" si="23"/>
        <v>#DIV/0!</v>
      </c>
      <c r="J35" s="133" t="e">
        <f t="shared" si="24"/>
        <v>#DIV/0!</v>
      </c>
      <c r="K35" s="22" t="e">
        <f t="shared" si="17"/>
        <v>#DIV/0!</v>
      </c>
      <c r="L35" s="132" t="e">
        <f t="shared" si="25"/>
        <v>#DIV/0!</v>
      </c>
      <c r="M35" s="22" t="e">
        <f t="shared" si="18"/>
        <v>#DIV/0!</v>
      </c>
      <c r="N35" s="132" t="e">
        <f t="shared" si="26"/>
        <v>#DIV/0!</v>
      </c>
      <c r="O35" s="22" t="e">
        <f t="shared" si="19"/>
        <v>#DIV/0!</v>
      </c>
      <c r="P35" s="133" t="e">
        <f t="shared" si="27"/>
        <v>#DIV/0!</v>
      </c>
      <c r="Q35" s="22" t="e">
        <f t="shared" si="20"/>
        <v>#DIV/0!</v>
      </c>
      <c r="R35" s="132" t="e">
        <f t="shared" si="28"/>
        <v>#DIV/0!</v>
      </c>
      <c r="S35" s="22" t="e">
        <f t="shared" si="21"/>
        <v>#DIV/0!</v>
      </c>
      <c r="T35" s="130" t="e">
        <f t="shared" si="29"/>
        <v>#DIV/0!</v>
      </c>
    </row>
    <row r="36" spans="2:20" x14ac:dyDescent="0.2">
      <c r="E36" s="81">
        <v>7</v>
      </c>
      <c r="F36" s="64">
        <f t="shared" si="22"/>
        <v>0</v>
      </c>
      <c r="G36" s="11">
        <f t="shared" si="15"/>
        <v>0.125</v>
      </c>
      <c r="H36" s="132" t="e">
        <f t="shared" si="16"/>
        <v>#DIV/0!</v>
      </c>
      <c r="I36" s="132" t="e">
        <f t="shared" si="23"/>
        <v>#DIV/0!</v>
      </c>
      <c r="J36" s="133" t="e">
        <f t="shared" si="24"/>
        <v>#DIV/0!</v>
      </c>
      <c r="K36" s="22" t="e">
        <f t="shared" si="17"/>
        <v>#DIV/0!</v>
      </c>
      <c r="L36" s="132" t="e">
        <f t="shared" si="25"/>
        <v>#DIV/0!</v>
      </c>
      <c r="M36" s="22" t="e">
        <f t="shared" si="18"/>
        <v>#DIV/0!</v>
      </c>
      <c r="N36" s="132" t="e">
        <f t="shared" si="26"/>
        <v>#DIV/0!</v>
      </c>
      <c r="O36" s="22" t="e">
        <f t="shared" si="19"/>
        <v>#DIV/0!</v>
      </c>
      <c r="P36" s="133" t="e">
        <f t="shared" si="27"/>
        <v>#DIV/0!</v>
      </c>
      <c r="Q36" s="22" t="e">
        <f t="shared" si="20"/>
        <v>#DIV/0!</v>
      </c>
      <c r="R36" s="132" t="e">
        <f t="shared" si="28"/>
        <v>#DIV/0!</v>
      </c>
      <c r="S36" s="22" t="e">
        <f t="shared" si="21"/>
        <v>#DIV/0!</v>
      </c>
      <c r="T36" s="130" t="e">
        <f t="shared" si="29"/>
        <v>#DIV/0!</v>
      </c>
    </row>
    <row r="37" spans="2:20" x14ac:dyDescent="0.2">
      <c r="E37" s="81">
        <v>8</v>
      </c>
      <c r="F37" s="64">
        <f t="shared" si="22"/>
        <v>0</v>
      </c>
      <c r="G37" s="11">
        <f t="shared" si="15"/>
        <v>0.125</v>
      </c>
      <c r="H37" s="132" t="e">
        <f t="shared" si="16"/>
        <v>#DIV/0!</v>
      </c>
      <c r="I37" s="132" t="e">
        <f t="shared" si="23"/>
        <v>#DIV/0!</v>
      </c>
      <c r="J37" s="133" t="e">
        <f t="shared" si="24"/>
        <v>#DIV/0!</v>
      </c>
      <c r="K37" s="22" t="e">
        <f t="shared" si="17"/>
        <v>#DIV/0!</v>
      </c>
      <c r="L37" s="132" t="e">
        <f t="shared" si="25"/>
        <v>#DIV/0!</v>
      </c>
      <c r="M37" s="22" t="e">
        <f t="shared" si="18"/>
        <v>#DIV/0!</v>
      </c>
      <c r="N37" s="132" t="e">
        <f t="shared" si="26"/>
        <v>#DIV/0!</v>
      </c>
      <c r="O37" s="22" t="e">
        <f t="shared" si="19"/>
        <v>#DIV/0!</v>
      </c>
      <c r="P37" s="133" t="e">
        <f t="shared" si="27"/>
        <v>#DIV/0!</v>
      </c>
      <c r="Q37" s="22" t="e">
        <f t="shared" si="20"/>
        <v>#DIV/0!</v>
      </c>
      <c r="R37" s="132" t="e">
        <f t="shared" si="28"/>
        <v>#DIV/0!</v>
      </c>
      <c r="S37" s="22" t="e">
        <f t="shared" si="21"/>
        <v>#DIV/0!</v>
      </c>
      <c r="T37" s="130" t="e">
        <f t="shared" si="29"/>
        <v>#DIV/0!</v>
      </c>
    </row>
    <row r="38" spans="2:20" x14ac:dyDescent="0.2">
      <c r="E38" s="81">
        <v>9</v>
      </c>
      <c r="F38" s="64">
        <f t="shared" si="22"/>
        <v>0</v>
      </c>
      <c r="G38" s="11">
        <f t="shared" si="15"/>
        <v>0.125</v>
      </c>
      <c r="H38" s="132" t="e">
        <f t="shared" si="16"/>
        <v>#DIV/0!</v>
      </c>
      <c r="I38" s="132" t="e">
        <f t="shared" si="23"/>
        <v>#DIV/0!</v>
      </c>
      <c r="J38" s="133" t="e">
        <f t="shared" si="24"/>
        <v>#DIV/0!</v>
      </c>
      <c r="K38" s="22" t="e">
        <f t="shared" si="17"/>
        <v>#DIV/0!</v>
      </c>
      <c r="L38" s="132" t="e">
        <f t="shared" si="25"/>
        <v>#DIV/0!</v>
      </c>
      <c r="M38" s="22" t="e">
        <f t="shared" si="18"/>
        <v>#DIV/0!</v>
      </c>
      <c r="N38" s="132" t="e">
        <f t="shared" si="26"/>
        <v>#DIV/0!</v>
      </c>
      <c r="O38" s="22" t="e">
        <f t="shared" si="19"/>
        <v>#DIV/0!</v>
      </c>
      <c r="P38" s="133" t="e">
        <f t="shared" si="27"/>
        <v>#DIV/0!</v>
      </c>
      <c r="Q38" s="22" t="e">
        <f t="shared" si="20"/>
        <v>#DIV/0!</v>
      </c>
      <c r="R38" s="132" t="e">
        <f t="shared" si="28"/>
        <v>#DIV/0!</v>
      </c>
      <c r="S38" s="22" t="e">
        <f t="shared" si="21"/>
        <v>#DIV/0!</v>
      </c>
      <c r="T38" s="130" t="e">
        <f t="shared" si="29"/>
        <v>#DIV/0!</v>
      </c>
    </row>
    <row r="39" spans="2:20" x14ac:dyDescent="0.2">
      <c r="E39" s="81">
        <v>10</v>
      </c>
      <c r="F39" s="64">
        <f t="shared" si="22"/>
        <v>0</v>
      </c>
      <c r="G39" s="11">
        <f t="shared" si="15"/>
        <v>0.125</v>
      </c>
      <c r="H39" s="132" t="e">
        <f t="shared" si="16"/>
        <v>#DIV/0!</v>
      </c>
      <c r="I39" s="132" t="e">
        <f t="shared" si="23"/>
        <v>#DIV/0!</v>
      </c>
      <c r="J39" s="133" t="e">
        <f t="shared" si="24"/>
        <v>#DIV/0!</v>
      </c>
      <c r="K39" s="22" t="e">
        <f t="shared" si="17"/>
        <v>#DIV/0!</v>
      </c>
      <c r="L39" s="132" t="e">
        <f t="shared" si="25"/>
        <v>#DIV/0!</v>
      </c>
      <c r="M39" s="22" t="e">
        <f t="shared" si="18"/>
        <v>#DIV/0!</v>
      </c>
      <c r="N39" s="132" t="e">
        <f t="shared" si="26"/>
        <v>#DIV/0!</v>
      </c>
      <c r="O39" s="22" t="e">
        <f t="shared" si="19"/>
        <v>#DIV/0!</v>
      </c>
      <c r="P39" s="133" t="e">
        <f t="shared" si="27"/>
        <v>#DIV/0!</v>
      </c>
      <c r="Q39" s="22" t="e">
        <f t="shared" si="20"/>
        <v>#DIV/0!</v>
      </c>
      <c r="R39" s="132" t="e">
        <f t="shared" si="28"/>
        <v>#DIV/0!</v>
      </c>
      <c r="S39" s="22" t="e">
        <f t="shared" si="21"/>
        <v>#DIV/0!</v>
      </c>
      <c r="T39" s="130" t="e">
        <f t="shared" si="29"/>
        <v>#DIV/0!</v>
      </c>
    </row>
    <row r="40" spans="2:20" x14ac:dyDescent="0.2">
      <c r="E40" s="81">
        <v>11</v>
      </c>
      <c r="F40" s="64">
        <f t="shared" si="22"/>
        <v>0</v>
      </c>
      <c r="G40" s="11">
        <f t="shared" si="15"/>
        <v>0.125</v>
      </c>
      <c r="H40" s="132" t="e">
        <f t="shared" si="16"/>
        <v>#DIV/0!</v>
      </c>
      <c r="I40" s="132" t="e">
        <f t="shared" si="23"/>
        <v>#DIV/0!</v>
      </c>
      <c r="J40" s="133" t="e">
        <f t="shared" si="24"/>
        <v>#DIV/0!</v>
      </c>
      <c r="K40" s="22" t="e">
        <f t="shared" si="17"/>
        <v>#DIV/0!</v>
      </c>
      <c r="L40" s="132" t="e">
        <f t="shared" si="25"/>
        <v>#DIV/0!</v>
      </c>
      <c r="M40" s="22" t="e">
        <f t="shared" si="18"/>
        <v>#DIV/0!</v>
      </c>
      <c r="N40" s="132" t="e">
        <f t="shared" si="26"/>
        <v>#DIV/0!</v>
      </c>
      <c r="O40" s="22" t="e">
        <f t="shared" si="19"/>
        <v>#DIV/0!</v>
      </c>
      <c r="P40" s="133" t="e">
        <f t="shared" si="27"/>
        <v>#DIV/0!</v>
      </c>
      <c r="Q40" s="22" t="e">
        <f t="shared" si="20"/>
        <v>#DIV/0!</v>
      </c>
      <c r="R40" s="132" t="e">
        <f t="shared" si="28"/>
        <v>#DIV/0!</v>
      </c>
      <c r="S40" s="22" t="e">
        <f t="shared" si="21"/>
        <v>#DIV/0!</v>
      </c>
      <c r="T40" s="130" t="e">
        <f t="shared" si="29"/>
        <v>#DIV/0!</v>
      </c>
    </row>
    <row r="41" spans="2:20" x14ac:dyDescent="0.2">
      <c r="E41" s="81">
        <v>12</v>
      </c>
      <c r="F41" s="64">
        <f t="shared" si="22"/>
        <v>0</v>
      </c>
      <c r="G41" s="11">
        <f t="shared" si="15"/>
        <v>0.125</v>
      </c>
      <c r="H41" s="132" t="e">
        <f t="shared" si="16"/>
        <v>#DIV/0!</v>
      </c>
      <c r="I41" s="132" t="e">
        <f t="shared" si="23"/>
        <v>#DIV/0!</v>
      </c>
      <c r="J41" s="133" t="e">
        <f t="shared" si="24"/>
        <v>#DIV/0!</v>
      </c>
      <c r="K41" s="22" t="e">
        <f t="shared" si="17"/>
        <v>#DIV/0!</v>
      </c>
      <c r="L41" s="132" t="e">
        <f t="shared" si="25"/>
        <v>#DIV/0!</v>
      </c>
      <c r="M41" s="22" t="e">
        <f t="shared" si="18"/>
        <v>#DIV/0!</v>
      </c>
      <c r="N41" s="132" t="e">
        <f t="shared" si="26"/>
        <v>#DIV/0!</v>
      </c>
      <c r="O41" s="22" t="e">
        <f t="shared" si="19"/>
        <v>#DIV/0!</v>
      </c>
      <c r="P41" s="133" t="e">
        <f t="shared" si="27"/>
        <v>#DIV/0!</v>
      </c>
      <c r="Q41" s="22" t="e">
        <f t="shared" si="20"/>
        <v>#DIV/0!</v>
      </c>
      <c r="R41" s="132" t="e">
        <f t="shared" si="28"/>
        <v>#DIV/0!</v>
      </c>
      <c r="S41" s="22" t="e">
        <f t="shared" si="21"/>
        <v>#DIV/0!</v>
      </c>
      <c r="T41" s="130" t="e">
        <f t="shared" si="29"/>
        <v>#DIV/0!</v>
      </c>
    </row>
    <row r="42" spans="2:20" x14ac:dyDescent="0.2">
      <c r="E42" s="81">
        <v>13</v>
      </c>
      <c r="F42" s="64">
        <f t="shared" si="22"/>
        <v>0</v>
      </c>
      <c r="G42" s="11">
        <f t="shared" si="15"/>
        <v>0.125</v>
      </c>
      <c r="H42" s="132" t="e">
        <f t="shared" si="16"/>
        <v>#DIV/0!</v>
      </c>
      <c r="I42" s="132" t="e">
        <f t="shared" si="23"/>
        <v>#DIV/0!</v>
      </c>
      <c r="J42" s="133" t="e">
        <f t="shared" si="24"/>
        <v>#DIV/0!</v>
      </c>
      <c r="K42" s="22" t="e">
        <f t="shared" si="17"/>
        <v>#DIV/0!</v>
      </c>
      <c r="L42" s="132" t="e">
        <f t="shared" si="25"/>
        <v>#DIV/0!</v>
      </c>
      <c r="M42" s="22" t="e">
        <f t="shared" si="18"/>
        <v>#DIV/0!</v>
      </c>
      <c r="N42" s="132" t="e">
        <f t="shared" si="26"/>
        <v>#DIV/0!</v>
      </c>
      <c r="O42" s="22" t="e">
        <f t="shared" si="19"/>
        <v>#DIV/0!</v>
      </c>
      <c r="P42" s="133" t="e">
        <f t="shared" si="27"/>
        <v>#DIV/0!</v>
      </c>
      <c r="Q42" s="22" t="e">
        <f t="shared" si="20"/>
        <v>#DIV/0!</v>
      </c>
      <c r="R42" s="132" t="e">
        <f t="shared" si="28"/>
        <v>#DIV/0!</v>
      </c>
      <c r="S42" s="22" t="e">
        <f t="shared" si="21"/>
        <v>#DIV/0!</v>
      </c>
      <c r="T42" s="130" t="e">
        <f t="shared" si="29"/>
        <v>#DIV/0!</v>
      </c>
    </row>
    <row r="43" spans="2:20" x14ac:dyDescent="0.2">
      <c r="E43" s="81">
        <v>14</v>
      </c>
      <c r="F43" s="64">
        <f t="shared" si="22"/>
        <v>0</v>
      </c>
      <c r="G43" s="11">
        <f t="shared" si="15"/>
        <v>0.125</v>
      </c>
      <c r="H43" s="132" t="e">
        <f t="shared" si="16"/>
        <v>#DIV/0!</v>
      </c>
      <c r="I43" s="132" t="e">
        <f t="shared" si="23"/>
        <v>#DIV/0!</v>
      </c>
      <c r="J43" s="133" t="e">
        <f t="shared" si="24"/>
        <v>#DIV/0!</v>
      </c>
      <c r="K43" s="22" t="e">
        <f t="shared" si="17"/>
        <v>#DIV/0!</v>
      </c>
      <c r="L43" s="132" t="e">
        <f t="shared" si="25"/>
        <v>#DIV/0!</v>
      </c>
      <c r="M43" s="22" t="e">
        <f t="shared" si="18"/>
        <v>#DIV/0!</v>
      </c>
      <c r="N43" s="132" t="e">
        <f t="shared" si="26"/>
        <v>#DIV/0!</v>
      </c>
      <c r="O43" s="22" t="e">
        <f t="shared" si="19"/>
        <v>#DIV/0!</v>
      </c>
      <c r="P43" s="133" t="e">
        <f t="shared" si="27"/>
        <v>#DIV/0!</v>
      </c>
      <c r="Q43" s="22" t="e">
        <f t="shared" si="20"/>
        <v>#DIV/0!</v>
      </c>
      <c r="R43" s="132" t="e">
        <f t="shared" si="28"/>
        <v>#DIV/0!</v>
      </c>
      <c r="S43" s="22" t="e">
        <f t="shared" si="21"/>
        <v>#DIV/0!</v>
      </c>
      <c r="T43" s="130" t="e">
        <f t="shared" si="29"/>
        <v>#DIV/0!</v>
      </c>
    </row>
    <row r="44" spans="2:20" x14ac:dyDescent="0.2">
      <c r="E44" s="81">
        <v>15</v>
      </c>
      <c r="F44" s="64">
        <f t="shared" si="22"/>
        <v>0</v>
      </c>
      <c r="G44" s="11">
        <f t="shared" si="15"/>
        <v>0.125</v>
      </c>
      <c r="H44" s="132" t="e">
        <f t="shared" si="16"/>
        <v>#DIV/0!</v>
      </c>
      <c r="I44" s="132" t="e">
        <f t="shared" si="23"/>
        <v>#DIV/0!</v>
      </c>
      <c r="J44" s="133" t="e">
        <f t="shared" si="24"/>
        <v>#DIV/0!</v>
      </c>
      <c r="K44" s="22" t="e">
        <f t="shared" si="17"/>
        <v>#DIV/0!</v>
      </c>
      <c r="L44" s="132" t="e">
        <f t="shared" si="25"/>
        <v>#DIV/0!</v>
      </c>
      <c r="M44" s="22" t="e">
        <f t="shared" si="18"/>
        <v>#DIV/0!</v>
      </c>
      <c r="N44" s="132" t="e">
        <f t="shared" si="26"/>
        <v>#DIV/0!</v>
      </c>
      <c r="O44" s="22" t="e">
        <f t="shared" si="19"/>
        <v>#DIV/0!</v>
      </c>
      <c r="P44" s="133" t="e">
        <f t="shared" si="27"/>
        <v>#DIV/0!</v>
      </c>
      <c r="Q44" s="22" t="e">
        <f t="shared" si="20"/>
        <v>#DIV/0!</v>
      </c>
      <c r="R44" s="132" t="e">
        <f t="shared" si="28"/>
        <v>#DIV/0!</v>
      </c>
      <c r="S44" s="22" t="e">
        <f t="shared" si="21"/>
        <v>#DIV/0!</v>
      </c>
      <c r="T44" s="130" t="e">
        <f t="shared" si="29"/>
        <v>#DIV/0!</v>
      </c>
    </row>
    <row r="45" spans="2:20" x14ac:dyDescent="0.2">
      <c r="E45" s="81">
        <v>16</v>
      </c>
      <c r="F45" s="64">
        <f t="shared" si="22"/>
        <v>0</v>
      </c>
      <c r="G45" s="11">
        <f t="shared" si="15"/>
        <v>0.125</v>
      </c>
      <c r="H45" s="132" t="e">
        <f t="shared" si="16"/>
        <v>#DIV/0!</v>
      </c>
      <c r="I45" s="132" t="e">
        <f t="shared" si="23"/>
        <v>#DIV/0!</v>
      </c>
      <c r="J45" s="133" t="e">
        <f t="shared" si="24"/>
        <v>#DIV/0!</v>
      </c>
      <c r="K45" s="22" t="e">
        <f t="shared" si="17"/>
        <v>#DIV/0!</v>
      </c>
      <c r="L45" s="132" t="e">
        <f t="shared" si="25"/>
        <v>#DIV/0!</v>
      </c>
      <c r="M45" s="22" t="e">
        <f t="shared" si="18"/>
        <v>#DIV/0!</v>
      </c>
      <c r="N45" s="132" t="e">
        <f t="shared" si="26"/>
        <v>#DIV/0!</v>
      </c>
      <c r="O45" s="22" t="e">
        <f t="shared" si="19"/>
        <v>#DIV/0!</v>
      </c>
      <c r="P45" s="133" t="e">
        <f t="shared" si="27"/>
        <v>#DIV/0!</v>
      </c>
      <c r="Q45" s="22" t="e">
        <f t="shared" si="20"/>
        <v>#DIV/0!</v>
      </c>
      <c r="R45" s="132" t="e">
        <f t="shared" si="28"/>
        <v>#DIV/0!</v>
      </c>
      <c r="S45" s="22" t="e">
        <f t="shared" si="21"/>
        <v>#DIV/0!</v>
      </c>
      <c r="T45" s="130" t="e">
        <f t="shared" si="29"/>
        <v>#DIV/0!</v>
      </c>
    </row>
    <row r="46" spans="2:20" x14ac:dyDescent="0.2">
      <c r="E46" s="81">
        <v>17</v>
      </c>
      <c r="F46" s="64">
        <f t="shared" si="22"/>
        <v>0</v>
      </c>
      <c r="G46" s="11">
        <f t="shared" si="15"/>
        <v>0.125</v>
      </c>
      <c r="H46" s="132" t="e">
        <f t="shared" si="16"/>
        <v>#DIV/0!</v>
      </c>
      <c r="I46" s="132" t="e">
        <f t="shared" si="23"/>
        <v>#DIV/0!</v>
      </c>
      <c r="J46" s="133" t="e">
        <f t="shared" si="24"/>
        <v>#DIV/0!</v>
      </c>
      <c r="K46" s="22" t="e">
        <f t="shared" si="17"/>
        <v>#DIV/0!</v>
      </c>
      <c r="L46" s="132" t="e">
        <f t="shared" si="25"/>
        <v>#DIV/0!</v>
      </c>
      <c r="M46" s="22" t="e">
        <f t="shared" si="18"/>
        <v>#DIV/0!</v>
      </c>
      <c r="N46" s="132" t="e">
        <f t="shared" si="26"/>
        <v>#DIV/0!</v>
      </c>
      <c r="O46" s="22" t="e">
        <f t="shared" si="19"/>
        <v>#DIV/0!</v>
      </c>
      <c r="P46" s="133" t="e">
        <f t="shared" si="27"/>
        <v>#DIV/0!</v>
      </c>
      <c r="Q46" s="22" t="e">
        <f t="shared" si="20"/>
        <v>#DIV/0!</v>
      </c>
      <c r="R46" s="132" t="e">
        <f t="shared" si="28"/>
        <v>#DIV/0!</v>
      </c>
      <c r="S46" s="22" t="e">
        <f t="shared" si="21"/>
        <v>#DIV/0!</v>
      </c>
      <c r="T46" s="130" t="e">
        <f t="shared" si="29"/>
        <v>#DIV/0!</v>
      </c>
    </row>
    <row r="47" spans="2:20" x14ac:dyDescent="0.2">
      <c r="E47" s="81">
        <v>18</v>
      </c>
      <c r="F47" s="64">
        <f t="shared" si="22"/>
        <v>0</v>
      </c>
      <c r="G47" s="11">
        <f t="shared" si="15"/>
        <v>0.125</v>
      </c>
      <c r="H47" s="132" t="e">
        <f t="shared" si="16"/>
        <v>#DIV/0!</v>
      </c>
      <c r="I47" s="132" t="e">
        <f t="shared" si="23"/>
        <v>#DIV/0!</v>
      </c>
      <c r="J47" s="133" t="e">
        <f t="shared" si="24"/>
        <v>#DIV/0!</v>
      </c>
      <c r="K47" s="22" t="e">
        <f t="shared" si="17"/>
        <v>#DIV/0!</v>
      </c>
      <c r="L47" s="132" t="e">
        <f t="shared" si="25"/>
        <v>#DIV/0!</v>
      </c>
      <c r="M47" s="22" t="e">
        <f t="shared" si="18"/>
        <v>#DIV/0!</v>
      </c>
      <c r="N47" s="132" t="e">
        <f t="shared" si="26"/>
        <v>#DIV/0!</v>
      </c>
      <c r="O47" s="22" t="e">
        <f t="shared" si="19"/>
        <v>#DIV/0!</v>
      </c>
      <c r="P47" s="133" t="e">
        <f t="shared" si="27"/>
        <v>#DIV/0!</v>
      </c>
      <c r="Q47" s="22" t="e">
        <f t="shared" si="20"/>
        <v>#DIV/0!</v>
      </c>
      <c r="R47" s="132" t="e">
        <f t="shared" si="28"/>
        <v>#DIV/0!</v>
      </c>
      <c r="S47" s="22" t="e">
        <f t="shared" si="21"/>
        <v>#DIV/0!</v>
      </c>
      <c r="T47" s="130" t="e">
        <f t="shared" si="29"/>
        <v>#DIV/0!</v>
      </c>
    </row>
    <row r="48" spans="2:20" x14ac:dyDescent="0.2">
      <c r="B48" s="103" t="s">
        <v>142</v>
      </c>
      <c r="C48" s="108">
        <f>Introduction!B32</f>
        <v>43993</v>
      </c>
      <c r="D48" s="110"/>
      <c r="E48" s="81">
        <v>19</v>
      </c>
      <c r="F48" s="64">
        <f t="shared" si="22"/>
        <v>0</v>
      </c>
      <c r="G48" s="11">
        <f t="shared" si="15"/>
        <v>0.125</v>
      </c>
      <c r="H48" s="132" t="e">
        <f t="shared" si="16"/>
        <v>#DIV/0!</v>
      </c>
      <c r="I48" s="132" t="e">
        <f t="shared" si="23"/>
        <v>#DIV/0!</v>
      </c>
      <c r="J48" s="133" t="e">
        <f t="shared" si="24"/>
        <v>#DIV/0!</v>
      </c>
      <c r="K48" s="22" t="e">
        <f t="shared" si="17"/>
        <v>#DIV/0!</v>
      </c>
      <c r="L48" s="132" t="e">
        <f t="shared" si="25"/>
        <v>#DIV/0!</v>
      </c>
      <c r="M48" s="22" t="e">
        <f t="shared" si="18"/>
        <v>#DIV/0!</v>
      </c>
      <c r="N48" s="132" t="e">
        <f t="shared" si="26"/>
        <v>#DIV/0!</v>
      </c>
      <c r="O48" s="22" t="e">
        <f t="shared" si="19"/>
        <v>#DIV/0!</v>
      </c>
      <c r="P48" s="133" t="e">
        <f t="shared" si="27"/>
        <v>#DIV/0!</v>
      </c>
      <c r="Q48" s="22" t="e">
        <f t="shared" si="20"/>
        <v>#DIV/0!</v>
      </c>
      <c r="R48" s="132" t="e">
        <f t="shared" si="28"/>
        <v>#DIV/0!</v>
      </c>
      <c r="S48" s="22" t="e">
        <f t="shared" si="21"/>
        <v>#DIV/0!</v>
      </c>
      <c r="T48" s="130" t="e">
        <f t="shared" si="29"/>
        <v>#DIV/0!</v>
      </c>
    </row>
    <row r="49" spans="2:20" x14ac:dyDescent="0.2">
      <c r="B49" s="104" t="s">
        <v>158</v>
      </c>
      <c r="C49" s="107">
        <f>Introduction!E32</f>
        <v>1.01</v>
      </c>
      <c r="D49" s="111"/>
      <c r="E49" s="81">
        <v>20</v>
      </c>
      <c r="F49" s="64">
        <f t="shared" si="22"/>
        <v>0</v>
      </c>
      <c r="G49" s="11">
        <f t="shared" si="15"/>
        <v>0.125</v>
      </c>
      <c r="H49" s="132" t="e">
        <f t="shared" si="16"/>
        <v>#DIV/0!</v>
      </c>
      <c r="I49" s="132" t="e">
        <f t="shared" si="23"/>
        <v>#DIV/0!</v>
      </c>
      <c r="J49" s="133" t="e">
        <f t="shared" si="24"/>
        <v>#DIV/0!</v>
      </c>
      <c r="K49" s="22" t="e">
        <f t="shared" si="17"/>
        <v>#DIV/0!</v>
      </c>
      <c r="L49" s="132" t="e">
        <f t="shared" si="25"/>
        <v>#DIV/0!</v>
      </c>
      <c r="M49" s="22" t="e">
        <f t="shared" si="18"/>
        <v>#DIV/0!</v>
      </c>
      <c r="N49" s="132" t="e">
        <f t="shared" si="26"/>
        <v>#DIV/0!</v>
      </c>
      <c r="O49" s="22" t="e">
        <f t="shared" si="19"/>
        <v>#DIV/0!</v>
      </c>
      <c r="P49" s="133" t="e">
        <f t="shared" si="27"/>
        <v>#DIV/0!</v>
      </c>
      <c r="Q49" s="22" t="e">
        <f t="shared" si="20"/>
        <v>#DIV/0!</v>
      </c>
      <c r="R49" s="132" t="e">
        <f t="shared" si="28"/>
        <v>#DIV/0!</v>
      </c>
      <c r="S49" s="22" t="e">
        <f t="shared" si="21"/>
        <v>#DIV/0!</v>
      </c>
      <c r="T49" s="130" t="e">
        <f t="shared" si="29"/>
        <v>#DIV/0!</v>
      </c>
    </row>
  </sheetData>
  <sheetProtection password="CA8F" sheet="1" objects="1" scenarios="1"/>
  <phoneticPr fontId="0" type="noConversion"/>
  <pageMargins left="0.75" right="0.51" top="1" bottom="1" header="0.5" footer="0.5"/>
  <pageSetup paperSize="9" scale="58" orientation="landscape" verticalDpi="300"/>
  <headerFooter alignWithMargins="0">
    <oddFooter>&amp;LRemedial targets worksheet v3.1&amp;R&amp;D, &amp;T
&amp;F&amp;A</oddFooter>
  </headerFooter>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3">
    <pageSetUpPr fitToPage="1"/>
  </sheetPr>
  <dimension ref="B1:Y75"/>
  <sheetViews>
    <sheetView zoomScale="75" workbookViewId="0">
      <pane xSplit="3" topLeftCell="I1" activePane="topRight" state="frozenSplit"/>
      <selection activeCell="D33" sqref="D33"/>
      <selection pane="topRight" activeCell="M52" sqref="M52"/>
    </sheetView>
  </sheetViews>
  <sheetFormatPr defaultRowHeight="12.75" x14ac:dyDescent="0.2"/>
  <cols>
    <col min="1" max="1" width="2.140625" customWidth="1"/>
    <col min="2" max="2" width="21" style="2" customWidth="1"/>
    <col min="3" max="3" width="13.85546875" style="2" bestFit="1" customWidth="1"/>
    <col min="4" max="4" width="8.7109375" style="2" customWidth="1"/>
    <col min="5" max="5" width="5.85546875" customWidth="1"/>
    <col min="6" max="6" width="7.28515625" customWidth="1"/>
    <col min="7" max="7" width="8.140625" customWidth="1"/>
    <col min="8" max="8" width="9.85546875" customWidth="1"/>
    <col min="9" max="9" width="9.28515625" customWidth="1"/>
    <col min="10" max="10" width="9.5703125" customWidth="1"/>
    <col min="11" max="11" width="6.42578125" style="136" customWidth="1"/>
    <col min="12" max="12" width="8.140625" customWidth="1"/>
    <col min="13" max="13" width="10.140625" customWidth="1"/>
    <col min="14" max="14" width="8.140625" customWidth="1"/>
    <col min="15" max="15" width="7.85546875" style="136" customWidth="1"/>
    <col min="16" max="16" width="8.140625" customWidth="1"/>
    <col min="17" max="17" width="7.5703125" style="136" customWidth="1"/>
    <col min="18" max="18" width="9" customWidth="1"/>
    <col min="19" max="19" width="8.7109375" style="136" customWidth="1"/>
    <col min="20" max="20" width="8.140625" customWidth="1"/>
    <col min="21" max="21" width="7.28515625" style="136" customWidth="1"/>
    <col min="22" max="22" width="9.85546875" customWidth="1"/>
    <col min="23" max="23" width="8.7109375" style="136" customWidth="1"/>
    <col min="24" max="24" width="15.42578125" customWidth="1"/>
  </cols>
  <sheetData>
    <row r="1" spans="2:25" x14ac:dyDescent="0.2">
      <c r="F1" s="16" t="s">
        <v>57</v>
      </c>
    </row>
    <row r="2" spans="2:25" x14ac:dyDescent="0.2">
      <c r="B2" s="6" t="s">
        <v>89</v>
      </c>
      <c r="C2" s="6" t="str">
        <f>Introduction!B34</f>
        <v>SO4</v>
      </c>
      <c r="D2" s="6"/>
      <c r="F2" t="s">
        <v>223</v>
      </c>
    </row>
    <row r="3" spans="2:25" ht="14.25" x14ac:dyDescent="0.2">
      <c r="C3" s="3"/>
      <c r="D3" s="3"/>
      <c r="E3" s="2"/>
      <c r="F3" s="2" t="s">
        <v>52</v>
      </c>
      <c r="G3" s="11" t="s">
        <v>121</v>
      </c>
      <c r="H3" s="11" t="s">
        <v>122</v>
      </c>
      <c r="I3" s="11" t="s">
        <v>47</v>
      </c>
      <c r="J3" s="13" t="s">
        <v>123</v>
      </c>
      <c r="K3" s="139" t="s">
        <v>48</v>
      </c>
      <c r="L3" s="11" t="s">
        <v>124</v>
      </c>
      <c r="M3" s="11" t="s">
        <v>47</v>
      </c>
      <c r="N3" s="13" t="s">
        <v>125</v>
      </c>
      <c r="O3" s="139" t="s">
        <v>48</v>
      </c>
      <c r="P3" s="11" t="s">
        <v>126</v>
      </c>
      <c r="Q3" s="137" t="s">
        <v>49</v>
      </c>
      <c r="R3" s="11" t="s">
        <v>127</v>
      </c>
      <c r="S3" s="137" t="s">
        <v>49</v>
      </c>
      <c r="T3" s="22" t="s">
        <v>128</v>
      </c>
      <c r="U3" s="114" t="s">
        <v>49</v>
      </c>
      <c r="V3" s="22" t="s">
        <v>129</v>
      </c>
      <c r="W3" s="114" t="s">
        <v>49</v>
      </c>
      <c r="X3" s="2" t="s">
        <v>117</v>
      </c>
    </row>
    <row r="4" spans="2:25" ht="15.75" x14ac:dyDescent="0.25">
      <c r="B4" s="9" t="s">
        <v>46</v>
      </c>
      <c r="C4" s="9" t="s">
        <v>11</v>
      </c>
      <c r="D4" s="9" t="s">
        <v>159</v>
      </c>
      <c r="E4" s="2"/>
      <c r="F4" s="2"/>
      <c r="G4" s="11"/>
      <c r="H4" s="11"/>
      <c r="I4" s="11"/>
      <c r="J4" s="13"/>
      <c r="K4" s="139"/>
      <c r="L4" s="11"/>
      <c r="M4" s="11"/>
      <c r="N4" s="13"/>
      <c r="O4" s="139"/>
      <c r="P4" s="11"/>
      <c r="Q4" s="137"/>
      <c r="R4" s="11"/>
      <c r="S4" s="137"/>
      <c r="T4" s="22"/>
      <c r="U4" s="114"/>
      <c r="V4" s="22"/>
      <c r="W4" s="114"/>
      <c r="X4" s="2"/>
    </row>
    <row r="5" spans="2:25" ht="16.5" x14ac:dyDescent="0.2">
      <c r="B5" s="51" t="s">
        <v>97</v>
      </c>
      <c r="C5" s="8">
        <f>'Level3 Groundwater'!D9</f>
        <v>400</v>
      </c>
      <c r="D5" s="8" t="s">
        <v>22</v>
      </c>
      <c r="E5" s="64">
        <v>1</v>
      </c>
      <c r="F5" s="64">
        <f t="shared" ref="F5:F24" si="0">$C$17/20*E5</f>
        <v>0.05</v>
      </c>
      <c r="G5" s="11">
        <f t="shared" ref="G5:G24" si="1">0.125*$C$8</f>
        <v>12.5</v>
      </c>
      <c r="H5" s="134">
        <f>$F5/(2*$C$21)*(1-(1+(4*$C$9*$C$21)/$C$30)^0.5)</f>
        <v>0</v>
      </c>
      <c r="I5" s="134">
        <f t="shared" ref="I5:I24" si="2">EXP(H5)</f>
        <v>1</v>
      </c>
      <c r="J5" s="135">
        <f t="shared" ref="J5:J24" si="3">1/(2*(SQRT($C$21*$C$30*$C$20)))*($F5-($C$30*$C$20)*(1+(4*$C$9*$C$21)/$C$30)^0.5)</f>
        <v>-1.431458784745512</v>
      </c>
      <c r="K5" s="114">
        <f t="shared" ref="K5:K24" si="4">IF(J5&lt;-4,2,IF(J5&gt;4,0,IF(J5&gt;=0,ERFC(J5),1+ERF(-J5))))</f>
        <v>1.9570697984560219</v>
      </c>
      <c r="L5" s="134">
        <f t="shared" ref="L5:L24" si="5">$F5/(2*$C$21)*(1+(1+(4*$C$9*$C$21)/$C$30)^0.5)</f>
        <v>0.5</v>
      </c>
      <c r="M5" s="134">
        <f t="shared" ref="M5:M24" si="6">IF(L5&gt;700,EXP(700),EXP(L5))</f>
        <v>1.6487212707001282</v>
      </c>
      <c r="N5" s="135">
        <f t="shared" ref="N5:N24" si="7">1/(2*(SQRT($C$21*$C$30*$C$20)))*($F5+($C$30*$C$20)*(1+(4*$C$9*$C$21)/$C$30)^0.5)</f>
        <v>1.5965820531451238</v>
      </c>
      <c r="O5" s="114">
        <f t="shared" ref="O5:O24" si="8">IF(N5&lt;-4,2,IF(N5&gt;4,0,IF(N5&gt;=0,ERFC(N5),1+ERF(-N5))))</f>
        <v>2.3951396198178529E-2</v>
      </c>
      <c r="P5" s="134">
        <f t="shared" ref="P5:P24" si="9">(($C$18+0.5*$C$10)/(2*SQRT($C$22*$F5)))</f>
        <v>1118.0339887498949</v>
      </c>
      <c r="Q5" s="22">
        <f t="shared" ref="Q5:Q24" si="10">IF(P5&lt;0,IF(P5&lt;-10,-1,-ERF(-P5)),IF(P5&gt;10,1,ERF(P5)))</f>
        <v>1</v>
      </c>
      <c r="R5" s="134">
        <f t="shared" ref="R5:R24" si="11">(($C$18-0.5*$C$10)/(2*SQRT($C$22*$F5)))</f>
        <v>-1118.0339887498949</v>
      </c>
      <c r="S5" s="22">
        <f t="shared" ref="S5:S24" si="12">IF(R5&lt;0,IF(R5&lt;-10,-1,-ERF(-R5)),IF(R5&gt;10,1,ERF(R5)))</f>
        <v>-1</v>
      </c>
      <c r="T5" s="135">
        <f t="shared" ref="T5:T24" si="13">(($C$19+0.5*$C$11)/(2*SQRT($C$23*$F5)))</f>
        <v>3535.5339059327375</v>
      </c>
      <c r="U5" s="22">
        <f t="shared" ref="U5:U24" si="14">IF(T5&lt;0,IF(T5&lt;-10,-1,-ERF(-T5)),IF(T5&gt;10,1,ERF(T5)))</f>
        <v>1</v>
      </c>
      <c r="V5" s="135">
        <f t="shared" ref="V5:V24" si="15">(($C$19-0.5*$C$11)/(2*SQRT($C$23*$F5)))</f>
        <v>-3535.5339059327375</v>
      </c>
      <c r="W5" s="22">
        <f t="shared" ref="W5:W24" si="16">IF(V5&lt;0,IF(V5&lt;-10,-1,-ERF(-V5)),IF(V5&gt;10,1,ERF(V5)))</f>
        <v>-1</v>
      </c>
      <c r="X5" s="130">
        <f t="shared" ref="X5:X24" si="17">G5*(I5*K5+M5*O5)*(Q5-S5)*(U5-W5)</f>
        <v>99.827948741546251</v>
      </c>
    </row>
    <row r="6" spans="2:25" x14ac:dyDescent="0.2">
      <c r="B6"/>
      <c r="C6"/>
      <c r="D6" s="8"/>
      <c r="E6" s="64">
        <v>2</v>
      </c>
      <c r="F6" s="64">
        <f t="shared" si="0"/>
        <v>0.1</v>
      </c>
      <c r="G6" s="11">
        <f t="shared" si="1"/>
        <v>12.5</v>
      </c>
      <c r="H6" s="134">
        <f t="shared" ref="H6:H24" si="18">$F6/(2*$C$21)*(1-(1+(4*$C$9*$C$21)/$C$30)^0.5)</f>
        <v>0</v>
      </c>
      <c r="I6" s="134">
        <f t="shared" si="2"/>
        <v>1</v>
      </c>
      <c r="J6" s="135">
        <f t="shared" si="3"/>
        <v>-1.3488971505457064</v>
      </c>
      <c r="K6" s="114">
        <f t="shared" si="4"/>
        <v>1.9435607698201254</v>
      </c>
      <c r="L6" s="134">
        <f t="shared" si="5"/>
        <v>1</v>
      </c>
      <c r="M6" s="134">
        <f t="shared" si="6"/>
        <v>2.7182818284590451</v>
      </c>
      <c r="N6" s="135">
        <f t="shared" si="7"/>
        <v>1.6791436873449295</v>
      </c>
      <c r="O6" s="114">
        <f t="shared" si="8"/>
        <v>1.7564751624981331E-2</v>
      </c>
      <c r="P6" s="134">
        <f t="shared" si="9"/>
        <v>790.56941504209487</v>
      </c>
      <c r="Q6" s="22">
        <f t="shared" si="10"/>
        <v>1</v>
      </c>
      <c r="R6" s="134">
        <f t="shared" si="11"/>
        <v>-790.56941504209487</v>
      </c>
      <c r="S6" s="22">
        <f t="shared" si="12"/>
        <v>-1</v>
      </c>
      <c r="T6" s="135">
        <f t="shared" si="13"/>
        <v>2500</v>
      </c>
      <c r="U6" s="22">
        <f t="shared" si="14"/>
        <v>1</v>
      </c>
      <c r="V6" s="135">
        <f t="shared" si="15"/>
        <v>-2500</v>
      </c>
      <c r="W6" s="22">
        <f t="shared" si="16"/>
        <v>-1</v>
      </c>
      <c r="X6" s="130">
        <f t="shared" si="17"/>
        <v>99.565335749185436</v>
      </c>
    </row>
    <row r="7" spans="2:25" ht="14.25" x14ac:dyDescent="0.2">
      <c r="B7" s="4"/>
      <c r="C7" s="8"/>
      <c r="D7" s="8"/>
      <c r="E7" s="64">
        <v>3</v>
      </c>
      <c r="F7" s="64">
        <f t="shared" si="0"/>
        <v>0.15000000000000002</v>
      </c>
      <c r="G7" s="11">
        <f t="shared" si="1"/>
        <v>12.5</v>
      </c>
      <c r="H7" s="134">
        <f t="shared" si="18"/>
        <v>0</v>
      </c>
      <c r="I7" s="134">
        <f t="shared" si="2"/>
        <v>1</v>
      </c>
      <c r="J7" s="135">
        <f t="shared" si="3"/>
        <v>-1.2663355163459005</v>
      </c>
      <c r="K7" s="114">
        <f t="shared" si="4"/>
        <v>1.9266856584243943</v>
      </c>
      <c r="L7" s="134">
        <f t="shared" si="5"/>
        <v>1.5000000000000002</v>
      </c>
      <c r="M7" s="134">
        <f t="shared" si="6"/>
        <v>4.4816890703380654</v>
      </c>
      <c r="N7" s="135">
        <f t="shared" si="7"/>
        <v>1.7617053215447354</v>
      </c>
      <c r="O7" s="114">
        <f t="shared" si="8"/>
        <v>1.2723090940563512E-2</v>
      </c>
      <c r="P7" s="134">
        <f t="shared" si="9"/>
        <v>645.49722436790285</v>
      </c>
      <c r="Q7" s="22">
        <f t="shared" si="10"/>
        <v>1</v>
      </c>
      <c r="R7" s="134">
        <f t="shared" si="11"/>
        <v>-645.49722436790285</v>
      </c>
      <c r="S7" s="22">
        <f t="shared" si="12"/>
        <v>-1</v>
      </c>
      <c r="T7" s="135">
        <f t="shared" si="13"/>
        <v>2041.2414523193149</v>
      </c>
      <c r="U7" s="22">
        <f t="shared" si="14"/>
        <v>1</v>
      </c>
      <c r="V7" s="135">
        <f t="shared" si="15"/>
        <v>-2041.2414523193149</v>
      </c>
      <c r="W7" s="22">
        <f t="shared" si="16"/>
        <v>-1</v>
      </c>
      <c r="X7" s="130">
        <f t="shared" si="17"/>
        <v>99.18532980168176</v>
      </c>
    </row>
    <row r="8" spans="2:25" ht="14.25" x14ac:dyDescent="0.2">
      <c r="B8" s="4" t="s">
        <v>9</v>
      </c>
      <c r="C8" s="186">
        <f>'Level3 Groundwater'!D20</f>
        <v>100</v>
      </c>
      <c r="D8" s="8" t="s">
        <v>22</v>
      </c>
      <c r="E8" s="64">
        <v>4</v>
      </c>
      <c r="F8" s="64">
        <f t="shared" si="0"/>
        <v>0.2</v>
      </c>
      <c r="G8" s="11">
        <f t="shared" si="1"/>
        <v>12.5</v>
      </c>
      <c r="H8" s="134">
        <f t="shared" si="18"/>
        <v>0</v>
      </c>
      <c r="I8" s="134">
        <f t="shared" si="2"/>
        <v>1</v>
      </c>
      <c r="J8" s="135">
        <f t="shared" si="3"/>
        <v>-1.1837738821460948</v>
      </c>
      <c r="K8" s="114">
        <f t="shared" si="4"/>
        <v>1.9058908362015687</v>
      </c>
      <c r="L8" s="134">
        <f t="shared" si="5"/>
        <v>2</v>
      </c>
      <c r="M8" s="134">
        <f t="shared" si="6"/>
        <v>7.3890560989306504</v>
      </c>
      <c r="N8" s="135">
        <f t="shared" si="7"/>
        <v>1.8442669557445408</v>
      </c>
      <c r="O8" s="114">
        <f t="shared" si="8"/>
        <v>9.1023122733560145E-3</v>
      </c>
      <c r="P8" s="134">
        <f t="shared" si="9"/>
        <v>559.01699437494744</v>
      </c>
      <c r="Q8" s="22">
        <f t="shared" si="10"/>
        <v>1</v>
      </c>
      <c r="R8" s="134">
        <f t="shared" si="11"/>
        <v>-559.01699437494744</v>
      </c>
      <c r="S8" s="22">
        <f t="shared" si="12"/>
        <v>-1</v>
      </c>
      <c r="T8" s="135">
        <f t="shared" si="13"/>
        <v>1767.7669529663688</v>
      </c>
      <c r="U8" s="22">
        <f t="shared" si="14"/>
        <v>1</v>
      </c>
      <c r="V8" s="135">
        <f t="shared" si="15"/>
        <v>-1767.7669529663688</v>
      </c>
      <c r="W8" s="22">
        <f t="shared" si="16"/>
        <v>-1</v>
      </c>
      <c r="X8" s="130">
        <f t="shared" si="17"/>
        <v>98.657416610969065</v>
      </c>
      <c r="Y8" s="18"/>
    </row>
    <row r="9" spans="2:25" ht="15" x14ac:dyDescent="0.2">
      <c r="B9" s="5" t="s">
        <v>34</v>
      </c>
      <c r="C9" s="186">
        <f>'Level3 Groundwater'!D44</f>
        <v>6.0937778385559113E-102</v>
      </c>
      <c r="D9" s="2" t="s">
        <v>151</v>
      </c>
      <c r="E9" s="64">
        <v>5</v>
      </c>
      <c r="F9" s="64">
        <f t="shared" si="0"/>
        <v>0.25</v>
      </c>
      <c r="G9" s="11">
        <f t="shared" si="1"/>
        <v>12.5</v>
      </c>
      <c r="H9" s="134">
        <f t="shared" si="18"/>
        <v>0</v>
      </c>
      <c r="I9" s="134">
        <f t="shared" si="2"/>
        <v>1</v>
      </c>
      <c r="J9" s="135">
        <f t="shared" si="3"/>
        <v>-1.1012122479462889</v>
      </c>
      <c r="K9" s="114">
        <f t="shared" si="4"/>
        <v>1.8806124226401462</v>
      </c>
      <c r="L9" s="134">
        <f t="shared" si="5"/>
        <v>2.5</v>
      </c>
      <c r="M9" s="134">
        <f t="shared" si="6"/>
        <v>12.182493960703473</v>
      </c>
      <c r="N9" s="135">
        <f t="shared" si="7"/>
        <v>1.9268285899443467</v>
      </c>
      <c r="O9" s="114">
        <f t="shared" si="8"/>
        <v>6.4311785562938106E-3</v>
      </c>
      <c r="P9" s="134">
        <f t="shared" si="9"/>
        <v>500</v>
      </c>
      <c r="Q9" s="22">
        <f t="shared" si="10"/>
        <v>1</v>
      </c>
      <c r="R9" s="134">
        <f t="shared" si="11"/>
        <v>-500</v>
      </c>
      <c r="S9" s="22">
        <f t="shared" si="12"/>
        <v>-1</v>
      </c>
      <c r="T9" s="135">
        <f t="shared" si="13"/>
        <v>1581.1388300841897</v>
      </c>
      <c r="U9" s="22">
        <f t="shared" si="14"/>
        <v>1</v>
      </c>
      <c r="V9" s="135">
        <f t="shared" si="15"/>
        <v>-1581.1388300841897</v>
      </c>
      <c r="W9" s="22">
        <f t="shared" si="16"/>
        <v>-1</v>
      </c>
      <c r="X9" s="130">
        <f t="shared" si="17"/>
        <v>97.948010828120061</v>
      </c>
    </row>
    <row r="10" spans="2:25" ht="14.25" x14ac:dyDescent="0.2">
      <c r="B10" s="4" t="s">
        <v>50</v>
      </c>
      <c r="C10" s="186">
        <f>'Level3 Groundwater'!D23</f>
        <v>100</v>
      </c>
      <c r="D10" s="2" t="s">
        <v>26</v>
      </c>
      <c r="E10" s="64">
        <v>6</v>
      </c>
      <c r="F10" s="64">
        <f t="shared" si="0"/>
        <v>0.30000000000000004</v>
      </c>
      <c r="G10" s="11">
        <f t="shared" si="1"/>
        <v>12.5</v>
      </c>
      <c r="H10" s="134">
        <f t="shared" si="18"/>
        <v>0</v>
      </c>
      <c r="I10" s="134">
        <f t="shared" si="2"/>
        <v>1</v>
      </c>
      <c r="J10" s="135">
        <f t="shared" si="3"/>
        <v>-1.0186506137464832</v>
      </c>
      <c r="K10" s="114">
        <f t="shared" si="4"/>
        <v>1.8502993152060387</v>
      </c>
      <c r="L10" s="134">
        <f t="shared" si="5"/>
        <v>3.0000000000000004</v>
      </c>
      <c r="M10" s="134">
        <f t="shared" si="6"/>
        <v>20.085536923187675</v>
      </c>
      <c r="N10" s="135">
        <f t="shared" si="7"/>
        <v>2.0093902241441524</v>
      </c>
      <c r="O10" s="114">
        <f t="shared" si="8"/>
        <v>4.4872723716478588E-3</v>
      </c>
      <c r="P10" s="134">
        <f t="shared" si="9"/>
        <v>456.43546458763842</v>
      </c>
      <c r="Q10" s="22">
        <f t="shared" si="10"/>
        <v>1</v>
      </c>
      <c r="R10" s="134">
        <f t="shared" si="11"/>
        <v>-456.43546458763842</v>
      </c>
      <c r="S10" s="22">
        <f t="shared" si="12"/>
        <v>-1</v>
      </c>
      <c r="T10" s="135">
        <f t="shared" si="13"/>
        <v>1443.3756729740644</v>
      </c>
      <c r="U10" s="22">
        <f t="shared" si="14"/>
        <v>1</v>
      </c>
      <c r="V10" s="135">
        <f t="shared" si="15"/>
        <v>-1443.3756729740644</v>
      </c>
      <c r="W10" s="22">
        <f t="shared" si="16"/>
        <v>-1</v>
      </c>
      <c r="X10" s="130">
        <f t="shared" si="17"/>
        <v>97.021429505558586</v>
      </c>
    </row>
    <row r="11" spans="2:25" ht="14.25" x14ac:dyDescent="0.2">
      <c r="B11" s="4" t="s">
        <v>153</v>
      </c>
      <c r="C11" s="186">
        <f>'Level3 Groundwater'!D24</f>
        <v>100</v>
      </c>
      <c r="D11" s="2" t="s">
        <v>26</v>
      </c>
      <c r="E11" s="64">
        <v>7</v>
      </c>
      <c r="F11" s="64">
        <f t="shared" si="0"/>
        <v>0.35000000000000003</v>
      </c>
      <c r="G11" s="11">
        <f t="shared" si="1"/>
        <v>12.5</v>
      </c>
      <c r="H11" s="134">
        <f t="shared" si="18"/>
        <v>0</v>
      </c>
      <c r="I11" s="134">
        <f t="shared" si="2"/>
        <v>1</v>
      </c>
      <c r="J11" s="135">
        <f t="shared" si="3"/>
        <v>-0.93608897954667736</v>
      </c>
      <c r="K11" s="114">
        <f t="shared" si="4"/>
        <v>1.81444040014845</v>
      </c>
      <c r="L11" s="134">
        <f t="shared" si="5"/>
        <v>3.5</v>
      </c>
      <c r="M11" s="134">
        <f t="shared" si="6"/>
        <v>33.115451958692312</v>
      </c>
      <c r="N11" s="135">
        <f t="shared" si="7"/>
        <v>2.0919518583439585</v>
      </c>
      <c r="O11" s="114">
        <f t="shared" si="8"/>
        <v>3.0917365416255342E-3</v>
      </c>
      <c r="P11" s="134">
        <f t="shared" si="9"/>
        <v>422.57712736425827</v>
      </c>
      <c r="Q11" s="22">
        <f t="shared" si="10"/>
        <v>1</v>
      </c>
      <c r="R11" s="134">
        <f t="shared" si="11"/>
        <v>-422.57712736425827</v>
      </c>
      <c r="S11" s="22">
        <f t="shared" si="12"/>
        <v>-1</v>
      </c>
      <c r="T11" s="135">
        <f t="shared" si="13"/>
        <v>1336.3062095621219</v>
      </c>
      <c r="U11" s="22">
        <f t="shared" si="14"/>
        <v>1</v>
      </c>
      <c r="V11" s="135">
        <f t="shared" si="15"/>
        <v>-1336.3062095621219</v>
      </c>
      <c r="W11" s="22">
        <f t="shared" si="16"/>
        <v>-1</v>
      </c>
      <c r="X11" s="130">
        <f t="shared" si="17"/>
        <v>95.841232653079189</v>
      </c>
    </row>
    <row r="12" spans="2:25" ht="14.25" x14ac:dyDescent="0.2">
      <c r="B12" s="4" t="s">
        <v>13</v>
      </c>
      <c r="C12" s="186">
        <f>'Level3 Groundwater'!K21</f>
        <v>0.96199999999999997</v>
      </c>
      <c r="D12" s="2" t="s">
        <v>23</v>
      </c>
      <c r="E12" s="64">
        <v>8</v>
      </c>
      <c r="F12" s="64">
        <f t="shared" si="0"/>
        <v>0.4</v>
      </c>
      <c r="G12" s="11">
        <f t="shared" si="1"/>
        <v>12.5</v>
      </c>
      <c r="H12" s="134">
        <f t="shared" si="18"/>
        <v>0</v>
      </c>
      <c r="I12" s="134">
        <f t="shared" si="2"/>
        <v>1</v>
      </c>
      <c r="J12" s="135">
        <f t="shared" si="3"/>
        <v>-0.85352734534687169</v>
      </c>
      <c r="K12" s="114">
        <f t="shared" si="4"/>
        <v>1.7725947927091266</v>
      </c>
      <c r="L12" s="134">
        <f t="shared" si="5"/>
        <v>4</v>
      </c>
      <c r="M12" s="134">
        <f t="shared" si="6"/>
        <v>54.598150033144236</v>
      </c>
      <c r="N12" s="135">
        <f t="shared" si="7"/>
        <v>2.1745134925437641</v>
      </c>
      <c r="O12" s="114">
        <f t="shared" si="8"/>
        <v>2.1034276652258563E-3</v>
      </c>
      <c r="P12" s="134">
        <f t="shared" si="9"/>
        <v>395.28470752104744</v>
      </c>
      <c r="Q12" s="22">
        <f t="shared" si="10"/>
        <v>1</v>
      </c>
      <c r="R12" s="134">
        <f t="shared" si="11"/>
        <v>-395.28470752104744</v>
      </c>
      <c r="S12" s="22">
        <f t="shared" si="12"/>
        <v>-1</v>
      </c>
      <c r="T12" s="135">
        <f t="shared" si="13"/>
        <v>1250</v>
      </c>
      <c r="U12" s="22">
        <f t="shared" si="14"/>
        <v>1</v>
      </c>
      <c r="V12" s="135">
        <f t="shared" si="15"/>
        <v>-1250</v>
      </c>
      <c r="W12" s="22">
        <f t="shared" si="16"/>
        <v>-1</v>
      </c>
      <c r="X12" s="130">
        <f t="shared" si="17"/>
        <v>94.371902597949713</v>
      </c>
    </row>
    <row r="13" spans="2:25" ht="15" x14ac:dyDescent="0.2">
      <c r="B13" s="5" t="s">
        <v>35</v>
      </c>
      <c r="C13" s="186">
        <f>'Level3 Groundwater'!D26</f>
        <v>1.96</v>
      </c>
      <c r="D13" s="2" t="s">
        <v>24</v>
      </c>
      <c r="E13" s="64">
        <v>9</v>
      </c>
      <c r="F13" s="64">
        <f t="shared" si="0"/>
        <v>0.45</v>
      </c>
      <c r="G13" s="11">
        <f t="shared" si="1"/>
        <v>12.5</v>
      </c>
      <c r="H13" s="134">
        <f t="shared" si="18"/>
        <v>0</v>
      </c>
      <c r="I13" s="134">
        <f t="shared" si="2"/>
        <v>1</v>
      </c>
      <c r="J13" s="135">
        <f t="shared" si="3"/>
        <v>-0.77096571114706591</v>
      </c>
      <c r="K13" s="114">
        <f t="shared" si="4"/>
        <v>1.7244234609234352</v>
      </c>
      <c r="L13" s="134">
        <f t="shared" si="5"/>
        <v>4.5</v>
      </c>
      <c r="M13" s="134">
        <f t="shared" si="6"/>
        <v>90.017131300521811</v>
      </c>
      <c r="N13" s="135">
        <f t="shared" si="7"/>
        <v>2.2570751267435698</v>
      </c>
      <c r="O13" s="114">
        <f t="shared" si="8"/>
        <v>1.4129805615796733E-3</v>
      </c>
      <c r="P13" s="134">
        <f t="shared" si="9"/>
        <v>372.67799624996491</v>
      </c>
      <c r="Q13" s="22">
        <f t="shared" si="10"/>
        <v>1</v>
      </c>
      <c r="R13" s="134">
        <f t="shared" si="11"/>
        <v>-372.67799624996491</v>
      </c>
      <c r="S13" s="22">
        <f t="shared" si="12"/>
        <v>-1</v>
      </c>
      <c r="T13" s="135">
        <f t="shared" si="13"/>
        <v>1178.5113019775793</v>
      </c>
      <c r="U13" s="22">
        <f t="shared" si="14"/>
        <v>1</v>
      </c>
      <c r="V13" s="135">
        <f t="shared" si="15"/>
        <v>-1178.5113019775793</v>
      </c>
      <c r="W13" s="22">
        <f t="shared" si="16"/>
        <v>-1</v>
      </c>
      <c r="X13" s="130">
        <f t="shared" si="17"/>
        <v>92.580795883011888</v>
      </c>
    </row>
    <row r="14" spans="2:25" ht="14.25" x14ac:dyDescent="0.2">
      <c r="B14" s="4" t="s">
        <v>1</v>
      </c>
      <c r="C14" s="186">
        <f>'Level3 Groundwater'!D27</f>
        <v>0.16200000000000001</v>
      </c>
      <c r="E14" s="64">
        <v>10</v>
      </c>
      <c r="F14" s="64">
        <f t="shared" si="0"/>
        <v>0.5</v>
      </c>
      <c r="G14" s="11">
        <f t="shared" si="1"/>
        <v>12.5</v>
      </c>
      <c r="H14" s="134">
        <f t="shared" si="18"/>
        <v>0</v>
      </c>
      <c r="I14" s="134">
        <f t="shared" si="2"/>
        <v>1</v>
      </c>
      <c r="J14" s="135">
        <f t="shared" si="3"/>
        <v>-0.68840407694726014</v>
      </c>
      <c r="K14" s="114">
        <f t="shared" si="4"/>
        <v>1.6697201670877326</v>
      </c>
      <c r="L14" s="134">
        <f t="shared" si="5"/>
        <v>5</v>
      </c>
      <c r="M14" s="134">
        <f t="shared" si="6"/>
        <v>148.4131591025766</v>
      </c>
      <c r="N14" s="135">
        <f t="shared" si="7"/>
        <v>2.3396367609433755</v>
      </c>
      <c r="O14" s="114">
        <f t="shared" si="8"/>
        <v>9.3714802319702769E-4</v>
      </c>
      <c r="P14" s="134">
        <f t="shared" si="9"/>
        <v>353.55339059327378</v>
      </c>
      <c r="Q14" s="22">
        <f t="shared" si="10"/>
        <v>1</v>
      </c>
      <c r="R14" s="134">
        <f t="shared" si="11"/>
        <v>-353.55339059327378</v>
      </c>
      <c r="S14" s="22">
        <f t="shared" si="12"/>
        <v>-1</v>
      </c>
      <c r="T14" s="135">
        <f t="shared" si="13"/>
        <v>1118.0339887498949</v>
      </c>
      <c r="U14" s="22">
        <f t="shared" si="14"/>
        <v>1</v>
      </c>
      <c r="V14" s="135">
        <f t="shared" si="15"/>
        <v>-1118.0339887498949</v>
      </c>
      <c r="W14" s="22">
        <f t="shared" si="16"/>
        <v>-1</v>
      </c>
      <c r="X14" s="130">
        <f t="shared" si="17"/>
        <v>90.440263287856908</v>
      </c>
    </row>
    <row r="15" spans="2:25" ht="14.25" x14ac:dyDescent="0.2">
      <c r="B15" s="4" t="s">
        <v>44</v>
      </c>
      <c r="C15" s="186">
        <f>'Level3 Groundwater'!D28</f>
        <v>2.5399999999999999E-2</v>
      </c>
      <c r="E15" s="64">
        <v>11</v>
      </c>
      <c r="F15" s="64">
        <f t="shared" si="0"/>
        <v>0.55000000000000004</v>
      </c>
      <c r="G15" s="11">
        <f t="shared" si="1"/>
        <v>12.5</v>
      </c>
      <c r="H15" s="134">
        <f t="shared" si="18"/>
        <v>0</v>
      </c>
      <c r="I15" s="134">
        <f t="shared" si="2"/>
        <v>1</v>
      </c>
      <c r="J15" s="135">
        <f t="shared" si="3"/>
        <v>-0.60584244274745436</v>
      </c>
      <c r="K15" s="114">
        <f t="shared" si="4"/>
        <v>1.6084393779567119</v>
      </c>
      <c r="L15" s="134">
        <f t="shared" si="5"/>
        <v>5.5</v>
      </c>
      <c r="M15" s="134">
        <f t="shared" si="6"/>
        <v>244.69193226422038</v>
      </c>
      <c r="N15" s="135">
        <f t="shared" si="7"/>
        <v>2.4221983951431816</v>
      </c>
      <c r="O15" s="114">
        <f t="shared" si="8"/>
        <v>6.1365578399438878E-4</v>
      </c>
      <c r="P15" s="134">
        <f t="shared" si="9"/>
        <v>337.09993123162104</v>
      </c>
      <c r="Q15" s="22">
        <f t="shared" si="10"/>
        <v>1</v>
      </c>
      <c r="R15" s="134">
        <f t="shared" si="11"/>
        <v>-337.09993123162104</v>
      </c>
      <c r="S15" s="22">
        <f t="shared" si="12"/>
        <v>-1</v>
      </c>
      <c r="T15" s="135">
        <f t="shared" si="13"/>
        <v>1066.0035817780522</v>
      </c>
      <c r="U15" s="22">
        <f t="shared" si="14"/>
        <v>1</v>
      </c>
      <c r="V15" s="135">
        <f t="shared" si="15"/>
        <v>-1066.0035817780522</v>
      </c>
      <c r="W15" s="22">
        <f t="shared" si="16"/>
        <v>-1</v>
      </c>
      <c r="X15" s="130">
        <f t="shared" si="17"/>
        <v>87.929799874370701</v>
      </c>
    </row>
    <row r="16" spans="2:25" ht="14.25" customHeight="1" x14ac:dyDescent="0.2">
      <c r="B16" s="4" t="s">
        <v>189</v>
      </c>
      <c r="C16" s="186">
        <f>'Level3 Groundwater'!D29</f>
        <v>2.0250000000000001E-5</v>
      </c>
      <c r="D16" s="2" t="s">
        <v>25</v>
      </c>
      <c r="E16" s="64">
        <v>12</v>
      </c>
      <c r="F16" s="64">
        <f t="shared" si="0"/>
        <v>0.60000000000000009</v>
      </c>
      <c r="G16" s="11">
        <f t="shared" si="1"/>
        <v>12.5</v>
      </c>
      <c r="H16" s="134">
        <f t="shared" si="18"/>
        <v>0</v>
      </c>
      <c r="I16" s="134">
        <f t="shared" si="2"/>
        <v>1</v>
      </c>
      <c r="J16" s="135">
        <f t="shared" si="3"/>
        <v>-0.52328080854764847</v>
      </c>
      <c r="K16" s="114">
        <f t="shared" si="4"/>
        <v>1.5407187041746959</v>
      </c>
      <c r="L16" s="134">
        <f t="shared" si="5"/>
        <v>6.0000000000000009</v>
      </c>
      <c r="M16" s="134">
        <f t="shared" si="6"/>
        <v>403.42879349273551</v>
      </c>
      <c r="N16" s="135">
        <f t="shared" si="7"/>
        <v>2.5047600293429872</v>
      </c>
      <c r="O16" s="114">
        <f t="shared" si="8"/>
        <v>3.9670581268064768E-4</v>
      </c>
      <c r="P16" s="134">
        <f t="shared" si="9"/>
        <v>322.74861218395142</v>
      </c>
      <c r="Q16" s="22">
        <f t="shared" si="10"/>
        <v>1</v>
      </c>
      <c r="R16" s="134">
        <f t="shared" si="11"/>
        <v>-322.74861218395142</v>
      </c>
      <c r="S16" s="22">
        <f t="shared" si="12"/>
        <v>-1</v>
      </c>
      <c r="T16" s="135">
        <f t="shared" si="13"/>
        <v>1020.6207261596575</v>
      </c>
      <c r="U16" s="22">
        <f t="shared" si="14"/>
        <v>1</v>
      </c>
      <c r="V16" s="135">
        <f t="shared" si="15"/>
        <v>-1020.6207261596575</v>
      </c>
      <c r="W16" s="22">
        <f t="shared" si="16"/>
        <v>-1</v>
      </c>
      <c r="X16" s="130">
        <f t="shared" si="17"/>
        <v>85.038062577800233</v>
      </c>
    </row>
    <row r="17" spans="2:24" ht="14.25" customHeight="1" x14ac:dyDescent="0.2">
      <c r="B17" s="4" t="s">
        <v>14</v>
      </c>
      <c r="C17" s="186">
        <f>'Level3 Groundwater'!D30</f>
        <v>1</v>
      </c>
      <c r="D17" s="2" t="s">
        <v>26</v>
      </c>
      <c r="E17" s="64">
        <v>13</v>
      </c>
      <c r="F17" s="64">
        <f t="shared" si="0"/>
        <v>0.65</v>
      </c>
      <c r="G17" s="11">
        <f t="shared" si="1"/>
        <v>12.5</v>
      </c>
      <c r="H17" s="134">
        <f t="shared" si="18"/>
        <v>0</v>
      </c>
      <c r="I17" s="134">
        <f t="shared" si="2"/>
        <v>1</v>
      </c>
      <c r="J17" s="135">
        <f t="shared" si="3"/>
        <v>-0.44071917434784286</v>
      </c>
      <c r="K17" s="114">
        <f t="shared" si="4"/>
        <v>1.4668935705324631</v>
      </c>
      <c r="L17" s="134">
        <f t="shared" si="5"/>
        <v>6.5</v>
      </c>
      <c r="M17" s="134">
        <f t="shared" si="6"/>
        <v>665.14163304436181</v>
      </c>
      <c r="N17" s="135">
        <f t="shared" si="7"/>
        <v>2.5873216635427929</v>
      </c>
      <c r="O17" s="114">
        <f t="shared" si="8"/>
        <v>2.5317626182864029E-4</v>
      </c>
      <c r="P17" s="134">
        <f t="shared" si="9"/>
        <v>310.08683647302115</v>
      </c>
      <c r="Q17" s="22">
        <f t="shared" si="10"/>
        <v>1</v>
      </c>
      <c r="R17" s="134">
        <f t="shared" si="11"/>
        <v>-310.08683647302115</v>
      </c>
      <c r="S17" s="22">
        <f t="shared" si="12"/>
        <v>-1</v>
      </c>
      <c r="T17" s="135">
        <f t="shared" si="13"/>
        <v>980.58067569092009</v>
      </c>
      <c r="U17" s="22">
        <f t="shared" si="14"/>
        <v>1</v>
      </c>
      <c r="V17" s="135">
        <f t="shared" si="15"/>
        <v>-980.58067569092009</v>
      </c>
      <c r="W17" s="22">
        <f t="shared" si="16"/>
        <v>-1</v>
      </c>
      <c r="X17" s="130">
        <f t="shared" si="17"/>
        <v>81.764582138661595</v>
      </c>
    </row>
    <row r="18" spans="2:24" ht="14.25" customHeight="1" x14ac:dyDescent="0.2">
      <c r="B18" s="4" t="s">
        <v>16</v>
      </c>
      <c r="C18" s="186">
        <f>'Level3 Groundwater'!D31</f>
        <v>0</v>
      </c>
      <c r="D18" s="2" t="s">
        <v>26</v>
      </c>
      <c r="E18" s="64">
        <v>14</v>
      </c>
      <c r="F18" s="64">
        <f t="shared" si="0"/>
        <v>0.70000000000000007</v>
      </c>
      <c r="G18" s="11">
        <f t="shared" si="1"/>
        <v>12.5</v>
      </c>
      <c r="H18" s="134">
        <f t="shared" si="18"/>
        <v>0</v>
      </c>
      <c r="I18" s="134">
        <f t="shared" si="2"/>
        <v>1</v>
      </c>
      <c r="J18" s="135">
        <f t="shared" si="3"/>
        <v>-0.35815754014803702</v>
      </c>
      <c r="K18" s="114">
        <f t="shared" si="4"/>
        <v>1.3875022064159763</v>
      </c>
      <c r="L18" s="134">
        <f t="shared" si="5"/>
        <v>7</v>
      </c>
      <c r="M18" s="134">
        <f t="shared" si="6"/>
        <v>1096.6331584284585</v>
      </c>
      <c r="N18" s="135">
        <f t="shared" si="7"/>
        <v>2.6698832977425986</v>
      </c>
      <c r="O18" s="114">
        <f t="shared" si="8"/>
        <v>1.5950442236456E-4</v>
      </c>
      <c r="P18" s="134">
        <f t="shared" si="9"/>
        <v>298.80715233359837</v>
      </c>
      <c r="Q18" s="22">
        <f t="shared" si="10"/>
        <v>1</v>
      </c>
      <c r="R18" s="134">
        <f t="shared" si="11"/>
        <v>-298.80715233359837</v>
      </c>
      <c r="S18" s="22">
        <f t="shared" si="12"/>
        <v>-1</v>
      </c>
      <c r="T18" s="135">
        <f t="shared" si="13"/>
        <v>944.91118252306796</v>
      </c>
      <c r="U18" s="22">
        <f t="shared" si="14"/>
        <v>1</v>
      </c>
      <c r="V18" s="135">
        <f t="shared" si="15"/>
        <v>-944.91118252306796</v>
      </c>
      <c r="W18" s="22">
        <f t="shared" si="16"/>
        <v>-1</v>
      </c>
      <c r="X18" s="130">
        <f t="shared" si="17"/>
        <v>78.121002244846522</v>
      </c>
    </row>
    <row r="19" spans="2:24" ht="14.25" customHeight="1" x14ac:dyDescent="0.2">
      <c r="B19" s="4" t="s">
        <v>15</v>
      </c>
      <c r="C19" s="186">
        <f>'Level3 Groundwater'!D32</f>
        <v>0</v>
      </c>
      <c r="D19" s="2" t="s">
        <v>26</v>
      </c>
      <c r="E19" s="64">
        <v>15</v>
      </c>
      <c r="F19" s="64">
        <f t="shared" si="0"/>
        <v>0.75</v>
      </c>
      <c r="G19" s="11">
        <f t="shared" si="1"/>
        <v>12.5</v>
      </c>
      <c r="H19" s="134">
        <f t="shared" si="18"/>
        <v>0</v>
      </c>
      <c r="I19" s="134">
        <f t="shared" si="2"/>
        <v>1</v>
      </c>
      <c r="J19" s="135">
        <f t="shared" si="3"/>
        <v>-0.27559590594823136</v>
      </c>
      <c r="K19" s="114">
        <f t="shared" si="4"/>
        <v>1.3032796657910455</v>
      </c>
      <c r="L19" s="134">
        <f t="shared" si="5"/>
        <v>7.5</v>
      </c>
      <c r="M19" s="134">
        <f t="shared" si="6"/>
        <v>1808.0424144560632</v>
      </c>
      <c r="N19" s="135">
        <f t="shared" si="7"/>
        <v>2.7524449319424042</v>
      </c>
      <c r="O19" s="114">
        <f t="shared" si="8"/>
        <v>9.9198111532626892E-5</v>
      </c>
      <c r="P19" s="134">
        <f t="shared" si="9"/>
        <v>288.6751345948129</v>
      </c>
      <c r="Q19" s="22">
        <f t="shared" si="10"/>
        <v>1</v>
      </c>
      <c r="R19" s="134">
        <f t="shared" si="11"/>
        <v>-288.6751345948129</v>
      </c>
      <c r="S19" s="22">
        <f t="shared" si="12"/>
        <v>-1</v>
      </c>
      <c r="T19" s="135">
        <f t="shared" si="13"/>
        <v>912.87092917527684</v>
      </c>
      <c r="U19" s="22">
        <f t="shared" si="14"/>
        <v>1</v>
      </c>
      <c r="V19" s="135">
        <f t="shared" si="15"/>
        <v>-912.87092917527684</v>
      </c>
      <c r="W19" s="22">
        <f t="shared" si="16"/>
        <v>-1</v>
      </c>
      <c r="X19" s="130">
        <f t="shared" si="17"/>
        <v>74.131702943798899</v>
      </c>
    </row>
    <row r="20" spans="2:24" ht="14.25" customHeight="1" x14ac:dyDescent="0.2">
      <c r="B20" s="4" t="s">
        <v>17</v>
      </c>
      <c r="C20" s="186">
        <f>'Level3 Groundwater'!D33</f>
        <v>3650000</v>
      </c>
      <c r="D20" s="2" t="s">
        <v>21</v>
      </c>
      <c r="E20" s="64">
        <v>16</v>
      </c>
      <c r="F20" s="64">
        <f t="shared" si="0"/>
        <v>0.8</v>
      </c>
      <c r="G20" s="11">
        <f t="shared" si="1"/>
        <v>12.5</v>
      </c>
      <c r="H20" s="134">
        <f t="shared" si="18"/>
        <v>0</v>
      </c>
      <c r="I20" s="134">
        <f t="shared" si="2"/>
        <v>1</v>
      </c>
      <c r="J20" s="135">
        <f t="shared" si="3"/>
        <v>-0.19303427174842552</v>
      </c>
      <c r="K20" s="114">
        <f t="shared" si="4"/>
        <v>1.2151403927710724</v>
      </c>
      <c r="L20" s="134">
        <f t="shared" si="5"/>
        <v>8</v>
      </c>
      <c r="M20" s="134">
        <f t="shared" si="6"/>
        <v>2980.9579870417283</v>
      </c>
      <c r="N20" s="135">
        <f t="shared" si="7"/>
        <v>2.8350065661422104</v>
      </c>
      <c r="O20" s="114">
        <f t="shared" si="8"/>
        <v>6.0897786354999796E-5</v>
      </c>
      <c r="P20" s="134">
        <f t="shared" si="9"/>
        <v>279.50849718747372</v>
      </c>
      <c r="Q20" s="22">
        <f t="shared" si="10"/>
        <v>1</v>
      </c>
      <c r="R20" s="134">
        <f t="shared" si="11"/>
        <v>-279.50849718747372</v>
      </c>
      <c r="S20" s="22">
        <f t="shared" si="12"/>
        <v>-1</v>
      </c>
      <c r="T20" s="135">
        <f t="shared" si="13"/>
        <v>883.88347648318438</v>
      </c>
      <c r="U20" s="22">
        <f t="shared" si="14"/>
        <v>1</v>
      </c>
      <c r="V20" s="135">
        <f t="shared" si="15"/>
        <v>-883.88347648318438</v>
      </c>
      <c r="W20" s="22">
        <f t="shared" si="16"/>
        <v>-1</v>
      </c>
      <c r="X20" s="130">
        <f t="shared" si="17"/>
        <v>69.833706769958496</v>
      </c>
    </row>
    <row r="21" spans="2:24" ht="14.25" customHeight="1" x14ac:dyDescent="0.2">
      <c r="B21" s="4" t="s">
        <v>18</v>
      </c>
      <c r="C21" s="186">
        <f>'Level3 Groundwater'!D36</f>
        <v>0.1</v>
      </c>
      <c r="D21" s="8" t="s">
        <v>26</v>
      </c>
      <c r="E21" s="64">
        <v>17</v>
      </c>
      <c r="F21" s="64">
        <f t="shared" si="0"/>
        <v>0.85000000000000009</v>
      </c>
      <c r="G21" s="11">
        <f t="shared" si="1"/>
        <v>12.5</v>
      </c>
      <c r="H21" s="134">
        <f t="shared" si="18"/>
        <v>0</v>
      </c>
      <c r="I21" s="134">
        <f t="shared" si="2"/>
        <v>1</v>
      </c>
      <c r="J21" s="135">
        <f t="shared" si="3"/>
        <v>-0.11047263754861968</v>
      </c>
      <c r="K21" s="114">
        <f t="shared" si="4"/>
        <v>1.1241497689115241</v>
      </c>
      <c r="L21" s="134">
        <f t="shared" si="5"/>
        <v>8.5</v>
      </c>
      <c r="M21" s="134">
        <f t="shared" si="6"/>
        <v>4914.7688402991344</v>
      </c>
      <c r="N21" s="135">
        <f t="shared" si="7"/>
        <v>2.917568200342016</v>
      </c>
      <c r="O21" s="114">
        <f t="shared" si="8"/>
        <v>3.6902378130051054E-5</v>
      </c>
      <c r="P21" s="134">
        <f t="shared" si="9"/>
        <v>271.16307227332021</v>
      </c>
      <c r="Q21" s="22">
        <f t="shared" si="10"/>
        <v>1</v>
      </c>
      <c r="R21" s="134">
        <f t="shared" si="11"/>
        <v>-271.16307227332021</v>
      </c>
      <c r="S21" s="22">
        <f t="shared" si="12"/>
        <v>-1</v>
      </c>
      <c r="T21" s="135">
        <f t="shared" si="13"/>
        <v>857.49292571254409</v>
      </c>
      <c r="U21" s="22">
        <f t="shared" si="14"/>
        <v>1</v>
      </c>
      <c r="V21" s="135">
        <f t="shared" si="15"/>
        <v>-857.49292571254409</v>
      </c>
      <c r="W21" s="22">
        <f t="shared" si="16"/>
        <v>-1</v>
      </c>
      <c r="X21" s="130">
        <f t="shared" si="17"/>
        <v>65.275821353901762</v>
      </c>
    </row>
    <row r="22" spans="2:24" ht="14.25" customHeight="1" x14ac:dyDescent="0.2">
      <c r="B22" s="4" t="s">
        <v>20</v>
      </c>
      <c r="C22" s="186">
        <f>'Level3 Groundwater'!D37</f>
        <v>0.01</v>
      </c>
      <c r="D22" s="8" t="s">
        <v>26</v>
      </c>
      <c r="E22" s="64">
        <v>18</v>
      </c>
      <c r="F22" s="64">
        <f t="shared" si="0"/>
        <v>0.9</v>
      </c>
      <c r="G22" s="11">
        <f t="shared" si="1"/>
        <v>12.5</v>
      </c>
      <c r="H22" s="134">
        <f t="shared" si="18"/>
        <v>0</v>
      </c>
      <c r="I22" s="134">
        <f t="shared" si="2"/>
        <v>1</v>
      </c>
      <c r="J22" s="135">
        <f t="shared" si="3"/>
        <v>-2.7911003348814016E-2</v>
      </c>
      <c r="K22" s="114">
        <f t="shared" si="4"/>
        <v>1.0314860183768488</v>
      </c>
      <c r="L22" s="134">
        <f t="shared" si="5"/>
        <v>9</v>
      </c>
      <c r="M22" s="134">
        <f t="shared" si="6"/>
        <v>8103.0839275753842</v>
      </c>
      <c r="N22" s="135">
        <f t="shared" si="7"/>
        <v>3.0001298345418217</v>
      </c>
      <c r="O22" s="114">
        <f t="shared" si="8"/>
        <v>2.207242418283146E-5</v>
      </c>
      <c r="P22" s="134">
        <f t="shared" si="9"/>
        <v>263.52313834736492</v>
      </c>
      <c r="Q22" s="22">
        <f t="shared" si="10"/>
        <v>1</v>
      </c>
      <c r="R22" s="134">
        <f t="shared" si="11"/>
        <v>-263.52313834736492</v>
      </c>
      <c r="S22" s="22">
        <f t="shared" si="12"/>
        <v>-1</v>
      </c>
      <c r="T22" s="135">
        <f t="shared" si="13"/>
        <v>833.33333333333326</v>
      </c>
      <c r="U22" s="22">
        <f t="shared" si="14"/>
        <v>1</v>
      </c>
      <c r="V22" s="135">
        <f t="shared" si="15"/>
        <v>-833.33333333333326</v>
      </c>
      <c r="W22" s="22">
        <f t="shared" si="16"/>
        <v>-1</v>
      </c>
      <c r="X22" s="130">
        <f t="shared" si="17"/>
        <v>60.517036200768835</v>
      </c>
    </row>
    <row r="23" spans="2:24" ht="14.25" customHeight="1" x14ac:dyDescent="0.2">
      <c r="B23" s="4" t="s">
        <v>19</v>
      </c>
      <c r="C23" s="186">
        <f>'Level3 Groundwater'!D38</f>
        <v>1E-3</v>
      </c>
      <c r="D23" s="8" t="s">
        <v>26</v>
      </c>
      <c r="E23" s="64">
        <v>19</v>
      </c>
      <c r="F23" s="64">
        <f t="shared" si="0"/>
        <v>0.95000000000000007</v>
      </c>
      <c r="G23" s="11">
        <f t="shared" si="1"/>
        <v>12.5</v>
      </c>
      <c r="H23" s="134">
        <f t="shared" si="18"/>
        <v>0</v>
      </c>
      <c r="I23" s="134">
        <f t="shared" si="2"/>
        <v>1</v>
      </c>
      <c r="J23" s="135">
        <f t="shared" si="3"/>
        <v>5.4650630850991824E-2</v>
      </c>
      <c r="K23" s="114">
        <f t="shared" si="4"/>
        <v>0.93839470477844167</v>
      </c>
      <c r="L23" s="134">
        <f t="shared" si="5"/>
        <v>9.5</v>
      </c>
      <c r="M23" s="134">
        <f t="shared" si="6"/>
        <v>13359.726829661873</v>
      </c>
      <c r="N23" s="135">
        <f t="shared" si="7"/>
        <v>3.0826914687416274</v>
      </c>
      <c r="O23" s="114">
        <f t="shared" si="8"/>
        <v>1.3030987702228396E-5</v>
      </c>
      <c r="P23" s="134">
        <f t="shared" si="9"/>
        <v>256.49458802128851</v>
      </c>
      <c r="Q23" s="22">
        <f t="shared" si="10"/>
        <v>1</v>
      </c>
      <c r="R23" s="134">
        <f t="shared" si="11"/>
        <v>-256.49458802128851</v>
      </c>
      <c r="S23" s="22">
        <f t="shared" si="12"/>
        <v>-1</v>
      </c>
      <c r="T23" s="135">
        <f t="shared" si="13"/>
        <v>811.10710565381271</v>
      </c>
      <c r="U23" s="22">
        <f t="shared" si="14"/>
        <v>1</v>
      </c>
      <c r="V23" s="135">
        <f t="shared" si="15"/>
        <v>-811.10710565381271</v>
      </c>
      <c r="W23" s="22">
        <f t="shared" si="16"/>
        <v>-1</v>
      </c>
      <c r="X23" s="130">
        <f t="shared" si="17"/>
        <v>55.62425704004481</v>
      </c>
    </row>
    <row r="24" spans="2:24" x14ac:dyDescent="0.2">
      <c r="D24" s="8"/>
      <c r="E24" s="64">
        <v>20</v>
      </c>
      <c r="F24" s="64">
        <f t="shared" si="0"/>
        <v>1</v>
      </c>
      <c r="G24" s="11">
        <f t="shared" si="1"/>
        <v>12.5</v>
      </c>
      <c r="H24" s="134">
        <f t="shared" si="18"/>
        <v>0</v>
      </c>
      <c r="I24" s="134">
        <f t="shared" si="2"/>
        <v>1</v>
      </c>
      <c r="J24" s="135">
        <f t="shared" si="3"/>
        <v>0.13721226505079748</v>
      </c>
      <c r="K24" s="114">
        <f t="shared" si="4"/>
        <v>0.84613873124032346</v>
      </c>
      <c r="L24" s="134">
        <f t="shared" si="5"/>
        <v>10</v>
      </c>
      <c r="M24" s="134">
        <f t="shared" si="6"/>
        <v>22026.465794806718</v>
      </c>
      <c r="N24" s="135">
        <f t="shared" si="7"/>
        <v>3.165253102941433</v>
      </c>
      <c r="O24" s="114">
        <f t="shared" si="8"/>
        <v>7.5932151535851437E-6</v>
      </c>
      <c r="P24" s="134">
        <f t="shared" si="9"/>
        <v>250</v>
      </c>
      <c r="Q24" s="22">
        <f t="shared" si="10"/>
        <v>1</v>
      </c>
      <c r="R24" s="134">
        <f t="shared" si="11"/>
        <v>-250</v>
      </c>
      <c r="S24" s="22">
        <f t="shared" si="12"/>
        <v>-1</v>
      </c>
      <c r="T24" s="135">
        <f t="shared" si="13"/>
        <v>790.56941504209487</v>
      </c>
      <c r="U24" s="22">
        <f t="shared" si="14"/>
        <v>1</v>
      </c>
      <c r="V24" s="135">
        <f t="shared" si="15"/>
        <v>-790.56941504209487</v>
      </c>
      <c r="W24" s="22">
        <f t="shared" si="16"/>
        <v>-1</v>
      </c>
      <c r="X24" s="130">
        <f t="shared" si="17"/>
        <v>50.669521254668737</v>
      </c>
    </row>
    <row r="25" spans="2:24" x14ac:dyDescent="0.2">
      <c r="B25" s="2" t="s">
        <v>319</v>
      </c>
      <c r="C25" s="56" t="str">
        <f>'Level3 Groundwater'!$C$15</f>
        <v>Simulate vertical dispersion in 1 direction</v>
      </c>
      <c r="D25" s="8"/>
      <c r="E25" s="8"/>
      <c r="G25" s="10"/>
      <c r="H25" s="10"/>
      <c r="I25" s="10"/>
      <c r="J25" s="12"/>
      <c r="K25" s="140"/>
      <c r="L25" s="10"/>
      <c r="M25" s="113"/>
      <c r="N25" s="12"/>
      <c r="O25" s="140"/>
      <c r="P25" s="10"/>
      <c r="Q25" s="138"/>
      <c r="R25" s="10"/>
      <c r="S25" s="138"/>
      <c r="T25" s="20"/>
      <c r="U25" s="145"/>
      <c r="V25" s="20"/>
      <c r="W25" s="145"/>
    </row>
    <row r="26" spans="2:24" ht="15.75" x14ac:dyDescent="0.25">
      <c r="B26" s="9" t="s">
        <v>45</v>
      </c>
      <c r="C26" s="65" t="s">
        <v>11</v>
      </c>
      <c r="D26" s="65"/>
      <c r="F26" t="s">
        <v>328</v>
      </c>
      <c r="M26" s="68"/>
      <c r="T26" s="20"/>
      <c r="U26" s="145"/>
      <c r="V26" s="20"/>
      <c r="W26" s="145"/>
    </row>
    <row r="27" spans="2:24" ht="14.25" x14ac:dyDescent="0.2">
      <c r="C27" s="4"/>
      <c r="D27" s="4"/>
      <c r="E27" s="2"/>
      <c r="F27" s="2" t="s">
        <v>52</v>
      </c>
      <c r="G27" s="11" t="s">
        <v>121</v>
      </c>
      <c r="H27" s="11" t="s">
        <v>122</v>
      </c>
      <c r="I27" s="11" t="s">
        <v>47</v>
      </c>
      <c r="J27" s="13" t="s">
        <v>123</v>
      </c>
      <c r="K27" s="139" t="s">
        <v>48</v>
      </c>
      <c r="L27" s="11" t="s">
        <v>124</v>
      </c>
      <c r="M27" s="112" t="s">
        <v>47</v>
      </c>
      <c r="N27" s="13" t="s">
        <v>125</v>
      </c>
      <c r="O27" s="139" t="s">
        <v>48</v>
      </c>
      <c r="P27" s="11" t="s">
        <v>126</v>
      </c>
      <c r="Q27" s="137" t="s">
        <v>49</v>
      </c>
      <c r="R27" s="11" t="s">
        <v>127</v>
      </c>
      <c r="S27" s="137" t="s">
        <v>49</v>
      </c>
      <c r="T27" s="22" t="s">
        <v>128</v>
      </c>
      <c r="U27" s="114" t="s">
        <v>49</v>
      </c>
      <c r="V27" s="22" t="s">
        <v>129</v>
      </c>
      <c r="W27" s="114" t="s">
        <v>49</v>
      </c>
      <c r="X27" s="2" t="s">
        <v>117</v>
      </c>
    </row>
    <row r="28" spans="2:24" ht="14.25" x14ac:dyDescent="0.2">
      <c r="B28" s="4" t="s">
        <v>38</v>
      </c>
      <c r="C28" s="186">
        <f>'Level3 Groundwater'!D42</f>
        <v>3.1749999999999997E-6</v>
      </c>
      <c r="D28" s="2" t="s">
        <v>25</v>
      </c>
      <c r="E28" s="2"/>
      <c r="F28" s="2"/>
      <c r="G28" s="11"/>
      <c r="H28" s="11"/>
      <c r="I28" s="11"/>
      <c r="J28" s="13"/>
      <c r="K28" s="139"/>
      <c r="L28" s="11"/>
      <c r="M28" s="112"/>
      <c r="N28" s="13"/>
      <c r="O28" s="139"/>
      <c r="P28" s="11"/>
      <c r="Q28" s="137"/>
      <c r="R28" s="11"/>
      <c r="S28" s="137"/>
      <c r="T28" s="22"/>
      <c r="U28" s="114"/>
      <c r="V28" s="22"/>
      <c r="W28" s="114"/>
      <c r="X28" s="2"/>
    </row>
    <row r="29" spans="2:24" ht="14.25" x14ac:dyDescent="0.2">
      <c r="B29" s="4" t="s">
        <v>0</v>
      </c>
      <c r="C29" s="186">
        <f>'Level3 Groundwater'!D43</f>
        <v>12.639012345679012</v>
      </c>
      <c r="D29" s="109"/>
      <c r="E29" s="64">
        <v>1</v>
      </c>
      <c r="F29" s="64">
        <f t="shared" ref="F29:F48" si="19">$C$17/20*E29</f>
        <v>0.05</v>
      </c>
      <c r="G29" s="11">
        <f t="shared" ref="G29:G48" si="20">0.125*$C$8</f>
        <v>12.5</v>
      </c>
      <c r="H29" s="134">
        <f t="shared" ref="H29:H48" si="21">$F29/(2*$C$21)*(1-(1+(4*$C$9*$C$21)/$C$30)^0.5)</f>
        <v>0</v>
      </c>
      <c r="I29" s="134">
        <f t="shared" ref="I29:I48" si="22">EXP(H29)</f>
        <v>1</v>
      </c>
      <c r="J29" s="135">
        <f t="shared" ref="J29:J48" si="23">1/(2*(SQRT($C$21*$C$30*$C$20)))*($F29-($C$30*$C$20)*(1+(4*$C$9*$C$21)/$C$30)^0.5)</f>
        <v>-1.431458784745512</v>
      </c>
      <c r="K29" s="114">
        <f t="shared" ref="K29:K48" si="24">IF(J29&lt;-4,2,IF(J29&gt;4,0,IF(J29&gt;=0,ERFC(J29),1+ERF(-J29))))</f>
        <v>1.9570697984560219</v>
      </c>
      <c r="L29" s="134">
        <f>$F29/(2*$C$21)*(1+(1+(4*$C$9*$C$21)/$C$30)^0.5)</f>
        <v>0.5</v>
      </c>
      <c r="M29" s="134">
        <f>IF(L29&gt;700,EXP(700),EXP(L29))</f>
        <v>1.6487212707001282</v>
      </c>
      <c r="N29" s="135">
        <f t="shared" ref="N29:N48" si="25">1/(2*(SQRT($C$21*$C$30*$C$20)))*($F29+($C$30*$C$20)*(1+(4*$C$9*$C$21)/$C$30)^0.5)</f>
        <v>1.5965820531451238</v>
      </c>
      <c r="O29" s="114">
        <f t="shared" ref="O29:O48" si="26">IF(N29&lt;-4,2,IF(N29&gt;4,0,IF(N29&gt;=0,ERFC(N29),1+ERF(-N29))))</f>
        <v>2.3951396198178529E-2</v>
      </c>
      <c r="P29" s="134">
        <f>(($C$18+0.5*$C$10)/(2*SQRT($C$22*$F29)))</f>
        <v>1118.0339887498949</v>
      </c>
      <c r="Q29" s="22">
        <f t="shared" ref="Q29:Q48" si="27">IF(P29&lt;0,IF(P29&lt;-10,-1,-ERF(-P29)),IF(P29&gt;10,1,ERF(P29)))</f>
        <v>1</v>
      </c>
      <c r="R29" s="134">
        <f>(($C$18-0.5*$C$10)/(2*SQRT($C$22*$F29)))</f>
        <v>-1118.0339887498949</v>
      </c>
      <c r="S29" s="22">
        <f t="shared" ref="S29:S48" si="28">IF(R29&lt;0,IF(R29&lt;-10,-1,-ERF(-R29)),IF(R29&gt;10,1,ERF(R29)))</f>
        <v>-1</v>
      </c>
      <c r="T29" s="135">
        <f t="shared" ref="T29:T48" si="29">(($C$19+$C$11)/(2*SQRT($C$23*$F29)))</f>
        <v>7071.0678118654751</v>
      </c>
      <c r="U29" s="22">
        <f t="shared" ref="U29:U48" si="30">IF(T29&lt;0,IF(T29&lt;-10,-1,-ERF(-T29)),IF(T29&gt;10,1,ERF(T29)))</f>
        <v>1</v>
      </c>
      <c r="V29" s="135">
        <f t="shared" ref="V29:V48" si="31">(($C$19-$C$11)/(2*SQRT($C$23*$F29)))</f>
        <v>-7071.0678118654751</v>
      </c>
      <c r="W29" s="22">
        <f t="shared" ref="W29:W48" si="32">IF(V29&lt;0,IF(V29&lt;-10,-1,-ERF(-V29)),IF(V29&gt;10,1,ERF(V29)))</f>
        <v>-1</v>
      </c>
      <c r="X29" s="130">
        <f t="shared" ref="X29:X48" si="33">G29*(I29*K29+M29*O29)*(Q29-S29)*(U29-W29)</f>
        <v>99.827948741546251</v>
      </c>
    </row>
    <row r="30" spans="2:24" ht="14.25" x14ac:dyDescent="0.2">
      <c r="B30" s="4" t="s">
        <v>41</v>
      </c>
      <c r="C30" s="186">
        <f>'Level3 Groundwater'!D45</f>
        <v>2.5120633742283348E-7</v>
      </c>
      <c r="D30" s="2" t="s">
        <v>25</v>
      </c>
      <c r="E30" s="64">
        <v>2</v>
      </c>
      <c r="F30" s="64">
        <f t="shared" si="19"/>
        <v>0.1</v>
      </c>
      <c r="G30" s="11">
        <f t="shared" si="20"/>
        <v>12.5</v>
      </c>
      <c r="H30" s="134">
        <f t="shared" si="21"/>
        <v>0</v>
      </c>
      <c r="I30" s="134">
        <f t="shared" si="22"/>
        <v>1</v>
      </c>
      <c r="J30" s="135">
        <f t="shared" si="23"/>
        <v>-1.3488971505457064</v>
      </c>
      <c r="K30" s="114">
        <f t="shared" si="24"/>
        <v>1.9435607698201254</v>
      </c>
      <c r="L30" s="134">
        <f t="shared" ref="L30:L48" si="34">$F30/(2*$C$21)*(1+(1+(4*$C$9*$C$21)/$C$30)^0.5)</f>
        <v>1</v>
      </c>
      <c r="M30" s="134">
        <f t="shared" ref="M30:M48" si="35">IF(L30&gt;700,EXP(700),EXP(L30))</f>
        <v>2.7182818284590451</v>
      </c>
      <c r="N30" s="135">
        <f t="shared" si="25"/>
        <v>1.6791436873449295</v>
      </c>
      <c r="O30" s="114">
        <f t="shared" si="26"/>
        <v>1.7564751624981331E-2</v>
      </c>
      <c r="P30" s="134">
        <f t="shared" ref="P30:P48" si="36">(($C$18+0.5*$C$10)/(2*SQRT($C$22*$F30)))</f>
        <v>790.56941504209487</v>
      </c>
      <c r="Q30" s="22">
        <f t="shared" si="27"/>
        <v>1</v>
      </c>
      <c r="R30" s="134">
        <f t="shared" ref="R30:R48" si="37">(($C$18-0.5*$C$10)/(2*SQRT($C$22*$F30)))</f>
        <v>-790.56941504209487</v>
      </c>
      <c r="S30" s="22">
        <f t="shared" si="28"/>
        <v>-1</v>
      </c>
      <c r="T30" s="135">
        <f t="shared" si="29"/>
        <v>5000</v>
      </c>
      <c r="U30" s="22">
        <f t="shared" si="30"/>
        <v>1</v>
      </c>
      <c r="V30" s="135">
        <f t="shared" si="31"/>
        <v>-5000</v>
      </c>
      <c r="W30" s="22">
        <f t="shared" si="32"/>
        <v>-1</v>
      </c>
      <c r="X30" s="130">
        <f t="shared" si="33"/>
        <v>99.565335749185436</v>
      </c>
    </row>
    <row r="31" spans="2:24" x14ac:dyDescent="0.2">
      <c r="E31" s="64">
        <v>3</v>
      </c>
      <c r="F31" s="64">
        <f t="shared" si="19"/>
        <v>0.15000000000000002</v>
      </c>
      <c r="G31" s="11">
        <f t="shared" si="20"/>
        <v>12.5</v>
      </c>
      <c r="H31" s="134">
        <f t="shared" si="21"/>
        <v>0</v>
      </c>
      <c r="I31" s="134">
        <f t="shared" si="22"/>
        <v>1</v>
      </c>
      <c r="J31" s="135">
        <f t="shared" si="23"/>
        <v>-1.2663355163459005</v>
      </c>
      <c r="K31" s="114">
        <f t="shared" si="24"/>
        <v>1.9266856584243943</v>
      </c>
      <c r="L31" s="134">
        <f t="shared" si="34"/>
        <v>1.5000000000000002</v>
      </c>
      <c r="M31" s="134">
        <f t="shared" si="35"/>
        <v>4.4816890703380654</v>
      </c>
      <c r="N31" s="135">
        <f t="shared" si="25"/>
        <v>1.7617053215447354</v>
      </c>
      <c r="O31" s="114">
        <f t="shared" si="26"/>
        <v>1.2723090940563512E-2</v>
      </c>
      <c r="P31" s="134">
        <f t="shared" si="36"/>
        <v>645.49722436790285</v>
      </c>
      <c r="Q31" s="22">
        <f t="shared" si="27"/>
        <v>1</v>
      </c>
      <c r="R31" s="134">
        <f t="shared" si="37"/>
        <v>-645.49722436790285</v>
      </c>
      <c r="S31" s="22">
        <f t="shared" si="28"/>
        <v>-1</v>
      </c>
      <c r="T31" s="135">
        <f t="shared" si="29"/>
        <v>4082.4829046386299</v>
      </c>
      <c r="U31" s="22">
        <f t="shared" si="30"/>
        <v>1</v>
      </c>
      <c r="V31" s="135">
        <f t="shared" si="31"/>
        <v>-4082.4829046386299</v>
      </c>
      <c r="W31" s="22">
        <f t="shared" si="32"/>
        <v>-1</v>
      </c>
      <c r="X31" s="130">
        <f t="shared" si="33"/>
        <v>99.18532980168176</v>
      </c>
    </row>
    <row r="32" spans="2:24" x14ac:dyDescent="0.2">
      <c r="E32" s="64">
        <v>4</v>
      </c>
      <c r="F32" s="64">
        <f t="shared" si="19"/>
        <v>0.2</v>
      </c>
      <c r="G32" s="11">
        <f t="shared" si="20"/>
        <v>12.5</v>
      </c>
      <c r="H32" s="134">
        <f t="shared" si="21"/>
        <v>0</v>
      </c>
      <c r="I32" s="134">
        <f t="shared" si="22"/>
        <v>1</v>
      </c>
      <c r="J32" s="135">
        <f t="shared" si="23"/>
        <v>-1.1837738821460948</v>
      </c>
      <c r="K32" s="114">
        <f t="shared" si="24"/>
        <v>1.9058908362015687</v>
      </c>
      <c r="L32" s="134">
        <f t="shared" si="34"/>
        <v>2</v>
      </c>
      <c r="M32" s="134">
        <f t="shared" si="35"/>
        <v>7.3890560989306504</v>
      </c>
      <c r="N32" s="135">
        <f t="shared" si="25"/>
        <v>1.8442669557445408</v>
      </c>
      <c r="O32" s="114">
        <f t="shared" si="26"/>
        <v>9.1023122733560145E-3</v>
      </c>
      <c r="P32" s="134">
        <f t="shared" si="36"/>
        <v>559.01699437494744</v>
      </c>
      <c r="Q32" s="22">
        <f t="shared" si="27"/>
        <v>1</v>
      </c>
      <c r="R32" s="134">
        <f t="shared" si="37"/>
        <v>-559.01699437494744</v>
      </c>
      <c r="S32" s="22">
        <f t="shared" si="28"/>
        <v>-1</v>
      </c>
      <c r="T32" s="135">
        <f t="shared" si="29"/>
        <v>3535.5339059327375</v>
      </c>
      <c r="U32" s="22">
        <f t="shared" si="30"/>
        <v>1</v>
      </c>
      <c r="V32" s="135">
        <f t="shared" si="31"/>
        <v>-3535.5339059327375</v>
      </c>
      <c r="W32" s="22">
        <f t="shared" si="32"/>
        <v>-1</v>
      </c>
      <c r="X32" s="130">
        <f t="shared" si="33"/>
        <v>98.657416610969065</v>
      </c>
    </row>
    <row r="33" spans="2:24" x14ac:dyDescent="0.2">
      <c r="E33" s="64">
        <v>5</v>
      </c>
      <c r="F33" s="64">
        <f t="shared" si="19"/>
        <v>0.25</v>
      </c>
      <c r="G33" s="11">
        <f t="shared" si="20"/>
        <v>12.5</v>
      </c>
      <c r="H33" s="134">
        <f t="shared" si="21"/>
        <v>0</v>
      </c>
      <c r="I33" s="134">
        <f t="shared" si="22"/>
        <v>1</v>
      </c>
      <c r="J33" s="135">
        <f t="shared" si="23"/>
        <v>-1.1012122479462889</v>
      </c>
      <c r="K33" s="114">
        <f t="shared" si="24"/>
        <v>1.8806124226401462</v>
      </c>
      <c r="L33" s="134">
        <f t="shared" si="34"/>
        <v>2.5</v>
      </c>
      <c r="M33" s="134">
        <f t="shared" si="35"/>
        <v>12.182493960703473</v>
      </c>
      <c r="N33" s="135">
        <f t="shared" si="25"/>
        <v>1.9268285899443467</v>
      </c>
      <c r="O33" s="114">
        <f t="shared" si="26"/>
        <v>6.4311785562938106E-3</v>
      </c>
      <c r="P33" s="134">
        <f t="shared" si="36"/>
        <v>500</v>
      </c>
      <c r="Q33" s="22">
        <f t="shared" si="27"/>
        <v>1</v>
      </c>
      <c r="R33" s="134">
        <f t="shared" si="37"/>
        <v>-500</v>
      </c>
      <c r="S33" s="22">
        <f t="shared" si="28"/>
        <v>-1</v>
      </c>
      <c r="T33" s="135">
        <f t="shared" si="29"/>
        <v>3162.2776601683795</v>
      </c>
      <c r="U33" s="22">
        <f t="shared" si="30"/>
        <v>1</v>
      </c>
      <c r="V33" s="135">
        <f t="shared" si="31"/>
        <v>-3162.2776601683795</v>
      </c>
      <c r="W33" s="22">
        <f t="shared" si="32"/>
        <v>-1</v>
      </c>
      <c r="X33" s="130">
        <f t="shared" si="33"/>
        <v>97.948010828120061</v>
      </c>
    </row>
    <row r="34" spans="2:24" x14ac:dyDescent="0.2">
      <c r="E34" s="64">
        <v>6</v>
      </c>
      <c r="F34" s="64">
        <f t="shared" si="19"/>
        <v>0.30000000000000004</v>
      </c>
      <c r="G34" s="11">
        <f t="shared" si="20"/>
        <v>12.5</v>
      </c>
      <c r="H34" s="134">
        <f t="shared" si="21"/>
        <v>0</v>
      </c>
      <c r="I34" s="134">
        <f t="shared" si="22"/>
        <v>1</v>
      </c>
      <c r="J34" s="135">
        <f t="shared" si="23"/>
        <v>-1.0186506137464832</v>
      </c>
      <c r="K34" s="114">
        <f t="shared" si="24"/>
        <v>1.8502993152060387</v>
      </c>
      <c r="L34" s="134">
        <f t="shared" si="34"/>
        <v>3.0000000000000004</v>
      </c>
      <c r="M34" s="134">
        <f t="shared" si="35"/>
        <v>20.085536923187675</v>
      </c>
      <c r="N34" s="135">
        <f t="shared" si="25"/>
        <v>2.0093902241441524</v>
      </c>
      <c r="O34" s="114">
        <f t="shared" si="26"/>
        <v>4.4872723716478588E-3</v>
      </c>
      <c r="P34" s="134">
        <f t="shared" si="36"/>
        <v>456.43546458763842</v>
      </c>
      <c r="Q34" s="22">
        <f t="shared" si="27"/>
        <v>1</v>
      </c>
      <c r="R34" s="134">
        <f t="shared" si="37"/>
        <v>-456.43546458763842</v>
      </c>
      <c r="S34" s="22">
        <f t="shared" si="28"/>
        <v>-1</v>
      </c>
      <c r="T34" s="135">
        <f t="shared" si="29"/>
        <v>2886.7513459481288</v>
      </c>
      <c r="U34" s="22">
        <f t="shared" si="30"/>
        <v>1</v>
      </c>
      <c r="V34" s="135">
        <f t="shared" si="31"/>
        <v>-2886.7513459481288</v>
      </c>
      <c r="W34" s="22">
        <f t="shared" si="32"/>
        <v>-1</v>
      </c>
      <c r="X34" s="130">
        <f t="shared" si="33"/>
        <v>97.021429505558586</v>
      </c>
    </row>
    <row r="35" spans="2:24" x14ac:dyDescent="0.2">
      <c r="E35" s="64">
        <v>7</v>
      </c>
      <c r="F35" s="64">
        <f t="shared" si="19"/>
        <v>0.35000000000000003</v>
      </c>
      <c r="G35" s="11">
        <f t="shared" si="20"/>
        <v>12.5</v>
      </c>
      <c r="H35" s="134">
        <f t="shared" si="21"/>
        <v>0</v>
      </c>
      <c r="I35" s="134">
        <f t="shared" si="22"/>
        <v>1</v>
      </c>
      <c r="J35" s="135">
        <f t="shared" si="23"/>
        <v>-0.93608897954667736</v>
      </c>
      <c r="K35" s="114">
        <f t="shared" si="24"/>
        <v>1.81444040014845</v>
      </c>
      <c r="L35" s="134">
        <f t="shared" si="34"/>
        <v>3.5</v>
      </c>
      <c r="M35" s="134">
        <f t="shared" si="35"/>
        <v>33.115451958692312</v>
      </c>
      <c r="N35" s="135">
        <f t="shared" si="25"/>
        <v>2.0919518583439585</v>
      </c>
      <c r="O35" s="114">
        <f t="shared" si="26"/>
        <v>3.0917365416255342E-3</v>
      </c>
      <c r="P35" s="134">
        <f t="shared" si="36"/>
        <v>422.57712736425827</v>
      </c>
      <c r="Q35" s="22">
        <f t="shared" si="27"/>
        <v>1</v>
      </c>
      <c r="R35" s="134">
        <f t="shared" si="37"/>
        <v>-422.57712736425827</v>
      </c>
      <c r="S35" s="22">
        <f t="shared" si="28"/>
        <v>-1</v>
      </c>
      <c r="T35" s="135">
        <f t="shared" si="29"/>
        <v>2672.6124191242438</v>
      </c>
      <c r="U35" s="22">
        <f t="shared" si="30"/>
        <v>1</v>
      </c>
      <c r="V35" s="135">
        <f t="shared" si="31"/>
        <v>-2672.6124191242438</v>
      </c>
      <c r="W35" s="22">
        <f t="shared" si="32"/>
        <v>-1</v>
      </c>
      <c r="X35" s="130">
        <f t="shared" si="33"/>
        <v>95.841232653079189</v>
      </c>
    </row>
    <row r="36" spans="2:24" x14ac:dyDescent="0.2">
      <c r="E36" s="64">
        <v>8</v>
      </c>
      <c r="F36" s="64">
        <f t="shared" si="19"/>
        <v>0.4</v>
      </c>
      <c r="G36" s="11">
        <f t="shared" si="20"/>
        <v>12.5</v>
      </c>
      <c r="H36" s="134">
        <f t="shared" si="21"/>
        <v>0</v>
      </c>
      <c r="I36" s="134">
        <f t="shared" si="22"/>
        <v>1</v>
      </c>
      <c r="J36" s="135">
        <f t="shared" si="23"/>
        <v>-0.85352734534687169</v>
      </c>
      <c r="K36" s="114">
        <f t="shared" si="24"/>
        <v>1.7725947927091266</v>
      </c>
      <c r="L36" s="134">
        <f t="shared" si="34"/>
        <v>4</v>
      </c>
      <c r="M36" s="134">
        <f t="shared" si="35"/>
        <v>54.598150033144236</v>
      </c>
      <c r="N36" s="135">
        <f t="shared" si="25"/>
        <v>2.1745134925437641</v>
      </c>
      <c r="O36" s="114">
        <f t="shared" si="26"/>
        <v>2.1034276652258563E-3</v>
      </c>
      <c r="P36" s="134">
        <f t="shared" si="36"/>
        <v>395.28470752104744</v>
      </c>
      <c r="Q36" s="22">
        <f t="shared" si="27"/>
        <v>1</v>
      </c>
      <c r="R36" s="134">
        <f t="shared" si="37"/>
        <v>-395.28470752104744</v>
      </c>
      <c r="S36" s="22">
        <f t="shared" si="28"/>
        <v>-1</v>
      </c>
      <c r="T36" s="135">
        <f t="shared" si="29"/>
        <v>2500</v>
      </c>
      <c r="U36" s="22">
        <f t="shared" si="30"/>
        <v>1</v>
      </c>
      <c r="V36" s="135">
        <f t="shared" si="31"/>
        <v>-2500</v>
      </c>
      <c r="W36" s="22">
        <f t="shared" si="32"/>
        <v>-1</v>
      </c>
      <c r="X36" s="130">
        <f t="shared" si="33"/>
        <v>94.371902597949713</v>
      </c>
    </row>
    <row r="37" spans="2:24" x14ac:dyDescent="0.2">
      <c r="E37" s="64">
        <v>9</v>
      </c>
      <c r="F37" s="64">
        <f t="shared" si="19"/>
        <v>0.45</v>
      </c>
      <c r="G37" s="11">
        <f t="shared" si="20"/>
        <v>12.5</v>
      </c>
      <c r="H37" s="134">
        <f t="shared" si="21"/>
        <v>0</v>
      </c>
      <c r="I37" s="134">
        <f t="shared" si="22"/>
        <v>1</v>
      </c>
      <c r="J37" s="135">
        <f t="shared" si="23"/>
        <v>-0.77096571114706591</v>
      </c>
      <c r="K37" s="114">
        <f t="shared" si="24"/>
        <v>1.7244234609234352</v>
      </c>
      <c r="L37" s="134">
        <f t="shared" si="34"/>
        <v>4.5</v>
      </c>
      <c r="M37" s="134">
        <f t="shared" si="35"/>
        <v>90.017131300521811</v>
      </c>
      <c r="N37" s="135">
        <f t="shared" si="25"/>
        <v>2.2570751267435698</v>
      </c>
      <c r="O37" s="114">
        <f t="shared" si="26"/>
        <v>1.4129805615796733E-3</v>
      </c>
      <c r="P37" s="134">
        <f t="shared" si="36"/>
        <v>372.67799624996491</v>
      </c>
      <c r="Q37" s="22">
        <f t="shared" si="27"/>
        <v>1</v>
      </c>
      <c r="R37" s="134">
        <f t="shared" si="37"/>
        <v>-372.67799624996491</v>
      </c>
      <c r="S37" s="22">
        <f t="shared" si="28"/>
        <v>-1</v>
      </c>
      <c r="T37" s="135">
        <f t="shared" si="29"/>
        <v>2357.0226039551585</v>
      </c>
      <c r="U37" s="22">
        <f t="shared" si="30"/>
        <v>1</v>
      </c>
      <c r="V37" s="135">
        <f t="shared" si="31"/>
        <v>-2357.0226039551585</v>
      </c>
      <c r="W37" s="22">
        <f t="shared" si="32"/>
        <v>-1</v>
      </c>
      <c r="X37" s="130">
        <f t="shared" si="33"/>
        <v>92.580795883011888</v>
      </c>
    </row>
    <row r="38" spans="2:24" x14ac:dyDescent="0.2">
      <c r="E38" s="64">
        <v>10</v>
      </c>
      <c r="F38" s="64">
        <f t="shared" si="19"/>
        <v>0.5</v>
      </c>
      <c r="G38" s="11">
        <f t="shared" si="20"/>
        <v>12.5</v>
      </c>
      <c r="H38" s="134">
        <f t="shared" si="21"/>
        <v>0</v>
      </c>
      <c r="I38" s="134">
        <f t="shared" si="22"/>
        <v>1</v>
      </c>
      <c r="J38" s="135">
        <f t="shared" si="23"/>
        <v>-0.68840407694726014</v>
      </c>
      <c r="K38" s="114">
        <f t="shared" si="24"/>
        <v>1.6697201670877326</v>
      </c>
      <c r="L38" s="134">
        <f t="shared" si="34"/>
        <v>5</v>
      </c>
      <c r="M38" s="134">
        <f t="shared" si="35"/>
        <v>148.4131591025766</v>
      </c>
      <c r="N38" s="135">
        <f t="shared" si="25"/>
        <v>2.3396367609433755</v>
      </c>
      <c r="O38" s="114">
        <f t="shared" si="26"/>
        <v>9.3714802319702769E-4</v>
      </c>
      <c r="P38" s="134">
        <f t="shared" si="36"/>
        <v>353.55339059327378</v>
      </c>
      <c r="Q38" s="22">
        <f t="shared" si="27"/>
        <v>1</v>
      </c>
      <c r="R38" s="134">
        <f t="shared" si="37"/>
        <v>-353.55339059327378</v>
      </c>
      <c r="S38" s="22">
        <f t="shared" si="28"/>
        <v>-1</v>
      </c>
      <c r="T38" s="135">
        <f t="shared" si="29"/>
        <v>2236.0679774997898</v>
      </c>
      <c r="U38" s="22">
        <f t="shared" si="30"/>
        <v>1</v>
      </c>
      <c r="V38" s="135">
        <f t="shared" si="31"/>
        <v>-2236.0679774997898</v>
      </c>
      <c r="W38" s="22">
        <f t="shared" si="32"/>
        <v>-1</v>
      </c>
      <c r="X38" s="130">
        <f t="shared" si="33"/>
        <v>90.440263287856908</v>
      </c>
    </row>
    <row r="39" spans="2:24" x14ac:dyDescent="0.2">
      <c r="E39" s="64">
        <v>11</v>
      </c>
      <c r="F39" s="64">
        <f t="shared" si="19"/>
        <v>0.55000000000000004</v>
      </c>
      <c r="G39" s="11">
        <f t="shared" si="20"/>
        <v>12.5</v>
      </c>
      <c r="H39" s="134">
        <f t="shared" si="21"/>
        <v>0</v>
      </c>
      <c r="I39" s="134">
        <f t="shared" si="22"/>
        <v>1</v>
      </c>
      <c r="J39" s="135">
        <f t="shared" si="23"/>
        <v>-0.60584244274745436</v>
      </c>
      <c r="K39" s="114">
        <f t="shared" si="24"/>
        <v>1.6084393779567119</v>
      </c>
      <c r="L39" s="134">
        <f t="shared" si="34"/>
        <v>5.5</v>
      </c>
      <c r="M39" s="134">
        <f t="shared" si="35"/>
        <v>244.69193226422038</v>
      </c>
      <c r="N39" s="135">
        <f t="shared" si="25"/>
        <v>2.4221983951431816</v>
      </c>
      <c r="O39" s="114">
        <f t="shared" si="26"/>
        <v>6.1365578399438878E-4</v>
      </c>
      <c r="P39" s="134">
        <f t="shared" si="36"/>
        <v>337.09993123162104</v>
      </c>
      <c r="Q39" s="22">
        <f t="shared" si="27"/>
        <v>1</v>
      </c>
      <c r="R39" s="134">
        <f t="shared" si="37"/>
        <v>-337.09993123162104</v>
      </c>
      <c r="S39" s="22">
        <f t="shared" si="28"/>
        <v>-1</v>
      </c>
      <c r="T39" s="135">
        <f t="shared" si="29"/>
        <v>2132.0071635561044</v>
      </c>
      <c r="U39" s="22">
        <f t="shared" si="30"/>
        <v>1</v>
      </c>
      <c r="V39" s="135">
        <f t="shared" si="31"/>
        <v>-2132.0071635561044</v>
      </c>
      <c r="W39" s="22">
        <f t="shared" si="32"/>
        <v>-1</v>
      </c>
      <c r="X39" s="130">
        <f t="shared" si="33"/>
        <v>87.929799874370701</v>
      </c>
    </row>
    <row r="40" spans="2:24" x14ac:dyDescent="0.2">
      <c r="E40" s="64">
        <v>12</v>
      </c>
      <c r="F40" s="64">
        <f t="shared" si="19"/>
        <v>0.60000000000000009</v>
      </c>
      <c r="G40" s="11">
        <f t="shared" si="20"/>
        <v>12.5</v>
      </c>
      <c r="H40" s="134">
        <f t="shared" si="21"/>
        <v>0</v>
      </c>
      <c r="I40" s="134">
        <f t="shared" si="22"/>
        <v>1</v>
      </c>
      <c r="J40" s="135">
        <f t="shared" si="23"/>
        <v>-0.52328080854764847</v>
      </c>
      <c r="K40" s="114">
        <f t="shared" si="24"/>
        <v>1.5407187041746959</v>
      </c>
      <c r="L40" s="134">
        <f t="shared" si="34"/>
        <v>6.0000000000000009</v>
      </c>
      <c r="M40" s="134">
        <f t="shared" si="35"/>
        <v>403.42879349273551</v>
      </c>
      <c r="N40" s="135">
        <f t="shared" si="25"/>
        <v>2.5047600293429872</v>
      </c>
      <c r="O40" s="114">
        <f t="shared" si="26"/>
        <v>3.9670581268064768E-4</v>
      </c>
      <c r="P40" s="134">
        <f t="shared" si="36"/>
        <v>322.74861218395142</v>
      </c>
      <c r="Q40" s="22">
        <f t="shared" si="27"/>
        <v>1</v>
      </c>
      <c r="R40" s="134">
        <f t="shared" si="37"/>
        <v>-322.74861218395142</v>
      </c>
      <c r="S40" s="22">
        <f t="shared" si="28"/>
        <v>-1</v>
      </c>
      <c r="T40" s="135">
        <f t="shared" si="29"/>
        <v>2041.2414523193149</v>
      </c>
      <c r="U40" s="22">
        <f t="shared" si="30"/>
        <v>1</v>
      </c>
      <c r="V40" s="135">
        <f t="shared" si="31"/>
        <v>-2041.2414523193149</v>
      </c>
      <c r="W40" s="22">
        <f t="shared" si="32"/>
        <v>-1</v>
      </c>
      <c r="X40" s="130">
        <f t="shared" si="33"/>
        <v>85.038062577800233</v>
      </c>
    </row>
    <row r="41" spans="2:24" x14ac:dyDescent="0.2">
      <c r="E41" s="64">
        <v>13</v>
      </c>
      <c r="F41" s="64">
        <f t="shared" si="19"/>
        <v>0.65</v>
      </c>
      <c r="G41" s="11">
        <f t="shared" si="20"/>
        <v>12.5</v>
      </c>
      <c r="H41" s="134">
        <f t="shared" si="21"/>
        <v>0</v>
      </c>
      <c r="I41" s="134">
        <f t="shared" si="22"/>
        <v>1</v>
      </c>
      <c r="J41" s="135">
        <f t="shared" si="23"/>
        <v>-0.44071917434784286</v>
      </c>
      <c r="K41" s="114">
        <f t="shared" si="24"/>
        <v>1.4668935705324631</v>
      </c>
      <c r="L41" s="134">
        <f t="shared" si="34"/>
        <v>6.5</v>
      </c>
      <c r="M41" s="134">
        <f t="shared" si="35"/>
        <v>665.14163304436181</v>
      </c>
      <c r="N41" s="135">
        <f t="shared" si="25"/>
        <v>2.5873216635427929</v>
      </c>
      <c r="O41" s="114">
        <f t="shared" si="26"/>
        <v>2.5317626182864029E-4</v>
      </c>
      <c r="P41" s="134">
        <f t="shared" si="36"/>
        <v>310.08683647302115</v>
      </c>
      <c r="Q41" s="22">
        <f t="shared" si="27"/>
        <v>1</v>
      </c>
      <c r="R41" s="134">
        <f t="shared" si="37"/>
        <v>-310.08683647302115</v>
      </c>
      <c r="S41" s="22">
        <f t="shared" si="28"/>
        <v>-1</v>
      </c>
      <c r="T41" s="135">
        <f t="shared" si="29"/>
        <v>1961.1613513818402</v>
      </c>
      <c r="U41" s="22">
        <f t="shared" si="30"/>
        <v>1</v>
      </c>
      <c r="V41" s="135">
        <f t="shared" si="31"/>
        <v>-1961.1613513818402</v>
      </c>
      <c r="W41" s="22">
        <f t="shared" si="32"/>
        <v>-1</v>
      </c>
      <c r="X41" s="130">
        <f t="shared" si="33"/>
        <v>81.764582138661595</v>
      </c>
    </row>
    <row r="42" spans="2:24" x14ac:dyDescent="0.2">
      <c r="E42" s="64">
        <v>14</v>
      </c>
      <c r="F42" s="64">
        <f t="shared" si="19"/>
        <v>0.70000000000000007</v>
      </c>
      <c r="G42" s="11">
        <f t="shared" si="20"/>
        <v>12.5</v>
      </c>
      <c r="H42" s="134">
        <f t="shared" si="21"/>
        <v>0</v>
      </c>
      <c r="I42" s="134">
        <f t="shared" si="22"/>
        <v>1</v>
      </c>
      <c r="J42" s="135">
        <f t="shared" si="23"/>
        <v>-0.35815754014803702</v>
      </c>
      <c r="K42" s="114">
        <f t="shared" si="24"/>
        <v>1.3875022064159763</v>
      </c>
      <c r="L42" s="134">
        <f t="shared" si="34"/>
        <v>7</v>
      </c>
      <c r="M42" s="134">
        <f t="shared" si="35"/>
        <v>1096.6331584284585</v>
      </c>
      <c r="N42" s="135">
        <f t="shared" si="25"/>
        <v>2.6698832977425986</v>
      </c>
      <c r="O42" s="114">
        <f t="shared" si="26"/>
        <v>1.5950442236456E-4</v>
      </c>
      <c r="P42" s="134">
        <f t="shared" si="36"/>
        <v>298.80715233359837</v>
      </c>
      <c r="Q42" s="22">
        <f t="shared" si="27"/>
        <v>1</v>
      </c>
      <c r="R42" s="134">
        <f t="shared" si="37"/>
        <v>-298.80715233359837</v>
      </c>
      <c r="S42" s="22">
        <f t="shared" si="28"/>
        <v>-1</v>
      </c>
      <c r="T42" s="135">
        <f t="shared" si="29"/>
        <v>1889.8223650461359</v>
      </c>
      <c r="U42" s="22">
        <f t="shared" si="30"/>
        <v>1</v>
      </c>
      <c r="V42" s="135">
        <f t="shared" si="31"/>
        <v>-1889.8223650461359</v>
      </c>
      <c r="W42" s="22">
        <f t="shared" si="32"/>
        <v>-1</v>
      </c>
      <c r="X42" s="130">
        <f t="shared" si="33"/>
        <v>78.121002244846522</v>
      </c>
    </row>
    <row r="43" spans="2:24" x14ac:dyDescent="0.2">
      <c r="E43" s="64">
        <v>15</v>
      </c>
      <c r="F43" s="64">
        <f t="shared" si="19"/>
        <v>0.75</v>
      </c>
      <c r="G43" s="11">
        <f t="shared" si="20"/>
        <v>12.5</v>
      </c>
      <c r="H43" s="134">
        <f t="shared" si="21"/>
        <v>0</v>
      </c>
      <c r="I43" s="134">
        <f t="shared" si="22"/>
        <v>1</v>
      </c>
      <c r="J43" s="135">
        <f t="shared" si="23"/>
        <v>-0.27559590594823136</v>
      </c>
      <c r="K43" s="114">
        <f t="shared" si="24"/>
        <v>1.3032796657910455</v>
      </c>
      <c r="L43" s="134">
        <f t="shared" si="34"/>
        <v>7.5</v>
      </c>
      <c r="M43" s="134">
        <f t="shared" si="35"/>
        <v>1808.0424144560632</v>
      </c>
      <c r="N43" s="135">
        <f t="shared" si="25"/>
        <v>2.7524449319424042</v>
      </c>
      <c r="O43" s="114">
        <f t="shared" si="26"/>
        <v>9.9198111532626892E-5</v>
      </c>
      <c r="P43" s="134">
        <f t="shared" si="36"/>
        <v>288.6751345948129</v>
      </c>
      <c r="Q43" s="22">
        <f t="shared" si="27"/>
        <v>1</v>
      </c>
      <c r="R43" s="134">
        <f t="shared" si="37"/>
        <v>-288.6751345948129</v>
      </c>
      <c r="S43" s="22">
        <f t="shared" si="28"/>
        <v>-1</v>
      </c>
      <c r="T43" s="135">
        <f t="shared" si="29"/>
        <v>1825.7418583505537</v>
      </c>
      <c r="U43" s="22">
        <f t="shared" si="30"/>
        <v>1</v>
      </c>
      <c r="V43" s="135">
        <f t="shared" si="31"/>
        <v>-1825.7418583505537</v>
      </c>
      <c r="W43" s="22">
        <f t="shared" si="32"/>
        <v>-1</v>
      </c>
      <c r="X43" s="130">
        <f t="shared" si="33"/>
        <v>74.131702943798899</v>
      </c>
    </row>
    <row r="44" spans="2:24" x14ac:dyDescent="0.2">
      <c r="E44" s="64">
        <v>16</v>
      </c>
      <c r="F44" s="64">
        <f t="shared" si="19"/>
        <v>0.8</v>
      </c>
      <c r="G44" s="11">
        <f t="shared" si="20"/>
        <v>12.5</v>
      </c>
      <c r="H44" s="134">
        <f t="shared" si="21"/>
        <v>0</v>
      </c>
      <c r="I44" s="134">
        <f t="shared" si="22"/>
        <v>1</v>
      </c>
      <c r="J44" s="135">
        <f t="shared" si="23"/>
        <v>-0.19303427174842552</v>
      </c>
      <c r="K44" s="114">
        <f t="shared" si="24"/>
        <v>1.2151403927710724</v>
      </c>
      <c r="L44" s="134">
        <f t="shared" si="34"/>
        <v>8</v>
      </c>
      <c r="M44" s="134">
        <f t="shared" si="35"/>
        <v>2980.9579870417283</v>
      </c>
      <c r="N44" s="135">
        <f t="shared" si="25"/>
        <v>2.8350065661422104</v>
      </c>
      <c r="O44" s="114">
        <f t="shared" si="26"/>
        <v>6.0897786354999796E-5</v>
      </c>
      <c r="P44" s="134">
        <f t="shared" si="36"/>
        <v>279.50849718747372</v>
      </c>
      <c r="Q44" s="22">
        <f t="shared" si="27"/>
        <v>1</v>
      </c>
      <c r="R44" s="134">
        <f t="shared" si="37"/>
        <v>-279.50849718747372</v>
      </c>
      <c r="S44" s="22">
        <f t="shared" si="28"/>
        <v>-1</v>
      </c>
      <c r="T44" s="135">
        <f t="shared" si="29"/>
        <v>1767.7669529663688</v>
      </c>
      <c r="U44" s="22">
        <f t="shared" si="30"/>
        <v>1</v>
      </c>
      <c r="V44" s="135">
        <f t="shared" si="31"/>
        <v>-1767.7669529663688</v>
      </c>
      <c r="W44" s="22">
        <f t="shared" si="32"/>
        <v>-1</v>
      </c>
      <c r="X44" s="130">
        <f t="shared" si="33"/>
        <v>69.833706769958496</v>
      </c>
    </row>
    <row r="45" spans="2:24" x14ac:dyDescent="0.2">
      <c r="E45" s="64">
        <v>17</v>
      </c>
      <c r="F45" s="64">
        <f t="shared" si="19"/>
        <v>0.85000000000000009</v>
      </c>
      <c r="G45" s="11">
        <f t="shared" si="20"/>
        <v>12.5</v>
      </c>
      <c r="H45" s="134">
        <f t="shared" si="21"/>
        <v>0</v>
      </c>
      <c r="I45" s="134">
        <f t="shared" si="22"/>
        <v>1</v>
      </c>
      <c r="J45" s="135">
        <f t="shared" si="23"/>
        <v>-0.11047263754861968</v>
      </c>
      <c r="K45" s="114">
        <f t="shared" si="24"/>
        <v>1.1241497689115241</v>
      </c>
      <c r="L45" s="134">
        <f t="shared" si="34"/>
        <v>8.5</v>
      </c>
      <c r="M45" s="134">
        <f t="shared" si="35"/>
        <v>4914.7688402991344</v>
      </c>
      <c r="N45" s="135">
        <f t="shared" si="25"/>
        <v>2.917568200342016</v>
      </c>
      <c r="O45" s="114">
        <f t="shared" si="26"/>
        <v>3.6902378130051054E-5</v>
      </c>
      <c r="P45" s="134">
        <f t="shared" si="36"/>
        <v>271.16307227332021</v>
      </c>
      <c r="Q45" s="22">
        <f t="shared" si="27"/>
        <v>1</v>
      </c>
      <c r="R45" s="134">
        <f t="shared" si="37"/>
        <v>-271.16307227332021</v>
      </c>
      <c r="S45" s="22">
        <f t="shared" si="28"/>
        <v>-1</v>
      </c>
      <c r="T45" s="135">
        <f t="shared" si="29"/>
        <v>1714.9858514250882</v>
      </c>
      <c r="U45" s="22">
        <f t="shared" si="30"/>
        <v>1</v>
      </c>
      <c r="V45" s="135">
        <f t="shared" si="31"/>
        <v>-1714.9858514250882</v>
      </c>
      <c r="W45" s="22">
        <f t="shared" si="32"/>
        <v>-1</v>
      </c>
      <c r="X45" s="130">
        <f t="shared" si="33"/>
        <v>65.275821353901762</v>
      </c>
    </row>
    <row r="46" spans="2:24" x14ac:dyDescent="0.2">
      <c r="E46" s="64">
        <v>18</v>
      </c>
      <c r="F46" s="64">
        <f t="shared" si="19"/>
        <v>0.9</v>
      </c>
      <c r="G46" s="11">
        <f t="shared" si="20"/>
        <v>12.5</v>
      </c>
      <c r="H46" s="134">
        <f t="shared" si="21"/>
        <v>0</v>
      </c>
      <c r="I46" s="134">
        <f t="shared" si="22"/>
        <v>1</v>
      </c>
      <c r="J46" s="135">
        <f t="shared" si="23"/>
        <v>-2.7911003348814016E-2</v>
      </c>
      <c r="K46" s="114">
        <f t="shared" si="24"/>
        <v>1.0314860183768488</v>
      </c>
      <c r="L46" s="134">
        <f t="shared" si="34"/>
        <v>9</v>
      </c>
      <c r="M46" s="134">
        <f t="shared" si="35"/>
        <v>8103.0839275753842</v>
      </c>
      <c r="N46" s="135">
        <f t="shared" si="25"/>
        <v>3.0001298345418217</v>
      </c>
      <c r="O46" s="114">
        <f t="shared" si="26"/>
        <v>2.207242418283146E-5</v>
      </c>
      <c r="P46" s="134">
        <f t="shared" si="36"/>
        <v>263.52313834736492</v>
      </c>
      <c r="Q46" s="22">
        <f t="shared" si="27"/>
        <v>1</v>
      </c>
      <c r="R46" s="134">
        <f t="shared" si="37"/>
        <v>-263.52313834736492</v>
      </c>
      <c r="S46" s="22">
        <f t="shared" si="28"/>
        <v>-1</v>
      </c>
      <c r="T46" s="135">
        <f t="shared" si="29"/>
        <v>1666.6666666666665</v>
      </c>
      <c r="U46" s="22">
        <f t="shared" si="30"/>
        <v>1</v>
      </c>
      <c r="V46" s="135">
        <f t="shared" si="31"/>
        <v>-1666.6666666666665</v>
      </c>
      <c r="W46" s="22">
        <f t="shared" si="32"/>
        <v>-1</v>
      </c>
      <c r="X46" s="130">
        <f t="shared" si="33"/>
        <v>60.517036200768835</v>
      </c>
    </row>
    <row r="47" spans="2:24" x14ac:dyDescent="0.2">
      <c r="B47" s="103" t="s">
        <v>142</v>
      </c>
      <c r="C47" s="108">
        <f>Introduction!B32</f>
        <v>43993</v>
      </c>
      <c r="D47" s="110"/>
      <c r="E47" s="64">
        <v>19</v>
      </c>
      <c r="F47" s="64">
        <f t="shared" si="19"/>
        <v>0.95000000000000007</v>
      </c>
      <c r="G47" s="11">
        <f t="shared" si="20"/>
        <v>12.5</v>
      </c>
      <c r="H47" s="134">
        <f t="shared" si="21"/>
        <v>0</v>
      </c>
      <c r="I47" s="134">
        <f t="shared" si="22"/>
        <v>1</v>
      </c>
      <c r="J47" s="135">
        <f t="shared" si="23"/>
        <v>5.4650630850991824E-2</v>
      </c>
      <c r="K47" s="114">
        <f t="shared" si="24"/>
        <v>0.93839470477844167</v>
      </c>
      <c r="L47" s="134">
        <f t="shared" si="34"/>
        <v>9.5</v>
      </c>
      <c r="M47" s="134">
        <f t="shared" si="35"/>
        <v>13359.726829661873</v>
      </c>
      <c r="N47" s="135">
        <f t="shared" si="25"/>
        <v>3.0826914687416274</v>
      </c>
      <c r="O47" s="114">
        <f t="shared" si="26"/>
        <v>1.3030987702228396E-5</v>
      </c>
      <c r="P47" s="134">
        <f t="shared" si="36"/>
        <v>256.49458802128851</v>
      </c>
      <c r="Q47" s="22">
        <f t="shared" si="27"/>
        <v>1</v>
      </c>
      <c r="R47" s="134">
        <f t="shared" si="37"/>
        <v>-256.49458802128851</v>
      </c>
      <c r="S47" s="22">
        <f t="shared" si="28"/>
        <v>-1</v>
      </c>
      <c r="T47" s="135">
        <f t="shared" si="29"/>
        <v>1622.2142113076254</v>
      </c>
      <c r="U47" s="22">
        <f t="shared" si="30"/>
        <v>1</v>
      </c>
      <c r="V47" s="135">
        <f t="shared" si="31"/>
        <v>-1622.2142113076254</v>
      </c>
      <c r="W47" s="22">
        <f t="shared" si="32"/>
        <v>-1</v>
      </c>
      <c r="X47" s="130">
        <f t="shared" si="33"/>
        <v>55.62425704004481</v>
      </c>
    </row>
    <row r="48" spans="2:24" x14ac:dyDescent="0.2">
      <c r="B48" s="104" t="s">
        <v>158</v>
      </c>
      <c r="C48" s="107">
        <f>Introduction!E32</f>
        <v>1.01</v>
      </c>
      <c r="D48" s="111"/>
      <c r="E48" s="64">
        <v>20</v>
      </c>
      <c r="F48" s="64">
        <f t="shared" si="19"/>
        <v>1</v>
      </c>
      <c r="G48" s="11">
        <f t="shared" si="20"/>
        <v>12.5</v>
      </c>
      <c r="H48" s="134">
        <f t="shared" si="21"/>
        <v>0</v>
      </c>
      <c r="I48" s="134">
        <f t="shared" si="22"/>
        <v>1</v>
      </c>
      <c r="J48" s="135">
        <f t="shared" si="23"/>
        <v>0.13721226505079748</v>
      </c>
      <c r="K48" s="114">
        <f t="shared" si="24"/>
        <v>0.84613873124032346</v>
      </c>
      <c r="L48" s="134">
        <f t="shared" si="34"/>
        <v>10</v>
      </c>
      <c r="M48" s="134">
        <f t="shared" si="35"/>
        <v>22026.465794806718</v>
      </c>
      <c r="N48" s="135">
        <f t="shared" si="25"/>
        <v>3.165253102941433</v>
      </c>
      <c r="O48" s="114">
        <f t="shared" si="26"/>
        <v>7.5932151535851437E-6</v>
      </c>
      <c r="P48" s="134">
        <f t="shared" si="36"/>
        <v>250</v>
      </c>
      <c r="Q48" s="22">
        <f t="shared" si="27"/>
        <v>1</v>
      </c>
      <c r="R48" s="134">
        <f t="shared" si="37"/>
        <v>-250</v>
      </c>
      <c r="S48" s="22">
        <f t="shared" si="28"/>
        <v>-1</v>
      </c>
      <c r="T48" s="135">
        <f t="shared" si="29"/>
        <v>1581.1388300841897</v>
      </c>
      <c r="U48" s="22">
        <f t="shared" si="30"/>
        <v>1</v>
      </c>
      <c r="V48" s="135">
        <f t="shared" si="31"/>
        <v>-1581.1388300841897</v>
      </c>
      <c r="W48" s="22">
        <f t="shared" si="32"/>
        <v>-1</v>
      </c>
      <c r="X48" s="130">
        <f t="shared" si="33"/>
        <v>50.669521254668737</v>
      </c>
    </row>
    <row r="54" spans="20:24" x14ac:dyDescent="0.2">
      <c r="T54" t="s">
        <v>330</v>
      </c>
    </row>
    <row r="55" spans="20:24" x14ac:dyDescent="0.2">
      <c r="W55" s="2" t="s">
        <v>14</v>
      </c>
      <c r="X55" s="2" t="s">
        <v>117</v>
      </c>
    </row>
    <row r="56" spans="20:24" x14ac:dyDescent="0.2">
      <c r="W56" s="453">
        <f>$C$17/20*E29</f>
        <v>0.05</v>
      </c>
      <c r="X56" s="131">
        <f>IF(C$25="Simulate vertical dispersion in 1 direction",X29,X5)</f>
        <v>99.827948741546251</v>
      </c>
    </row>
    <row r="57" spans="20:24" x14ac:dyDescent="0.2">
      <c r="W57" s="453">
        <f t="shared" ref="W57:W75" si="38">$C$17/20*E30</f>
        <v>0.1</v>
      </c>
      <c r="X57" s="131">
        <f t="shared" ref="X57:X75" si="39">IF(C$25="Simulate vertical dispersion in 1 direction",X30,X6)</f>
        <v>99.565335749185436</v>
      </c>
    </row>
    <row r="58" spans="20:24" x14ac:dyDescent="0.2">
      <c r="W58" s="453">
        <f t="shared" si="38"/>
        <v>0.15000000000000002</v>
      </c>
      <c r="X58" s="131">
        <f t="shared" si="39"/>
        <v>99.18532980168176</v>
      </c>
    </row>
    <row r="59" spans="20:24" x14ac:dyDescent="0.2">
      <c r="W59" s="453">
        <f t="shared" si="38"/>
        <v>0.2</v>
      </c>
      <c r="X59" s="131">
        <f t="shared" si="39"/>
        <v>98.657416610969065</v>
      </c>
    </row>
    <row r="60" spans="20:24" x14ac:dyDescent="0.2">
      <c r="W60" s="453">
        <f t="shared" si="38"/>
        <v>0.25</v>
      </c>
      <c r="X60" s="131">
        <f t="shared" si="39"/>
        <v>97.948010828120061</v>
      </c>
    </row>
    <row r="61" spans="20:24" x14ac:dyDescent="0.2">
      <c r="W61" s="453">
        <f t="shared" si="38"/>
        <v>0.30000000000000004</v>
      </c>
      <c r="X61" s="131">
        <f t="shared" si="39"/>
        <v>97.021429505558586</v>
      </c>
    </row>
    <row r="62" spans="20:24" x14ac:dyDescent="0.2">
      <c r="W62" s="453">
        <f t="shared" si="38"/>
        <v>0.35000000000000003</v>
      </c>
      <c r="X62" s="131">
        <f t="shared" si="39"/>
        <v>95.841232653079189</v>
      </c>
    </row>
    <row r="63" spans="20:24" x14ac:dyDescent="0.2">
      <c r="W63" s="453">
        <f t="shared" si="38"/>
        <v>0.4</v>
      </c>
      <c r="X63" s="131">
        <f t="shared" si="39"/>
        <v>94.371902597949713</v>
      </c>
    </row>
    <row r="64" spans="20:24" x14ac:dyDescent="0.2">
      <c r="W64" s="453">
        <f t="shared" si="38"/>
        <v>0.45</v>
      </c>
      <c r="X64" s="131">
        <f t="shared" si="39"/>
        <v>92.580795883011888</v>
      </c>
    </row>
    <row r="65" spans="23:24" x14ac:dyDescent="0.2">
      <c r="W65" s="453">
        <f t="shared" si="38"/>
        <v>0.5</v>
      </c>
      <c r="X65" s="131">
        <f t="shared" si="39"/>
        <v>90.440263287856908</v>
      </c>
    </row>
    <row r="66" spans="23:24" x14ac:dyDescent="0.2">
      <c r="W66" s="453">
        <f t="shared" si="38"/>
        <v>0.55000000000000004</v>
      </c>
      <c r="X66" s="131">
        <f t="shared" si="39"/>
        <v>87.929799874370701</v>
      </c>
    </row>
    <row r="67" spans="23:24" x14ac:dyDescent="0.2">
      <c r="W67" s="453">
        <f t="shared" si="38"/>
        <v>0.60000000000000009</v>
      </c>
      <c r="X67" s="131">
        <f t="shared" si="39"/>
        <v>85.038062577800233</v>
      </c>
    </row>
    <row r="68" spans="23:24" x14ac:dyDescent="0.2">
      <c r="W68" s="453">
        <f t="shared" si="38"/>
        <v>0.65</v>
      </c>
      <c r="X68" s="131">
        <f t="shared" si="39"/>
        <v>81.764582138661595</v>
      </c>
    </row>
    <row r="69" spans="23:24" x14ac:dyDescent="0.2">
      <c r="W69" s="453">
        <f t="shared" si="38"/>
        <v>0.70000000000000007</v>
      </c>
      <c r="X69" s="131">
        <f t="shared" si="39"/>
        <v>78.121002244846522</v>
      </c>
    </row>
    <row r="70" spans="23:24" x14ac:dyDescent="0.2">
      <c r="W70" s="453">
        <f t="shared" si="38"/>
        <v>0.75</v>
      </c>
      <c r="X70" s="131">
        <f t="shared" si="39"/>
        <v>74.131702943798899</v>
      </c>
    </row>
    <row r="71" spans="23:24" x14ac:dyDescent="0.2">
      <c r="W71" s="453">
        <f t="shared" si="38"/>
        <v>0.8</v>
      </c>
      <c r="X71" s="131">
        <f t="shared" si="39"/>
        <v>69.833706769958496</v>
      </c>
    </row>
    <row r="72" spans="23:24" x14ac:dyDescent="0.2">
      <c r="W72" s="453">
        <f t="shared" si="38"/>
        <v>0.85000000000000009</v>
      </c>
      <c r="X72" s="131">
        <f t="shared" si="39"/>
        <v>65.275821353901762</v>
      </c>
    </row>
    <row r="73" spans="23:24" x14ac:dyDescent="0.2">
      <c r="W73" s="453">
        <f>$C$17/20*E46</f>
        <v>0.9</v>
      </c>
      <c r="X73" s="131">
        <f t="shared" si="39"/>
        <v>60.517036200768835</v>
      </c>
    </row>
    <row r="74" spans="23:24" x14ac:dyDescent="0.2">
      <c r="W74" s="453">
        <f t="shared" si="38"/>
        <v>0.95000000000000007</v>
      </c>
      <c r="X74" s="131">
        <f t="shared" si="39"/>
        <v>55.62425704004481</v>
      </c>
    </row>
    <row r="75" spans="23:24" x14ac:dyDescent="0.2">
      <c r="W75" s="453">
        <f t="shared" si="38"/>
        <v>1</v>
      </c>
      <c r="X75" s="131">
        <f t="shared" si="39"/>
        <v>50.669521254668737</v>
      </c>
    </row>
  </sheetData>
  <sheetProtection password="CA8F" sheet="1" objects="1" scenarios="1"/>
  <phoneticPr fontId="0" type="noConversion"/>
  <pageMargins left="0.75" right="0.75" top="1" bottom="1" header="0.5" footer="0.5"/>
  <pageSetup paperSize="9" scale="49" orientation="landscape" verticalDpi="300"/>
  <headerFooter alignWithMargins="0">
    <oddFooter>&amp;LRemedial targets worksheet v3.1&amp;R&amp;D, &amp;T
&amp;F</oddFooter>
  </headerFooter>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4">
    <pageSetUpPr fitToPage="1"/>
  </sheetPr>
  <dimension ref="B1:R75"/>
  <sheetViews>
    <sheetView topLeftCell="A22" zoomScale="75" workbookViewId="0">
      <pane xSplit="3" topLeftCell="D1" activePane="topRight" state="frozenSplit"/>
      <selection activeCell="D33" sqref="D33"/>
      <selection pane="topRight" activeCell="J52" sqref="J52"/>
    </sheetView>
  </sheetViews>
  <sheetFormatPr defaultRowHeight="12.75" x14ac:dyDescent="0.2"/>
  <cols>
    <col min="1" max="1" width="3.28515625" customWidth="1"/>
    <col min="2" max="2" width="18.42578125" style="2" bestFit="1" customWidth="1"/>
    <col min="3" max="3" width="13.85546875" style="2" bestFit="1" customWidth="1"/>
    <col min="4" max="4" width="9.28515625" style="2" customWidth="1"/>
    <col min="5" max="5" width="3.5703125" bestFit="1" customWidth="1"/>
    <col min="6" max="7" width="8.140625" customWidth="1"/>
    <col min="8" max="8" width="11.28515625" customWidth="1"/>
    <col min="9" max="10" width="10.42578125" customWidth="1"/>
    <col min="11" max="11" width="8.140625" customWidth="1"/>
    <col min="12" max="12" width="11" customWidth="1"/>
    <col min="13" max="13" width="8.140625" customWidth="1"/>
    <col min="14" max="14" width="9.5703125" customWidth="1"/>
    <col min="15" max="15" width="6.7109375" customWidth="1"/>
    <col min="16" max="16" width="10.7109375" customWidth="1"/>
    <col min="17" max="17" width="8.140625" customWidth="1"/>
    <col min="18" max="18" width="13" customWidth="1"/>
    <col min="19" max="19" width="8.140625" customWidth="1"/>
  </cols>
  <sheetData>
    <row r="1" spans="2:18" x14ac:dyDescent="0.2">
      <c r="F1" s="16" t="s">
        <v>58</v>
      </c>
    </row>
    <row r="2" spans="2:18" ht="15.75" x14ac:dyDescent="0.25">
      <c r="B2" s="9" t="s">
        <v>89</v>
      </c>
      <c r="C2" s="9" t="str">
        <f>Introduction!B34</f>
        <v>SO4</v>
      </c>
      <c r="D2" s="9"/>
      <c r="F2" t="s">
        <v>224</v>
      </c>
    </row>
    <row r="3" spans="2:18" ht="14.25" x14ac:dyDescent="0.2">
      <c r="C3" s="3"/>
      <c r="D3" s="3"/>
      <c r="E3" s="2"/>
      <c r="F3" s="2" t="s">
        <v>52</v>
      </c>
      <c r="G3" s="11" t="s">
        <v>121</v>
      </c>
      <c r="H3" s="11" t="s">
        <v>122</v>
      </c>
      <c r="I3" s="11" t="s">
        <v>47</v>
      </c>
      <c r="J3" s="22" t="s">
        <v>132</v>
      </c>
      <c r="K3" s="22" t="s">
        <v>49</v>
      </c>
      <c r="L3" s="11" t="s">
        <v>133</v>
      </c>
      <c r="M3" s="11" t="s">
        <v>49</v>
      </c>
      <c r="N3" s="22" t="s">
        <v>130</v>
      </c>
      <c r="O3" s="22" t="s">
        <v>49</v>
      </c>
      <c r="P3" s="11" t="s">
        <v>131</v>
      </c>
      <c r="Q3" s="11" t="s">
        <v>49</v>
      </c>
      <c r="R3" s="2" t="s">
        <v>117</v>
      </c>
    </row>
    <row r="4" spans="2:18" ht="15.75" x14ac:dyDescent="0.25">
      <c r="B4" s="9" t="s">
        <v>46</v>
      </c>
      <c r="C4" s="9" t="s">
        <v>11</v>
      </c>
      <c r="D4" s="9" t="s">
        <v>159</v>
      </c>
      <c r="E4" s="2"/>
      <c r="F4" s="2"/>
      <c r="G4" s="11"/>
      <c r="H4" s="11"/>
      <c r="I4" s="11"/>
      <c r="J4" s="22"/>
      <c r="K4" s="22"/>
      <c r="L4" s="11"/>
      <c r="M4" s="11"/>
      <c r="N4" s="22"/>
      <c r="O4" s="22"/>
      <c r="P4" s="11"/>
      <c r="Q4" s="11"/>
      <c r="R4" s="2"/>
    </row>
    <row r="5" spans="2:18" ht="16.5" x14ac:dyDescent="0.2">
      <c r="B5" s="51" t="s">
        <v>97</v>
      </c>
      <c r="C5" s="8">
        <f>'Level3 Groundwater'!D9</f>
        <v>400</v>
      </c>
      <c r="D5" s="8" t="s">
        <v>22</v>
      </c>
      <c r="E5" s="2">
        <v>1</v>
      </c>
      <c r="F5" s="2">
        <f t="shared" ref="F5:F24" si="0">$C$17/20*E5</f>
        <v>0.05</v>
      </c>
      <c r="G5" s="11">
        <f t="shared" ref="G5:G24" si="1">0.25*$C$8</f>
        <v>25</v>
      </c>
      <c r="H5" s="132">
        <f>$F5/(2*$C$21)*(1-(1+(4*$C$9*$C$21)/$C$30)^0.5)</f>
        <v>0</v>
      </c>
      <c r="I5" s="132">
        <f t="shared" ref="I5:I24" si="2">EXP(H5)</f>
        <v>1</v>
      </c>
      <c r="J5" s="133">
        <f t="shared" ref="J5:J24" si="3">(($C$18+0.5*$C$10)/(2*SQRT($C$22*$F5)))</f>
        <v>1118.0339887498949</v>
      </c>
      <c r="K5" s="22">
        <f t="shared" ref="K5:K24" si="4">IF(J5&lt;0,IF(J5&lt;-10,-1,-ERF(-J5)),IF(J5&gt;10,1,ERF(J5)))</f>
        <v>1</v>
      </c>
      <c r="L5" s="132">
        <f t="shared" ref="L5:L24" si="5">(($C$18-0.5*$C$10)/(2*SQRT($C$22*$F5)))</f>
        <v>-1118.0339887498949</v>
      </c>
      <c r="M5" s="22">
        <f t="shared" ref="M5:M24" si="6">IF(L5&lt;0,IF(L5&lt;-10,-1,-ERF(-L5)),IF(L5&gt;10,1,ERF(L5)))</f>
        <v>-1</v>
      </c>
      <c r="N5" s="133">
        <f t="shared" ref="N5:N24" si="7">(($C$19+0.5*$C$11)/(2*SQRT($C$23*$F5)))</f>
        <v>3535.5339059327375</v>
      </c>
      <c r="O5" s="22">
        <f t="shared" ref="O5:O24" si="8">IF(N5&lt;0,IF(N5&lt;-10,-1,-ERF(-N5)),IF(N5&gt;10,1,ERF(N5)))</f>
        <v>1</v>
      </c>
      <c r="P5" s="132">
        <f t="shared" ref="P5:P24" si="9">(($C$19-0.5*$C$11)/(2*SQRT($C$23*$F5)))</f>
        <v>-3535.5339059327375</v>
      </c>
      <c r="Q5" s="22">
        <f t="shared" ref="Q5:Q24" si="10">IF(P5&lt;0,IF(P5&lt;-10,-1,-ERF(-P5)),IF(P5&gt;10,1,ERF(P5)))</f>
        <v>-1</v>
      </c>
      <c r="R5" s="131">
        <f t="shared" ref="R5:R24" si="11">G5*I5*(K5-M5)*(O5-Q5)</f>
        <v>100</v>
      </c>
    </row>
    <row r="6" spans="2:18" ht="14.25" x14ac:dyDescent="0.2">
      <c r="B6" s="4" t="s">
        <v>94</v>
      </c>
      <c r="C6"/>
      <c r="D6" s="8"/>
      <c r="E6" s="2">
        <v>2</v>
      </c>
      <c r="F6" s="2">
        <f t="shared" si="0"/>
        <v>0.1</v>
      </c>
      <c r="G6" s="11">
        <f t="shared" si="1"/>
        <v>25</v>
      </c>
      <c r="H6" s="132">
        <f t="shared" ref="H6:H24" si="12">$F6/(2*$C$21)*(1-(1+(4*$C$9*$C$21)/$C$30)^0.5)</f>
        <v>0</v>
      </c>
      <c r="I6" s="132">
        <f t="shared" si="2"/>
        <v>1</v>
      </c>
      <c r="J6" s="133">
        <f t="shared" si="3"/>
        <v>790.56941504209487</v>
      </c>
      <c r="K6" s="22">
        <f t="shared" si="4"/>
        <v>1</v>
      </c>
      <c r="L6" s="132">
        <f t="shared" si="5"/>
        <v>-790.56941504209487</v>
      </c>
      <c r="M6" s="22">
        <f t="shared" si="6"/>
        <v>-1</v>
      </c>
      <c r="N6" s="133">
        <f t="shared" si="7"/>
        <v>2500</v>
      </c>
      <c r="O6" s="22">
        <f t="shared" si="8"/>
        <v>1</v>
      </c>
      <c r="P6" s="132">
        <f t="shared" si="9"/>
        <v>-2500</v>
      </c>
      <c r="Q6" s="22">
        <f t="shared" si="10"/>
        <v>-1</v>
      </c>
      <c r="R6" s="131">
        <f t="shared" si="11"/>
        <v>100</v>
      </c>
    </row>
    <row r="7" spans="2:18" ht="14.25" x14ac:dyDescent="0.2">
      <c r="B7" s="4"/>
      <c r="C7" s="8"/>
      <c r="D7" s="8"/>
      <c r="E7" s="2">
        <v>3</v>
      </c>
      <c r="F7" s="2">
        <f t="shared" si="0"/>
        <v>0.15000000000000002</v>
      </c>
      <c r="G7" s="11">
        <f t="shared" si="1"/>
        <v>25</v>
      </c>
      <c r="H7" s="132">
        <f t="shared" si="12"/>
        <v>0</v>
      </c>
      <c r="I7" s="132">
        <f t="shared" si="2"/>
        <v>1</v>
      </c>
      <c r="J7" s="133">
        <f t="shared" si="3"/>
        <v>645.49722436790285</v>
      </c>
      <c r="K7" s="22">
        <f t="shared" si="4"/>
        <v>1</v>
      </c>
      <c r="L7" s="132">
        <f t="shared" si="5"/>
        <v>-645.49722436790285</v>
      </c>
      <c r="M7" s="22">
        <f t="shared" si="6"/>
        <v>-1</v>
      </c>
      <c r="N7" s="133">
        <f t="shared" si="7"/>
        <v>2041.2414523193149</v>
      </c>
      <c r="O7" s="22">
        <f t="shared" si="8"/>
        <v>1</v>
      </c>
      <c r="P7" s="132">
        <f t="shared" si="9"/>
        <v>-2041.2414523193149</v>
      </c>
      <c r="Q7" s="22">
        <f t="shared" si="10"/>
        <v>-1</v>
      </c>
      <c r="R7" s="131">
        <f t="shared" si="11"/>
        <v>100</v>
      </c>
    </row>
    <row r="8" spans="2:18" ht="14.25" x14ac:dyDescent="0.2">
      <c r="B8" s="4" t="s">
        <v>9</v>
      </c>
      <c r="C8" s="186">
        <f>'Level3 Groundwater'!D20</f>
        <v>100</v>
      </c>
      <c r="D8" s="8" t="s">
        <v>22</v>
      </c>
      <c r="E8" s="2">
        <v>4</v>
      </c>
      <c r="F8" s="2">
        <f t="shared" si="0"/>
        <v>0.2</v>
      </c>
      <c r="G8" s="11">
        <f t="shared" si="1"/>
        <v>25</v>
      </c>
      <c r="H8" s="132">
        <f t="shared" si="12"/>
        <v>0</v>
      </c>
      <c r="I8" s="132">
        <f t="shared" si="2"/>
        <v>1</v>
      </c>
      <c r="J8" s="133">
        <f t="shared" si="3"/>
        <v>559.01699437494744</v>
      </c>
      <c r="K8" s="22">
        <f t="shared" si="4"/>
        <v>1</v>
      </c>
      <c r="L8" s="132">
        <f t="shared" si="5"/>
        <v>-559.01699437494744</v>
      </c>
      <c r="M8" s="22">
        <f t="shared" si="6"/>
        <v>-1</v>
      </c>
      <c r="N8" s="133">
        <f t="shared" si="7"/>
        <v>1767.7669529663688</v>
      </c>
      <c r="O8" s="22">
        <f t="shared" si="8"/>
        <v>1</v>
      </c>
      <c r="P8" s="132">
        <f t="shared" si="9"/>
        <v>-1767.7669529663688</v>
      </c>
      <c r="Q8" s="22">
        <f t="shared" si="10"/>
        <v>-1</v>
      </c>
      <c r="R8" s="131">
        <f t="shared" si="11"/>
        <v>100</v>
      </c>
    </row>
    <row r="9" spans="2:18" ht="15" x14ac:dyDescent="0.2">
      <c r="B9" s="5" t="s">
        <v>34</v>
      </c>
      <c r="C9" s="186">
        <f>'Level3 Groundwater'!D44</f>
        <v>6.0937778385559113E-102</v>
      </c>
      <c r="D9" s="2" t="s">
        <v>151</v>
      </c>
      <c r="E9" s="2">
        <v>5</v>
      </c>
      <c r="F9" s="2">
        <f t="shared" si="0"/>
        <v>0.25</v>
      </c>
      <c r="G9" s="11">
        <f t="shared" si="1"/>
        <v>25</v>
      </c>
      <c r="H9" s="132">
        <f t="shared" si="12"/>
        <v>0</v>
      </c>
      <c r="I9" s="132">
        <f t="shared" si="2"/>
        <v>1</v>
      </c>
      <c r="J9" s="133">
        <f t="shared" si="3"/>
        <v>500</v>
      </c>
      <c r="K9" s="22">
        <f t="shared" si="4"/>
        <v>1</v>
      </c>
      <c r="L9" s="132">
        <f t="shared" si="5"/>
        <v>-500</v>
      </c>
      <c r="M9" s="22">
        <f t="shared" si="6"/>
        <v>-1</v>
      </c>
      <c r="N9" s="133">
        <f t="shared" si="7"/>
        <v>1581.1388300841897</v>
      </c>
      <c r="O9" s="22">
        <f t="shared" si="8"/>
        <v>1</v>
      </c>
      <c r="P9" s="132">
        <f t="shared" si="9"/>
        <v>-1581.1388300841897</v>
      </c>
      <c r="Q9" s="22">
        <f t="shared" si="10"/>
        <v>-1</v>
      </c>
      <c r="R9" s="131">
        <f t="shared" si="11"/>
        <v>100</v>
      </c>
    </row>
    <row r="10" spans="2:18" ht="14.25" x14ac:dyDescent="0.2">
      <c r="B10" s="4" t="s">
        <v>50</v>
      </c>
      <c r="C10" s="186">
        <f>'Level3 Groundwater'!D23</f>
        <v>100</v>
      </c>
      <c r="D10" s="2" t="s">
        <v>26</v>
      </c>
      <c r="E10" s="2">
        <v>6</v>
      </c>
      <c r="F10" s="2">
        <f t="shared" si="0"/>
        <v>0.30000000000000004</v>
      </c>
      <c r="G10" s="11">
        <f t="shared" si="1"/>
        <v>25</v>
      </c>
      <c r="H10" s="132">
        <f t="shared" si="12"/>
        <v>0</v>
      </c>
      <c r="I10" s="132">
        <f t="shared" si="2"/>
        <v>1</v>
      </c>
      <c r="J10" s="133">
        <f t="shared" si="3"/>
        <v>456.43546458763842</v>
      </c>
      <c r="K10" s="22">
        <f t="shared" si="4"/>
        <v>1</v>
      </c>
      <c r="L10" s="132">
        <f t="shared" si="5"/>
        <v>-456.43546458763842</v>
      </c>
      <c r="M10" s="22">
        <f t="shared" si="6"/>
        <v>-1</v>
      </c>
      <c r="N10" s="133">
        <f t="shared" si="7"/>
        <v>1443.3756729740644</v>
      </c>
      <c r="O10" s="22">
        <f t="shared" si="8"/>
        <v>1</v>
      </c>
      <c r="P10" s="132">
        <f t="shared" si="9"/>
        <v>-1443.3756729740644</v>
      </c>
      <c r="Q10" s="22">
        <f t="shared" si="10"/>
        <v>-1</v>
      </c>
      <c r="R10" s="131">
        <f t="shared" si="11"/>
        <v>100</v>
      </c>
    </row>
    <row r="11" spans="2:18" ht="14.25" x14ac:dyDescent="0.2">
      <c r="B11" s="4" t="s">
        <v>153</v>
      </c>
      <c r="C11" s="186">
        <f>'Level3 Groundwater'!D24</f>
        <v>100</v>
      </c>
      <c r="D11" s="2" t="s">
        <v>26</v>
      </c>
      <c r="E11" s="2">
        <v>7</v>
      </c>
      <c r="F11" s="2">
        <f t="shared" si="0"/>
        <v>0.35000000000000003</v>
      </c>
      <c r="G11" s="11">
        <f t="shared" si="1"/>
        <v>25</v>
      </c>
      <c r="H11" s="132">
        <f t="shared" si="12"/>
        <v>0</v>
      </c>
      <c r="I11" s="132">
        <f t="shared" si="2"/>
        <v>1</v>
      </c>
      <c r="J11" s="133">
        <f t="shared" si="3"/>
        <v>422.57712736425827</v>
      </c>
      <c r="K11" s="22">
        <f t="shared" si="4"/>
        <v>1</v>
      </c>
      <c r="L11" s="132">
        <f t="shared" si="5"/>
        <v>-422.57712736425827</v>
      </c>
      <c r="M11" s="22">
        <f t="shared" si="6"/>
        <v>-1</v>
      </c>
      <c r="N11" s="133">
        <f t="shared" si="7"/>
        <v>1336.3062095621219</v>
      </c>
      <c r="O11" s="22">
        <f t="shared" si="8"/>
        <v>1</v>
      </c>
      <c r="P11" s="132">
        <f t="shared" si="9"/>
        <v>-1336.3062095621219</v>
      </c>
      <c r="Q11" s="22">
        <f t="shared" si="10"/>
        <v>-1</v>
      </c>
      <c r="R11" s="131">
        <f t="shared" si="11"/>
        <v>100</v>
      </c>
    </row>
    <row r="12" spans="2:18" ht="14.25" x14ac:dyDescent="0.2">
      <c r="B12" s="4" t="s">
        <v>13</v>
      </c>
      <c r="C12" s="186">
        <f>'Level3 Groundwater'!K21</f>
        <v>0.96199999999999997</v>
      </c>
      <c r="D12" s="2" t="s">
        <v>23</v>
      </c>
      <c r="E12" s="2">
        <v>8</v>
      </c>
      <c r="F12" s="2">
        <f t="shared" si="0"/>
        <v>0.4</v>
      </c>
      <c r="G12" s="11">
        <f t="shared" si="1"/>
        <v>25</v>
      </c>
      <c r="H12" s="132">
        <f t="shared" si="12"/>
        <v>0</v>
      </c>
      <c r="I12" s="132">
        <f t="shared" si="2"/>
        <v>1</v>
      </c>
      <c r="J12" s="133">
        <f t="shared" si="3"/>
        <v>395.28470752104744</v>
      </c>
      <c r="K12" s="22">
        <f t="shared" si="4"/>
        <v>1</v>
      </c>
      <c r="L12" s="132">
        <f t="shared" si="5"/>
        <v>-395.28470752104744</v>
      </c>
      <c r="M12" s="22">
        <f t="shared" si="6"/>
        <v>-1</v>
      </c>
      <c r="N12" s="133">
        <f t="shared" si="7"/>
        <v>1250</v>
      </c>
      <c r="O12" s="22">
        <f t="shared" si="8"/>
        <v>1</v>
      </c>
      <c r="P12" s="132">
        <f t="shared" si="9"/>
        <v>-1250</v>
      </c>
      <c r="Q12" s="22">
        <f t="shared" si="10"/>
        <v>-1</v>
      </c>
      <c r="R12" s="131">
        <f t="shared" si="11"/>
        <v>100</v>
      </c>
    </row>
    <row r="13" spans="2:18" ht="15" x14ac:dyDescent="0.2">
      <c r="B13" s="5" t="s">
        <v>35</v>
      </c>
      <c r="C13" s="186">
        <f>'Level3 Groundwater'!D26</f>
        <v>1.96</v>
      </c>
      <c r="D13" s="2" t="s">
        <v>24</v>
      </c>
      <c r="E13" s="2">
        <v>9</v>
      </c>
      <c r="F13" s="2">
        <f t="shared" si="0"/>
        <v>0.45</v>
      </c>
      <c r="G13" s="11">
        <f t="shared" si="1"/>
        <v>25</v>
      </c>
      <c r="H13" s="132">
        <f t="shared" si="12"/>
        <v>0</v>
      </c>
      <c r="I13" s="132">
        <f t="shared" si="2"/>
        <v>1</v>
      </c>
      <c r="J13" s="133">
        <f t="shared" si="3"/>
        <v>372.67799624996491</v>
      </c>
      <c r="K13" s="22">
        <f t="shared" si="4"/>
        <v>1</v>
      </c>
      <c r="L13" s="132">
        <f t="shared" si="5"/>
        <v>-372.67799624996491</v>
      </c>
      <c r="M13" s="22">
        <f t="shared" si="6"/>
        <v>-1</v>
      </c>
      <c r="N13" s="133">
        <f t="shared" si="7"/>
        <v>1178.5113019775793</v>
      </c>
      <c r="O13" s="22">
        <f t="shared" si="8"/>
        <v>1</v>
      </c>
      <c r="P13" s="132">
        <f t="shared" si="9"/>
        <v>-1178.5113019775793</v>
      </c>
      <c r="Q13" s="22">
        <f t="shared" si="10"/>
        <v>-1</v>
      </c>
      <c r="R13" s="131">
        <f t="shared" si="11"/>
        <v>100</v>
      </c>
    </row>
    <row r="14" spans="2:18" ht="14.25" x14ac:dyDescent="0.2">
      <c r="B14" s="4" t="s">
        <v>1</v>
      </c>
      <c r="C14" s="186">
        <f>'Level3 Groundwater'!D27</f>
        <v>0.16200000000000001</v>
      </c>
      <c r="E14" s="2">
        <v>10</v>
      </c>
      <c r="F14" s="2">
        <f t="shared" si="0"/>
        <v>0.5</v>
      </c>
      <c r="G14" s="11">
        <f t="shared" si="1"/>
        <v>25</v>
      </c>
      <c r="H14" s="132">
        <f t="shared" si="12"/>
        <v>0</v>
      </c>
      <c r="I14" s="132">
        <f t="shared" si="2"/>
        <v>1</v>
      </c>
      <c r="J14" s="133">
        <f t="shared" si="3"/>
        <v>353.55339059327378</v>
      </c>
      <c r="K14" s="22">
        <f t="shared" si="4"/>
        <v>1</v>
      </c>
      <c r="L14" s="132">
        <f t="shared" si="5"/>
        <v>-353.55339059327378</v>
      </c>
      <c r="M14" s="22">
        <f t="shared" si="6"/>
        <v>-1</v>
      </c>
      <c r="N14" s="133">
        <f t="shared" si="7"/>
        <v>1118.0339887498949</v>
      </c>
      <c r="O14" s="22">
        <f t="shared" si="8"/>
        <v>1</v>
      </c>
      <c r="P14" s="132">
        <f t="shared" si="9"/>
        <v>-1118.0339887498949</v>
      </c>
      <c r="Q14" s="22">
        <f t="shared" si="10"/>
        <v>-1</v>
      </c>
      <c r="R14" s="131">
        <f t="shared" si="11"/>
        <v>100</v>
      </c>
    </row>
    <row r="15" spans="2:18" ht="14.25" x14ac:dyDescent="0.2">
      <c r="B15" s="4" t="s">
        <v>44</v>
      </c>
      <c r="C15" s="186">
        <f>'Level3 Groundwater'!D28</f>
        <v>2.5399999999999999E-2</v>
      </c>
      <c r="E15" s="2">
        <v>11</v>
      </c>
      <c r="F15" s="2">
        <f t="shared" si="0"/>
        <v>0.55000000000000004</v>
      </c>
      <c r="G15" s="11">
        <f t="shared" si="1"/>
        <v>25</v>
      </c>
      <c r="H15" s="132">
        <f t="shared" si="12"/>
        <v>0</v>
      </c>
      <c r="I15" s="132">
        <f t="shared" si="2"/>
        <v>1</v>
      </c>
      <c r="J15" s="133">
        <f t="shared" si="3"/>
        <v>337.09993123162104</v>
      </c>
      <c r="K15" s="22">
        <f t="shared" si="4"/>
        <v>1</v>
      </c>
      <c r="L15" s="132">
        <f t="shared" si="5"/>
        <v>-337.09993123162104</v>
      </c>
      <c r="M15" s="22">
        <f t="shared" si="6"/>
        <v>-1</v>
      </c>
      <c r="N15" s="133">
        <f t="shared" si="7"/>
        <v>1066.0035817780522</v>
      </c>
      <c r="O15" s="22">
        <f t="shared" si="8"/>
        <v>1</v>
      </c>
      <c r="P15" s="132">
        <f t="shared" si="9"/>
        <v>-1066.0035817780522</v>
      </c>
      <c r="Q15" s="22">
        <f t="shared" si="10"/>
        <v>-1</v>
      </c>
      <c r="R15" s="131">
        <f t="shared" si="11"/>
        <v>100</v>
      </c>
    </row>
    <row r="16" spans="2:18" ht="14.25" customHeight="1" x14ac:dyDescent="0.2">
      <c r="B16" s="4" t="s">
        <v>189</v>
      </c>
      <c r="C16" s="186">
        <f>'Level3 Groundwater'!D29</f>
        <v>2.0250000000000001E-5</v>
      </c>
      <c r="D16" s="2" t="s">
        <v>25</v>
      </c>
      <c r="E16" s="2">
        <v>12</v>
      </c>
      <c r="F16" s="2">
        <f t="shared" si="0"/>
        <v>0.60000000000000009</v>
      </c>
      <c r="G16" s="11">
        <f t="shared" si="1"/>
        <v>25</v>
      </c>
      <c r="H16" s="132">
        <f t="shared" si="12"/>
        <v>0</v>
      </c>
      <c r="I16" s="132">
        <f t="shared" si="2"/>
        <v>1</v>
      </c>
      <c r="J16" s="133">
        <f t="shared" si="3"/>
        <v>322.74861218395142</v>
      </c>
      <c r="K16" s="22">
        <f t="shared" si="4"/>
        <v>1</v>
      </c>
      <c r="L16" s="132">
        <f t="shared" si="5"/>
        <v>-322.74861218395142</v>
      </c>
      <c r="M16" s="22">
        <f t="shared" si="6"/>
        <v>-1</v>
      </c>
      <c r="N16" s="133">
        <f t="shared" si="7"/>
        <v>1020.6207261596575</v>
      </c>
      <c r="O16" s="22">
        <f t="shared" si="8"/>
        <v>1</v>
      </c>
      <c r="P16" s="132">
        <f t="shared" si="9"/>
        <v>-1020.6207261596575</v>
      </c>
      <c r="Q16" s="22">
        <f t="shared" si="10"/>
        <v>-1</v>
      </c>
      <c r="R16" s="131">
        <f t="shared" si="11"/>
        <v>100</v>
      </c>
    </row>
    <row r="17" spans="2:18" ht="14.25" customHeight="1" x14ac:dyDescent="0.2">
      <c r="B17" s="4" t="s">
        <v>14</v>
      </c>
      <c r="C17" s="186">
        <f>'Level3 Groundwater'!D30</f>
        <v>1</v>
      </c>
      <c r="D17" s="2" t="s">
        <v>26</v>
      </c>
      <c r="E17" s="2">
        <v>13</v>
      </c>
      <c r="F17" s="2">
        <f t="shared" si="0"/>
        <v>0.65</v>
      </c>
      <c r="G17" s="11">
        <f t="shared" si="1"/>
        <v>25</v>
      </c>
      <c r="H17" s="132">
        <f t="shared" si="12"/>
        <v>0</v>
      </c>
      <c r="I17" s="132">
        <f t="shared" si="2"/>
        <v>1</v>
      </c>
      <c r="J17" s="133">
        <f t="shared" si="3"/>
        <v>310.08683647302115</v>
      </c>
      <c r="K17" s="22">
        <f t="shared" si="4"/>
        <v>1</v>
      </c>
      <c r="L17" s="132">
        <f t="shared" si="5"/>
        <v>-310.08683647302115</v>
      </c>
      <c r="M17" s="22">
        <f t="shared" si="6"/>
        <v>-1</v>
      </c>
      <c r="N17" s="133">
        <f t="shared" si="7"/>
        <v>980.58067569092009</v>
      </c>
      <c r="O17" s="22">
        <f t="shared" si="8"/>
        <v>1</v>
      </c>
      <c r="P17" s="132">
        <f t="shared" si="9"/>
        <v>-980.58067569092009</v>
      </c>
      <c r="Q17" s="22">
        <f t="shared" si="10"/>
        <v>-1</v>
      </c>
      <c r="R17" s="131">
        <f t="shared" si="11"/>
        <v>100</v>
      </c>
    </row>
    <row r="18" spans="2:18" ht="14.25" customHeight="1" x14ac:dyDescent="0.2">
      <c r="B18" s="4" t="s">
        <v>16</v>
      </c>
      <c r="C18" s="186">
        <v>0</v>
      </c>
      <c r="D18" s="2" t="s">
        <v>26</v>
      </c>
      <c r="E18" s="2">
        <v>14</v>
      </c>
      <c r="F18" s="2">
        <f t="shared" si="0"/>
        <v>0.70000000000000007</v>
      </c>
      <c r="G18" s="11">
        <f t="shared" si="1"/>
        <v>25</v>
      </c>
      <c r="H18" s="132">
        <f t="shared" si="12"/>
        <v>0</v>
      </c>
      <c r="I18" s="132">
        <f t="shared" si="2"/>
        <v>1</v>
      </c>
      <c r="J18" s="133">
        <f t="shared" si="3"/>
        <v>298.80715233359837</v>
      </c>
      <c r="K18" s="22">
        <f t="shared" si="4"/>
        <v>1</v>
      </c>
      <c r="L18" s="132">
        <f t="shared" si="5"/>
        <v>-298.80715233359837</v>
      </c>
      <c r="M18" s="22">
        <f t="shared" si="6"/>
        <v>-1</v>
      </c>
      <c r="N18" s="133">
        <f t="shared" si="7"/>
        <v>944.91118252306796</v>
      </c>
      <c r="O18" s="22">
        <f t="shared" si="8"/>
        <v>1</v>
      </c>
      <c r="P18" s="132">
        <f t="shared" si="9"/>
        <v>-944.91118252306796</v>
      </c>
      <c r="Q18" s="22">
        <f t="shared" si="10"/>
        <v>-1</v>
      </c>
      <c r="R18" s="131">
        <f t="shared" si="11"/>
        <v>100</v>
      </c>
    </row>
    <row r="19" spans="2:18" ht="14.25" customHeight="1" x14ac:dyDescent="0.2">
      <c r="B19" s="4" t="s">
        <v>15</v>
      </c>
      <c r="C19" s="186">
        <v>0</v>
      </c>
      <c r="D19" s="2" t="s">
        <v>26</v>
      </c>
      <c r="E19" s="2">
        <v>15</v>
      </c>
      <c r="F19" s="2">
        <f t="shared" si="0"/>
        <v>0.75</v>
      </c>
      <c r="G19" s="11">
        <f t="shared" si="1"/>
        <v>25</v>
      </c>
      <c r="H19" s="132">
        <f t="shared" si="12"/>
        <v>0</v>
      </c>
      <c r="I19" s="132">
        <f t="shared" si="2"/>
        <v>1</v>
      </c>
      <c r="J19" s="133">
        <f t="shared" si="3"/>
        <v>288.6751345948129</v>
      </c>
      <c r="K19" s="22">
        <f t="shared" si="4"/>
        <v>1</v>
      </c>
      <c r="L19" s="132">
        <f t="shared" si="5"/>
        <v>-288.6751345948129</v>
      </c>
      <c r="M19" s="22">
        <f t="shared" si="6"/>
        <v>-1</v>
      </c>
      <c r="N19" s="133">
        <f t="shared" si="7"/>
        <v>912.87092917527684</v>
      </c>
      <c r="O19" s="22">
        <f t="shared" si="8"/>
        <v>1</v>
      </c>
      <c r="P19" s="132">
        <f t="shared" si="9"/>
        <v>-912.87092917527684</v>
      </c>
      <c r="Q19" s="22">
        <f t="shared" si="10"/>
        <v>-1</v>
      </c>
      <c r="R19" s="131">
        <f t="shared" si="11"/>
        <v>100</v>
      </c>
    </row>
    <row r="20" spans="2:18" ht="14.25" customHeight="1" x14ac:dyDescent="0.2">
      <c r="B20"/>
      <c r="C20"/>
      <c r="D20"/>
      <c r="E20" s="2">
        <v>16</v>
      </c>
      <c r="F20" s="2">
        <f t="shared" si="0"/>
        <v>0.8</v>
      </c>
      <c r="G20" s="11">
        <f t="shared" si="1"/>
        <v>25</v>
      </c>
      <c r="H20" s="132">
        <f t="shared" si="12"/>
        <v>0</v>
      </c>
      <c r="I20" s="132">
        <f t="shared" si="2"/>
        <v>1</v>
      </c>
      <c r="J20" s="133">
        <f t="shared" si="3"/>
        <v>279.50849718747372</v>
      </c>
      <c r="K20" s="22">
        <f t="shared" si="4"/>
        <v>1</v>
      </c>
      <c r="L20" s="132">
        <f t="shared" si="5"/>
        <v>-279.50849718747372</v>
      </c>
      <c r="M20" s="22">
        <f t="shared" si="6"/>
        <v>-1</v>
      </c>
      <c r="N20" s="133">
        <f t="shared" si="7"/>
        <v>883.88347648318438</v>
      </c>
      <c r="O20" s="22">
        <f t="shared" si="8"/>
        <v>1</v>
      </c>
      <c r="P20" s="132">
        <f t="shared" si="9"/>
        <v>-883.88347648318438</v>
      </c>
      <c r="Q20" s="22">
        <f t="shared" si="10"/>
        <v>-1</v>
      </c>
      <c r="R20" s="131">
        <f t="shared" si="11"/>
        <v>100</v>
      </c>
    </row>
    <row r="21" spans="2:18" ht="14.25" customHeight="1" x14ac:dyDescent="0.2">
      <c r="B21" s="4" t="s">
        <v>18</v>
      </c>
      <c r="C21" s="186">
        <f>'Level3 Groundwater'!D36</f>
        <v>0.1</v>
      </c>
      <c r="D21" s="8" t="s">
        <v>26</v>
      </c>
      <c r="E21" s="2">
        <v>17</v>
      </c>
      <c r="F21" s="2">
        <f t="shared" si="0"/>
        <v>0.85000000000000009</v>
      </c>
      <c r="G21" s="11">
        <f t="shared" si="1"/>
        <v>25</v>
      </c>
      <c r="H21" s="132">
        <f t="shared" si="12"/>
        <v>0</v>
      </c>
      <c r="I21" s="132">
        <f t="shared" si="2"/>
        <v>1</v>
      </c>
      <c r="J21" s="133">
        <f t="shared" si="3"/>
        <v>271.16307227332021</v>
      </c>
      <c r="K21" s="22">
        <f t="shared" si="4"/>
        <v>1</v>
      </c>
      <c r="L21" s="132">
        <f t="shared" si="5"/>
        <v>-271.16307227332021</v>
      </c>
      <c r="M21" s="22">
        <f t="shared" si="6"/>
        <v>-1</v>
      </c>
      <c r="N21" s="133">
        <f t="shared" si="7"/>
        <v>857.49292571254409</v>
      </c>
      <c r="O21" s="22">
        <f t="shared" si="8"/>
        <v>1</v>
      </c>
      <c r="P21" s="132">
        <f t="shared" si="9"/>
        <v>-857.49292571254409</v>
      </c>
      <c r="Q21" s="22">
        <f t="shared" si="10"/>
        <v>-1</v>
      </c>
      <c r="R21" s="131">
        <f t="shared" si="11"/>
        <v>100</v>
      </c>
    </row>
    <row r="22" spans="2:18" ht="14.25" customHeight="1" x14ac:dyDescent="0.2">
      <c r="B22" s="4" t="s">
        <v>20</v>
      </c>
      <c r="C22" s="186">
        <f>'Level3 Groundwater'!D37</f>
        <v>0.01</v>
      </c>
      <c r="D22" s="8" t="s">
        <v>26</v>
      </c>
      <c r="E22" s="2">
        <v>18</v>
      </c>
      <c r="F22" s="2">
        <f t="shared" si="0"/>
        <v>0.9</v>
      </c>
      <c r="G22" s="11">
        <f t="shared" si="1"/>
        <v>25</v>
      </c>
      <c r="H22" s="132">
        <f t="shared" si="12"/>
        <v>0</v>
      </c>
      <c r="I22" s="132">
        <f t="shared" si="2"/>
        <v>1</v>
      </c>
      <c r="J22" s="133">
        <f t="shared" si="3"/>
        <v>263.52313834736492</v>
      </c>
      <c r="K22" s="22">
        <f t="shared" si="4"/>
        <v>1</v>
      </c>
      <c r="L22" s="132">
        <f t="shared" si="5"/>
        <v>-263.52313834736492</v>
      </c>
      <c r="M22" s="22">
        <f t="shared" si="6"/>
        <v>-1</v>
      </c>
      <c r="N22" s="133">
        <f t="shared" si="7"/>
        <v>833.33333333333326</v>
      </c>
      <c r="O22" s="22">
        <f t="shared" si="8"/>
        <v>1</v>
      </c>
      <c r="P22" s="132">
        <f t="shared" si="9"/>
        <v>-833.33333333333326</v>
      </c>
      <c r="Q22" s="22">
        <f t="shared" si="10"/>
        <v>-1</v>
      </c>
      <c r="R22" s="131">
        <f t="shared" si="11"/>
        <v>100</v>
      </c>
    </row>
    <row r="23" spans="2:18" ht="14.25" customHeight="1" x14ac:dyDescent="0.2">
      <c r="B23" s="4" t="s">
        <v>19</v>
      </c>
      <c r="C23" s="186">
        <f>'Level3 Groundwater'!D38</f>
        <v>1E-3</v>
      </c>
      <c r="D23" s="8" t="s">
        <v>26</v>
      </c>
      <c r="E23" s="2">
        <v>19</v>
      </c>
      <c r="F23" s="2">
        <f t="shared" si="0"/>
        <v>0.95000000000000007</v>
      </c>
      <c r="G23" s="11">
        <f t="shared" si="1"/>
        <v>25</v>
      </c>
      <c r="H23" s="132">
        <f t="shared" si="12"/>
        <v>0</v>
      </c>
      <c r="I23" s="132">
        <f t="shared" si="2"/>
        <v>1</v>
      </c>
      <c r="J23" s="133">
        <f t="shared" si="3"/>
        <v>256.49458802128851</v>
      </c>
      <c r="K23" s="22">
        <f t="shared" si="4"/>
        <v>1</v>
      </c>
      <c r="L23" s="132">
        <f t="shared" si="5"/>
        <v>-256.49458802128851</v>
      </c>
      <c r="M23" s="22">
        <f t="shared" si="6"/>
        <v>-1</v>
      </c>
      <c r="N23" s="133">
        <f t="shared" si="7"/>
        <v>811.10710565381271</v>
      </c>
      <c r="O23" s="22">
        <f t="shared" si="8"/>
        <v>1</v>
      </c>
      <c r="P23" s="132">
        <f t="shared" si="9"/>
        <v>-811.10710565381271</v>
      </c>
      <c r="Q23" s="22">
        <f t="shared" si="10"/>
        <v>-1</v>
      </c>
      <c r="R23" s="131">
        <f t="shared" si="11"/>
        <v>100</v>
      </c>
    </row>
    <row r="24" spans="2:18" x14ac:dyDescent="0.2">
      <c r="C24" s="8"/>
      <c r="D24" s="8"/>
      <c r="E24" s="2">
        <v>20</v>
      </c>
      <c r="F24" s="2">
        <f t="shared" si="0"/>
        <v>1</v>
      </c>
      <c r="G24" s="11">
        <f t="shared" si="1"/>
        <v>25</v>
      </c>
      <c r="H24" s="132">
        <f t="shared" si="12"/>
        <v>0</v>
      </c>
      <c r="I24" s="132">
        <f t="shared" si="2"/>
        <v>1</v>
      </c>
      <c r="J24" s="133">
        <f t="shared" si="3"/>
        <v>250</v>
      </c>
      <c r="K24" s="22">
        <f t="shared" si="4"/>
        <v>1</v>
      </c>
      <c r="L24" s="132">
        <f t="shared" si="5"/>
        <v>-250</v>
      </c>
      <c r="M24" s="22">
        <f t="shared" si="6"/>
        <v>-1</v>
      </c>
      <c r="N24" s="133">
        <f t="shared" si="7"/>
        <v>790.56941504209487</v>
      </c>
      <c r="O24" s="22">
        <f t="shared" si="8"/>
        <v>1</v>
      </c>
      <c r="P24" s="132">
        <f t="shared" si="9"/>
        <v>-790.56941504209487</v>
      </c>
      <c r="Q24" s="22">
        <f t="shared" si="10"/>
        <v>-1</v>
      </c>
      <c r="R24" s="131">
        <f t="shared" si="11"/>
        <v>100</v>
      </c>
    </row>
    <row r="25" spans="2:18" x14ac:dyDescent="0.2">
      <c r="B25" s="2" t="s">
        <v>319</v>
      </c>
      <c r="C25" s="56" t="str">
        <f>'Level3 Groundwater'!$C$15</f>
        <v>Simulate vertical dispersion in 1 direction</v>
      </c>
      <c r="D25" s="8"/>
      <c r="E25" s="8"/>
      <c r="J25" s="146"/>
      <c r="K25" s="20"/>
      <c r="N25" s="20"/>
      <c r="O25" s="20"/>
      <c r="P25" s="10"/>
      <c r="Q25" s="10"/>
      <c r="R25" s="68"/>
    </row>
    <row r="26" spans="2:18" ht="15.75" x14ac:dyDescent="0.25">
      <c r="B26" s="9" t="s">
        <v>45</v>
      </c>
      <c r="C26" s="65" t="s">
        <v>11</v>
      </c>
      <c r="D26" s="65"/>
      <c r="F26" s="16" t="s">
        <v>58</v>
      </c>
      <c r="J26" s="20"/>
      <c r="K26" s="20"/>
      <c r="N26" s="20"/>
      <c r="O26" s="20"/>
      <c r="P26" s="10"/>
      <c r="Q26" s="10"/>
      <c r="R26" s="68"/>
    </row>
    <row r="27" spans="2:18" ht="15" x14ac:dyDescent="0.2">
      <c r="B27" s="66"/>
      <c r="C27" s="4"/>
      <c r="D27" s="4"/>
      <c r="F27" t="s">
        <v>328</v>
      </c>
      <c r="J27" s="20"/>
      <c r="K27" s="20"/>
      <c r="N27" s="20"/>
      <c r="O27" s="20"/>
      <c r="P27" s="10"/>
      <c r="Q27" s="10"/>
      <c r="R27" s="68"/>
    </row>
    <row r="28" spans="2:18" ht="14.25" x14ac:dyDescent="0.2">
      <c r="B28" s="4" t="s">
        <v>38</v>
      </c>
      <c r="C28" s="186">
        <f>'Level3 Groundwater'!D42</f>
        <v>3.1749999999999997E-6</v>
      </c>
      <c r="D28" s="2" t="s">
        <v>25</v>
      </c>
      <c r="E28" s="2"/>
      <c r="F28" s="2" t="s">
        <v>52</v>
      </c>
      <c r="G28" s="11" t="s">
        <v>121</v>
      </c>
      <c r="H28" s="11" t="s">
        <v>122</v>
      </c>
      <c r="I28" s="11" t="s">
        <v>47</v>
      </c>
      <c r="J28" s="22" t="s">
        <v>132</v>
      </c>
      <c r="K28" s="22" t="s">
        <v>49</v>
      </c>
      <c r="L28" s="11" t="s">
        <v>133</v>
      </c>
      <c r="M28" s="11" t="s">
        <v>49</v>
      </c>
      <c r="N28" s="22" t="s">
        <v>130</v>
      </c>
      <c r="O28" s="22" t="s">
        <v>49</v>
      </c>
      <c r="P28" s="11" t="s">
        <v>131</v>
      </c>
      <c r="Q28" s="11" t="s">
        <v>49</v>
      </c>
      <c r="R28" s="59" t="s">
        <v>117</v>
      </c>
    </row>
    <row r="29" spans="2:18" ht="14.25" x14ac:dyDescent="0.2">
      <c r="B29" s="4" t="s">
        <v>0</v>
      </c>
      <c r="C29" s="186">
        <f>'Level3 Groundwater'!D43</f>
        <v>12.639012345679012</v>
      </c>
      <c r="D29" s="109"/>
      <c r="E29" s="2"/>
      <c r="F29" s="2"/>
      <c r="G29" s="11"/>
      <c r="H29" s="11"/>
      <c r="I29" s="11"/>
      <c r="J29" s="22"/>
      <c r="K29" s="22"/>
      <c r="L29" s="11"/>
      <c r="M29" s="11"/>
      <c r="N29" s="22"/>
      <c r="O29" s="22"/>
      <c r="P29" s="11"/>
      <c r="Q29" s="11"/>
      <c r="R29" s="68"/>
    </row>
    <row r="30" spans="2:18" ht="14.25" x14ac:dyDescent="0.2">
      <c r="B30" s="4" t="s">
        <v>41</v>
      </c>
      <c r="C30" s="186">
        <f>'Level3 Groundwater'!D45</f>
        <v>2.5120633742283348E-7</v>
      </c>
      <c r="D30" s="2" t="s">
        <v>25</v>
      </c>
      <c r="E30" s="2">
        <v>1</v>
      </c>
      <c r="F30" s="2">
        <f t="shared" ref="F30:F49" si="13">$C$17/20*E30</f>
        <v>0.05</v>
      </c>
      <c r="G30" s="11">
        <f t="shared" ref="G30:G49" si="14">0.25*$C$8</f>
        <v>25</v>
      </c>
      <c r="H30" s="132">
        <f t="shared" ref="H30:H49" si="15">$F30/(2*$C$21)*(1-(1+(4*$C$9*$C$21)/$C$30)^0.5)</f>
        <v>0</v>
      </c>
      <c r="I30" s="132">
        <f t="shared" ref="I30:I49" si="16">EXP(H30)</f>
        <v>1</v>
      </c>
      <c r="J30" s="133">
        <f>(($C$18+0.5*$C$10)/(2*SQRT($C$22*$F30)))</f>
        <v>1118.0339887498949</v>
      </c>
      <c r="K30" s="22">
        <f t="shared" ref="K30:K49" si="17">IF(J30&lt;0,IF(J30&lt;-10,-1,-ERF(-J30)),IF(J30&gt;10,1,ERF(J30)))</f>
        <v>1</v>
      </c>
      <c r="L30" s="132">
        <f>(($C$18-0.5*$C$10)/(2*SQRT($C$22*$F30)))</f>
        <v>-1118.0339887498949</v>
      </c>
      <c r="M30" s="22">
        <f t="shared" ref="M30:M49" si="18">IF(L30&lt;0,IF(L30&lt;-10,-1,-ERF(-L30)),IF(L30&gt;10,1,ERF(L30)))</f>
        <v>-1</v>
      </c>
      <c r="N30" s="133">
        <f t="shared" ref="N30:N49" si="19">(($C$19+$C$11)/(2*SQRT($C$23*$F30)))</f>
        <v>7071.0678118654751</v>
      </c>
      <c r="O30" s="22">
        <f t="shared" ref="O30:O49" si="20">IF(N30&lt;0,IF(N30&lt;-10,-1,-ERF(-N30)),IF(N30&gt;10,1,ERF(N30)))</f>
        <v>1</v>
      </c>
      <c r="P30" s="132">
        <f t="shared" ref="P30:P49" si="21">(($C$19-$C$11)/(2*SQRT($C$23*$F30)))</f>
        <v>-7071.0678118654751</v>
      </c>
      <c r="Q30" s="22">
        <f t="shared" ref="Q30:Q49" si="22">IF(P30&lt;0,IF(P30&lt;-10,-1,-ERF(-P30)),IF(P30&gt;10,1,ERF(P30)))</f>
        <v>-1</v>
      </c>
      <c r="R30" s="131">
        <f t="shared" ref="R30:R49" si="23">G30*I30*(K30-M30)*(O30-Q30)</f>
        <v>100</v>
      </c>
    </row>
    <row r="31" spans="2:18" x14ac:dyDescent="0.2">
      <c r="E31" s="2">
        <v>2</v>
      </c>
      <c r="F31" s="2">
        <f t="shared" si="13"/>
        <v>0.1</v>
      </c>
      <c r="G31" s="11">
        <f t="shared" si="14"/>
        <v>25</v>
      </c>
      <c r="H31" s="132">
        <f t="shared" si="15"/>
        <v>0</v>
      </c>
      <c r="I31" s="132">
        <f t="shared" si="16"/>
        <v>1</v>
      </c>
      <c r="J31" s="133">
        <f t="shared" ref="J31:J49" si="24">(($C$18+0.5*$C$10)/(2*SQRT($C$22*$F31)))</f>
        <v>790.56941504209487</v>
      </c>
      <c r="K31" s="22">
        <f t="shared" si="17"/>
        <v>1</v>
      </c>
      <c r="L31" s="132">
        <f t="shared" ref="L31:L49" si="25">(($C$18-0.5*$C$10)/(2*SQRT($C$22*$F31)))</f>
        <v>-790.56941504209487</v>
      </c>
      <c r="M31" s="22">
        <f t="shared" si="18"/>
        <v>-1</v>
      </c>
      <c r="N31" s="133">
        <f t="shared" si="19"/>
        <v>5000</v>
      </c>
      <c r="O31" s="22">
        <f t="shared" si="20"/>
        <v>1</v>
      </c>
      <c r="P31" s="132">
        <f t="shared" si="21"/>
        <v>-5000</v>
      </c>
      <c r="Q31" s="22">
        <f t="shared" si="22"/>
        <v>-1</v>
      </c>
      <c r="R31" s="131">
        <f t="shared" si="23"/>
        <v>100</v>
      </c>
    </row>
    <row r="32" spans="2:18" x14ac:dyDescent="0.2">
      <c r="E32" s="2">
        <v>3</v>
      </c>
      <c r="F32" s="2">
        <f t="shared" si="13"/>
        <v>0.15000000000000002</v>
      </c>
      <c r="G32" s="11">
        <f t="shared" si="14"/>
        <v>25</v>
      </c>
      <c r="H32" s="132">
        <f t="shared" si="15"/>
        <v>0</v>
      </c>
      <c r="I32" s="132">
        <f t="shared" si="16"/>
        <v>1</v>
      </c>
      <c r="J32" s="133">
        <f t="shared" si="24"/>
        <v>645.49722436790285</v>
      </c>
      <c r="K32" s="22">
        <f t="shared" si="17"/>
        <v>1</v>
      </c>
      <c r="L32" s="132">
        <f t="shared" si="25"/>
        <v>-645.49722436790285</v>
      </c>
      <c r="M32" s="22">
        <f t="shared" si="18"/>
        <v>-1</v>
      </c>
      <c r="N32" s="133">
        <f t="shared" si="19"/>
        <v>4082.4829046386299</v>
      </c>
      <c r="O32" s="22">
        <f t="shared" si="20"/>
        <v>1</v>
      </c>
      <c r="P32" s="132">
        <f t="shared" si="21"/>
        <v>-4082.4829046386299</v>
      </c>
      <c r="Q32" s="22">
        <f t="shared" si="22"/>
        <v>-1</v>
      </c>
      <c r="R32" s="131">
        <f t="shared" si="23"/>
        <v>100</v>
      </c>
    </row>
    <row r="33" spans="2:18" x14ac:dyDescent="0.2">
      <c r="E33" s="2">
        <v>4</v>
      </c>
      <c r="F33" s="2">
        <f t="shared" si="13"/>
        <v>0.2</v>
      </c>
      <c r="G33" s="11">
        <f t="shared" si="14"/>
        <v>25</v>
      </c>
      <c r="H33" s="132">
        <f t="shared" si="15"/>
        <v>0</v>
      </c>
      <c r="I33" s="132">
        <f t="shared" si="16"/>
        <v>1</v>
      </c>
      <c r="J33" s="133">
        <f t="shared" si="24"/>
        <v>559.01699437494744</v>
      </c>
      <c r="K33" s="22">
        <f t="shared" si="17"/>
        <v>1</v>
      </c>
      <c r="L33" s="132">
        <f t="shared" si="25"/>
        <v>-559.01699437494744</v>
      </c>
      <c r="M33" s="22">
        <f t="shared" si="18"/>
        <v>-1</v>
      </c>
      <c r="N33" s="133">
        <f t="shared" si="19"/>
        <v>3535.5339059327375</v>
      </c>
      <c r="O33" s="22">
        <f t="shared" si="20"/>
        <v>1</v>
      </c>
      <c r="P33" s="132">
        <f t="shared" si="21"/>
        <v>-3535.5339059327375</v>
      </c>
      <c r="Q33" s="22">
        <f t="shared" si="22"/>
        <v>-1</v>
      </c>
      <c r="R33" s="131">
        <f t="shared" si="23"/>
        <v>100</v>
      </c>
    </row>
    <row r="34" spans="2:18" x14ac:dyDescent="0.2">
      <c r="E34" s="2">
        <v>5</v>
      </c>
      <c r="F34" s="2">
        <f t="shared" si="13"/>
        <v>0.25</v>
      </c>
      <c r="G34" s="11">
        <f t="shared" si="14"/>
        <v>25</v>
      </c>
      <c r="H34" s="132">
        <f t="shared" si="15"/>
        <v>0</v>
      </c>
      <c r="I34" s="132">
        <f t="shared" si="16"/>
        <v>1</v>
      </c>
      <c r="J34" s="133">
        <f t="shared" si="24"/>
        <v>500</v>
      </c>
      <c r="K34" s="22">
        <f t="shared" si="17"/>
        <v>1</v>
      </c>
      <c r="L34" s="132">
        <f t="shared" si="25"/>
        <v>-500</v>
      </c>
      <c r="M34" s="22">
        <f t="shared" si="18"/>
        <v>-1</v>
      </c>
      <c r="N34" s="133">
        <f t="shared" si="19"/>
        <v>3162.2776601683795</v>
      </c>
      <c r="O34" s="22">
        <f t="shared" si="20"/>
        <v>1</v>
      </c>
      <c r="P34" s="132">
        <f t="shared" si="21"/>
        <v>-3162.2776601683795</v>
      </c>
      <c r="Q34" s="22">
        <f t="shared" si="22"/>
        <v>-1</v>
      </c>
      <c r="R34" s="131">
        <f t="shared" si="23"/>
        <v>100</v>
      </c>
    </row>
    <row r="35" spans="2:18" x14ac:dyDescent="0.2">
      <c r="E35" s="2">
        <v>6</v>
      </c>
      <c r="F35" s="2">
        <f t="shared" si="13"/>
        <v>0.30000000000000004</v>
      </c>
      <c r="G35" s="11">
        <f t="shared" si="14"/>
        <v>25</v>
      </c>
      <c r="H35" s="132">
        <f t="shared" si="15"/>
        <v>0</v>
      </c>
      <c r="I35" s="132">
        <f t="shared" si="16"/>
        <v>1</v>
      </c>
      <c r="J35" s="133">
        <f t="shared" si="24"/>
        <v>456.43546458763842</v>
      </c>
      <c r="K35" s="22">
        <f t="shared" si="17"/>
        <v>1</v>
      </c>
      <c r="L35" s="132">
        <f t="shared" si="25"/>
        <v>-456.43546458763842</v>
      </c>
      <c r="M35" s="22">
        <f t="shared" si="18"/>
        <v>-1</v>
      </c>
      <c r="N35" s="133">
        <f t="shared" si="19"/>
        <v>2886.7513459481288</v>
      </c>
      <c r="O35" s="22">
        <f t="shared" si="20"/>
        <v>1</v>
      </c>
      <c r="P35" s="132">
        <f t="shared" si="21"/>
        <v>-2886.7513459481288</v>
      </c>
      <c r="Q35" s="22">
        <f t="shared" si="22"/>
        <v>-1</v>
      </c>
      <c r="R35" s="131">
        <f t="shared" si="23"/>
        <v>100</v>
      </c>
    </row>
    <row r="36" spans="2:18" x14ac:dyDescent="0.2">
      <c r="E36" s="2">
        <v>7</v>
      </c>
      <c r="F36" s="2">
        <f t="shared" si="13"/>
        <v>0.35000000000000003</v>
      </c>
      <c r="G36" s="11">
        <f t="shared" si="14"/>
        <v>25</v>
      </c>
      <c r="H36" s="132">
        <f t="shared" si="15"/>
        <v>0</v>
      </c>
      <c r="I36" s="132">
        <f t="shared" si="16"/>
        <v>1</v>
      </c>
      <c r="J36" s="133">
        <f t="shared" si="24"/>
        <v>422.57712736425827</v>
      </c>
      <c r="K36" s="22">
        <f t="shared" si="17"/>
        <v>1</v>
      </c>
      <c r="L36" s="132">
        <f t="shared" si="25"/>
        <v>-422.57712736425827</v>
      </c>
      <c r="M36" s="22">
        <f t="shared" si="18"/>
        <v>-1</v>
      </c>
      <c r="N36" s="133">
        <f t="shared" si="19"/>
        <v>2672.6124191242438</v>
      </c>
      <c r="O36" s="22">
        <f t="shared" si="20"/>
        <v>1</v>
      </c>
      <c r="P36" s="132">
        <f t="shared" si="21"/>
        <v>-2672.6124191242438</v>
      </c>
      <c r="Q36" s="22">
        <f t="shared" si="22"/>
        <v>-1</v>
      </c>
      <c r="R36" s="131">
        <f t="shared" si="23"/>
        <v>100</v>
      </c>
    </row>
    <row r="37" spans="2:18" x14ac:dyDescent="0.2">
      <c r="E37" s="2">
        <v>8</v>
      </c>
      <c r="F37" s="2">
        <f t="shared" si="13"/>
        <v>0.4</v>
      </c>
      <c r="G37" s="11">
        <f t="shared" si="14"/>
        <v>25</v>
      </c>
      <c r="H37" s="132">
        <f t="shared" si="15"/>
        <v>0</v>
      </c>
      <c r="I37" s="132">
        <f t="shared" si="16"/>
        <v>1</v>
      </c>
      <c r="J37" s="133">
        <f t="shared" si="24"/>
        <v>395.28470752104744</v>
      </c>
      <c r="K37" s="22">
        <f t="shared" si="17"/>
        <v>1</v>
      </c>
      <c r="L37" s="132">
        <f t="shared" si="25"/>
        <v>-395.28470752104744</v>
      </c>
      <c r="M37" s="22">
        <f t="shared" si="18"/>
        <v>-1</v>
      </c>
      <c r="N37" s="133">
        <f t="shared" si="19"/>
        <v>2500</v>
      </c>
      <c r="O37" s="22">
        <f t="shared" si="20"/>
        <v>1</v>
      </c>
      <c r="P37" s="132">
        <f t="shared" si="21"/>
        <v>-2500</v>
      </c>
      <c r="Q37" s="22">
        <f t="shared" si="22"/>
        <v>-1</v>
      </c>
      <c r="R37" s="131">
        <f t="shared" si="23"/>
        <v>100</v>
      </c>
    </row>
    <row r="38" spans="2:18" x14ac:dyDescent="0.2">
      <c r="E38" s="2">
        <v>9</v>
      </c>
      <c r="F38" s="2">
        <f t="shared" si="13"/>
        <v>0.45</v>
      </c>
      <c r="G38" s="11">
        <f t="shared" si="14"/>
        <v>25</v>
      </c>
      <c r="H38" s="132">
        <f t="shared" si="15"/>
        <v>0</v>
      </c>
      <c r="I38" s="132">
        <f t="shared" si="16"/>
        <v>1</v>
      </c>
      <c r="J38" s="133">
        <f t="shared" si="24"/>
        <v>372.67799624996491</v>
      </c>
      <c r="K38" s="22">
        <f t="shared" si="17"/>
        <v>1</v>
      </c>
      <c r="L38" s="132">
        <f t="shared" si="25"/>
        <v>-372.67799624996491</v>
      </c>
      <c r="M38" s="22">
        <f t="shared" si="18"/>
        <v>-1</v>
      </c>
      <c r="N38" s="133">
        <f t="shared" si="19"/>
        <v>2357.0226039551585</v>
      </c>
      <c r="O38" s="22">
        <f t="shared" si="20"/>
        <v>1</v>
      </c>
      <c r="P38" s="132">
        <f t="shared" si="21"/>
        <v>-2357.0226039551585</v>
      </c>
      <c r="Q38" s="22">
        <f t="shared" si="22"/>
        <v>-1</v>
      </c>
      <c r="R38" s="131">
        <f t="shared" si="23"/>
        <v>100</v>
      </c>
    </row>
    <row r="39" spans="2:18" x14ac:dyDescent="0.2">
      <c r="E39" s="2">
        <v>10</v>
      </c>
      <c r="F39" s="2">
        <f t="shared" si="13"/>
        <v>0.5</v>
      </c>
      <c r="G39" s="11">
        <f t="shared" si="14"/>
        <v>25</v>
      </c>
      <c r="H39" s="132">
        <f t="shared" si="15"/>
        <v>0</v>
      </c>
      <c r="I39" s="132">
        <f t="shared" si="16"/>
        <v>1</v>
      </c>
      <c r="J39" s="133">
        <f t="shared" si="24"/>
        <v>353.55339059327378</v>
      </c>
      <c r="K39" s="22">
        <f t="shared" si="17"/>
        <v>1</v>
      </c>
      <c r="L39" s="132">
        <f t="shared" si="25"/>
        <v>-353.55339059327378</v>
      </c>
      <c r="M39" s="22">
        <f t="shared" si="18"/>
        <v>-1</v>
      </c>
      <c r="N39" s="133">
        <f t="shared" si="19"/>
        <v>2236.0679774997898</v>
      </c>
      <c r="O39" s="22">
        <f t="shared" si="20"/>
        <v>1</v>
      </c>
      <c r="P39" s="132">
        <f t="shared" si="21"/>
        <v>-2236.0679774997898</v>
      </c>
      <c r="Q39" s="22">
        <f t="shared" si="22"/>
        <v>-1</v>
      </c>
      <c r="R39" s="131">
        <f t="shared" si="23"/>
        <v>100</v>
      </c>
    </row>
    <row r="40" spans="2:18" x14ac:dyDescent="0.2">
      <c r="E40" s="2">
        <v>11</v>
      </c>
      <c r="F40" s="2">
        <f t="shared" si="13"/>
        <v>0.55000000000000004</v>
      </c>
      <c r="G40" s="11">
        <f t="shared" si="14"/>
        <v>25</v>
      </c>
      <c r="H40" s="132">
        <f t="shared" si="15"/>
        <v>0</v>
      </c>
      <c r="I40" s="132">
        <f t="shared" si="16"/>
        <v>1</v>
      </c>
      <c r="J40" s="133">
        <f t="shared" si="24"/>
        <v>337.09993123162104</v>
      </c>
      <c r="K40" s="22">
        <f t="shared" si="17"/>
        <v>1</v>
      </c>
      <c r="L40" s="132">
        <f t="shared" si="25"/>
        <v>-337.09993123162104</v>
      </c>
      <c r="M40" s="22">
        <f t="shared" si="18"/>
        <v>-1</v>
      </c>
      <c r="N40" s="133">
        <f t="shared" si="19"/>
        <v>2132.0071635561044</v>
      </c>
      <c r="O40" s="22">
        <f t="shared" si="20"/>
        <v>1</v>
      </c>
      <c r="P40" s="132">
        <f t="shared" si="21"/>
        <v>-2132.0071635561044</v>
      </c>
      <c r="Q40" s="22">
        <f t="shared" si="22"/>
        <v>-1</v>
      </c>
      <c r="R40" s="131">
        <f t="shared" si="23"/>
        <v>100</v>
      </c>
    </row>
    <row r="41" spans="2:18" x14ac:dyDescent="0.2">
      <c r="E41" s="2">
        <v>12</v>
      </c>
      <c r="F41" s="2">
        <f t="shared" si="13"/>
        <v>0.60000000000000009</v>
      </c>
      <c r="G41" s="11">
        <f t="shared" si="14"/>
        <v>25</v>
      </c>
      <c r="H41" s="132">
        <f t="shared" si="15"/>
        <v>0</v>
      </c>
      <c r="I41" s="132">
        <f t="shared" si="16"/>
        <v>1</v>
      </c>
      <c r="J41" s="133">
        <f t="shared" si="24"/>
        <v>322.74861218395142</v>
      </c>
      <c r="K41" s="22">
        <f t="shared" si="17"/>
        <v>1</v>
      </c>
      <c r="L41" s="132">
        <f t="shared" si="25"/>
        <v>-322.74861218395142</v>
      </c>
      <c r="M41" s="22">
        <f t="shared" si="18"/>
        <v>-1</v>
      </c>
      <c r="N41" s="133">
        <f t="shared" si="19"/>
        <v>2041.2414523193149</v>
      </c>
      <c r="O41" s="22">
        <f t="shared" si="20"/>
        <v>1</v>
      </c>
      <c r="P41" s="132">
        <f t="shared" si="21"/>
        <v>-2041.2414523193149</v>
      </c>
      <c r="Q41" s="22">
        <f t="shared" si="22"/>
        <v>-1</v>
      </c>
      <c r="R41" s="131">
        <f t="shared" si="23"/>
        <v>100</v>
      </c>
    </row>
    <row r="42" spans="2:18" x14ac:dyDescent="0.2">
      <c r="E42" s="2">
        <v>13</v>
      </c>
      <c r="F42" s="2">
        <f t="shared" si="13"/>
        <v>0.65</v>
      </c>
      <c r="G42" s="11">
        <f t="shared" si="14"/>
        <v>25</v>
      </c>
      <c r="H42" s="132">
        <f t="shared" si="15"/>
        <v>0</v>
      </c>
      <c r="I42" s="132">
        <f t="shared" si="16"/>
        <v>1</v>
      </c>
      <c r="J42" s="133">
        <f t="shared" si="24"/>
        <v>310.08683647302115</v>
      </c>
      <c r="K42" s="22">
        <f t="shared" si="17"/>
        <v>1</v>
      </c>
      <c r="L42" s="132">
        <f t="shared" si="25"/>
        <v>-310.08683647302115</v>
      </c>
      <c r="M42" s="22">
        <f t="shared" si="18"/>
        <v>-1</v>
      </c>
      <c r="N42" s="133">
        <f t="shared" si="19"/>
        <v>1961.1613513818402</v>
      </c>
      <c r="O42" s="22">
        <f t="shared" si="20"/>
        <v>1</v>
      </c>
      <c r="P42" s="132">
        <f t="shared" si="21"/>
        <v>-1961.1613513818402</v>
      </c>
      <c r="Q42" s="22">
        <f t="shared" si="22"/>
        <v>-1</v>
      </c>
      <c r="R42" s="131">
        <f t="shared" si="23"/>
        <v>100</v>
      </c>
    </row>
    <row r="43" spans="2:18" x14ac:dyDescent="0.2">
      <c r="E43" s="2">
        <v>14</v>
      </c>
      <c r="F43" s="2">
        <f t="shared" si="13"/>
        <v>0.70000000000000007</v>
      </c>
      <c r="G43" s="11">
        <f t="shared" si="14"/>
        <v>25</v>
      </c>
      <c r="H43" s="132">
        <f t="shared" si="15"/>
        <v>0</v>
      </c>
      <c r="I43" s="132">
        <f t="shared" si="16"/>
        <v>1</v>
      </c>
      <c r="J43" s="133">
        <f t="shared" si="24"/>
        <v>298.80715233359837</v>
      </c>
      <c r="K43" s="22">
        <f t="shared" si="17"/>
        <v>1</v>
      </c>
      <c r="L43" s="132">
        <f t="shared" si="25"/>
        <v>-298.80715233359837</v>
      </c>
      <c r="M43" s="22">
        <f t="shared" si="18"/>
        <v>-1</v>
      </c>
      <c r="N43" s="133">
        <f t="shared" si="19"/>
        <v>1889.8223650461359</v>
      </c>
      <c r="O43" s="22">
        <f t="shared" si="20"/>
        <v>1</v>
      </c>
      <c r="P43" s="132">
        <f t="shared" si="21"/>
        <v>-1889.8223650461359</v>
      </c>
      <c r="Q43" s="22">
        <f t="shared" si="22"/>
        <v>-1</v>
      </c>
      <c r="R43" s="131">
        <f t="shared" si="23"/>
        <v>100</v>
      </c>
    </row>
    <row r="44" spans="2:18" x14ac:dyDescent="0.2">
      <c r="E44" s="2">
        <v>15</v>
      </c>
      <c r="F44" s="2">
        <f t="shared" si="13"/>
        <v>0.75</v>
      </c>
      <c r="G44" s="11">
        <f t="shared" si="14"/>
        <v>25</v>
      </c>
      <c r="H44" s="132">
        <f t="shared" si="15"/>
        <v>0</v>
      </c>
      <c r="I44" s="132">
        <f t="shared" si="16"/>
        <v>1</v>
      </c>
      <c r="J44" s="133">
        <f t="shared" si="24"/>
        <v>288.6751345948129</v>
      </c>
      <c r="K44" s="22">
        <f t="shared" si="17"/>
        <v>1</v>
      </c>
      <c r="L44" s="132">
        <f t="shared" si="25"/>
        <v>-288.6751345948129</v>
      </c>
      <c r="M44" s="22">
        <f t="shared" si="18"/>
        <v>-1</v>
      </c>
      <c r="N44" s="133">
        <f t="shared" si="19"/>
        <v>1825.7418583505537</v>
      </c>
      <c r="O44" s="22">
        <f t="shared" si="20"/>
        <v>1</v>
      </c>
      <c r="P44" s="132">
        <f t="shared" si="21"/>
        <v>-1825.7418583505537</v>
      </c>
      <c r="Q44" s="22">
        <f t="shared" si="22"/>
        <v>-1</v>
      </c>
      <c r="R44" s="131">
        <f t="shared" si="23"/>
        <v>100</v>
      </c>
    </row>
    <row r="45" spans="2:18" x14ac:dyDescent="0.2">
      <c r="E45" s="2">
        <v>16</v>
      </c>
      <c r="F45" s="2">
        <f t="shared" si="13"/>
        <v>0.8</v>
      </c>
      <c r="G45" s="11">
        <f t="shared" si="14"/>
        <v>25</v>
      </c>
      <c r="H45" s="132">
        <f t="shared" si="15"/>
        <v>0</v>
      </c>
      <c r="I45" s="132">
        <f t="shared" si="16"/>
        <v>1</v>
      </c>
      <c r="J45" s="133">
        <f t="shared" si="24"/>
        <v>279.50849718747372</v>
      </c>
      <c r="K45" s="22">
        <f t="shared" si="17"/>
        <v>1</v>
      </c>
      <c r="L45" s="132">
        <f t="shared" si="25"/>
        <v>-279.50849718747372</v>
      </c>
      <c r="M45" s="22">
        <f t="shared" si="18"/>
        <v>-1</v>
      </c>
      <c r="N45" s="133">
        <f t="shared" si="19"/>
        <v>1767.7669529663688</v>
      </c>
      <c r="O45" s="22">
        <f t="shared" si="20"/>
        <v>1</v>
      </c>
      <c r="P45" s="132">
        <f t="shared" si="21"/>
        <v>-1767.7669529663688</v>
      </c>
      <c r="Q45" s="22">
        <f t="shared" si="22"/>
        <v>-1</v>
      </c>
      <c r="R45" s="131">
        <f t="shared" si="23"/>
        <v>100</v>
      </c>
    </row>
    <row r="46" spans="2:18" x14ac:dyDescent="0.2">
      <c r="E46" s="2">
        <v>17</v>
      </c>
      <c r="F46" s="2">
        <f t="shared" si="13"/>
        <v>0.85000000000000009</v>
      </c>
      <c r="G46" s="11">
        <f t="shared" si="14"/>
        <v>25</v>
      </c>
      <c r="H46" s="132">
        <f t="shared" si="15"/>
        <v>0</v>
      </c>
      <c r="I46" s="132">
        <f t="shared" si="16"/>
        <v>1</v>
      </c>
      <c r="J46" s="133">
        <f t="shared" si="24"/>
        <v>271.16307227332021</v>
      </c>
      <c r="K46" s="22">
        <f t="shared" si="17"/>
        <v>1</v>
      </c>
      <c r="L46" s="132">
        <f t="shared" si="25"/>
        <v>-271.16307227332021</v>
      </c>
      <c r="M46" s="22">
        <f t="shared" si="18"/>
        <v>-1</v>
      </c>
      <c r="N46" s="133">
        <f t="shared" si="19"/>
        <v>1714.9858514250882</v>
      </c>
      <c r="O46" s="22">
        <f t="shared" si="20"/>
        <v>1</v>
      </c>
      <c r="P46" s="132">
        <f t="shared" si="21"/>
        <v>-1714.9858514250882</v>
      </c>
      <c r="Q46" s="22">
        <f t="shared" si="22"/>
        <v>-1</v>
      </c>
      <c r="R46" s="131">
        <f t="shared" si="23"/>
        <v>100</v>
      </c>
    </row>
    <row r="47" spans="2:18" x14ac:dyDescent="0.2">
      <c r="E47" s="2">
        <v>18</v>
      </c>
      <c r="F47" s="2">
        <f t="shared" si="13"/>
        <v>0.9</v>
      </c>
      <c r="G47" s="11">
        <f t="shared" si="14"/>
        <v>25</v>
      </c>
      <c r="H47" s="132">
        <f t="shared" si="15"/>
        <v>0</v>
      </c>
      <c r="I47" s="132">
        <f t="shared" si="16"/>
        <v>1</v>
      </c>
      <c r="J47" s="133">
        <f t="shared" si="24"/>
        <v>263.52313834736492</v>
      </c>
      <c r="K47" s="22">
        <f t="shared" si="17"/>
        <v>1</v>
      </c>
      <c r="L47" s="132">
        <f t="shared" si="25"/>
        <v>-263.52313834736492</v>
      </c>
      <c r="M47" s="22">
        <f t="shared" si="18"/>
        <v>-1</v>
      </c>
      <c r="N47" s="133">
        <f t="shared" si="19"/>
        <v>1666.6666666666665</v>
      </c>
      <c r="O47" s="22">
        <f t="shared" si="20"/>
        <v>1</v>
      </c>
      <c r="P47" s="132">
        <f t="shared" si="21"/>
        <v>-1666.6666666666665</v>
      </c>
      <c r="Q47" s="22">
        <f t="shared" si="22"/>
        <v>-1</v>
      </c>
      <c r="R47" s="131">
        <f t="shared" si="23"/>
        <v>100</v>
      </c>
    </row>
    <row r="48" spans="2:18" x14ac:dyDescent="0.2">
      <c r="B48" s="103" t="s">
        <v>142</v>
      </c>
      <c r="C48" s="108">
        <f>Introduction!B32</f>
        <v>43993</v>
      </c>
      <c r="D48" s="110"/>
      <c r="E48" s="2">
        <v>19</v>
      </c>
      <c r="F48" s="2">
        <f t="shared" si="13"/>
        <v>0.95000000000000007</v>
      </c>
      <c r="G48" s="11">
        <f t="shared" si="14"/>
        <v>25</v>
      </c>
      <c r="H48" s="132">
        <f t="shared" si="15"/>
        <v>0</v>
      </c>
      <c r="I48" s="132">
        <f t="shared" si="16"/>
        <v>1</v>
      </c>
      <c r="J48" s="133">
        <f t="shared" si="24"/>
        <v>256.49458802128851</v>
      </c>
      <c r="K48" s="22">
        <f t="shared" si="17"/>
        <v>1</v>
      </c>
      <c r="L48" s="132">
        <f t="shared" si="25"/>
        <v>-256.49458802128851</v>
      </c>
      <c r="M48" s="22">
        <f t="shared" si="18"/>
        <v>-1</v>
      </c>
      <c r="N48" s="133">
        <f t="shared" si="19"/>
        <v>1622.2142113076254</v>
      </c>
      <c r="O48" s="22">
        <f t="shared" si="20"/>
        <v>1</v>
      </c>
      <c r="P48" s="132">
        <f t="shared" si="21"/>
        <v>-1622.2142113076254</v>
      </c>
      <c r="Q48" s="22">
        <f t="shared" si="22"/>
        <v>-1</v>
      </c>
      <c r="R48" s="131">
        <f t="shared" si="23"/>
        <v>100</v>
      </c>
    </row>
    <row r="49" spans="2:18" x14ac:dyDescent="0.2">
      <c r="B49" s="104" t="s">
        <v>158</v>
      </c>
      <c r="C49" s="107">
        <f>Introduction!E32</f>
        <v>1.01</v>
      </c>
      <c r="D49" s="111"/>
      <c r="E49" s="2">
        <v>20</v>
      </c>
      <c r="F49" s="2">
        <f t="shared" si="13"/>
        <v>1</v>
      </c>
      <c r="G49" s="11">
        <f t="shared" si="14"/>
        <v>25</v>
      </c>
      <c r="H49" s="132">
        <f t="shared" si="15"/>
        <v>0</v>
      </c>
      <c r="I49" s="132">
        <f t="shared" si="16"/>
        <v>1</v>
      </c>
      <c r="J49" s="133">
        <f t="shared" si="24"/>
        <v>250</v>
      </c>
      <c r="K49" s="22">
        <f t="shared" si="17"/>
        <v>1</v>
      </c>
      <c r="L49" s="132">
        <f t="shared" si="25"/>
        <v>-250</v>
      </c>
      <c r="M49" s="22">
        <f t="shared" si="18"/>
        <v>-1</v>
      </c>
      <c r="N49" s="133">
        <f t="shared" si="19"/>
        <v>1581.1388300841897</v>
      </c>
      <c r="O49" s="22">
        <f t="shared" si="20"/>
        <v>1</v>
      </c>
      <c r="P49" s="132">
        <f t="shared" si="21"/>
        <v>-1581.1388300841897</v>
      </c>
      <c r="Q49" s="22">
        <f t="shared" si="22"/>
        <v>-1</v>
      </c>
      <c r="R49" s="131">
        <f t="shared" si="23"/>
        <v>100</v>
      </c>
    </row>
    <row r="54" spans="2:18" x14ac:dyDescent="0.2">
      <c r="N54" t="s">
        <v>330</v>
      </c>
      <c r="O54" s="136"/>
      <c r="Q54" s="136"/>
    </row>
    <row r="55" spans="2:18" x14ac:dyDescent="0.2">
      <c r="O55" s="136"/>
      <c r="Q55" s="2" t="s">
        <v>14</v>
      </c>
      <c r="R55" s="2" t="s">
        <v>117</v>
      </c>
    </row>
    <row r="56" spans="2:18" x14ac:dyDescent="0.2">
      <c r="O56" s="136"/>
      <c r="Q56" s="453">
        <f>$C$17/20*E30</f>
        <v>0.05</v>
      </c>
      <c r="R56" s="131">
        <f>IF(C$25="Simulate vertical dispersion in 1 direction",R30,R5)</f>
        <v>100</v>
      </c>
    </row>
    <row r="57" spans="2:18" x14ac:dyDescent="0.2">
      <c r="O57" s="136"/>
      <c r="Q57" s="453">
        <f t="shared" ref="Q57:Q75" si="26">$C$17/20*E31</f>
        <v>0.1</v>
      </c>
      <c r="R57" s="131">
        <f t="shared" ref="R57:R75" si="27">IF(C$25="Simulate vertical dispersion in 1 direction",R31,R6)</f>
        <v>100</v>
      </c>
    </row>
    <row r="58" spans="2:18" x14ac:dyDescent="0.2">
      <c r="O58" s="136"/>
      <c r="Q58" s="453">
        <f t="shared" si="26"/>
        <v>0.15000000000000002</v>
      </c>
      <c r="R58" s="131">
        <f t="shared" si="27"/>
        <v>100</v>
      </c>
    </row>
    <row r="59" spans="2:18" x14ac:dyDescent="0.2">
      <c r="O59" s="136"/>
      <c r="Q59" s="453">
        <f t="shared" si="26"/>
        <v>0.2</v>
      </c>
      <c r="R59" s="131">
        <f t="shared" si="27"/>
        <v>100</v>
      </c>
    </row>
    <row r="60" spans="2:18" x14ac:dyDescent="0.2">
      <c r="O60" s="136"/>
      <c r="Q60" s="453">
        <f t="shared" si="26"/>
        <v>0.25</v>
      </c>
      <c r="R60" s="131">
        <f t="shared" si="27"/>
        <v>100</v>
      </c>
    </row>
    <row r="61" spans="2:18" x14ac:dyDescent="0.2">
      <c r="O61" s="136"/>
      <c r="Q61" s="453">
        <f t="shared" si="26"/>
        <v>0.30000000000000004</v>
      </c>
      <c r="R61" s="131">
        <f t="shared" si="27"/>
        <v>100</v>
      </c>
    </row>
    <row r="62" spans="2:18" x14ac:dyDescent="0.2">
      <c r="O62" s="136"/>
      <c r="Q62" s="453">
        <f t="shared" si="26"/>
        <v>0.35000000000000003</v>
      </c>
      <c r="R62" s="131">
        <f t="shared" si="27"/>
        <v>100</v>
      </c>
    </row>
    <row r="63" spans="2:18" x14ac:dyDescent="0.2">
      <c r="O63" s="136"/>
      <c r="Q63" s="453">
        <f t="shared" si="26"/>
        <v>0.4</v>
      </c>
      <c r="R63" s="131">
        <f t="shared" si="27"/>
        <v>100</v>
      </c>
    </row>
    <row r="64" spans="2:18" x14ac:dyDescent="0.2">
      <c r="O64" s="136"/>
      <c r="Q64" s="453">
        <f t="shared" si="26"/>
        <v>0.45</v>
      </c>
      <c r="R64" s="131">
        <f t="shared" si="27"/>
        <v>100</v>
      </c>
    </row>
    <row r="65" spans="15:18" x14ac:dyDescent="0.2">
      <c r="O65" s="136"/>
      <c r="Q65" s="453">
        <f t="shared" si="26"/>
        <v>0.5</v>
      </c>
      <c r="R65" s="131">
        <f t="shared" si="27"/>
        <v>100</v>
      </c>
    </row>
    <row r="66" spans="15:18" x14ac:dyDescent="0.2">
      <c r="O66" s="136"/>
      <c r="Q66" s="453">
        <f t="shared" si="26"/>
        <v>0.55000000000000004</v>
      </c>
      <c r="R66" s="131">
        <f t="shared" si="27"/>
        <v>100</v>
      </c>
    </row>
    <row r="67" spans="15:18" x14ac:dyDescent="0.2">
      <c r="O67" s="136"/>
      <c r="Q67" s="453">
        <f t="shared" si="26"/>
        <v>0.60000000000000009</v>
      </c>
      <c r="R67" s="131">
        <f t="shared" si="27"/>
        <v>100</v>
      </c>
    </row>
    <row r="68" spans="15:18" x14ac:dyDescent="0.2">
      <c r="O68" s="136"/>
      <c r="Q68" s="453">
        <f t="shared" si="26"/>
        <v>0.65</v>
      </c>
      <c r="R68" s="131">
        <f t="shared" si="27"/>
        <v>100</v>
      </c>
    </row>
    <row r="69" spans="15:18" x14ac:dyDescent="0.2">
      <c r="O69" s="136"/>
      <c r="Q69" s="453">
        <f t="shared" si="26"/>
        <v>0.70000000000000007</v>
      </c>
      <c r="R69" s="131">
        <f t="shared" si="27"/>
        <v>100</v>
      </c>
    </row>
    <row r="70" spans="15:18" x14ac:dyDescent="0.2">
      <c r="O70" s="136"/>
      <c r="Q70" s="453">
        <f t="shared" si="26"/>
        <v>0.75</v>
      </c>
      <c r="R70" s="131">
        <f t="shared" si="27"/>
        <v>100</v>
      </c>
    </row>
    <row r="71" spans="15:18" x14ac:dyDescent="0.2">
      <c r="O71" s="136"/>
      <c r="Q71" s="453">
        <f t="shared" si="26"/>
        <v>0.8</v>
      </c>
      <c r="R71" s="131">
        <f t="shared" si="27"/>
        <v>100</v>
      </c>
    </row>
    <row r="72" spans="15:18" x14ac:dyDescent="0.2">
      <c r="O72" s="136"/>
      <c r="Q72" s="453">
        <f t="shared" si="26"/>
        <v>0.85000000000000009</v>
      </c>
      <c r="R72" s="131">
        <f t="shared" si="27"/>
        <v>100</v>
      </c>
    </row>
    <row r="73" spans="15:18" x14ac:dyDescent="0.2">
      <c r="O73" s="136"/>
      <c r="Q73" s="453">
        <f t="shared" si="26"/>
        <v>0.9</v>
      </c>
      <c r="R73" s="131">
        <f t="shared" si="27"/>
        <v>100</v>
      </c>
    </row>
    <row r="74" spans="15:18" x14ac:dyDescent="0.2">
      <c r="O74" s="136"/>
      <c r="Q74" s="453">
        <f t="shared" si="26"/>
        <v>0.95000000000000007</v>
      </c>
      <c r="R74" s="131">
        <f t="shared" si="27"/>
        <v>100</v>
      </c>
    </row>
    <row r="75" spans="15:18" x14ac:dyDescent="0.2">
      <c r="O75" s="136"/>
      <c r="Q75" s="453">
        <f t="shared" si="26"/>
        <v>1</v>
      </c>
      <c r="R75" s="131">
        <f t="shared" si="27"/>
        <v>100</v>
      </c>
    </row>
  </sheetData>
  <sheetProtection password="CA8F" sheet="1" objects="1" scenarios="1"/>
  <phoneticPr fontId="0" type="noConversion"/>
  <pageMargins left="0.75" right="0.57999999999999996" top="1" bottom="1" header="0.5" footer="0.5"/>
  <pageSetup paperSize="9" scale="62" orientation="landscape" verticalDpi="300"/>
  <headerFooter alignWithMargins="0">
    <oddFooter>&amp;LRemedial targets worksheet v3.1&amp;R&amp;D, &amp;T
&amp;F&amp;A</oddFooter>
  </headerFooter>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5">
    <pageSetUpPr fitToPage="1"/>
  </sheetPr>
  <dimension ref="B1:V75"/>
  <sheetViews>
    <sheetView topLeftCell="A10" zoomScale="75" workbookViewId="0">
      <pane xSplit="3" topLeftCell="D1" activePane="topRight" state="frozenSplit"/>
      <selection activeCell="D33" sqref="D33"/>
      <selection pane="topRight" activeCell="M61" sqref="M61"/>
    </sheetView>
  </sheetViews>
  <sheetFormatPr defaultRowHeight="12.75" x14ac:dyDescent="0.2"/>
  <cols>
    <col min="1" max="1" width="3.28515625" customWidth="1"/>
    <col min="2" max="2" width="22" style="2" customWidth="1"/>
    <col min="3" max="3" width="12" style="2" bestFit="1" customWidth="1"/>
    <col min="4" max="4" width="7.42578125" style="2" customWidth="1"/>
    <col min="5" max="5" width="6.28515625" customWidth="1"/>
    <col min="6" max="7" width="8.140625" customWidth="1"/>
    <col min="8" max="8" width="10.85546875" customWidth="1"/>
    <col min="9" max="9" width="9" customWidth="1"/>
    <col min="10" max="10" width="11.42578125" customWidth="1"/>
    <col min="11" max="11" width="6.28515625" customWidth="1"/>
    <col min="12" max="12" width="9.28515625" customWidth="1"/>
    <col min="13" max="13" width="7" bestFit="1" customWidth="1"/>
    <col min="14" max="14" width="12" customWidth="1"/>
    <col min="15" max="15" width="7.140625" customWidth="1"/>
    <col min="16" max="16" width="9.28515625" customWidth="1"/>
    <col min="17" max="17" width="7" bestFit="1" customWidth="1"/>
    <col min="18" max="18" width="11.42578125" customWidth="1"/>
    <col min="19" max="19" width="7" bestFit="1" customWidth="1"/>
    <col min="20" max="20" width="12" customWidth="1"/>
    <col min="21" max="23" width="8.140625" customWidth="1"/>
  </cols>
  <sheetData>
    <row r="1" spans="2:22" x14ac:dyDescent="0.2">
      <c r="F1" s="16" t="s">
        <v>59</v>
      </c>
    </row>
    <row r="2" spans="2:22" x14ac:dyDescent="0.2">
      <c r="F2" s="16"/>
    </row>
    <row r="3" spans="2:22" x14ac:dyDescent="0.2">
      <c r="B3" s="6" t="s">
        <v>89</v>
      </c>
      <c r="C3" s="6" t="str">
        <f>Introduction!B34</f>
        <v>SO4</v>
      </c>
      <c r="D3" s="6"/>
      <c r="F3" t="s">
        <v>223</v>
      </c>
    </row>
    <row r="4" spans="2:22" ht="14.25" x14ac:dyDescent="0.2">
      <c r="C4" s="3"/>
      <c r="D4" s="3"/>
      <c r="E4" s="2"/>
      <c r="F4" s="2" t="s">
        <v>52</v>
      </c>
      <c r="G4" s="11" t="s">
        <v>121</v>
      </c>
      <c r="H4" s="11" t="s">
        <v>122</v>
      </c>
      <c r="I4" s="11" t="s">
        <v>47</v>
      </c>
      <c r="J4" s="13" t="s">
        <v>123</v>
      </c>
      <c r="K4" s="13" t="s">
        <v>48</v>
      </c>
      <c r="L4" s="11" t="s">
        <v>130</v>
      </c>
      <c r="M4" s="11" t="s">
        <v>49</v>
      </c>
      <c r="N4" s="11" t="s">
        <v>131</v>
      </c>
      <c r="O4" s="11" t="s">
        <v>49</v>
      </c>
      <c r="P4" s="22" t="s">
        <v>134</v>
      </c>
      <c r="Q4" s="22" t="s">
        <v>49</v>
      </c>
      <c r="R4" s="22" t="s">
        <v>135</v>
      </c>
      <c r="S4" s="22" t="s">
        <v>49</v>
      </c>
      <c r="T4" s="64" t="s">
        <v>117</v>
      </c>
      <c r="U4" s="15"/>
      <c r="V4" s="15"/>
    </row>
    <row r="5" spans="2:22" ht="15.75" x14ac:dyDescent="0.25">
      <c r="B5" s="9" t="s">
        <v>46</v>
      </c>
      <c r="C5" s="9" t="s">
        <v>11</v>
      </c>
      <c r="D5" s="9" t="s">
        <v>159</v>
      </c>
      <c r="E5" s="2"/>
      <c r="F5" s="2" t="s">
        <v>26</v>
      </c>
      <c r="G5" s="11"/>
      <c r="H5" s="11"/>
      <c r="I5" s="11"/>
      <c r="J5" s="13"/>
      <c r="K5" s="13"/>
      <c r="L5" s="11"/>
      <c r="M5" s="11"/>
      <c r="N5" s="11"/>
      <c r="O5" s="11"/>
      <c r="P5" s="22"/>
      <c r="Q5" s="22"/>
      <c r="R5" s="22"/>
      <c r="S5" s="22"/>
      <c r="T5" s="64"/>
      <c r="U5" s="15"/>
      <c r="V5" s="15"/>
    </row>
    <row r="6" spans="2:22" ht="16.5" x14ac:dyDescent="0.2">
      <c r="B6" s="51" t="s">
        <v>97</v>
      </c>
      <c r="C6" s="8">
        <f>'Level3 Groundwater'!D9</f>
        <v>400</v>
      </c>
      <c r="D6" s="8" t="s">
        <v>22</v>
      </c>
      <c r="E6" s="81">
        <v>1</v>
      </c>
      <c r="F6" s="64">
        <f t="shared" ref="F6:F25" si="0">$C$18/20*E6</f>
        <v>0.05</v>
      </c>
      <c r="G6" s="11">
        <f t="shared" ref="G6:G25" si="1">0.125*$C$9</f>
        <v>12.5</v>
      </c>
      <c r="H6" s="132">
        <f t="shared" ref="H6:H25" si="2">$F6/(2*$C$22)*(1-(1+(4*$C$10*$C$22)/$C$31)^0.5)</f>
        <v>0</v>
      </c>
      <c r="I6" s="132">
        <f t="shared" ref="I6:I25" si="3">EXP(H6)</f>
        <v>1</v>
      </c>
      <c r="J6" s="133">
        <f t="shared" ref="J6:J25" si="4">1/(2*(SQRT($C$22*$C$31*$C$21)))*($F6-($C$31*$C$21)*(1+(4*$C$10*$C$22)/$C$31)^0.5)</f>
        <v>-1.431458784745512</v>
      </c>
      <c r="K6" s="22">
        <f t="shared" ref="K6:K25" si="5">IF(J6&lt;-4,2,IF(J6&gt;4,0,IF(J6&gt;=0,ERFC(J6),1+ERF(-J6))))</f>
        <v>1.9570697984560219</v>
      </c>
      <c r="L6" s="132">
        <f t="shared" ref="L6:L25" si="6">(($C$19+0.5*$C$11)/(2*SQRT($C$23*$F6)))</f>
        <v>1118.0339887498949</v>
      </c>
      <c r="M6" s="22">
        <f t="shared" ref="M6:M25" si="7">IF(L6&lt;0,IF(L6&lt;-10,-1,-ERF(-L6)),IF(L6&gt;10,1,ERF(L6)))</f>
        <v>1</v>
      </c>
      <c r="N6" s="132">
        <f t="shared" ref="N6:N25" si="8">(($C$19-0.5*$C$11)/(2*SQRT($C$23*$F6)))</f>
        <v>-1118.0339887498949</v>
      </c>
      <c r="O6" s="22">
        <f t="shared" ref="O6:O25" si="9">IF(N6&lt;0,IF(N6&lt;-10,-1,-ERF(-N6)),IF(N6&gt;10,1,ERF(N6)))</f>
        <v>-1</v>
      </c>
      <c r="P6" s="133">
        <f t="shared" ref="P6:P25" si="10">(($C$20+0.5*$C$12)/(2*SQRT($C$24*$F6)))</f>
        <v>3535.5339059327375</v>
      </c>
      <c r="Q6" s="22">
        <f t="shared" ref="Q6:Q25" si="11">IF(P6&lt;0,IF(P6&lt;-10,-1,-ERF(-P6)),IF(P6&gt;10,1,ERF(P6)))</f>
        <v>1</v>
      </c>
      <c r="R6" s="133">
        <f t="shared" ref="R6:R25" si="12">(($C$20-0.5*$C$12)/(2*SQRT($C$24*$F6)))</f>
        <v>-3535.5339059327375</v>
      </c>
      <c r="S6" s="22">
        <f t="shared" ref="S6:S25" si="13">IF(R6&lt;0,IF(R6&lt;-10,-1,-ERF(-R6)),IF(R6&gt;10,1,ERF(R6)))</f>
        <v>-1</v>
      </c>
      <c r="T6" s="130">
        <f t="shared" ref="T6:T25" si="14">G6*I6*K6*(M6-O6)*(Q6-S6)</f>
        <v>97.853489922801089</v>
      </c>
      <c r="U6" s="15"/>
      <c r="V6" s="15"/>
    </row>
    <row r="7" spans="2:22" ht="14.25" x14ac:dyDescent="0.2">
      <c r="B7" s="4"/>
      <c r="C7"/>
      <c r="D7" s="8"/>
      <c r="E7" s="81">
        <v>2</v>
      </c>
      <c r="F7" s="64">
        <f t="shared" si="0"/>
        <v>0.1</v>
      </c>
      <c r="G7" s="11">
        <f t="shared" si="1"/>
        <v>12.5</v>
      </c>
      <c r="H7" s="132">
        <f t="shared" si="2"/>
        <v>0</v>
      </c>
      <c r="I7" s="132">
        <f t="shared" si="3"/>
        <v>1</v>
      </c>
      <c r="J7" s="133">
        <f t="shared" si="4"/>
        <v>-1.3488971505457064</v>
      </c>
      <c r="K7" s="22">
        <f t="shared" si="5"/>
        <v>1.9435607698201254</v>
      </c>
      <c r="L7" s="132">
        <f t="shared" si="6"/>
        <v>790.56941504209487</v>
      </c>
      <c r="M7" s="22">
        <f t="shared" si="7"/>
        <v>1</v>
      </c>
      <c r="N7" s="132">
        <f t="shared" si="8"/>
        <v>-790.56941504209487</v>
      </c>
      <c r="O7" s="22">
        <f t="shared" si="9"/>
        <v>-1</v>
      </c>
      <c r="P7" s="133">
        <f t="shared" si="10"/>
        <v>2500</v>
      </c>
      <c r="Q7" s="22">
        <f t="shared" si="11"/>
        <v>1</v>
      </c>
      <c r="R7" s="133">
        <f t="shared" si="12"/>
        <v>-2500</v>
      </c>
      <c r="S7" s="22">
        <f t="shared" si="13"/>
        <v>-1</v>
      </c>
      <c r="T7" s="130">
        <f t="shared" si="14"/>
        <v>97.178038491006262</v>
      </c>
    </row>
    <row r="8" spans="2:22" ht="14.25" x14ac:dyDescent="0.2">
      <c r="B8" s="4"/>
      <c r="C8" s="8"/>
      <c r="D8" s="8"/>
      <c r="E8" s="81">
        <v>3</v>
      </c>
      <c r="F8" s="64">
        <f t="shared" si="0"/>
        <v>0.15000000000000002</v>
      </c>
      <c r="G8" s="11">
        <f t="shared" si="1"/>
        <v>12.5</v>
      </c>
      <c r="H8" s="132">
        <f t="shared" si="2"/>
        <v>0</v>
      </c>
      <c r="I8" s="132">
        <f t="shared" si="3"/>
        <v>1</v>
      </c>
      <c r="J8" s="133">
        <f t="shared" si="4"/>
        <v>-1.2663355163459005</v>
      </c>
      <c r="K8" s="22">
        <f t="shared" si="5"/>
        <v>1.9266856584243943</v>
      </c>
      <c r="L8" s="132">
        <f t="shared" si="6"/>
        <v>645.49722436790285</v>
      </c>
      <c r="M8" s="22">
        <f t="shared" si="7"/>
        <v>1</v>
      </c>
      <c r="N8" s="132">
        <f t="shared" si="8"/>
        <v>-645.49722436790285</v>
      </c>
      <c r="O8" s="22">
        <f t="shared" si="9"/>
        <v>-1</v>
      </c>
      <c r="P8" s="133">
        <f t="shared" si="10"/>
        <v>2041.2414523193149</v>
      </c>
      <c r="Q8" s="22">
        <f t="shared" si="11"/>
        <v>1</v>
      </c>
      <c r="R8" s="133">
        <f t="shared" si="12"/>
        <v>-2041.2414523193149</v>
      </c>
      <c r="S8" s="22">
        <f t="shared" si="13"/>
        <v>-1</v>
      </c>
      <c r="T8" s="130">
        <f t="shared" si="14"/>
        <v>96.33428292121971</v>
      </c>
    </row>
    <row r="9" spans="2:22" ht="14.25" x14ac:dyDescent="0.2">
      <c r="B9" s="4" t="s">
        <v>9</v>
      </c>
      <c r="C9" s="186">
        <f>'Level3 Groundwater'!D20</f>
        <v>100</v>
      </c>
      <c r="D9" s="8" t="s">
        <v>22</v>
      </c>
      <c r="E9" s="81">
        <v>4</v>
      </c>
      <c r="F9" s="64">
        <f t="shared" si="0"/>
        <v>0.2</v>
      </c>
      <c r="G9" s="11">
        <f t="shared" si="1"/>
        <v>12.5</v>
      </c>
      <c r="H9" s="132">
        <f t="shared" si="2"/>
        <v>0</v>
      </c>
      <c r="I9" s="132">
        <f t="shared" si="3"/>
        <v>1</v>
      </c>
      <c r="J9" s="133">
        <f t="shared" si="4"/>
        <v>-1.1837738821460948</v>
      </c>
      <c r="K9" s="22">
        <f t="shared" si="5"/>
        <v>1.9058908362015687</v>
      </c>
      <c r="L9" s="132">
        <f t="shared" si="6"/>
        <v>559.01699437494744</v>
      </c>
      <c r="M9" s="22">
        <f t="shared" si="7"/>
        <v>1</v>
      </c>
      <c r="N9" s="132">
        <f t="shared" si="8"/>
        <v>-559.01699437494744</v>
      </c>
      <c r="O9" s="22">
        <f t="shared" si="9"/>
        <v>-1</v>
      </c>
      <c r="P9" s="133">
        <f t="shared" si="10"/>
        <v>1767.7669529663688</v>
      </c>
      <c r="Q9" s="22">
        <f t="shared" si="11"/>
        <v>1</v>
      </c>
      <c r="R9" s="133">
        <f t="shared" si="12"/>
        <v>-1767.7669529663688</v>
      </c>
      <c r="S9" s="22">
        <f t="shared" si="13"/>
        <v>-1</v>
      </c>
      <c r="T9" s="130">
        <f t="shared" si="14"/>
        <v>95.294541810078442</v>
      </c>
    </row>
    <row r="10" spans="2:22" ht="15" x14ac:dyDescent="0.2">
      <c r="B10" s="5" t="s">
        <v>34</v>
      </c>
      <c r="C10" s="186">
        <f>'Level3 Groundwater'!D44</f>
        <v>6.0937778385559113E-102</v>
      </c>
      <c r="D10" s="2" t="s">
        <v>151</v>
      </c>
      <c r="E10" s="81">
        <v>5</v>
      </c>
      <c r="F10" s="64">
        <f t="shared" si="0"/>
        <v>0.25</v>
      </c>
      <c r="G10" s="11">
        <f t="shared" si="1"/>
        <v>12.5</v>
      </c>
      <c r="H10" s="132">
        <f t="shared" si="2"/>
        <v>0</v>
      </c>
      <c r="I10" s="132">
        <f t="shared" si="3"/>
        <v>1</v>
      </c>
      <c r="J10" s="133">
        <f t="shared" si="4"/>
        <v>-1.1012122479462889</v>
      </c>
      <c r="K10" s="22">
        <f t="shared" si="5"/>
        <v>1.8806124226401462</v>
      </c>
      <c r="L10" s="132">
        <f t="shared" si="6"/>
        <v>500</v>
      </c>
      <c r="M10" s="22">
        <f t="shared" si="7"/>
        <v>1</v>
      </c>
      <c r="N10" s="132">
        <f t="shared" si="8"/>
        <v>-500</v>
      </c>
      <c r="O10" s="22">
        <f t="shared" si="9"/>
        <v>-1</v>
      </c>
      <c r="P10" s="133">
        <f t="shared" si="10"/>
        <v>1581.1388300841897</v>
      </c>
      <c r="Q10" s="22">
        <f t="shared" si="11"/>
        <v>1</v>
      </c>
      <c r="R10" s="133">
        <f t="shared" si="12"/>
        <v>-1581.1388300841897</v>
      </c>
      <c r="S10" s="22">
        <f t="shared" si="13"/>
        <v>-1</v>
      </c>
      <c r="T10" s="130">
        <f t="shared" si="14"/>
        <v>94.030621132007312</v>
      </c>
    </row>
    <row r="11" spans="2:22" ht="14.25" x14ac:dyDescent="0.2">
      <c r="B11" s="4" t="s">
        <v>50</v>
      </c>
      <c r="C11" s="186">
        <f>'Level3 Groundwater'!D23</f>
        <v>100</v>
      </c>
      <c r="D11" s="2" t="s">
        <v>26</v>
      </c>
      <c r="E11" s="81">
        <v>6</v>
      </c>
      <c r="F11" s="64">
        <f t="shared" si="0"/>
        <v>0.30000000000000004</v>
      </c>
      <c r="G11" s="11">
        <f t="shared" si="1"/>
        <v>12.5</v>
      </c>
      <c r="H11" s="132">
        <f t="shared" si="2"/>
        <v>0</v>
      </c>
      <c r="I11" s="132">
        <f t="shared" si="3"/>
        <v>1</v>
      </c>
      <c r="J11" s="133">
        <f t="shared" si="4"/>
        <v>-1.0186506137464832</v>
      </c>
      <c r="K11" s="22">
        <f t="shared" si="5"/>
        <v>1.8502993152060387</v>
      </c>
      <c r="L11" s="132">
        <f t="shared" si="6"/>
        <v>456.43546458763842</v>
      </c>
      <c r="M11" s="22">
        <f t="shared" si="7"/>
        <v>1</v>
      </c>
      <c r="N11" s="132">
        <f t="shared" si="8"/>
        <v>-456.43546458763842</v>
      </c>
      <c r="O11" s="22">
        <f t="shared" si="9"/>
        <v>-1</v>
      </c>
      <c r="P11" s="133">
        <f t="shared" si="10"/>
        <v>1443.3756729740644</v>
      </c>
      <c r="Q11" s="22">
        <f t="shared" si="11"/>
        <v>1</v>
      </c>
      <c r="R11" s="133">
        <f t="shared" si="12"/>
        <v>-1443.3756729740644</v>
      </c>
      <c r="S11" s="22">
        <f t="shared" si="13"/>
        <v>-1</v>
      </c>
      <c r="T11" s="130">
        <f t="shared" si="14"/>
        <v>92.514965760301934</v>
      </c>
    </row>
    <row r="12" spans="2:22" ht="14.25" x14ac:dyDescent="0.2">
      <c r="B12" s="4" t="s">
        <v>153</v>
      </c>
      <c r="C12" s="186">
        <f>'Level3 Groundwater'!D24</f>
        <v>100</v>
      </c>
      <c r="D12" s="2" t="s">
        <v>26</v>
      </c>
      <c r="E12" s="81">
        <v>7</v>
      </c>
      <c r="F12" s="64">
        <f t="shared" si="0"/>
        <v>0.35000000000000003</v>
      </c>
      <c r="G12" s="11">
        <f t="shared" si="1"/>
        <v>12.5</v>
      </c>
      <c r="H12" s="132">
        <f t="shared" si="2"/>
        <v>0</v>
      </c>
      <c r="I12" s="132">
        <f t="shared" si="3"/>
        <v>1</v>
      </c>
      <c r="J12" s="133">
        <f t="shared" si="4"/>
        <v>-0.93608897954667736</v>
      </c>
      <c r="K12" s="22">
        <f t="shared" si="5"/>
        <v>1.81444040014845</v>
      </c>
      <c r="L12" s="132">
        <f t="shared" si="6"/>
        <v>422.57712736425827</v>
      </c>
      <c r="M12" s="22">
        <f t="shared" si="7"/>
        <v>1</v>
      </c>
      <c r="N12" s="132">
        <f t="shared" si="8"/>
        <v>-422.57712736425827</v>
      </c>
      <c r="O12" s="22">
        <f t="shared" si="9"/>
        <v>-1</v>
      </c>
      <c r="P12" s="133">
        <f t="shared" si="10"/>
        <v>1336.3062095621219</v>
      </c>
      <c r="Q12" s="22">
        <f t="shared" si="11"/>
        <v>1</v>
      </c>
      <c r="R12" s="133">
        <f t="shared" si="12"/>
        <v>-1336.3062095621219</v>
      </c>
      <c r="S12" s="22">
        <f t="shared" si="13"/>
        <v>-1</v>
      </c>
      <c r="T12" s="130">
        <f t="shared" si="14"/>
        <v>90.7220200074225</v>
      </c>
    </row>
    <row r="13" spans="2:22" ht="14.25" x14ac:dyDescent="0.2">
      <c r="B13" s="4" t="s">
        <v>13</v>
      </c>
      <c r="C13" s="186">
        <f>'Level3 Groundwater'!K21</f>
        <v>0.96199999999999997</v>
      </c>
      <c r="D13" s="2" t="s">
        <v>23</v>
      </c>
      <c r="E13" s="81">
        <v>8</v>
      </c>
      <c r="F13" s="64">
        <f t="shared" si="0"/>
        <v>0.4</v>
      </c>
      <c r="G13" s="11">
        <f t="shared" si="1"/>
        <v>12.5</v>
      </c>
      <c r="H13" s="132">
        <f t="shared" si="2"/>
        <v>0</v>
      </c>
      <c r="I13" s="132">
        <f t="shared" si="3"/>
        <v>1</v>
      </c>
      <c r="J13" s="133">
        <f t="shared" si="4"/>
        <v>-0.85352734534687169</v>
      </c>
      <c r="K13" s="22">
        <f t="shared" si="5"/>
        <v>1.7725947927091266</v>
      </c>
      <c r="L13" s="132">
        <f t="shared" si="6"/>
        <v>395.28470752104744</v>
      </c>
      <c r="M13" s="22">
        <f t="shared" si="7"/>
        <v>1</v>
      </c>
      <c r="N13" s="132">
        <f t="shared" si="8"/>
        <v>-395.28470752104744</v>
      </c>
      <c r="O13" s="22">
        <f t="shared" si="9"/>
        <v>-1</v>
      </c>
      <c r="P13" s="133">
        <f t="shared" si="10"/>
        <v>1250</v>
      </c>
      <c r="Q13" s="22">
        <f t="shared" si="11"/>
        <v>1</v>
      </c>
      <c r="R13" s="133">
        <f t="shared" si="12"/>
        <v>-1250</v>
      </c>
      <c r="S13" s="22">
        <f t="shared" si="13"/>
        <v>-1</v>
      </c>
      <c r="T13" s="130">
        <f t="shared" si="14"/>
        <v>88.629739635456332</v>
      </c>
    </row>
    <row r="14" spans="2:22" ht="15" x14ac:dyDescent="0.2">
      <c r="B14" s="5" t="s">
        <v>35</v>
      </c>
      <c r="C14" s="186">
        <f>'Level3 Groundwater'!D26</f>
        <v>1.96</v>
      </c>
      <c r="D14" s="2" t="s">
        <v>24</v>
      </c>
      <c r="E14" s="81">
        <v>9</v>
      </c>
      <c r="F14" s="64">
        <f t="shared" si="0"/>
        <v>0.45</v>
      </c>
      <c r="G14" s="11">
        <f t="shared" si="1"/>
        <v>12.5</v>
      </c>
      <c r="H14" s="132">
        <f t="shared" si="2"/>
        <v>0</v>
      </c>
      <c r="I14" s="132">
        <f t="shared" si="3"/>
        <v>1</v>
      </c>
      <c r="J14" s="133">
        <f t="shared" si="4"/>
        <v>-0.77096571114706591</v>
      </c>
      <c r="K14" s="22">
        <f t="shared" si="5"/>
        <v>1.7244234609234352</v>
      </c>
      <c r="L14" s="132">
        <f t="shared" si="6"/>
        <v>372.67799624996491</v>
      </c>
      <c r="M14" s="22">
        <f t="shared" si="7"/>
        <v>1</v>
      </c>
      <c r="N14" s="132">
        <f t="shared" si="8"/>
        <v>-372.67799624996491</v>
      </c>
      <c r="O14" s="22">
        <f t="shared" si="9"/>
        <v>-1</v>
      </c>
      <c r="P14" s="133">
        <f t="shared" si="10"/>
        <v>1178.5113019775793</v>
      </c>
      <c r="Q14" s="22">
        <f t="shared" si="11"/>
        <v>1</v>
      </c>
      <c r="R14" s="133">
        <f t="shared" si="12"/>
        <v>-1178.5113019775793</v>
      </c>
      <c r="S14" s="22">
        <f t="shared" si="13"/>
        <v>-1</v>
      </c>
      <c r="T14" s="130">
        <f t="shared" si="14"/>
        <v>86.221173046171756</v>
      </c>
    </row>
    <row r="15" spans="2:22" ht="14.25" x14ac:dyDescent="0.2">
      <c r="B15" s="4" t="s">
        <v>1</v>
      </c>
      <c r="C15" s="186">
        <f>'Level3 Groundwater'!D27</f>
        <v>0.16200000000000001</v>
      </c>
      <c r="E15" s="81">
        <v>10</v>
      </c>
      <c r="F15" s="64">
        <f t="shared" si="0"/>
        <v>0.5</v>
      </c>
      <c r="G15" s="11">
        <f t="shared" si="1"/>
        <v>12.5</v>
      </c>
      <c r="H15" s="132">
        <f t="shared" si="2"/>
        <v>0</v>
      </c>
      <c r="I15" s="132">
        <f t="shared" si="3"/>
        <v>1</v>
      </c>
      <c r="J15" s="133">
        <f t="shared" si="4"/>
        <v>-0.68840407694726014</v>
      </c>
      <c r="K15" s="22">
        <f t="shared" si="5"/>
        <v>1.6697201670877326</v>
      </c>
      <c r="L15" s="132">
        <f t="shared" si="6"/>
        <v>353.55339059327378</v>
      </c>
      <c r="M15" s="22">
        <f t="shared" si="7"/>
        <v>1</v>
      </c>
      <c r="N15" s="132">
        <f t="shared" si="8"/>
        <v>-353.55339059327378</v>
      </c>
      <c r="O15" s="22">
        <f t="shared" si="9"/>
        <v>-1</v>
      </c>
      <c r="P15" s="133">
        <f t="shared" si="10"/>
        <v>1118.0339887498949</v>
      </c>
      <c r="Q15" s="22">
        <f t="shared" si="11"/>
        <v>1</v>
      </c>
      <c r="R15" s="133">
        <f t="shared" si="12"/>
        <v>-1118.0339887498949</v>
      </c>
      <c r="S15" s="22">
        <f t="shared" si="13"/>
        <v>-1</v>
      </c>
      <c r="T15" s="130">
        <f t="shared" si="14"/>
        <v>83.486008354386627</v>
      </c>
    </row>
    <row r="16" spans="2:22" ht="14.25" x14ac:dyDescent="0.2">
      <c r="B16" s="4" t="s">
        <v>44</v>
      </c>
      <c r="C16" s="186">
        <f>'Level3 Groundwater'!D28</f>
        <v>2.5399999999999999E-2</v>
      </c>
      <c r="E16" s="81">
        <v>11</v>
      </c>
      <c r="F16" s="64">
        <f t="shared" si="0"/>
        <v>0.55000000000000004</v>
      </c>
      <c r="G16" s="11">
        <f t="shared" si="1"/>
        <v>12.5</v>
      </c>
      <c r="H16" s="132">
        <f t="shared" si="2"/>
        <v>0</v>
      </c>
      <c r="I16" s="132">
        <f t="shared" si="3"/>
        <v>1</v>
      </c>
      <c r="J16" s="133">
        <f t="shared" si="4"/>
        <v>-0.60584244274745436</v>
      </c>
      <c r="K16" s="22">
        <f t="shared" si="5"/>
        <v>1.6084393779567119</v>
      </c>
      <c r="L16" s="132">
        <f t="shared" si="6"/>
        <v>337.09993123162104</v>
      </c>
      <c r="M16" s="22">
        <f t="shared" si="7"/>
        <v>1</v>
      </c>
      <c r="N16" s="132">
        <f t="shared" si="8"/>
        <v>-337.09993123162104</v>
      </c>
      <c r="O16" s="22">
        <f t="shared" si="9"/>
        <v>-1</v>
      </c>
      <c r="P16" s="133">
        <f t="shared" si="10"/>
        <v>1066.0035817780522</v>
      </c>
      <c r="Q16" s="22">
        <f t="shared" si="11"/>
        <v>1</v>
      </c>
      <c r="R16" s="133">
        <f t="shared" si="12"/>
        <v>-1066.0035817780522</v>
      </c>
      <c r="S16" s="22">
        <f t="shared" si="13"/>
        <v>-1</v>
      </c>
      <c r="T16" s="130">
        <f t="shared" si="14"/>
        <v>80.421968897835598</v>
      </c>
    </row>
    <row r="17" spans="2:22" ht="14.25" customHeight="1" x14ac:dyDescent="0.2">
      <c r="B17" s="4" t="s">
        <v>189</v>
      </c>
      <c r="C17" s="186">
        <f>'Level3 Groundwater'!D29</f>
        <v>2.0250000000000001E-5</v>
      </c>
      <c r="D17" s="2" t="s">
        <v>25</v>
      </c>
      <c r="E17" s="81">
        <v>12</v>
      </c>
      <c r="F17" s="64">
        <f t="shared" si="0"/>
        <v>0.60000000000000009</v>
      </c>
      <c r="G17" s="11">
        <f t="shared" si="1"/>
        <v>12.5</v>
      </c>
      <c r="H17" s="132">
        <f t="shared" si="2"/>
        <v>0</v>
      </c>
      <c r="I17" s="132">
        <f t="shared" si="3"/>
        <v>1</v>
      </c>
      <c r="J17" s="133">
        <f t="shared" si="4"/>
        <v>-0.52328080854764847</v>
      </c>
      <c r="K17" s="22">
        <f t="shared" si="5"/>
        <v>1.5407187041746959</v>
      </c>
      <c r="L17" s="132">
        <f t="shared" si="6"/>
        <v>322.74861218395142</v>
      </c>
      <c r="M17" s="22">
        <f t="shared" si="7"/>
        <v>1</v>
      </c>
      <c r="N17" s="132">
        <f t="shared" si="8"/>
        <v>-322.74861218395142</v>
      </c>
      <c r="O17" s="22">
        <f t="shared" si="9"/>
        <v>-1</v>
      </c>
      <c r="P17" s="133">
        <f t="shared" si="10"/>
        <v>1020.6207261596575</v>
      </c>
      <c r="Q17" s="22">
        <f t="shared" si="11"/>
        <v>1</v>
      </c>
      <c r="R17" s="133">
        <f t="shared" si="12"/>
        <v>-1020.6207261596575</v>
      </c>
      <c r="S17" s="22">
        <f t="shared" si="13"/>
        <v>-1</v>
      </c>
      <c r="T17" s="130">
        <f t="shared" si="14"/>
        <v>77.035935208734799</v>
      </c>
    </row>
    <row r="18" spans="2:22" ht="14.25" customHeight="1" x14ac:dyDescent="0.2">
      <c r="B18" s="4" t="s">
        <v>14</v>
      </c>
      <c r="C18" s="186">
        <f>'Level3 Groundwater'!D30</f>
        <v>1</v>
      </c>
      <c r="D18" s="2" t="s">
        <v>26</v>
      </c>
      <c r="E18" s="81">
        <v>13</v>
      </c>
      <c r="F18" s="64">
        <f t="shared" si="0"/>
        <v>0.65</v>
      </c>
      <c r="G18" s="11">
        <f t="shared" si="1"/>
        <v>12.5</v>
      </c>
      <c r="H18" s="132">
        <f t="shared" si="2"/>
        <v>0</v>
      </c>
      <c r="I18" s="132">
        <f t="shared" si="3"/>
        <v>1</v>
      </c>
      <c r="J18" s="133">
        <f t="shared" si="4"/>
        <v>-0.44071917434784286</v>
      </c>
      <c r="K18" s="22">
        <f t="shared" si="5"/>
        <v>1.4668935705324631</v>
      </c>
      <c r="L18" s="132">
        <f t="shared" si="6"/>
        <v>310.08683647302115</v>
      </c>
      <c r="M18" s="22">
        <f t="shared" si="7"/>
        <v>1</v>
      </c>
      <c r="N18" s="132">
        <f t="shared" si="8"/>
        <v>-310.08683647302115</v>
      </c>
      <c r="O18" s="22">
        <f t="shared" si="9"/>
        <v>-1</v>
      </c>
      <c r="P18" s="133">
        <f t="shared" si="10"/>
        <v>980.58067569092009</v>
      </c>
      <c r="Q18" s="22">
        <f t="shared" si="11"/>
        <v>1</v>
      </c>
      <c r="R18" s="133">
        <f t="shared" si="12"/>
        <v>-980.58067569092009</v>
      </c>
      <c r="S18" s="22">
        <f t="shared" si="13"/>
        <v>-1</v>
      </c>
      <c r="T18" s="130">
        <f t="shared" si="14"/>
        <v>73.344678526623156</v>
      </c>
    </row>
    <row r="19" spans="2:22" ht="14.25" customHeight="1" x14ac:dyDescent="0.2">
      <c r="B19" s="4" t="s">
        <v>16</v>
      </c>
      <c r="C19" s="186">
        <v>0</v>
      </c>
      <c r="D19" s="2" t="s">
        <v>26</v>
      </c>
      <c r="E19" s="81">
        <v>14</v>
      </c>
      <c r="F19" s="64">
        <f t="shared" si="0"/>
        <v>0.70000000000000007</v>
      </c>
      <c r="G19" s="11">
        <f t="shared" si="1"/>
        <v>12.5</v>
      </c>
      <c r="H19" s="132">
        <f t="shared" si="2"/>
        <v>0</v>
      </c>
      <c r="I19" s="132">
        <f t="shared" si="3"/>
        <v>1</v>
      </c>
      <c r="J19" s="133">
        <f t="shared" si="4"/>
        <v>-0.35815754014803702</v>
      </c>
      <c r="K19" s="22">
        <f t="shared" si="5"/>
        <v>1.3875022064159763</v>
      </c>
      <c r="L19" s="132">
        <f t="shared" si="6"/>
        <v>298.80715233359837</v>
      </c>
      <c r="M19" s="22">
        <f t="shared" si="7"/>
        <v>1</v>
      </c>
      <c r="N19" s="132">
        <f t="shared" si="8"/>
        <v>-298.80715233359837</v>
      </c>
      <c r="O19" s="22">
        <f t="shared" si="9"/>
        <v>-1</v>
      </c>
      <c r="P19" s="133">
        <f t="shared" si="10"/>
        <v>944.91118252306796</v>
      </c>
      <c r="Q19" s="22">
        <f t="shared" si="11"/>
        <v>1</v>
      </c>
      <c r="R19" s="133">
        <f t="shared" si="12"/>
        <v>-944.91118252306796</v>
      </c>
      <c r="S19" s="22">
        <f t="shared" si="13"/>
        <v>-1</v>
      </c>
      <c r="T19" s="130">
        <f t="shared" si="14"/>
        <v>69.375110320798811</v>
      </c>
    </row>
    <row r="20" spans="2:22" ht="14.25" customHeight="1" x14ac:dyDescent="0.2">
      <c r="B20" s="4" t="s">
        <v>15</v>
      </c>
      <c r="C20" s="186">
        <v>0</v>
      </c>
      <c r="D20" s="2" t="s">
        <v>26</v>
      </c>
      <c r="E20" s="81">
        <v>15</v>
      </c>
      <c r="F20" s="64">
        <f t="shared" si="0"/>
        <v>0.75</v>
      </c>
      <c r="G20" s="11">
        <f t="shared" si="1"/>
        <v>12.5</v>
      </c>
      <c r="H20" s="132">
        <f t="shared" si="2"/>
        <v>0</v>
      </c>
      <c r="I20" s="132">
        <f t="shared" si="3"/>
        <v>1</v>
      </c>
      <c r="J20" s="133">
        <f t="shared" si="4"/>
        <v>-0.27559590594823136</v>
      </c>
      <c r="K20" s="22">
        <f t="shared" si="5"/>
        <v>1.3032796657910455</v>
      </c>
      <c r="L20" s="132">
        <f t="shared" si="6"/>
        <v>288.6751345948129</v>
      </c>
      <c r="M20" s="22">
        <f t="shared" si="7"/>
        <v>1</v>
      </c>
      <c r="N20" s="132">
        <f t="shared" si="8"/>
        <v>-288.6751345948129</v>
      </c>
      <c r="O20" s="22">
        <f t="shared" si="9"/>
        <v>-1</v>
      </c>
      <c r="P20" s="133">
        <f t="shared" si="10"/>
        <v>912.87092917527684</v>
      </c>
      <c r="Q20" s="22">
        <f t="shared" si="11"/>
        <v>1</v>
      </c>
      <c r="R20" s="133">
        <f t="shared" si="12"/>
        <v>-912.87092917527684</v>
      </c>
      <c r="S20" s="22">
        <f t="shared" si="13"/>
        <v>-1</v>
      </c>
      <c r="T20" s="130">
        <f t="shared" si="14"/>
        <v>65.163983289552277</v>
      </c>
    </row>
    <row r="21" spans="2:22" ht="14.25" customHeight="1" x14ac:dyDescent="0.2">
      <c r="B21" s="4" t="s">
        <v>17</v>
      </c>
      <c r="C21" s="186">
        <f>'Level3 Groundwater'!D33</f>
        <v>3650000</v>
      </c>
      <c r="D21" s="2" t="s">
        <v>21</v>
      </c>
      <c r="E21" s="81">
        <v>16</v>
      </c>
      <c r="F21" s="64">
        <f t="shared" si="0"/>
        <v>0.8</v>
      </c>
      <c r="G21" s="11">
        <f t="shared" si="1"/>
        <v>12.5</v>
      </c>
      <c r="H21" s="132">
        <f t="shared" si="2"/>
        <v>0</v>
      </c>
      <c r="I21" s="132">
        <f t="shared" si="3"/>
        <v>1</v>
      </c>
      <c r="J21" s="133">
        <f t="shared" si="4"/>
        <v>-0.19303427174842552</v>
      </c>
      <c r="K21" s="22">
        <f t="shared" si="5"/>
        <v>1.2151403927710724</v>
      </c>
      <c r="L21" s="132">
        <f t="shared" si="6"/>
        <v>279.50849718747372</v>
      </c>
      <c r="M21" s="22">
        <f t="shared" si="7"/>
        <v>1</v>
      </c>
      <c r="N21" s="132">
        <f t="shared" si="8"/>
        <v>-279.50849718747372</v>
      </c>
      <c r="O21" s="22">
        <f t="shared" si="9"/>
        <v>-1</v>
      </c>
      <c r="P21" s="133">
        <f t="shared" si="10"/>
        <v>883.88347648318438</v>
      </c>
      <c r="Q21" s="22">
        <f t="shared" si="11"/>
        <v>1</v>
      </c>
      <c r="R21" s="133">
        <f t="shared" si="12"/>
        <v>-883.88347648318438</v>
      </c>
      <c r="S21" s="22">
        <f t="shared" si="13"/>
        <v>-1</v>
      </c>
      <c r="T21" s="130">
        <f t="shared" si="14"/>
        <v>60.757019638553622</v>
      </c>
    </row>
    <row r="22" spans="2:22" ht="14.25" customHeight="1" x14ac:dyDescent="0.2">
      <c r="B22" s="4" t="s">
        <v>18</v>
      </c>
      <c r="C22" s="186">
        <f>'Level3 Groundwater'!D36</f>
        <v>0.1</v>
      </c>
      <c r="D22" s="8" t="s">
        <v>26</v>
      </c>
      <c r="E22" s="81">
        <v>17</v>
      </c>
      <c r="F22" s="64">
        <f t="shared" si="0"/>
        <v>0.85000000000000009</v>
      </c>
      <c r="G22" s="11">
        <f t="shared" si="1"/>
        <v>12.5</v>
      </c>
      <c r="H22" s="132">
        <f t="shared" si="2"/>
        <v>0</v>
      </c>
      <c r="I22" s="132">
        <f t="shared" si="3"/>
        <v>1</v>
      </c>
      <c r="J22" s="133">
        <f t="shared" si="4"/>
        <v>-0.11047263754861968</v>
      </c>
      <c r="K22" s="22">
        <f t="shared" si="5"/>
        <v>1.1241497689115241</v>
      </c>
      <c r="L22" s="132">
        <f t="shared" si="6"/>
        <v>271.16307227332021</v>
      </c>
      <c r="M22" s="22">
        <f t="shared" si="7"/>
        <v>1</v>
      </c>
      <c r="N22" s="132">
        <f t="shared" si="8"/>
        <v>-271.16307227332021</v>
      </c>
      <c r="O22" s="22">
        <f t="shared" si="9"/>
        <v>-1</v>
      </c>
      <c r="P22" s="133">
        <f t="shared" si="10"/>
        <v>857.49292571254409</v>
      </c>
      <c r="Q22" s="22">
        <f t="shared" si="11"/>
        <v>1</v>
      </c>
      <c r="R22" s="133">
        <f t="shared" si="12"/>
        <v>-857.49292571254409</v>
      </c>
      <c r="S22" s="22">
        <f t="shared" si="13"/>
        <v>-1</v>
      </c>
      <c r="T22" s="130">
        <f t="shared" si="14"/>
        <v>56.207488445576203</v>
      </c>
      <c r="U22" t="s">
        <v>171</v>
      </c>
    </row>
    <row r="23" spans="2:22" ht="14.25" customHeight="1" x14ac:dyDescent="0.2">
      <c r="B23" s="4" t="s">
        <v>20</v>
      </c>
      <c r="C23" s="186">
        <f>'Level3 Groundwater'!D37</f>
        <v>0.01</v>
      </c>
      <c r="D23" s="8" t="s">
        <v>26</v>
      </c>
      <c r="E23" s="81">
        <v>18</v>
      </c>
      <c r="F23" s="64">
        <f t="shared" si="0"/>
        <v>0.9</v>
      </c>
      <c r="G23" s="11">
        <f t="shared" si="1"/>
        <v>12.5</v>
      </c>
      <c r="H23" s="132">
        <f t="shared" si="2"/>
        <v>0</v>
      </c>
      <c r="I23" s="132">
        <f t="shared" si="3"/>
        <v>1</v>
      </c>
      <c r="J23" s="133">
        <f t="shared" si="4"/>
        <v>-2.7911003348814016E-2</v>
      </c>
      <c r="K23" s="22">
        <f t="shared" si="5"/>
        <v>1.0314860183768488</v>
      </c>
      <c r="L23" s="132">
        <f t="shared" si="6"/>
        <v>263.52313834736492</v>
      </c>
      <c r="M23" s="22">
        <f t="shared" si="7"/>
        <v>1</v>
      </c>
      <c r="N23" s="132">
        <f t="shared" si="8"/>
        <v>-263.52313834736492</v>
      </c>
      <c r="O23" s="22">
        <f t="shared" si="9"/>
        <v>-1</v>
      </c>
      <c r="P23" s="133">
        <f t="shared" si="10"/>
        <v>833.33333333333326</v>
      </c>
      <c r="Q23" s="22">
        <f t="shared" si="11"/>
        <v>1</v>
      </c>
      <c r="R23" s="133">
        <f t="shared" si="12"/>
        <v>-833.33333333333326</v>
      </c>
      <c r="S23" s="22">
        <f t="shared" si="13"/>
        <v>-1</v>
      </c>
      <c r="T23" s="130">
        <f t="shared" si="14"/>
        <v>51.57430091884244</v>
      </c>
    </row>
    <row r="24" spans="2:22" ht="14.25" customHeight="1" x14ac:dyDescent="0.2">
      <c r="B24" s="4" t="s">
        <v>19</v>
      </c>
      <c r="C24" s="186">
        <f>'Level3 Groundwater'!D38</f>
        <v>1E-3</v>
      </c>
      <c r="D24" s="8" t="s">
        <v>26</v>
      </c>
      <c r="E24" s="81">
        <v>19</v>
      </c>
      <c r="F24" s="64">
        <f t="shared" si="0"/>
        <v>0.95000000000000007</v>
      </c>
      <c r="G24" s="11">
        <f t="shared" si="1"/>
        <v>12.5</v>
      </c>
      <c r="H24" s="132">
        <f t="shared" si="2"/>
        <v>0</v>
      </c>
      <c r="I24" s="132">
        <f t="shared" si="3"/>
        <v>1</v>
      </c>
      <c r="J24" s="133">
        <f t="shared" si="4"/>
        <v>5.4650630850991824E-2</v>
      </c>
      <c r="K24" s="22">
        <f t="shared" si="5"/>
        <v>0.93839470477844167</v>
      </c>
      <c r="L24" s="132">
        <f t="shared" si="6"/>
        <v>256.49458802128851</v>
      </c>
      <c r="M24" s="22">
        <f t="shared" si="7"/>
        <v>1</v>
      </c>
      <c r="N24" s="132">
        <f t="shared" si="8"/>
        <v>-256.49458802128851</v>
      </c>
      <c r="O24" s="22">
        <f t="shared" si="9"/>
        <v>-1</v>
      </c>
      <c r="P24" s="133">
        <f t="shared" si="10"/>
        <v>811.10710565381271</v>
      </c>
      <c r="Q24" s="22">
        <f t="shared" si="11"/>
        <v>1</v>
      </c>
      <c r="R24" s="133">
        <f t="shared" si="12"/>
        <v>-811.10710565381271</v>
      </c>
      <c r="S24" s="22">
        <f t="shared" si="13"/>
        <v>-1</v>
      </c>
      <c r="T24" s="130">
        <f t="shared" si="14"/>
        <v>46.919735238922087</v>
      </c>
    </row>
    <row r="25" spans="2:22" x14ac:dyDescent="0.2">
      <c r="C25" s="8"/>
      <c r="D25" s="8"/>
      <c r="E25" s="81">
        <v>20</v>
      </c>
      <c r="F25" s="64">
        <f t="shared" si="0"/>
        <v>1</v>
      </c>
      <c r="G25" s="11">
        <f t="shared" si="1"/>
        <v>12.5</v>
      </c>
      <c r="H25" s="132">
        <f t="shared" si="2"/>
        <v>0</v>
      </c>
      <c r="I25" s="132">
        <f t="shared" si="3"/>
        <v>1</v>
      </c>
      <c r="J25" s="133">
        <f t="shared" si="4"/>
        <v>0.13721226505079748</v>
      </c>
      <c r="K25" s="22">
        <f t="shared" si="5"/>
        <v>0.84613873124032346</v>
      </c>
      <c r="L25" s="132">
        <f t="shared" si="6"/>
        <v>250</v>
      </c>
      <c r="M25" s="22">
        <f t="shared" si="7"/>
        <v>1</v>
      </c>
      <c r="N25" s="132">
        <f t="shared" si="8"/>
        <v>-250</v>
      </c>
      <c r="O25" s="22">
        <f t="shared" si="9"/>
        <v>-1</v>
      </c>
      <c r="P25" s="133">
        <f t="shared" si="10"/>
        <v>790.56941504209487</v>
      </c>
      <c r="Q25" s="22">
        <f t="shared" si="11"/>
        <v>1</v>
      </c>
      <c r="R25" s="133">
        <f t="shared" si="12"/>
        <v>-790.56941504209487</v>
      </c>
      <c r="S25" s="22">
        <f t="shared" si="13"/>
        <v>-1</v>
      </c>
      <c r="T25" s="130">
        <f t="shared" si="14"/>
        <v>42.306936562016176</v>
      </c>
      <c r="V25" s="68"/>
    </row>
    <row r="26" spans="2:22" x14ac:dyDescent="0.2">
      <c r="B26" s="2" t="s">
        <v>319</v>
      </c>
      <c r="C26" s="56" t="str">
        <f>'Level3 Groundwater'!$C$15</f>
        <v>Simulate vertical dispersion in 1 direction</v>
      </c>
      <c r="D26" s="8"/>
      <c r="E26" s="8"/>
      <c r="P26" s="20"/>
      <c r="Q26" s="20"/>
      <c r="R26" s="20"/>
      <c r="S26" s="20"/>
    </row>
    <row r="27" spans="2:22" ht="15.75" x14ac:dyDescent="0.25">
      <c r="B27" s="9" t="s">
        <v>45</v>
      </c>
      <c r="C27" s="65" t="s">
        <v>11</v>
      </c>
      <c r="D27" s="65"/>
      <c r="F27" t="s">
        <v>329</v>
      </c>
      <c r="P27" s="20"/>
      <c r="Q27" s="20"/>
      <c r="R27" s="20"/>
      <c r="S27" s="20"/>
    </row>
    <row r="28" spans="2:22" ht="14.25" x14ac:dyDescent="0.2">
      <c r="C28" s="4"/>
      <c r="D28" s="4"/>
      <c r="E28" s="2"/>
      <c r="F28" s="2" t="s">
        <v>52</v>
      </c>
      <c r="G28" s="11" t="s">
        <v>121</v>
      </c>
      <c r="H28" s="11" t="s">
        <v>122</v>
      </c>
      <c r="I28" s="11" t="s">
        <v>47</v>
      </c>
      <c r="J28" s="13" t="s">
        <v>123</v>
      </c>
      <c r="K28" s="13" t="s">
        <v>48</v>
      </c>
      <c r="L28" s="11" t="s">
        <v>130</v>
      </c>
      <c r="M28" s="11" t="s">
        <v>49</v>
      </c>
      <c r="N28" s="11" t="s">
        <v>131</v>
      </c>
      <c r="O28" s="11" t="s">
        <v>49</v>
      </c>
      <c r="P28" s="22" t="s">
        <v>134</v>
      </c>
      <c r="Q28" s="22" t="s">
        <v>49</v>
      </c>
      <c r="R28" s="22" t="s">
        <v>135</v>
      </c>
      <c r="S28" s="22" t="s">
        <v>49</v>
      </c>
      <c r="T28" s="64" t="s">
        <v>117</v>
      </c>
    </row>
    <row r="29" spans="2:22" ht="14.25" x14ac:dyDescent="0.2">
      <c r="B29" s="4" t="s">
        <v>38</v>
      </c>
      <c r="C29" s="186">
        <f>'Level3 Groundwater'!D42</f>
        <v>3.1749999999999997E-6</v>
      </c>
      <c r="D29" s="2" t="s">
        <v>25</v>
      </c>
      <c r="E29" s="2"/>
      <c r="F29" s="2" t="s">
        <v>26</v>
      </c>
      <c r="G29" s="11"/>
      <c r="H29" s="11"/>
      <c r="I29" s="11"/>
      <c r="J29" s="13"/>
      <c r="K29" s="13"/>
      <c r="L29" s="11"/>
      <c r="M29" s="11"/>
      <c r="N29" s="11"/>
      <c r="O29" s="11"/>
      <c r="P29" s="22"/>
      <c r="Q29" s="22"/>
      <c r="R29" s="22"/>
      <c r="S29" s="22"/>
      <c r="T29" s="64"/>
    </row>
    <row r="30" spans="2:22" ht="14.25" x14ac:dyDescent="0.2">
      <c r="B30" s="4" t="s">
        <v>0</v>
      </c>
      <c r="C30" s="186">
        <f>'Level3 Groundwater'!D43</f>
        <v>12.639012345679012</v>
      </c>
      <c r="D30" s="109"/>
      <c r="E30" s="81">
        <v>1</v>
      </c>
      <c r="F30" s="64">
        <f t="shared" ref="F30:F49" si="15">$C$18/20*E30</f>
        <v>0.05</v>
      </c>
      <c r="G30" s="11">
        <f t="shared" ref="G30:G49" si="16">0.125*$C$9</f>
        <v>12.5</v>
      </c>
      <c r="H30" s="132">
        <f t="shared" ref="H30:H49" si="17">$F30/(2*$C$22)*(1-(1+(4*$C$10*$C$22)/$C$31)^0.5)</f>
        <v>0</v>
      </c>
      <c r="I30" s="132">
        <f t="shared" ref="I30:I49" si="18">EXP(H30)</f>
        <v>1</v>
      </c>
      <c r="J30" s="133">
        <f t="shared" ref="J30:J49" si="19">1/(2*(SQRT($C$22*$C$31*$C$21)))*($F30-($C$31*$C$21)*(1+(4*$C$10*$C$22)/$C$31)^0.5)</f>
        <v>-1.431458784745512</v>
      </c>
      <c r="K30" s="22">
        <f t="shared" ref="K30:K49" si="20">IF(J30&lt;-4,2,IF(J30&gt;4,0,IF(J30&gt;=0,ERFC(J30),1+ERF(-J30))))</f>
        <v>1.9570697984560219</v>
      </c>
      <c r="L30" s="132">
        <f>(($C$19+0.5*$C$11)/(2*SQRT($C$23*$F30)))</f>
        <v>1118.0339887498949</v>
      </c>
      <c r="M30" s="22">
        <f t="shared" ref="M30:M49" si="21">IF(L30&lt;0,IF(L30&lt;-10,-1,-ERF(-L30)),IF(L30&gt;10,1,ERF(L30)))</f>
        <v>1</v>
      </c>
      <c r="N30" s="132">
        <f>(($C$19-0.5*$C$11)/(2*SQRT($C$23*$F30)))</f>
        <v>-1118.0339887498949</v>
      </c>
      <c r="O30" s="22">
        <f t="shared" ref="O30:O49" si="22">IF(N30&lt;0,IF(N30&lt;-10,-1,-ERF(-N30)),IF(N30&gt;10,1,ERF(N30)))</f>
        <v>-1</v>
      </c>
      <c r="P30" s="133">
        <f t="shared" ref="P30:P49" si="23">(($C$20+$C$12)/(2*SQRT($C$24*$F30)))</f>
        <v>7071.0678118654751</v>
      </c>
      <c r="Q30" s="22">
        <f t="shared" ref="Q30:Q49" si="24">IF(P30&lt;0,IF(P30&lt;-10,-1,-ERF(-P30)),IF(P30&gt;10,1,ERF(P30)))</f>
        <v>1</v>
      </c>
      <c r="R30" s="133">
        <f t="shared" ref="R30:R49" si="25">(($C$20-$C$12)/(2*SQRT($C$24*$F30)))</f>
        <v>-7071.0678118654751</v>
      </c>
      <c r="S30" s="22">
        <f t="shared" ref="S30:S49" si="26">IF(R30&lt;0,IF(R30&lt;-10,-1,-ERF(-R30)),IF(R30&gt;10,1,ERF(R30)))</f>
        <v>-1</v>
      </c>
      <c r="T30" s="130">
        <f t="shared" ref="T30:T49" si="27">G30*I30*K30*(M30-O30)*(Q30-S30)</f>
        <v>97.853489922801089</v>
      </c>
    </row>
    <row r="31" spans="2:22" ht="14.25" x14ac:dyDescent="0.2">
      <c r="B31" s="4" t="s">
        <v>41</v>
      </c>
      <c r="C31" s="186">
        <f>'Level3 Groundwater'!D45</f>
        <v>2.5120633742283348E-7</v>
      </c>
      <c r="D31" s="2" t="s">
        <v>25</v>
      </c>
      <c r="E31" s="81">
        <v>2</v>
      </c>
      <c r="F31" s="64">
        <f t="shared" si="15"/>
        <v>0.1</v>
      </c>
      <c r="G31" s="11">
        <f t="shared" si="16"/>
        <v>12.5</v>
      </c>
      <c r="H31" s="132">
        <f t="shared" si="17"/>
        <v>0</v>
      </c>
      <c r="I31" s="132">
        <f t="shared" si="18"/>
        <v>1</v>
      </c>
      <c r="J31" s="133">
        <f t="shared" si="19"/>
        <v>-1.3488971505457064</v>
      </c>
      <c r="K31" s="22">
        <f t="shared" si="20"/>
        <v>1.9435607698201254</v>
      </c>
      <c r="L31" s="132">
        <f t="shared" ref="L31:L49" si="28">(($C$19+0.5*$C$11)/(2*SQRT($C$23*$F31)))</f>
        <v>790.56941504209487</v>
      </c>
      <c r="M31" s="22">
        <f t="shared" si="21"/>
        <v>1</v>
      </c>
      <c r="N31" s="132">
        <f t="shared" ref="N31:N49" si="29">(($C$19-0.5*$C$11)/(2*SQRT($C$23*$F31)))</f>
        <v>-790.56941504209487</v>
      </c>
      <c r="O31" s="22">
        <f t="shared" si="22"/>
        <v>-1</v>
      </c>
      <c r="P31" s="133">
        <f t="shared" si="23"/>
        <v>5000</v>
      </c>
      <c r="Q31" s="22">
        <f t="shared" si="24"/>
        <v>1</v>
      </c>
      <c r="R31" s="133">
        <f t="shared" si="25"/>
        <v>-5000</v>
      </c>
      <c r="S31" s="22">
        <f t="shared" si="26"/>
        <v>-1</v>
      </c>
      <c r="T31" s="130">
        <f t="shared" si="27"/>
        <v>97.178038491006262</v>
      </c>
    </row>
    <row r="32" spans="2:22" x14ac:dyDescent="0.2">
      <c r="E32" s="81">
        <v>3</v>
      </c>
      <c r="F32" s="64">
        <f t="shared" si="15"/>
        <v>0.15000000000000002</v>
      </c>
      <c r="G32" s="11">
        <f t="shared" si="16"/>
        <v>12.5</v>
      </c>
      <c r="H32" s="132">
        <f t="shared" si="17"/>
        <v>0</v>
      </c>
      <c r="I32" s="132">
        <f t="shared" si="18"/>
        <v>1</v>
      </c>
      <c r="J32" s="133">
        <f t="shared" si="19"/>
        <v>-1.2663355163459005</v>
      </c>
      <c r="K32" s="22">
        <f t="shared" si="20"/>
        <v>1.9266856584243943</v>
      </c>
      <c r="L32" s="132">
        <f t="shared" si="28"/>
        <v>645.49722436790285</v>
      </c>
      <c r="M32" s="22">
        <f t="shared" si="21"/>
        <v>1</v>
      </c>
      <c r="N32" s="132">
        <f t="shared" si="29"/>
        <v>-645.49722436790285</v>
      </c>
      <c r="O32" s="22">
        <f t="shared" si="22"/>
        <v>-1</v>
      </c>
      <c r="P32" s="133">
        <f t="shared" si="23"/>
        <v>4082.4829046386299</v>
      </c>
      <c r="Q32" s="22">
        <f t="shared" si="24"/>
        <v>1</v>
      </c>
      <c r="R32" s="133">
        <f t="shared" si="25"/>
        <v>-4082.4829046386299</v>
      </c>
      <c r="S32" s="22">
        <f t="shared" si="26"/>
        <v>-1</v>
      </c>
      <c r="T32" s="130">
        <f t="shared" si="27"/>
        <v>96.33428292121971</v>
      </c>
    </row>
    <row r="33" spans="2:20" x14ac:dyDescent="0.2">
      <c r="E33" s="81">
        <v>4</v>
      </c>
      <c r="F33" s="64">
        <f t="shared" si="15"/>
        <v>0.2</v>
      </c>
      <c r="G33" s="11">
        <f t="shared" si="16"/>
        <v>12.5</v>
      </c>
      <c r="H33" s="132">
        <f t="shared" si="17"/>
        <v>0</v>
      </c>
      <c r="I33" s="132">
        <f t="shared" si="18"/>
        <v>1</v>
      </c>
      <c r="J33" s="133">
        <f t="shared" si="19"/>
        <v>-1.1837738821460948</v>
      </c>
      <c r="K33" s="22">
        <f t="shared" si="20"/>
        <v>1.9058908362015687</v>
      </c>
      <c r="L33" s="132">
        <f t="shared" si="28"/>
        <v>559.01699437494744</v>
      </c>
      <c r="M33" s="22">
        <f t="shared" si="21"/>
        <v>1</v>
      </c>
      <c r="N33" s="132">
        <f t="shared" si="29"/>
        <v>-559.01699437494744</v>
      </c>
      <c r="O33" s="22">
        <f t="shared" si="22"/>
        <v>-1</v>
      </c>
      <c r="P33" s="133">
        <f t="shared" si="23"/>
        <v>3535.5339059327375</v>
      </c>
      <c r="Q33" s="22">
        <f t="shared" si="24"/>
        <v>1</v>
      </c>
      <c r="R33" s="133">
        <f t="shared" si="25"/>
        <v>-3535.5339059327375</v>
      </c>
      <c r="S33" s="22">
        <f t="shared" si="26"/>
        <v>-1</v>
      </c>
      <c r="T33" s="130">
        <f t="shared" si="27"/>
        <v>95.294541810078442</v>
      </c>
    </row>
    <row r="34" spans="2:20" x14ac:dyDescent="0.2">
      <c r="E34" s="81">
        <v>5</v>
      </c>
      <c r="F34" s="64">
        <f t="shared" si="15"/>
        <v>0.25</v>
      </c>
      <c r="G34" s="11">
        <f t="shared" si="16"/>
        <v>12.5</v>
      </c>
      <c r="H34" s="132">
        <f t="shared" si="17"/>
        <v>0</v>
      </c>
      <c r="I34" s="132">
        <f t="shared" si="18"/>
        <v>1</v>
      </c>
      <c r="J34" s="133">
        <f t="shared" si="19"/>
        <v>-1.1012122479462889</v>
      </c>
      <c r="K34" s="22">
        <f t="shared" si="20"/>
        <v>1.8806124226401462</v>
      </c>
      <c r="L34" s="132">
        <f t="shared" si="28"/>
        <v>500</v>
      </c>
      <c r="M34" s="22">
        <f t="shared" si="21"/>
        <v>1</v>
      </c>
      <c r="N34" s="132">
        <f t="shared" si="29"/>
        <v>-500</v>
      </c>
      <c r="O34" s="22">
        <f t="shared" si="22"/>
        <v>-1</v>
      </c>
      <c r="P34" s="133">
        <f t="shared" si="23"/>
        <v>3162.2776601683795</v>
      </c>
      <c r="Q34" s="22">
        <f t="shared" si="24"/>
        <v>1</v>
      </c>
      <c r="R34" s="133">
        <f t="shared" si="25"/>
        <v>-3162.2776601683795</v>
      </c>
      <c r="S34" s="22">
        <f t="shared" si="26"/>
        <v>-1</v>
      </c>
      <c r="T34" s="130">
        <f t="shared" si="27"/>
        <v>94.030621132007312</v>
      </c>
    </row>
    <row r="35" spans="2:20" x14ac:dyDescent="0.2">
      <c r="E35" s="81">
        <v>6</v>
      </c>
      <c r="F35" s="64">
        <f t="shared" si="15"/>
        <v>0.30000000000000004</v>
      </c>
      <c r="G35" s="11">
        <f t="shared" si="16"/>
        <v>12.5</v>
      </c>
      <c r="H35" s="132">
        <f t="shared" si="17"/>
        <v>0</v>
      </c>
      <c r="I35" s="132">
        <f t="shared" si="18"/>
        <v>1</v>
      </c>
      <c r="J35" s="133">
        <f t="shared" si="19"/>
        <v>-1.0186506137464832</v>
      </c>
      <c r="K35" s="22">
        <f t="shared" si="20"/>
        <v>1.8502993152060387</v>
      </c>
      <c r="L35" s="132">
        <f t="shared" si="28"/>
        <v>456.43546458763842</v>
      </c>
      <c r="M35" s="22">
        <f t="shared" si="21"/>
        <v>1</v>
      </c>
      <c r="N35" s="132">
        <f t="shared" si="29"/>
        <v>-456.43546458763842</v>
      </c>
      <c r="O35" s="22">
        <f t="shared" si="22"/>
        <v>-1</v>
      </c>
      <c r="P35" s="133">
        <f t="shared" si="23"/>
        <v>2886.7513459481288</v>
      </c>
      <c r="Q35" s="22">
        <f t="shared" si="24"/>
        <v>1</v>
      </c>
      <c r="R35" s="133">
        <f t="shared" si="25"/>
        <v>-2886.7513459481288</v>
      </c>
      <c r="S35" s="22">
        <f t="shared" si="26"/>
        <v>-1</v>
      </c>
      <c r="T35" s="130">
        <f t="shared" si="27"/>
        <v>92.514965760301934</v>
      </c>
    </row>
    <row r="36" spans="2:20" x14ac:dyDescent="0.2">
      <c r="E36" s="81">
        <v>7</v>
      </c>
      <c r="F36" s="64">
        <f t="shared" si="15"/>
        <v>0.35000000000000003</v>
      </c>
      <c r="G36" s="11">
        <f t="shared" si="16"/>
        <v>12.5</v>
      </c>
      <c r="H36" s="132">
        <f t="shared" si="17"/>
        <v>0</v>
      </c>
      <c r="I36" s="132">
        <f t="shared" si="18"/>
        <v>1</v>
      </c>
      <c r="J36" s="133">
        <f t="shared" si="19"/>
        <v>-0.93608897954667736</v>
      </c>
      <c r="K36" s="22">
        <f t="shared" si="20"/>
        <v>1.81444040014845</v>
      </c>
      <c r="L36" s="132">
        <f t="shared" si="28"/>
        <v>422.57712736425827</v>
      </c>
      <c r="M36" s="22">
        <f t="shared" si="21"/>
        <v>1</v>
      </c>
      <c r="N36" s="132">
        <f t="shared" si="29"/>
        <v>-422.57712736425827</v>
      </c>
      <c r="O36" s="22">
        <f t="shared" si="22"/>
        <v>-1</v>
      </c>
      <c r="P36" s="133">
        <f t="shared" si="23"/>
        <v>2672.6124191242438</v>
      </c>
      <c r="Q36" s="22">
        <f t="shared" si="24"/>
        <v>1</v>
      </c>
      <c r="R36" s="133">
        <f t="shared" si="25"/>
        <v>-2672.6124191242438</v>
      </c>
      <c r="S36" s="22">
        <f t="shared" si="26"/>
        <v>-1</v>
      </c>
      <c r="T36" s="130">
        <f t="shared" si="27"/>
        <v>90.7220200074225</v>
      </c>
    </row>
    <row r="37" spans="2:20" x14ac:dyDescent="0.2">
      <c r="E37" s="81">
        <v>8</v>
      </c>
      <c r="F37" s="64">
        <f t="shared" si="15"/>
        <v>0.4</v>
      </c>
      <c r="G37" s="11">
        <f t="shared" si="16"/>
        <v>12.5</v>
      </c>
      <c r="H37" s="132">
        <f t="shared" si="17"/>
        <v>0</v>
      </c>
      <c r="I37" s="132">
        <f t="shared" si="18"/>
        <v>1</v>
      </c>
      <c r="J37" s="133">
        <f t="shared" si="19"/>
        <v>-0.85352734534687169</v>
      </c>
      <c r="K37" s="22">
        <f t="shared" si="20"/>
        <v>1.7725947927091266</v>
      </c>
      <c r="L37" s="132">
        <f t="shared" si="28"/>
        <v>395.28470752104744</v>
      </c>
      <c r="M37" s="22">
        <f t="shared" si="21"/>
        <v>1</v>
      </c>
      <c r="N37" s="132">
        <f t="shared" si="29"/>
        <v>-395.28470752104744</v>
      </c>
      <c r="O37" s="22">
        <f t="shared" si="22"/>
        <v>-1</v>
      </c>
      <c r="P37" s="133">
        <f t="shared" si="23"/>
        <v>2500</v>
      </c>
      <c r="Q37" s="22">
        <f t="shared" si="24"/>
        <v>1</v>
      </c>
      <c r="R37" s="133">
        <f t="shared" si="25"/>
        <v>-2500</v>
      </c>
      <c r="S37" s="22">
        <f t="shared" si="26"/>
        <v>-1</v>
      </c>
      <c r="T37" s="130">
        <f t="shared" si="27"/>
        <v>88.629739635456332</v>
      </c>
    </row>
    <row r="38" spans="2:20" x14ac:dyDescent="0.2">
      <c r="E38" s="81">
        <v>9</v>
      </c>
      <c r="F38" s="64">
        <f t="shared" si="15"/>
        <v>0.45</v>
      </c>
      <c r="G38" s="11">
        <f t="shared" si="16"/>
        <v>12.5</v>
      </c>
      <c r="H38" s="132">
        <f t="shared" si="17"/>
        <v>0</v>
      </c>
      <c r="I38" s="132">
        <f t="shared" si="18"/>
        <v>1</v>
      </c>
      <c r="J38" s="133">
        <f t="shared" si="19"/>
        <v>-0.77096571114706591</v>
      </c>
      <c r="K38" s="22">
        <f t="shared" si="20"/>
        <v>1.7244234609234352</v>
      </c>
      <c r="L38" s="132">
        <f t="shared" si="28"/>
        <v>372.67799624996491</v>
      </c>
      <c r="M38" s="22">
        <f t="shared" si="21"/>
        <v>1</v>
      </c>
      <c r="N38" s="132">
        <f t="shared" si="29"/>
        <v>-372.67799624996491</v>
      </c>
      <c r="O38" s="22">
        <f t="shared" si="22"/>
        <v>-1</v>
      </c>
      <c r="P38" s="133">
        <f t="shared" si="23"/>
        <v>2357.0226039551585</v>
      </c>
      <c r="Q38" s="22">
        <f t="shared" si="24"/>
        <v>1</v>
      </c>
      <c r="R38" s="133">
        <f t="shared" si="25"/>
        <v>-2357.0226039551585</v>
      </c>
      <c r="S38" s="22">
        <f t="shared" si="26"/>
        <v>-1</v>
      </c>
      <c r="T38" s="130">
        <f t="shared" si="27"/>
        <v>86.221173046171756</v>
      </c>
    </row>
    <row r="39" spans="2:20" x14ac:dyDescent="0.2">
      <c r="E39" s="81">
        <v>10</v>
      </c>
      <c r="F39" s="64">
        <f t="shared" si="15"/>
        <v>0.5</v>
      </c>
      <c r="G39" s="11">
        <f t="shared" si="16"/>
        <v>12.5</v>
      </c>
      <c r="H39" s="132">
        <f t="shared" si="17"/>
        <v>0</v>
      </c>
      <c r="I39" s="132">
        <f t="shared" si="18"/>
        <v>1</v>
      </c>
      <c r="J39" s="133">
        <f t="shared" si="19"/>
        <v>-0.68840407694726014</v>
      </c>
      <c r="K39" s="22">
        <f t="shared" si="20"/>
        <v>1.6697201670877326</v>
      </c>
      <c r="L39" s="132">
        <f t="shared" si="28"/>
        <v>353.55339059327378</v>
      </c>
      <c r="M39" s="22">
        <f t="shared" si="21"/>
        <v>1</v>
      </c>
      <c r="N39" s="132">
        <f t="shared" si="29"/>
        <v>-353.55339059327378</v>
      </c>
      <c r="O39" s="22">
        <f t="shared" si="22"/>
        <v>-1</v>
      </c>
      <c r="P39" s="133">
        <f t="shared" si="23"/>
        <v>2236.0679774997898</v>
      </c>
      <c r="Q39" s="22">
        <f t="shared" si="24"/>
        <v>1</v>
      </c>
      <c r="R39" s="133">
        <f t="shared" si="25"/>
        <v>-2236.0679774997898</v>
      </c>
      <c r="S39" s="22">
        <f t="shared" si="26"/>
        <v>-1</v>
      </c>
      <c r="T39" s="130">
        <f t="shared" si="27"/>
        <v>83.486008354386627</v>
      </c>
    </row>
    <row r="40" spans="2:20" x14ac:dyDescent="0.2">
      <c r="E40" s="81">
        <v>11</v>
      </c>
      <c r="F40" s="64">
        <f t="shared" si="15"/>
        <v>0.55000000000000004</v>
      </c>
      <c r="G40" s="11">
        <f t="shared" si="16"/>
        <v>12.5</v>
      </c>
      <c r="H40" s="132">
        <f t="shared" si="17"/>
        <v>0</v>
      </c>
      <c r="I40" s="132">
        <f t="shared" si="18"/>
        <v>1</v>
      </c>
      <c r="J40" s="133">
        <f t="shared" si="19"/>
        <v>-0.60584244274745436</v>
      </c>
      <c r="K40" s="22">
        <f t="shared" si="20"/>
        <v>1.6084393779567119</v>
      </c>
      <c r="L40" s="132">
        <f t="shared" si="28"/>
        <v>337.09993123162104</v>
      </c>
      <c r="M40" s="22">
        <f t="shared" si="21"/>
        <v>1</v>
      </c>
      <c r="N40" s="132">
        <f t="shared" si="29"/>
        <v>-337.09993123162104</v>
      </c>
      <c r="O40" s="22">
        <f t="shared" si="22"/>
        <v>-1</v>
      </c>
      <c r="P40" s="133">
        <f t="shared" si="23"/>
        <v>2132.0071635561044</v>
      </c>
      <c r="Q40" s="22">
        <f t="shared" si="24"/>
        <v>1</v>
      </c>
      <c r="R40" s="133">
        <f t="shared" si="25"/>
        <v>-2132.0071635561044</v>
      </c>
      <c r="S40" s="22">
        <f t="shared" si="26"/>
        <v>-1</v>
      </c>
      <c r="T40" s="130">
        <f t="shared" si="27"/>
        <v>80.421968897835598</v>
      </c>
    </row>
    <row r="41" spans="2:20" x14ac:dyDescent="0.2">
      <c r="E41" s="81">
        <v>12</v>
      </c>
      <c r="F41" s="64">
        <f t="shared" si="15"/>
        <v>0.60000000000000009</v>
      </c>
      <c r="G41" s="11">
        <f t="shared" si="16"/>
        <v>12.5</v>
      </c>
      <c r="H41" s="132">
        <f t="shared" si="17"/>
        <v>0</v>
      </c>
      <c r="I41" s="132">
        <f t="shared" si="18"/>
        <v>1</v>
      </c>
      <c r="J41" s="133">
        <f t="shared" si="19"/>
        <v>-0.52328080854764847</v>
      </c>
      <c r="K41" s="22">
        <f t="shared" si="20"/>
        <v>1.5407187041746959</v>
      </c>
      <c r="L41" s="132">
        <f t="shared" si="28"/>
        <v>322.74861218395142</v>
      </c>
      <c r="M41" s="22">
        <f t="shared" si="21"/>
        <v>1</v>
      </c>
      <c r="N41" s="132">
        <f t="shared" si="29"/>
        <v>-322.74861218395142</v>
      </c>
      <c r="O41" s="22">
        <f t="shared" si="22"/>
        <v>-1</v>
      </c>
      <c r="P41" s="133">
        <f t="shared" si="23"/>
        <v>2041.2414523193149</v>
      </c>
      <c r="Q41" s="22">
        <f t="shared" si="24"/>
        <v>1</v>
      </c>
      <c r="R41" s="133">
        <f t="shared" si="25"/>
        <v>-2041.2414523193149</v>
      </c>
      <c r="S41" s="22">
        <f t="shared" si="26"/>
        <v>-1</v>
      </c>
      <c r="T41" s="130">
        <f t="shared" si="27"/>
        <v>77.035935208734799</v>
      </c>
    </row>
    <row r="42" spans="2:20" x14ac:dyDescent="0.2">
      <c r="E42" s="81">
        <v>13</v>
      </c>
      <c r="F42" s="64">
        <f t="shared" si="15"/>
        <v>0.65</v>
      </c>
      <c r="G42" s="11">
        <f t="shared" si="16"/>
        <v>12.5</v>
      </c>
      <c r="H42" s="132">
        <f t="shared" si="17"/>
        <v>0</v>
      </c>
      <c r="I42" s="132">
        <f t="shared" si="18"/>
        <v>1</v>
      </c>
      <c r="J42" s="133">
        <f t="shared" si="19"/>
        <v>-0.44071917434784286</v>
      </c>
      <c r="K42" s="22">
        <f t="shared" si="20"/>
        <v>1.4668935705324631</v>
      </c>
      <c r="L42" s="132">
        <f t="shared" si="28"/>
        <v>310.08683647302115</v>
      </c>
      <c r="M42" s="22">
        <f t="shared" si="21"/>
        <v>1</v>
      </c>
      <c r="N42" s="132">
        <f t="shared" si="29"/>
        <v>-310.08683647302115</v>
      </c>
      <c r="O42" s="22">
        <f t="shared" si="22"/>
        <v>-1</v>
      </c>
      <c r="P42" s="133">
        <f t="shared" si="23"/>
        <v>1961.1613513818402</v>
      </c>
      <c r="Q42" s="22">
        <f t="shared" si="24"/>
        <v>1</v>
      </c>
      <c r="R42" s="133">
        <f t="shared" si="25"/>
        <v>-1961.1613513818402</v>
      </c>
      <c r="S42" s="22">
        <f t="shared" si="26"/>
        <v>-1</v>
      </c>
      <c r="T42" s="130">
        <f t="shared" si="27"/>
        <v>73.344678526623156</v>
      </c>
    </row>
    <row r="43" spans="2:20" x14ac:dyDescent="0.2">
      <c r="E43" s="81">
        <v>14</v>
      </c>
      <c r="F43" s="64">
        <f t="shared" si="15"/>
        <v>0.70000000000000007</v>
      </c>
      <c r="G43" s="11">
        <f t="shared" si="16"/>
        <v>12.5</v>
      </c>
      <c r="H43" s="132">
        <f t="shared" si="17"/>
        <v>0</v>
      </c>
      <c r="I43" s="132">
        <f t="shared" si="18"/>
        <v>1</v>
      </c>
      <c r="J43" s="133">
        <f t="shared" si="19"/>
        <v>-0.35815754014803702</v>
      </c>
      <c r="K43" s="22">
        <f t="shared" si="20"/>
        <v>1.3875022064159763</v>
      </c>
      <c r="L43" s="132">
        <f t="shared" si="28"/>
        <v>298.80715233359837</v>
      </c>
      <c r="M43" s="22">
        <f t="shared" si="21"/>
        <v>1</v>
      </c>
      <c r="N43" s="132">
        <f t="shared" si="29"/>
        <v>-298.80715233359837</v>
      </c>
      <c r="O43" s="22">
        <f t="shared" si="22"/>
        <v>-1</v>
      </c>
      <c r="P43" s="133">
        <f t="shared" si="23"/>
        <v>1889.8223650461359</v>
      </c>
      <c r="Q43" s="22">
        <f t="shared" si="24"/>
        <v>1</v>
      </c>
      <c r="R43" s="133">
        <f t="shared" si="25"/>
        <v>-1889.8223650461359</v>
      </c>
      <c r="S43" s="22">
        <f t="shared" si="26"/>
        <v>-1</v>
      </c>
      <c r="T43" s="130">
        <f t="shared" si="27"/>
        <v>69.375110320798811</v>
      </c>
    </row>
    <row r="44" spans="2:20" x14ac:dyDescent="0.2">
      <c r="E44" s="81">
        <v>15</v>
      </c>
      <c r="F44" s="64">
        <f t="shared" si="15"/>
        <v>0.75</v>
      </c>
      <c r="G44" s="11">
        <f t="shared" si="16"/>
        <v>12.5</v>
      </c>
      <c r="H44" s="132">
        <f t="shared" si="17"/>
        <v>0</v>
      </c>
      <c r="I44" s="132">
        <f t="shared" si="18"/>
        <v>1</v>
      </c>
      <c r="J44" s="133">
        <f t="shared" si="19"/>
        <v>-0.27559590594823136</v>
      </c>
      <c r="K44" s="22">
        <f t="shared" si="20"/>
        <v>1.3032796657910455</v>
      </c>
      <c r="L44" s="132">
        <f t="shared" si="28"/>
        <v>288.6751345948129</v>
      </c>
      <c r="M44" s="22">
        <f t="shared" si="21"/>
        <v>1</v>
      </c>
      <c r="N44" s="132">
        <f t="shared" si="29"/>
        <v>-288.6751345948129</v>
      </c>
      <c r="O44" s="22">
        <f t="shared" si="22"/>
        <v>-1</v>
      </c>
      <c r="P44" s="133">
        <f t="shared" si="23"/>
        <v>1825.7418583505537</v>
      </c>
      <c r="Q44" s="22">
        <f t="shared" si="24"/>
        <v>1</v>
      </c>
      <c r="R44" s="133">
        <f t="shared" si="25"/>
        <v>-1825.7418583505537</v>
      </c>
      <c r="S44" s="22">
        <f t="shared" si="26"/>
        <v>-1</v>
      </c>
      <c r="T44" s="130">
        <f t="shared" si="27"/>
        <v>65.163983289552277</v>
      </c>
    </row>
    <row r="45" spans="2:20" x14ac:dyDescent="0.2">
      <c r="E45" s="81">
        <v>16</v>
      </c>
      <c r="F45" s="64">
        <f t="shared" si="15"/>
        <v>0.8</v>
      </c>
      <c r="G45" s="11">
        <f t="shared" si="16"/>
        <v>12.5</v>
      </c>
      <c r="H45" s="132">
        <f t="shared" si="17"/>
        <v>0</v>
      </c>
      <c r="I45" s="132">
        <f t="shared" si="18"/>
        <v>1</v>
      </c>
      <c r="J45" s="133">
        <f t="shared" si="19"/>
        <v>-0.19303427174842552</v>
      </c>
      <c r="K45" s="22">
        <f t="shared" si="20"/>
        <v>1.2151403927710724</v>
      </c>
      <c r="L45" s="132">
        <f t="shared" si="28"/>
        <v>279.50849718747372</v>
      </c>
      <c r="M45" s="22">
        <f t="shared" si="21"/>
        <v>1</v>
      </c>
      <c r="N45" s="132">
        <f t="shared" si="29"/>
        <v>-279.50849718747372</v>
      </c>
      <c r="O45" s="22">
        <f t="shared" si="22"/>
        <v>-1</v>
      </c>
      <c r="P45" s="133">
        <f t="shared" si="23"/>
        <v>1767.7669529663688</v>
      </c>
      <c r="Q45" s="22">
        <f t="shared" si="24"/>
        <v>1</v>
      </c>
      <c r="R45" s="133">
        <f t="shared" si="25"/>
        <v>-1767.7669529663688</v>
      </c>
      <c r="S45" s="22">
        <f t="shared" si="26"/>
        <v>-1</v>
      </c>
      <c r="T45" s="130">
        <f t="shared" si="27"/>
        <v>60.757019638553622</v>
      </c>
    </row>
    <row r="46" spans="2:20" x14ac:dyDescent="0.2">
      <c r="E46" s="81">
        <v>17</v>
      </c>
      <c r="F46" s="64">
        <f t="shared" si="15"/>
        <v>0.85000000000000009</v>
      </c>
      <c r="G46" s="11">
        <f t="shared" si="16"/>
        <v>12.5</v>
      </c>
      <c r="H46" s="132">
        <f t="shared" si="17"/>
        <v>0</v>
      </c>
      <c r="I46" s="132">
        <f t="shared" si="18"/>
        <v>1</v>
      </c>
      <c r="J46" s="133">
        <f t="shared" si="19"/>
        <v>-0.11047263754861968</v>
      </c>
      <c r="K46" s="22">
        <f t="shared" si="20"/>
        <v>1.1241497689115241</v>
      </c>
      <c r="L46" s="132">
        <f t="shared" si="28"/>
        <v>271.16307227332021</v>
      </c>
      <c r="M46" s="22">
        <f t="shared" si="21"/>
        <v>1</v>
      </c>
      <c r="N46" s="132">
        <f t="shared" si="29"/>
        <v>-271.16307227332021</v>
      </c>
      <c r="O46" s="22">
        <f t="shared" si="22"/>
        <v>-1</v>
      </c>
      <c r="P46" s="133">
        <f t="shared" si="23"/>
        <v>1714.9858514250882</v>
      </c>
      <c r="Q46" s="22">
        <f t="shared" si="24"/>
        <v>1</v>
      </c>
      <c r="R46" s="133">
        <f t="shared" si="25"/>
        <v>-1714.9858514250882</v>
      </c>
      <c r="S46" s="22">
        <f t="shared" si="26"/>
        <v>-1</v>
      </c>
      <c r="T46" s="130">
        <f t="shared" si="27"/>
        <v>56.207488445576203</v>
      </c>
    </row>
    <row r="47" spans="2:20" x14ac:dyDescent="0.2">
      <c r="E47" s="81">
        <v>18</v>
      </c>
      <c r="F47" s="64">
        <f t="shared" si="15"/>
        <v>0.9</v>
      </c>
      <c r="G47" s="11">
        <f t="shared" si="16"/>
        <v>12.5</v>
      </c>
      <c r="H47" s="132">
        <f t="shared" si="17"/>
        <v>0</v>
      </c>
      <c r="I47" s="132">
        <f t="shared" si="18"/>
        <v>1</v>
      </c>
      <c r="J47" s="133">
        <f t="shared" si="19"/>
        <v>-2.7911003348814016E-2</v>
      </c>
      <c r="K47" s="22">
        <f t="shared" si="20"/>
        <v>1.0314860183768488</v>
      </c>
      <c r="L47" s="132">
        <f t="shared" si="28"/>
        <v>263.52313834736492</v>
      </c>
      <c r="M47" s="22">
        <f t="shared" si="21"/>
        <v>1</v>
      </c>
      <c r="N47" s="132">
        <f t="shared" si="29"/>
        <v>-263.52313834736492</v>
      </c>
      <c r="O47" s="22">
        <f t="shared" si="22"/>
        <v>-1</v>
      </c>
      <c r="P47" s="133">
        <f t="shared" si="23"/>
        <v>1666.6666666666665</v>
      </c>
      <c r="Q47" s="22">
        <f t="shared" si="24"/>
        <v>1</v>
      </c>
      <c r="R47" s="133">
        <f t="shared" si="25"/>
        <v>-1666.6666666666665</v>
      </c>
      <c r="S47" s="22">
        <f t="shared" si="26"/>
        <v>-1</v>
      </c>
      <c r="T47" s="130">
        <f t="shared" si="27"/>
        <v>51.57430091884244</v>
      </c>
    </row>
    <row r="48" spans="2:20" x14ac:dyDescent="0.2">
      <c r="B48" s="103" t="s">
        <v>142</v>
      </c>
      <c r="C48" s="108">
        <f>Introduction!B32</f>
        <v>43993</v>
      </c>
      <c r="D48" s="110"/>
      <c r="E48" s="81">
        <v>19</v>
      </c>
      <c r="F48" s="64">
        <f t="shared" si="15"/>
        <v>0.95000000000000007</v>
      </c>
      <c r="G48" s="11">
        <f t="shared" si="16"/>
        <v>12.5</v>
      </c>
      <c r="H48" s="132">
        <f t="shared" si="17"/>
        <v>0</v>
      </c>
      <c r="I48" s="132">
        <f t="shared" si="18"/>
        <v>1</v>
      </c>
      <c r="J48" s="133">
        <f t="shared" si="19"/>
        <v>5.4650630850991824E-2</v>
      </c>
      <c r="K48" s="22">
        <f t="shared" si="20"/>
        <v>0.93839470477844167</v>
      </c>
      <c r="L48" s="132">
        <f t="shared" si="28"/>
        <v>256.49458802128851</v>
      </c>
      <c r="M48" s="22">
        <f t="shared" si="21"/>
        <v>1</v>
      </c>
      <c r="N48" s="132">
        <f t="shared" si="29"/>
        <v>-256.49458802128851</v>
      </c>
      <c r="O48" s="22">
        <f t="shared" si="22"/>
        <v>-1</v>
      </c>
      <c r="P48" s="133">
        <f t="shared" si="23"/>
        <v>1622.2142113076254</v>
      </c>
      <c r="Q48" s="22">
        <f t="shared" si="24"/>
        <v>1</v>
      </c>
      <c r="R48" s="133">
        <f t="shared" si="25"/>
        <v>-1622.2142113076254</v>
      </c>
      <c r="S48" s="22">
        <f t="shared" si="26"/>
        <v>-1</v>
      </c>
      <c r="T48" s="130">
        <f t="shared" si="27"/>
        <v>46.919735238922087</v>
      </c>
    </row>
    <row r="49" spans="2:20" x14ac:dyDescent="0.2">
      <c r="B49" s="104" t="s">
        <v>158</v>
      </c>
      <c r="C49" s="107">
        <f>Introduction!E32</f>
        <v>1.01</v>
      </c>
      <c r="D49" s="111"/>
      <c r="E49" s="81">
        <v>20</v>
      </c>
      <c r="F49" s="64">
        <f t="shared" si="15"/>
        <v>1</v>
      </c>
      <c r="G49" s="11">
        <f t="shared" si="16"/>
        <v>12.5</v>
      </c>
      <c r="H49" s="132">
        <f t="shared" si="17"/>
        <v>0</v>
      </c>
      <c r="I49" s="132">
        <f t="shared" si="18"/>
        <v>1</v>
      </c>
      <c r="J49" s="133">
        <f t="shared" si="19"/>
        <v>0.13721226505079748</v>
      </c>
      <c r="K49" s="22">
        <f t="shared" si="20"/>
        <v>0.84613873124032346</v>
      </c>
      <c r="L49" s="132">
        <f t="shared" si="28"/>
        <v>250</v>
      </c>
      <c r="M49" s="22">
        <f t="shared" si="21"/>
        <v>1</v>
      </c>
      <c r="N49" s="132">
        <f t="shared" si="29"/>
        <v>-250</v>
      </c>
      <c r="O49" s="22">
        <f t="shared" si="22"/>
        <v>-1</v>
      </c>
      <c r="P49" s="133">
        <f t="shared" si="23"/>
        <v>1581.1388300841897</v>
      </c>
      <c r="Q49" s="22">
        <f t="shared" si="24"/>
        <v>1</v>
      </c>
      <c r="R49" s="133">
        <f t="shared" si="25"/>
        <v>-1581.1388300841897</v>
      </c>
      <c r="S49" s="22">
        <f t="shared" si="26"/>
        <v>-1</v>
      </c>
      <c r="T49" s="130">
        <f t="shared" si="27"/>
        <v>42.306936562016176</v>
      </c>
    </row>
    <row r="54" spans="2:20" x14ac:dyDescent="0.2">
      <c r="P54" t="s">
        <v>330</v>
      </c>
      <c r="Q54" s="136"/>
      <c r="S54" s="136"/>
    </row>
    <row r="55" spans="2:20" x14ac:dyDescent="0.2">
      <c r="Q55" s="136"/>
      <c r="S55" s="2" t="s">
        <v>14</v>
      </c>
      <c r="T55" s="2" t="s">
        <v>117</v>
      </c>
    </row>
    <row r="56" spans="2:20" x14ac:dyDescent="0.2">
      <c r="Q56" s="136"/>
      <c r="S56" s="453">
        <f>$C$18/20*E30</f>
        <v>0.05</v>
      </c>
      <c r="T56" s="131">
        <f>IF(C$26="Simulate vertical dispersion in 1 direction",T30,T6)</f>
        <v>97.853489922801089</v>
      </c>
    </row>
    <row r="57" spans="2:20" x14ac:dyDescent="0.2">
      <c r="Q57" s="136"/>
      <c r="S57" s="453">
        <f t="shared" ref="S57:S75" si="30">$C$18/20*E31</f>
        <v>0.1</v>
      </c>
      <c r="T57" s="131">
        <f t="shared" ref="T57:T75" si="31">IF(C$26="Simulate vertical dispersion in 1 direction",T31,T7)</f>
        <v>97.178038491006262</v>
      </c>
    </row>
    <row r="58" spans="2:20" x14ac:dyDescent="0.2">
      <c r="Q58" s="136"/>
      <c r="S58" s="453">
        <f t="shared" si="30"/>
        <v>0.15000000000000002</v>
      </c>
      <c r="T58" s="131">
        <f t="shared" si="31"/>
        <v>96.33428292121971</v>
      </c>
    </row>
    <row r="59" spans="2:20" x14ac:dyDescent="0.2">
      <c r="Q59" s="136"/>
      <c r="S59" s="453">
        <f t="shared" si="30"/>
        <v>0.2</v>
      </c>
      <c r="T59" s="131">
        <f t="shared" si="31"/>
        <v>95.294541810078442</v>
      </c>
    </row>
    <row r="60" spans="2:20" x14ac:dyDescent="0.2">
      <c r="Q60" s="136"/>
      <c r="S60" s="453">
        <f t="shared" si="30"/>
        <v>0.25</v>
      </c>
      <c r="T60" s="131">
        <f t="shared" si="31"/>
        <v>94.030621132007312</v>
      </c>
    </row>
    <row r="61" spans="2:20" x14ac:dyDescent="0.2">
      <c r="Q61" s="136"/>
      <c r="S61" s="453">
        <f t="shared" si="30"/>
        <v>0.30000000000000004</v>
      </c>
      <c r="T61" s="131">
        <f t="shared" si="31"/>
        <v>92.514965760301934</v>
      </c>
    </row>
    <row r="62" spans="2:20" x14ac:dyDescent="0.2">
      <c r="Q62" s="136"/>
      <c r="S62" s="453">
        <f t="shared" si="30"/>
        <v>0.35000000000000003</v>
      </c>
      <c r="T62" s="131">
        <f t="shared" si="31"/>
        <v>90.7220200074225</v>
      </c>
    </row>
    <row r="63" spans="2:20" x14ac:dyDescent="0.2">
      <c r="Q63" s="136"/>
      <c r="S63" s="453">
        <f t="shared" si="30"/>
        <v>0.4</v>
      </c>
      <c r="T63" s="131">
        <f t="shared" si="31"/>
        <v>88.629739635456332</v>
      </c>
    </row>
    <row r="64" spans="2:20" x14ac:dyDescent="0.2">
      <c r="Q64" s="136"/>
      <c r="S64" s="453">
        <f t="shared" si="30"/>
        <v>0.45</v>
      </c>
      <c r="T64" s="131">
        <f t="shared" si="31"/>
        <v>86.221173046171756</v>
      </c>
    </row>
    <row r="65" spans="17:20" x14ac:dyDescent="0.2">
      <c r="Q65" s="136"/>
      <c r="S65" s="453">
        <f t="shared" si="30"/>
        <v>0.5</v>
      </c>
      <c r="T65" s="131">
        <f t="shared" si="31"/>
        <v>83.486008354386627</v>
      </c>
    </row>
    <row r="66" spans="17:20" x14ac:dyDescent="0.2">
      <c r="Q66" s="136"/>
      <c r="S66" s="453">
        <f t="shared" si="30"/>
        <v>0.55000000000000004</v>
      </c>
      <c r="T66" s="131">
        <f t="shared" si="31"/>
        <v>80.421968897835598</v>
      </c>
    </row>
    <row r="67" spans="17:20" x14ac:dyDescent="0.2">
      <c r="Q67" s="136"/>
      <c r="S67" s="453">
        <f t="shared" si="30"/>
        <v>0.60000000000000009</v>
      </c>
      <c r="T67" s="131">
        <f t="shared" si="31"/>
        <v>77.035935208734799</v>
      </c>
    </row>
    <row r="68" spans="17:20" x14ac:dyDescent="0.2">
      <c r="Q68" s="136"/>
      <c r="S68" s="453">
        <f t="shared" si="30"/>
        <v>0.65</v>
      </c>
      <c r="T68" s="131">
        <f t="shared" si="31"/>
        <v>73.344678526623156</v>
      </c>
    </row>
    <row r="69" spans="17:20" x14ac:dyDescent="0.2">
      <c r="Q69" s="136"/>
      <c r="S69" s="453">
        <f t="shared" si="30"/>
        <v>0.70000000000000007</v>
      </c>
      <c r="T69" s="131">
        <f t="shared" si="31"/>
        <v>69.375110320798811</v>
      </c>
    </row>
    <row r="70" spans="17:20" x14ac:dyDescent="0.2">
      <c r="Q70" s="136"/>
      <c r="S70" s="453">
        <f t="shared" si="30"/>
        <v>0.75</v>
      </c>
      <c r="T70" s="131">
        <f t="shared" si="31"/>
        <v>65.163983289552277</v>
      </c>
    </row>
    <row r="71" spans="17:20" x14ac:dyDescent="0.2">
      <c r="Q71" s="136"/>
      <c r="S71" s="453">
        <f t="shared" si="30"/>
        <v>0.8</v>
      </c>
      <c r="T71" s="131">
        <f t="shared" si="31"/>
        <v>60.757019638553622</v>
      </c>
    </row>
    <row r="72" spans="17:20" x14ac:dyDescent="0.2">
      <c r="Q72" s="136"/>
      <c r="S72" s="453">
        <f t="shared" si="30"/>
        <v>0.85000000000000009</v>
      </c>
      <c r="T72" s="131">
        <f t="shared" si="31"/>
        <v>56.207488445576203</v>
      </c>
    </row>
    <row r="73" spans="17:20" x14ac:dyDescent="0.2">
      <c r="Q73" s="136"/>
      <c r="S73" s="453">
        <f t="shared" si="30"/>
        <v>0.9</v>
      </c>
      <c r="T73" s="131">
        <f t="shared" si="31"/>
        <v>51.57430091884244</v>
      </c>
    </row>
    <row r="74" spans="17:20" x14ac:dyDescent="0.2">
      <c r="Q74" s="136"/>
      <c r="S74" s="453">
        <f t="shared" si="30"/>
        <v>0.95000000000000007</v>
      </c>
      <c r="T74" s="131">
        <f t="shared" si="31"/>
        <v>46.919735238922087</v>
      </c>
    </row>
    <row r="75" spans="17:20" x14ac:dyDescent="0.2">
      <c r="Q75" s="136"/>
      <c r="S75" s="453">
        <f t="shared" si="30"/>
        <v>1</v>
      </c>
      <c r="T75" s="131">
        <f t="shared" si="31"/>
        <v>42.306936562016176</v>
      </c>
    </row>
  </sheetData>
  <sheetProtection password="CA8F" sheet="1" objects="1" scenarios="1"/>
  <phoneticPr fontId="0" type="noConversion"/>
  <pageMargins left="0.75" right="0.55000000000000004" top="1" bottom="1" header="0.5" footer="0.5"/>
  <pageSetup paperSize="9" scale="58" orientation="landscape" verticalDpi="300"/>
  <headerFooter alignWithMargins="0">
    <oddFooter>&amp;LRemedial targets worksheet v3.1&amp;R&amp;D, &amp;T
&amp;F&amp;A</oddFooter>
  </headerFooter>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05" ma:contentTypeDescription="Permitting &amp; Compliance Word Document" ma:contentTypeScope="" ma:versionID="e85c19e1da92a42c042e465b8d43bbea">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Parry’s Quarry Landfill</Site_x0020_Name>
    <Internal_x002f_External xmlns="859f7ad6-93f6-4205-b62b-a17f28acbbac">Incoming document</Internal_x002f_External>
    <Post_x0020_code xmlns="859f7ad6-93f6-4205-b62b-a17f28acbbac">CH7 6NY</Post_x0020_code>
    <Document_x0020_Type xmlns="859f7ad6-93f6-4205-b62b-a17f28acbbac">Report</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Colinton House, Leicester Road, Bedworth, CV12 8AB</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2020-08-24T23:00:00+00:00</Document_x0020_Date>
    <Facility_x0020_Address xmlns="859f7ad6-93f6-4205-b62b-a17f28acbbac">Pinfold Lane, Alltami, Mold</Facility_x0020_Address>
    <Environment_x0020_Sub_x0020_Folder xmlns="859f7ad6-93f6-4205-b62b-a17f28acbbac">Licences applications</Environment_x0020_Sub_x0020_Folder>
    <Customer_x0020_Name xmlns="859f7ad6-93f6-4205-b62b-a17f28acbbac">Mold Investments Limited</Customer_x0020_Name>
    <Surrendered_x002f_Expired_x0020_Date xmlns="859f7ad6-93f6-4205-b62b-a17f28acbbac" xsi:nil="true"/>
  </documentManagement>
</p:properti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E61296D0-CF50-431C-8FC2-569DEACEBEC8}"/>
</file>

<file path=customXml/itemProps2.xml><?xml version="1.0" encoding="utf-8"?>
<ds:datastoreItem xmlns:ds="http://schemas.openxmlformats.org/officeDocument/2006/customXml" ds:itemID="{EE9BAAD1-79B9-42D2-9336-C5199E085DB6}">
  <ds:schemaRefs>
    <ds:schemaRef ds:uri="http://schemas.microsoft.com/sharepoint/v3/contenttype/forms"/>
  </ds:schemaRefs>
</ds:datastoreItem>
</file>

<file path=customXml/itemProps3.xml><?xml version="1.0" encoding="utf-8"?>
<ds:datastoreItem xmlns:ds="http://schemas.openxmlformats.org/officeDocument/2006/customXml" ds:itemID="{7D404E3A-7879-4363-97A8-5CCAFC42E47B}">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1c44bc82-8302-415a-a48f-1e43a1067517"/>
    <ds:schemaRef ds:uri="http://www.w3.org/XML/1998/namespace"/>
  </ds:schemaRefs>
</ds:datastoreItem>
</file>

<file path=customXml/itemProps4.xml><?xml version="1.0" encoding="utf-8"?>
<ds:datastoreItem xmlns:ds="http://schemas.openxmlformats.org/officeDocument/2006/customXml" ds:itemID="{C07C73E1-B9A7-43A6-A9BB-8D5DC39EEC70}"/>
</file>

<file path=customXml/itemProps5.xml><?xml version="1.0" encoding="utf-8"?>
<ds:datastoreItem xmlns:ds="http://schemas.openxmlformats.org/officeDocument/2006/customXml" ds:itemID="{C5022548-2519-42A3-9DC2-BAE768ACF79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15</vt:i4>
      </vt:variant>
    </vt:vector>
  </HeadingPairs>
  <TitlesOfParts>
    <vt:vector size="32" baseType="lpstr">
      <vt:lpstr>control</vt:lpstr>
      <vt:lpstr>Introduction</vt:lpstr>
      <vt:lpstr>Level1 Soil</vt:lpstr>
      <vt:lpstr>Level2 Soil</vt:lpstr>
      <vt:lpstr>Level3 Soil</vt:lpstr>
      <vt:lpstr>Soil Impact Results</vt:lpstr>
      <vt:lpstr>Level3 Groundwater</vt:lpstr>
      <vt:lpstr>Porosity Calculator</vt:lpstr>
      <vt:lpstr>Simple calcs</vt:lpstr>
      <vt:lpstr>Level1 Calc</vt:lpstr>
      <vt:lpstr>Level2 Calc</vt:lpstr>
      <vt:lpstr>Level3.1 Soil Calc</vt:lpstr>
      <vt:lpstr>Level3.2 Soil Calc</vt:lpstr>
      <vt:lpstr>Level3.3 Soil Calc</vt:lpstr>
      <vt:lpstr>Level3.1 G. Calc</vt:lpstr>
      <vt:lpstr>Level3.2 G. Calc</vt:lpstr>
      <vt:lpstr>Level3.3 G. Calc</vt:lpstr>
      <vt:lpstr>Introduction!Print_Area</vt:lpstr>
      <vt:lpstr>'Level1 Calc'!Print_Area</vt:lpstr>
      <vt:lpstr>'Level1 Soil'!Print_Area</vt:lpstr>
      <vt:lpstr>'Level2 Calc'!Print_Area</vt:lpstr>
      <vt:lpstr>'Level2 Soil'!Print_Area</vt:lpstr>
      <vt:lpstr>'Level3 Groundwater'!Print_Area</vt:lpstr>
      <vt:lpstr>'Level3 Soil'!Print_Area</vt:lpstr>
      <vt:lpstr>'Level3.1 G. Calc'!Print_Area</vt:lpstr>
      <vt:lpstr>'Level3.1 Soil Calc'!Print_Area</vt:lpstr>
      <vt:lpstr>'Level3.2 G. Calc'!Print_Area</vt:lpstr>
      <vt:lpstr>'Level3.2 Soil Calc'!Print_Area</vt:lpstr>
      <vt:lpstr>'Level3.3 G. Calc'!Print_Area</vt:lpstr>
      <vt:lpstr>'Porosity Calculator'!Print_Area</vt:lpstr>
      <vt:lpstr>'Simple calcs'!Print_Area</vt:lpstr>
      <vt:lpstr>'Soil Impact Results'!Print_Area</vt:lpstr>
    </vt:vector>
  </TitlesOfParts>
  <Company>Environment Agency, NGWCLC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PAN-011318 - A192879 SO4 RTM v1.01</dc:title>
  <dc:subject>Environment Agency R&amp;D Publication 20</dc:subject>
  <dc:creator/>
  <cp:lastModifiedBy>Andrew Morris</cp:lastModifiedBy>
  <cp:lastPrinted>2015-02-18T12:26:34Z</cp:lastPrinted>
  <dcterms:created xsi:type="dcterms:W3CDTF">1999-07-27T09:09:19Z</dcterms:created>
  <dcterms:modified xsi:type="dcterms:W3CDTF">2020-06-11T15:20:12Z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0x01010067EB80C5FE939D4A9B3D8BA62129B7F5010200696B2CDFCAB142469D002908293CC358</vt:lpwstr>
  </property>
  <property fmtid="{D5CDD505-2E9C-101B-9397-08002B2CF9AE}" pid="4" name="_dlc_DocId">
    <vt:lpwstr>REGU-204-1610085</vt:lpwstr>
  </property>
  <property fmtid="{D5CDD505-2E9C-101B-9397-08002B2CF9AE}" pid="5" name="_dlc_DocIdItemGuid">
    <vt:lpwstr>c6ed9aab-8dfe-458b-b0dd-1be1f4c2ad44</vt:lpwstr>
  </property>
  <property fmtid="{D5CDD505-2E9C-101B-9397-08002B2CF9AE}" pid="6" name="_dlc_DocIdUrl">
    <vt:lpwstr>https://cyfoethnaturiolcymru.sharepoint.com/teams/Regulatory/Permitting/_layouts/15/DocIdRedir.aspx?ID=REGU-204-1610085, REGU-204-1610085</vt:lpwstr>
  </property>
</Properties>
</file>