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omments1.xml" ContentType="application/vnd.openxmlformats-officedocument.spreadsheetml.comment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6.xml" ContentType="application/vnd.ms-excel.controlproperties+xml"/>
  <Override PartName="/xl/ctrlProps/ctrlProp7.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omments3.xml" ContentType="application/vnd.openxmlformats-officedocument.spreadsheetml.comments+xml"/>
  <Override PartName="/xl/comments2.xml" ContentType="application/vnd.openxmlformats-officedocument.spreadsheetml.comments+xml"/>
  <Override PartName="/docProps/app.xml" ContentType="application/vnd.openxmlformats-officedocument.extended-properties+xml"/>
  <Override PartName="/docProps/custom.xml" ContentType="application/vnd.openxmlformats-officedocument.custom-properties+xml"/>
  <Override PartName="/xl/ctrlProps/ctrlProp9.xml" ContentType="application/vnd.ms-excel.controlproperties+xml"/>
  <Override PartName="/xl/ctrlProps/ctrlProp8.xml" ContentType="application/vnd.ms-excel.controlproperties+xml"/>
  <Override PartName="/xl/ctrlProps/ctrlProp10.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codeName="{564CA151-5A5B-428A-3C10-775976492406}"/>
  <workbookPr codeName="ThisWorkbook"/>
  <mc:AlternateContent xmlns:mc="http://schemas.openxmlformats.org/markup-compatibility/2006">
    <mc:Choice Requires="x15">
      <x15ac:absPath xmlns:x15ac="http://schemas.microsoft.com/office/spreadsheetml/2010/11/ac" url="C:\Users\Viktoria Karagits\OneDrive - WRAP\Desktop\BGCBC\SV\Partial_SUR\"/>
    </mc:Choice>
  </mc:AlternateContent>
  <xr:revisionPtr revIDLastSave="0" documentId="8_{A37DF741-A704-4CE4-8C9D-52FB247193C0}" xr6:coauthVersionLast="45" xr6:coauthVersionMax="45" xr10:uidLastSave="{00000000-0000-0000-0000-000000000000}"/>
  <workbookProtection workbookPassword="953B" lockStructure="1"/>
  <bookViews>
    <workbookView xWindow="-110" yWindow="-110" windowWidth="19420" windowHeight="1042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8" i="2" l="1"/>
  <c r="M9" i="2"/>
  <c r="M6" i="2"/>
  <c r="M7" i="2"/>
  <c r="M10" i="2" s="1"/>
  <c r="F5" i="2"/>
  <c r="F13" i="15" s="1"/>
  <c r="F7" i="2"/>
  <c r="G13" i="15" s="1"/>
  <c r="F31" i="16"/>
  <c r="C89" i="21" s="1"/>
  <c r="F27" i="20"/>
  <c r="F32" i="16"/>
  <c r="F28" i="20"/>
  <c r="F29" i="16"/>
  <c r="C85" i="21" s="1"/>
  <c r="F33" i="16"/>
  <c r="F29" i="20"/>
  <c r="F38" i="16"/>
  <c r="C95" i="21" s="1"/>
  <c r="F47" i="16"/>
  <c r="C107" i="21" s="1"/>
  <c r="F23" i="16"/>
  <c r="C79" i="21" s="1"/>
  <c r="F79" i="21" s="1"/>
  <c r="F16" i="2"/>
  <c r="C35" i="21" s="1"/>
  <c r="F18" i="2"/>
  <c r="C37" i="21" s="1"/>
  <c r="F20" i="2"/>
  <c r="C39" i="21" s="1"/>
  <c r="F22" i="2"/>
  <c r="C41" i="21" s="1"/>
  <c r="O16" i="2"/>
  <c r="C43" i="21" s="1"/>
  <c r="F43" i="21" s="1"/>
  <c r="O18" i="2"/>
  <c r="C45" i="21" s="1"/>
  <c r="O20" i="2"/>
  <c r="C47" i="21" s="1"/>
  <c r="F47" i="21" s="1"/>
  <c r="F54" i="16"/>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F16" i="21" s="1"/>
  <c r="C16" i="21"/>
  <c r="D16" i="21"/>
  <c r="B17" i="21"/>
  <c r="C17" i="21"/>
  <c r="D17" i="21"/>
  <c r="F17" i="21" s="1"/>
  <c r="B20" i="21"/>
  <c r="F20" i="21" s="1"/>
  <c r="C20" i="21"/>
  <c r="D20" i="21"/>
  <c r="B21" i="21"/>
  <c r="C21" i="21"/>
  <c r="D21" i="21"/>
  <c r="B22" i="21"/>
  <c r="C22" i="21"/>
  <c r="F22" i="21" s="1"/>
  <c r="D22" i="21"/>
  <c r="B23" i="21"/>
  <c r="C23" i="21"/>
  <c r="D23" i="21"/>
  <c r="F23" i="21" s="1"/>
  <c r="B24" i="21"/>
  <c r="D24" i="21"/>
  <c r="B25" i="21"/>
  <c r="D25" i="21"/>
  <c r="B28" i="21"/>
  <c r="C28" i="21"/>
  <c r="D28" i="21"/>
  <c r="F28" i="21" s="1"/>
  <c r="B29" i="21"/>
  <c r="D29" i="21"/>
  <c r="B30" i="21"/>
  <c r="F30" i="21" s="1"/>
  <c r="C30" i="21"/>
  <c r="D30" i="21"/>
  <c r="B31" i="21"/>
  <c r="D31" i="21"/>
  <c r="B34" i="21"/>
  <c r="C34" i="21"/>
  <c r="D34" i="21"/>
  <c r="F34" i="21" s="1"/>
  <c r="B35" i="21"/>
  <c r="D35" i="21"/>
  <c r="B36" i="21"/>
  <c r="C36" i="21"/>
  <c r="F36" i="21" s="1"/>
  <c r="D36" i="21"/>
  <c r="B37" i="21"/>
  <c r="D37" i="21"/>
  <c r="B38" i="21"/>
  <c r="F38" i="21" s="1"/>
  <c r="C38" i="21"/>
  <c r="D38" i="21"/>
  <c r="B39" i="21"/>
  <c r="D39" i="21"/>
  <c r="B40" i="21"/>
  <c r="F40" i="21"/>
  <c r="C40" i="21"/>
  <c r="D40" i="21"/>
  <c r="B41" i="21"/>
  <c r="D41" i="21"/>
  <c r="B42" i="21"/>
  <c r="C42" i="21"/>
  <c r="D42" i="21"/>
  <c r="F42" i="21" s="1"/>
  <c r="B43" i="21"/>
  <c r="D43" i="21"/>
  <c r="B44" i="21"/>
  <c r="C44" i="21"/>
  <c r="D44" i="21"/>
  <c r="F44" i="21" s="1"/>
  <c r="B45" i="21"/>
  <c r="D45" i="21"/>
  <c r="B46" i="21"/>
  <c r="F46" i="21" s="1"/>
  <c r="C46" i="21"/>
  <c r="D46" i="21"/>
  <c r="B47" i="21"/>
  <c r="D47" i="21"/>
  <c r="B48" i="21"/>
  <c r="D48" i="21"/>
  <c r="B49" i="21"/>
  <c r="D49" i="21"/>
  <c r="B52" i="21"/>
  <c r="C52" i="21"/>
  <c r="D52" i="21"/>
  <c r="B53" i="21"/>
  <c r="D53" i="21"/>
  <c r="B54" i="21"/>
  <c r="C54" i="21"/>
  <c r="F54" i="21" s="1"/>
  <c r="D54" i="21"/>
  <c r="B55" i="21"/>
  <c r="D55" i="21"/>
  <c r="B56" i="21"/>
  <c r="C56" i="21"/>
  <c r="F56" i="21" s="1"/>
  <c r="D56" i="21"/>
  <c r="B57" i="21"/>
  <c r="D57" i="21"/>
  <c r="B58" i="21"/>
  <c r="C58" i="21"/>
  <c r="D58" i="21"/>
  <c r="B59" i="21"/>
  <c r="D59" i="21"/>
  <c r="B60" i="21"/>
  <c r="C60" i="21"/>
  <c r="F60" i="21" s="1"/>
  <c r="D60" i="21"/>
  <c r="B61" i="21"/>
  <c r="D61" i="21"/>
  <c r="B62" i="21"/>
  <c r="C62" i="21"/>
  <c r="F62" i="21" s="1"/>
  <c r="D62" i="21"/>
  <c r="B63" i="21"/>
  <c r="D63" i="21"/>
  <c r="B64" i="21"/>
  <c r="C64" i="21"/>
  <c r="D64" i="21"/>
  <c r="B65" i="21"/>
  <c r="D65" i="21"/>
  <c r="B66" i="21"/>
  <c r="C66" i="21"/>
  <c r="F66" i="21" s="1"/>
  <c r="D66" i="21"/>
  <c r="B67" i="21"/>
  <c r="D67" i="21"/>
  <c r="B68" i="21"/>
  <c r="C68" i="21"/>
  <c r="D68" i="21"/>
  <c r="F68" i="21"/>
  <c r="B69" i="21"/>
  <c r="D69" i="21"/>
  <c r="B70" i="21"/>
  <c r="C70" i="21"/>
  <c r="D70" i="21"/>
  <c r="B71" i="21"/>
  <c r="D71" i="21"/>
  <c r="B72" i="21"/>
  <c r="C72" i="21"/>
  <c r="F72" i="21" s="1"/>
  <c r="D72" i="21"/>
  <c r="B73" i="21"/>
  <c r="D73" i="21"/>
  <c r="B74" i="21"/>
  <c r="C74" i="21"/>
  <c r="D74" i="21"/>
  <c r="F74" i="21"/>
  <c r="B75" i="21"/>
  <c r="D75" i="21"/>
  <c r="B76" i="21"/>
  <c r="C76" i="21"/>
  <c r="D76" i="21"/>
  <c r="B77" i="21"/>
  <c r="D77" i="21"/>
  <c r="B78" i="21"/>
  <c r="F78" i="21" s="1"/>
  <c r="C78" i="21"/>
  <c r="D78" i="21"/>
  <c r="B79" i="21"/>
  <c r="D79" i="21"/>
  <c r="B80" i="21"/>
  <c r="C80" i="21"/>
  <c r="D80" i="21"/>
  <c r="B81" i="21"/>
  <c r="D81" i="21"/>
  <c r="B82" i="21"/>
  <c r="C82" i="21"/>
  <c r="D82" i="21"/>
  <c r="B83" i="21"/>
  <c r="D83" i="21"/>
  <c r="B84" i="21"/>
  <c r="F84" i="21"/>
  <c r="C84" i="21"/>
  <c r="D84" i="21"/>
  <c r="B85" i="21"/>
  <c r="D85" i="21"/>
  <c r="B86" i="21"/>
  <c r="C86" i="21"/>
  <c r="D86" i="21"/>
  <c r="F86" i="21" s="1"/>
  <c r="B87" i="21"/>
  <c r="D87" i="21"/>
  <c r="B88" i="21"/>
  <c r="C88" i="21"/>
  <c r="D88" i="21"/>
  <c r="B89" i="21"/>
  <c r="F89" i="21" s="1"/>
  <c r="D89" i="21"/>
  <c r="B90" i="21"/>
  <c r="F90" i="21" s="1"/>
  <c r="C90" i="21"/>
  <c r="D90" i="21"/>
  <c r="B91" i="21"/>
  <c r="D91" i="21"/>
  <c r="B92" i="21"/>
  <c r="C92" i="21"/>
  <c r="F92" i="21" s="1"/>
  <c r="D92" i="21"/>
  <c r="B93" i="21"/>
  <c r="F93" i="21" s="1"/>
  <c r="D93" i="21"/>
  <c r="B94" i="21"/>
  <c r="C94" i="21"/>
  <c r="F94" i="21" s="1"/>
  <c r="D94" i="21"/>
  <c r="B95" i="21"/>
  <c r="D95" i="21"/>
  <c r="B96" i="21"/>
  <c r="F96" i="21" s="1"/>
  <c r="C96" i="21"/>
  <c r="D96" i="21"/>
  <c r="B97" i="21"/>
  <c r="C97" i="21"/>
  <c r="F97" i="21"/>
  <c r="D97" i="21"/>
  <c r="B98" i="21"/>
  <c r="F98" i="21" s="1"/>
  <c r="C98" i="21"/>
  <c r="D98" i="21"/>
  <c r="B99" i="21"/>
  <c r="C99" i="21"/>
  <c r="F99" i="21"/>
  <c r="D99" i="21"/>
  <c r="B100" i="21"/>
  <c r="F100" i="21" s="1"/>
  <c r="C100" i="21"/>
  <c r="D100" i="21"/>
  <c r="B101" i="21"/>
  <c r="C101" i="21"/>
  <c r="F101" i="21"/>
  <c r="D101" i="21"/>
  <c r="B102" i="21"/>
  <c r="C102" i="21"/>
  <c r="D102" i="21"/>
  <c r="B103" i="21"/>
  <c r="D103" i="21"/>
  <c r="B104" i="21"/>
  <c r="C104" i="21"/>
  <c r="F104" i="21" s="1"/>
  <c r="D104" i="21"/>
  <c r="B105" i="21"/>
  <c r="D105" i="21"/>
  <c r="B106" i="21"/>
  <c r="C106" i="21"/>
  <c r="D106" i="21"/>
  <c r="F106" i="21" s="1"/>
  <c r="B107" i="21"/>
  <c r="D107" i="21"/>
  <c r="B108" i="21"/>
  <c r="C108" i="21"/>
  <c r="D108" i="21"/>
  <c r="B109" i="21"/>
  <c r="D109" i="21"/>
  <c r="B110" i="21"/>
  <c r="F110" i="21" s="1"/>
  <c r="C110" i="21"/>
  <c r="D110" i="21"/>
  <c r="B111" i="21"/>
  <c r="D111" i="21"/>
  <c r="B112" i="21"/>
  <c r="C112" i="21"/>
  <c r="D112" i="21"/>
  <c r="F112" i="21"/>
  <c r="B113" i="21"/>
  <c r="F113" i="21" s="1"/>
  <c r="C113" i="21"/>
  <c r="D113" i="21"/>
  <c r="B114" i="21"/>
  <c r="C114" i="21"/>
  <c r="D114" i="21"/>
  <c r="F114" i="21"/>
  <c r="B115" i="21"/>
  <c r="F115" i="21" s="1"/>
  <c r="C115" i="21"/>
  <c r="D115" i="21"/>
  <c r="B116" i="21"/>
  <c r="C116" i="21"/>
  <c r="D116" i="21"/>
  <c r="F116" i="21"/>
  <c r="B117" i="21"/>
  <c r="F117" i="21" s="1"/>
  <c r="C117" i="21"/>
  <c r="D117" i="21"/>
  <c r="B120" i="21"/>
  <c r="D120" i="21"/>
  <c r="F120" i="21"/>
  <c r="B121" i="21"/>
  <c r="F121" i="21"/>
  <c r="D121" i="21"/>
  <c r="B122" i="21"/>
  <c r="F122" i="21" s="1"/>
  <c r="D122" i="21"/>
  <c r="B123" i="21"/>
  <c r="D123" i="21"/>
  <c r="F123" i="21"/>
  <c r="B124" i="21"/>
  <c r="F124" i="21" s="1"/>
  <c r="D124" i="21"/>
  <c r="B125" i="21"/>
  <c r="D125" i="21"/>
  <c r="F125" i="21" s="1"/>
  <c r="K1" i="15"/>
  <c r="C93" i="21"/>
  <c r="C91" i="21"/>
  <c r="F91" i="21" s="1"/>
  <c r="F88" i="21"/>
  <c r="F76" i="21"/>
  <c r="F64" i="21"/>
  <c r="F45" i="21" l="1"/>
  <c r="F41" i="21"/>
  <c r="F22" i="20"/>
  <c r="F21" i="21"/>
  <c r="F39" i="21"/>
  <c r="F108" i="21"/>
  <c r="F102" i="21"/>
  <c r="F82" i="21"/>
  <c r="F70" i="21"/>
  <c r="F58" i="21"/>
  <c r="F52" i="21"/>
  <c r="F37" i="21"/>
  <c r="F85" i="21"/>
  <c r="F107" i="21"/>
  <c r="F95" i="21"/>
  <c r="F35" i="21"/>
  <c r="F80" i="21"/>
  <c r="C29" i="21"/>
  <c r="F29" i="21" s="1"/>
  <c r="F58" i="16"/>
  <c r="H58" i="16" s="1"/>
  <c r="I70" i="16" s="1"/>
  <c r="C109" i="21"/>
  <c r="F109" i="21" s="1"/>
  <c r="F39" i="20"/>
  <c r="A2" i="16"/>
  <c r="E2" i="16" s="1"/>
  <c r="F25" i="20"/>
  <c r="H3" i="19"/>
  <c r="C24" i="21"/>
  <c r="F24" i="21" s="1"/>
  <c r="O10" i="2"/>
  <c r="C25" i="21" s="1"/>
  <c r="F25" i="21" s="1"/>
  <c r="B38" i="20"/>
  <c r="H13" i="15"/>
  <c r="C8" i="21" s="1"/>
  <c r="F8" i="21" s="1"/>
  <c r="B15" i="20"/>
  <c r="C31" i="21"/>
  <c r="F31" i="21" s="1"/>
  <c r="B19" i="20"/>
  <c r="B36" i="20"/>
  <c r="B23" i="20"/>
  <c r="B40" i="20"/>
  <c r="B10" i="20"/>
  <c r="B24" i="20"/>
  <c r="B34" i="20"/>
  <c r="B27" i="20"/>
  <c r="F30" i="20"/>
  <c r="B16" i="20"/>
  <c r="B3" i="20"/>
  <c r="B26" i="20"/>
  <c r="B32" i="20"/>
  <c r="B33" i="20"/>
  <c r="B7" i="20"/>
  <c r="B31" i="20"/>
  <c r="B20" i="20"/>
  <c r="B29" i="20"/>
  <c r="B9" i="20"/>
  <c r="B14" i="20"/>
  <c r="B5" i="20"/>
  <c r="B18" i="20"/>
  <c r="B13" i="20"/>
  <c r="B8" i="20"/>
  <c r="B12" i="20"/>
  <c r="B39" i="20"/>
  <c r="B25" i="20"/>
  <c r="B2" i="20"/>
  <c r="B37" i="20"/>
  <c r="B4" i="20"/>
  <c r="B11" i="20"/>
  <c r="B21" i="20"/>
  <c r="B30" i="20"/>
  <c r="B22" i="20"/>
  <c r="B28" i="20"/>
  <c r="B17" i="20"/>
  <c r="B6" i="20"/>
  <c r="J3" i="19"/>
  <c r="C6" i="21"/>
  <c r="F6" i="21" s="1"/>
  <c r="C7" i="21"/>
  <c r="F7" i="21" s="1"/>
  <c r="K3" i="19"/>
  <c r="K22" i="2"/>
  <c r="F39" i="16"/>
  <c r="F45" i="16" l="1"/>
  <c r="F37" i="20" s="1"/>
  <c r="F28" i="16"/>
  <c r="F6" i="16"/>
  <c r="F10" i="20" s="1"/>
  <c r="F46" i="16"/>
  <c r="F38" i="20" s="1"/>
  <c r="F5" i="16"/>
  <c r="C53" i="21" s="1"/>
  <c r="F53" i="21" s="1"/>
  <c r="F42" i="16"/>
  <c r="F34" i="20" s="1"/>
  <c r="F21" i="16"/>
  <c r="F20" i="20" s="1"/>
  <c r="F27" i="16"/>
  <c r="C81" i="21" s="1"/>
  <c r="F81" i="21" s="1"/>
  <c r="F7" i="16"/>
  <c r="F11" i="20" s="1"/>
  <c r="F22" i="16"/>
  <c r="F21" i="20" s="1"/>
  <c r="F10" i="16"/>
  <c r="F14" i="20" s="1"/>
  <c r="F18" i="16"/>
  <c r="C69" i="21" s="1"/>
  <c r="F69" i="21" s="1"/>
  <c r="F43" i="16"/>
  <c r="C105" i="21" s="1"/>
  <c r="F105" i="21" s="1"/>
  <c r="F9" i="16"/>
  <c r="C61" i="21" s="1"/>
  <c r="F61" i="21" s="1"/>
  <c r="F19" i="16"/>
  <c r="C71" i="21" s="1"/>
  <c r="F71" i="21" s="1"/>
  <c r="F20" i="16"/>
  <c r="C73" i="21" s="1"/>
  <c r="F73" i="21" s="1"/>
  <c r="F30" i="16"/>
  <c r="C87" i="21" s="1"/>
  <c r="F87" i="21" s="1"/>
  <c r="F8" i="16"/>
  <c r="F12" i="20" s="1"/>
  <c r="F17" i="16"/>
  <c r="F14" i="16"/>
  <c r="C65" i="21" s="1"/>
  <c r="F65" i="21" s="1"/>
  <c r="F44" i="16"/>
  <c r="F36" i="20" s="1"/>
  <c r="F14" i="15"/>
  <c r="M3" i="19" s="1"/>
  <c r="C48" i="21"/>
  <c r="F48" i="21" s="1"/>
  <c r="G3" i="19"/>
  <c r="C9" i="21" l="1"/>
  <c r="F9" i="21" s="1"/>
  <c r="C55" i="21"/>
  <c r="F55" i="21" s="1"/>
  <c r="F24" i="20"/>
  <c r="C83" i="21"/>
  <c r="F83" i="21" s="1"/>
  <c r="F9" i="20"/>
  <c r="F23" i="20"/>
  <c r="C103" i="21"/>
  <c r="F103" i="21" s="1"/>
  <c r="C75" i="21"/>
  <c r="F75" i="21" s="1"/>
  <c r="F13" i="20"/>
  <c r="F17" i="20"/>
  <c r="C59" i="21"/>
  <c r="F59" i="21" s="1"/>
  <c r="F15" i="20"/>
  <c r="C77" i="21"/>
  <c r="F77" i="21" s="1"/>
  <c r="C63" i="21"/>
  <c r="F63" i="21" s="1"/>
  <c r="F19" i="20"/>
  <c r="F24" i="16"/>
  <c r="H24" i="16" s="1"/>
  <c r="I67" i="16" s="1"/>
  <c r="F11" i="16"/>
  <c r="H11" i="16" s="1"/>
  <c r="I66" i="16" s="1"/>
  <c r="C57" i="21"/>
  <c r="F57" i="21" s="1"/>
  <c r="F35" i="20"/>
  <c r="F34" i="16"/>
  <c r="H34" i="16" s="1"/>
  <c r="I68" i="16" s="1"/>
  <c r="F26" i="20"/>
  <c r="C67" i="21"/>
  <c r="F67" i="21" s="1"/>
  <c r="F18" i="20"/>
  <c r="F16" i="20"/>
  <c r="F49" i="16"/>
  <c r="H14" i="15"/>
  <c r="C10" i="21" s="1"/>
  <c r="F10" i="21" s="1"/>
  <c r="H49" i="16" l="1"/>
  <c r="C111" i="21"/>
  <c r="F111" i="21" s="1"/>
  <c r="H60" i="16" l="1"/>
  <c r="I69" i="16"/>
  <c r="I3" i="19" l="1"/>
  <c r="I71" i="16"/>
  <c r="H62" i="16"/>
  <c r="F16" i="15" s="1"/>
  <c r="C13" i="21" l="1"/>
  <c r="F13" i="21" s="1"/>
  <c r="H16" i="15"/>
  <c r="N3" i="19"/>
  <c r="Q23" i="2" l="1"/>
  <c r="O22" i="2" s="1"/>
  <c r="C14" i="21"/>
  <c r="F14" i="21" s="1"/>
  <c r="F15" i="15" l="1"/>
  <c r="C49" i="21"/>
  <c r="F49" i="21" s="1"/>
  <c r="C11" i="21" l="1"/>
  <c r="F11" i="21" s="1"/>
  <c r="H15" i="15"/>
  <c r="L3" i="19"/>
  <c r="C12" i="21" l="1"/>
  <c r="F12" i="21" s="1"/>
  <c r="H17" i="15"/>
  <c r="H18" i="15" l="1"/>
  <c r="L15" i="15"/>
  <c r="C15" i="21"/>
  <c r="F15" i="21" s="1"/>
  <c r="L14" i="15"/>
  <c r="L16" i="15"/>
  <c r="P3" i="19"/>
  <c r="L13" i="15"/>
  <c r="C17" i="15" l="1"/>
  <c r="J11"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<sst xmlns="http://schemas.openxmlformats.org/spreadsheetml/2006/main" count="487" uniqueCount="377">
  <si>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</si>
  <si>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</si>
  <si>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</si>
  <si>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</si>
  <si>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</si>
  <si>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</si>
  <si>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</si>
  <si>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</si>
  <si>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</si>
  <si>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</si>
  <si>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</si>
  <si>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</si>
  <si>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</si>
  <si>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</si>
  <si>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</si>
  <si>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</si>
  <si>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</si>
  <si>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</si>
  <si>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</si>
  <si>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</si>
  <si>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</si>
  <si>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</si>
  <si>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</si>
  <si>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</si>
  <si>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</si>
  <si>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</si>
  <si>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</si>
  <si>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</si>
  <si>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</si>
  <si>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</si>
  <si>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</si>
  <si>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</si>
  <si>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</si>
  <si>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</si>
  <si>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</si>
  <si>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</si>
  <si>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</si>
  <si>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</si>
  <si>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</si>
  <si>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</si>
  <si>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</si>
  <si>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</si>
  <si>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</si>
  <si>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</si>
  <si>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</si>
  <si>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</si>
  <si>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</si>
  <si>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</si>
  <si>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</si>
  <si>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</si>
  <si>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</si>
  <si>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</si>
  <si>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</si>
  <si>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</si>
  <si>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</si>
  <si>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</si>
  <si>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</si>
  <si>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</si>
  <si>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</si>
  <si>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</si>
  <si>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</si>
  <si>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</si>
  <si>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</si>
  <si>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</si>
  <si>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</si>
  <si>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</si>
  <si>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</si>
  <si>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</si>
  <si>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</si>
  <si>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</si>
  <si>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</si>
  <si>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</si>
  <si>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</si>
  <si>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</si>
  <si>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</si>
  <si>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</si>
  <si>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</si>
  <si>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</si>
  <si>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</si>
  <si>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</si>
  <si>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</si>
  <si>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</si>
  <si>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</si>
  <si>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</si>
  <si>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</si>
  <si>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</si>
  <si>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</si>
  <si>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</si>
  <si>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</si>
  <si>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</si>
  <si>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</si>
  <si>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</si>
  <si>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</si>
  <si>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</si>
  <si>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</si>
  <si>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</si>
  <si>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</si>
  <si>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</si>
  <si>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</si>
  <si>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</si>
  <si>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</si>
  <si>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</si>
  <si>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</si>
  <si>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</si>
  <si>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</si>
  <si>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</si>
  <si>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</si>
  <si>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</si>
  <si>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</si>
  <si>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</si>
  <si>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</si>
  <si>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</si>
  <si>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</si>
  <si>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</si>
  <si>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</si>
  <si>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</si>
  <si>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</si>
  <si>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</si>
  <si>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</si>
  <si>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</si>
  <si>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</si>
  <si>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</si>
  <si>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</si>
  <si>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</si>
  <si>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</si>
  <si>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</si>
  <si>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</si>
  <si>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</si>
  <si>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</si>
  <si>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</si>
  <si>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</si>
  <si>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</si>
  <si>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</si>
  <si>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</si>
  <si>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</si>
  <si>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</si>
  <si>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</si>
  <si>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</si>
  <si>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</si>
  <si>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</si>
  <si>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</si>
  <si>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</si>
  <si>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</si>
  <si>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</si>
  <si>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</si>
  <si>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</si>
  <si>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</si>
  <si>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</si>
  <si>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</si>
  <si>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</si>
  <si>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</si>
  <si>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</si>
  <si>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</si>
  <si>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</si>
  <si>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</si>
  <si>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</si>
  <si>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</si>
  <si>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</si>
  <si>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</si>
  <si>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</si>
  <si>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</si>
  <si>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</si>
  <si>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</si>
  <si>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</si>
  <si>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</si>
  <si>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</si>
  <si>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</si>
  <si>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</si>
  <si>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</si>
  <si>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</si>
  <si>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</si>
  <si>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</si>
  <si>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</si>
  <si>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</si>
  <si>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</si>
  <si>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</si>
  <si>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</si>
  <si>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</si>
  <si>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</si>
  <si>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</si>
  <si>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</si>
  <si>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</si>
  <si>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</si>
  <si>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</si>
  <si>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</si>
  <si>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</si>
  <si>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</si>
  <si>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</si>
  <si>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</si>
  <si>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</si>
  <si>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</si>
  <si>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</si>
  <si>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</si>
  <si>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</si>
  <si>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</si>
  <si>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</si>
  <si>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</si>
  <si>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</si>
  <si>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</si>
  <si>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</si>
  <si>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</si>
  <si>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</si>
  <si>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</si>
  <si>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</si>
  <si>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</si>
  <si>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</si>
  <si>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</si>
  <si>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</si>
  <si>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</si>
  <si>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</si>
  <si>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</si>
  <si>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</si>
  <si>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</si>
  <si>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</si>
  <si>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</si>
  <si>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</si>
  <si>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</si>
  <si>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</si>
  <si>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</si>
  <si>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</si>
  <si>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</si>
  <si>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</si>
  <si>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</si>
  <si>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</si>
  <si>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</si>
  <si>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</si>
  <si>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</si>
  <si>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</si>
  <si>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</si>
  <si>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</si>
  <si>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</si>
  <si>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</si>
  <si>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</si>
  <si>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</si>
  <si>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</si>
  <si>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</si>
  <si>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</si>
  <si>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</si>
  <si>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</si>
  <si>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</si>
  <si>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</si>
  <si>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</si>
  <si>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</si>
  <si>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</si>
  <si>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</si>
  <si>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</si>
  <si>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</si>
  <si>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</si>
  <si>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</si>
  <si>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</si>
  <si>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</si>
  <si>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</si>
  <si>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</si>
  <si>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</si>
  <si>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</si>
  <si>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</si>
  <si>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</si>
  <si>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</si>
  <si>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</si>
  <si>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</si>
  <si>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</si>
  <si>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</si>
  <si>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</si>
  <si>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</si>
  <si>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</si>
  <si>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</si>
  <si>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</si>
  <si>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</si>
  <si>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</si>
  <si>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</si>
  <si>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</si>
  <si>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</si>
  <si>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</si>
  <si>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</si>
  <si>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</si>
  <si>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</si>
  <si>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</si>
  <si>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</si>
  <si>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</si>
  <si>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</si>
  <si>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</si>
  <si>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</si>
  <si>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</si>
  <si>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</si>
  <si>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</si>
  <si>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</si>
  <si>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</si>
  <si>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</si>
  <si>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</si>
  <si>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</si>
  <si>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</si>
  <si>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</si>
  <si>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</si>
  <si>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</si>
  <si>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</si>
  <si>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</si>
  <si>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</si>
  <si>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</si>
  <si>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</si>
  <si>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</si>
  <si>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</si>
  <si>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</si>
  <si>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</si>
  <si>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</si>
  <si>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</si>
  <si>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</si>
  <si>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</si>
  <si>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</si>
  <si>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</si>
  <si>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</si>
  <si>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</si>
  <si>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</si>
  <si>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</si>
  <si>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</si>
  <si>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</si>
  <si>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</si>
  <si>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</si>
  <si>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</si>
  <si>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</si>
  <si>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</si>
  <si>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</si>
  <si>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</si>
  <si>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</si>
  <si>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</si>
  <si>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</si>
  <si>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</si>
  <si>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</si>
  <si>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</si>
  <si>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</si>
  <si>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</si>
  <si>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</si>
  <si>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</si>
  <si>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</si>
  <si>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</si>
  <si>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</si>
  <si>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</si>
  <si>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</si>
  <si>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</si>
  <si>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</si>
  <si>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</si>
  <si>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</si>
  <si>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</si>
  <si>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</si>
  <si>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</si>
  <si>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</si>
  <si>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</si>
  <si>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</si>
  <si>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</si>
  <si>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</si>
  <si>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</si>
  <si>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</si>
  <si>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</si>
  <si>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</si>
  <si>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</si>
  <si>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</si>
  <si>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</si>
  <si>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</si>
  <si>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</si>
  <si>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</si>
  <si>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</si>
  <si>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</si>
  <si>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</si>
  <si>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</si>
  <si>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</si>
  <si>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</si>
  <si>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</si>
  <si>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</si>
  <si>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</si>
  <si>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</si>
  <si>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</si>
  <si>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</si>
  <si>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</si>
  <si>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</si>
  <si>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</si>
  <si>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SEW/224</t>
  </si>
  <si>
    <t>Silent Valley Cwm Transfer Station</t>
  </si>
  <si>
    <t>Silent Valley Waste Services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</si>
</sst>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40"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
      <sz val="10"/>
      <name val="Arial"/>
    </font>
    <font>
      <u/>
      <sz val="10"/>
      <color indexed="12"/>
      <name val="Arial"/>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10">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xf numFmtId="44" fontId="38" fillId="0" borderId="0" applyFont="0" applyFill="0" applyBorder="0" applyAlignment="0" applyProtection="0"/>
    <xf numFmtId="0" fontId="39" fillId="0" borderId="0" applyNumberFormat="0" applyFill="0" applyBorder="0" applyAlignment="0" applyProtection="0">
      <alignment vertical="top"/>
      <protection locked="0"/>
    </xf>
    <xf numFmtId="9" fontId="38" fillId="0" borderId="0" applyFont="0" applyFill="0" applyBorder="0" applyAlignment="0" applyProtection="0"/>
  </cellStyleXfs>
  <cellXfs count="352">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0" fontId="0" fillId="6" borderId="2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10">
    <cellStyle name="Currency" xfId="1" builtinId="4"/>
    <cellStyle name="Currency 2" xfId="7" xr:uid="{00000000-0005-0000-0000-000001000000}"/>
    <cellStyle name="Hyperlink" xfId="2" builtinId="8"/>
    <cellStyle name="Hyperlink 2" xfId="8" xr:uid="{00000000-0005-0000-0000-000003000000}"/>
    <cellStyle name="Normal" xfId="0" builtinId="0"/>
    <cellStyle name="Normal_Management scoresheet" xfId="3" xr:uid="{00000000-0005-0000-0000-000005000000}"/>
    <cellStyle name="Normal_References" xfId="4" xr:uid="{00000000-0005-0000-0000-000006000000}"/>
    <cellStyle name="Normal_References_1" xfId="5" xr:uid="{00000000-0005-0000-0000-000007000000}"/>
    <cellStyle name="Percent" xfId="6" builtinId="5"/>
    <cellStyle name="Percent 2" xfId="9" xr:uid="{00000000-0005-0000-0000-000009000000}"/>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677B-4D5E-87F9-91F965556D85}"/>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677B-4D5E-87F9-91F965556D85}"/>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677B-4D5E-87F9-91F965556D85}"/>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1.6666666666666667</c:v>
                </c:pt>
                <c:pt idx="3">
                  <c:v>1.8</c:v>
                </c:pt>
                <c:pt idx="4">
                  <c:v>0</c:v>
                </c:pt>
                <c:pt idx="5">
                  <c:v>7.4666666666666668</c:v>
                </c:pt>
              </c:numCache>
            </c:numRef>
          </c:val>
          <c:extLst>
            <c:ext xmlns:c16="http://schemas.microsoft.com/office/drawing/2014/chart" uri="{C3380CC4-5D6E-409C-BE32-E72D297353CC}">
              <c16:uniqueId val="{00000003-677B-4D5E-87F9-91F965556D85}"/>
            </c:ext>
          </c:extLst>
        </c:ser>
        <c:dLbls>
          <c:showLegendKey val="0"/>
          <c:showVal val="0"/>
          <c:showCatName val="0"/>
          <c:showSerName val="0"/>
          <c:showPercent val="0"/>
          <c:showBubbleSize val="0"/>
        </c:dLbls>
        <c:gapWidth val="30"/>
        <c:overlap val="90"/>
        <c:axId val="121218176"/>
        <c:axId val="121220096"/>
      </c:barChart>
      <c:catAx>
        <c:axId val="121218176"/>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21220096"/>
        <c:crosses val="autoZero"/>
        <c:auto val="1"/>
        <c:lblAlgn val="ctr"/>
        <c:lblOffset val="100"/>
        <c:tickLblSkip val="1"/>
        <c:tickMarkSkip val="1"/>
        <c:noMultiLvlLbl val="0"/>
      </c:catAx>
      <c:valAx>
        <c:axId val="121220096"/>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21218176"/>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16" fmlaLink="D5" fmlaRange="References!$B$3:$B$45" noThreeD="1" sel="21" val="13"/>
</file>

<file path=xl/ctrlProps/ctrlProp2.xml><?xml version="1.0" encoding="utf-8"?>
<formControlPr xmlns="http://schemas.microsoft.com/office/spreadsheetml/2009/9/main" objectType="Drop" dropStyle="combo" dx="16" fmlaLink="D7" fmlaRange="References!$B$3:$B$45" noThreeD="1" sel="1" val="0"/>
</file>

<file path=xl/ctrlProps/ctrlProp3.xml><?xml version="1.0" encoding="utf-8"?>
<formControlPr xmlns="http://schemas.microsoft.com/office/spreadsheetml/2009/9/main" objectType="Drop" dropStyle="combo" dx="16" fmlaLink="$E$16" fmlaRange="References!$D$53:$D$56" noThreeD="1" sel="3" val="0"/>
</file>

<file path=xl/ctrlProps/ctrlProp4.xml><?xml version="1.0" encoding="utf-8"?>
<formControlPr xmlns="http://schemas.microsoft.com/office/spreadsheetml/2009/9/main" objectType="Drop" dropStyle="combo" dx="16" fmlaLink="$E$20" fmlaRange="References!$D$60:$D$62" noThreeD="1" sel="2" val="0"/>
</file>

<file path=xl/ctrlProps/ctrlProp5.xml><?xml version="1.0" encoding="utf-8"?>
<formControlPr xmlns="http://schemas.microsoft.com/office/spreadsheetml/2009/9/main" objectType="Drop" dropStyle="combo" dx="16" fmlaLink="$K$16" fmlaRange="References!$D$67:$D$69" noThreeD="1" sel="1" val="0"/>
</file>

<file path=xl/ctrlProps/ctrlProp6.xml><?xml version="1.0" encoding="utf-8"?>
<formControlPr xmlns="http://schemas.microsoft.com/office/spreadsheetml/2009/9/main" objectType="Drop" dropStyle="combo" dx="16" fmlaLink="$K$20" fmlaRange="References!$D$74:$D$75" noThreeD="1" sel="2" val="0"/>
</file>

<file path=xl/ctrlProps/ctrlProp7.xml><?xml version="1.0" encoding="utf-8"?>
<formControlPr xmlns="http://schemas.microsoft.com/office/spreadsheetml/2009/9/main" objectType="Drop" dropStyle="combo" dx="16" fmlaLink="$E$18" fmlaRange="References!$D$57:$D$59" noThreeD="1" sel="2" val="0"/>
</file>

<file path=xl/ctrlProps/ctrlProp8.xml><?xml version="1.0" encoding="utf-8"?>
<formControlPr xmlns="http://schemas.microsoft.com/office/spreadsheetml/2009/9/main" objectType="Drop" dropStyle="combo" dx="16" fmlaLink="$E$22" fmlaRange="References!$D$63:$D$66" noThreeD="1" sel="2" val="0"/>
</file>

<file path=xl/ctrlProps/ctrlProp9.xml><?xml version="1.0" encoding="utf-8"?>
<formControlPr xmlns="http://schemas.microsoft.com/office/spreadsheetml/2009/9/main" objectType="Drop" dropStyle="combo" dx="16" fmlaLink="$K$18" fmlaRange="References!$D$70:$D$73" noThreeD="1" sel="4" val="0"/>
</file>

<file path=xl/ctrlProps/ctrlProp10.xml><?xml version="1.0" encoding="utf-8"?>
<formControlPr xmlns="http://schemas.microsoft.com/office/spreadsheetml/2009/9/main" objectType="Drop" dropLines="5" dropStyle="combo" dx="16"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4</xdr:row>
          <xdr:rowOff>317500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50800</xdr:rowOff>
        </xdr:from>
        <xdr:to>
          <xdr:col>4</xdr:col>
          <xdr:colOff>171450</xdr:colOff>
          <xdr:row>6</xdr:row>
          <xdr:rowOff>317500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1174750</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1174750</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15</xdr:row>
          <xdr:rowOff>95250</xdr:rowOff>
        </xdr:from>
        <xdr:to>
          <xdr:col>13</xdr:col>
          <xdr:colOff>450850</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88900</xdr:rowOff>
        </xdr:from>
        <xdr:to>
          <xdr:col>13</xdr:col>
          <xdr:colOff>431800</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1174750</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1174750</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88900</xdr:rowOff>
        </xdr:from>
        <xdr:to>
          <xdr:col>13</xdr:col>
          <xdr:colOff>431800</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6" name="Chart 21">
          <a:extLst>
            <a:ext uri="{FF2B5EF4-FFF2-40B4-BE49-F238E27FC236}">
              <a16:creationId xmlns:a16="http://schemas.microsoft.com/office/drawing/2014/main" id="{00000000-0008-0000-0200-00003A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0</xdr:colOff>
          <xdr:row>37</xdr:row>
          <xdr:rowOff>76200</xdr:rowOff>
        </xdr:from>
        <xdr:to>
          <xdr:col>5</xdr:col>
          <xdr:colOff>0</xdr:colOff>
          <xdr:row>38</xdr:row>
          <xdr:rowOff>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L14" sqref="L14"/>
    </sheetView>
  </sheetViews>
  <sheetFormatPr defaultRowHeight="12.5" x14ac:dyDescent="0.25"/>
  <cols>
    <col min="1" max="1" width="2.54296875" customWidth="1"/>
    <col min="2" max="2" width="4.7265625" customWidth="1"/>
    <col min="3" max="3" width="4.453125" customWidth="1"/>
    <col min="4" max="4" width="7.453125" customWidth="1"/>
    <col min="5" max="5" width="15.81640625" customWidth="1"/>
    <col min="6" max="7" width="4.54296875" customWidth="1"/>
    <col min="8" max="8" width="7.453125" customWidth="1"/>
    <col min="9" max="9" width="6.26953125" customWidth="1"/>
    <col min="10" max="10" width="7.54296875" customWidth="1"/>
    <col min="11" max="11" width="10" customWidth="1"/>
    <col min="12" max="12" width="14.54296875" customWidth="1"/>
    <col min="13" max="13" width="2" customWidth="1"/>
  </cols>
  <sheetData>
    <row r="1" spans="1:13" ht="13" thickBot="1" x14ac:dyDescent="0.3">
      <c r="K1" s="296">
        <f ca="1">NOW()</f>
        <v>44054.492019097219</v>
      </c>
      <c r="L1" s="296"/>
      <c r="M1" s="296"/>
    </row>
    <row r="2" spans="1:13" x14ac:dyDescent="0.25">
      <c r="A2" s="220" t="s">
        <v>64</v>
      </c>
      <c r="B2" s="5"/>
      <c r="C2" s="6"/>
      <c r="D2" s="6"/>
      <c r="E2" s="6"/>
      <c r="F2" s="6"/>
      <c r="G2" s="6"/>
      <c r="H2" s="6"/>
      <c r="I2" s="6"/>
      <c r="J2" s="6"/>
      <c r="K2" s="6"/>
      <c r="L2" s="6"/>
      <c r="M2" s="7"/>
    </row>
    <row r="3" spans="1:13" ht="15.75" customHeight="1" x14ac:dyDescent="0.4">
      <c r="A3" s="220" t="s">
        <v>65</v>
      </c>
      <c r="B3" s="8" t="s">
        <v>345</v>
      </c>
      <c r="C3" s="9"/>
      <c r="D3" s="9"/>
      <c r="E3" s="9"/>
      <c r="F3" s="9"/>
      <c r="G3" s="9"/>
      <c r="H3" s="9"/>
      <c r="I3" s="16" t="s">
        <v>8</v>
      </c>
      <c r="J3" s="2" t="s">
        <v>368</v>
      </c>
      <c r="K3" s="16" t="s">
        <v>9</v>
      </c>
      <c r="L3" s="3">
        <v>42095</v>
      </c>
      <c r="M3" s="15"/>
    </row>
    <row r="4" spans="1:13" ht="15.5" x14ac:dyDescent="0.35">
      <c r="A4" s="220" t="s">
        <v>66</v>
      </c>
      <c r="B4" s="232" t="s">
        <v>346</v>
      </c>
      <c r="C4" s="9"/>
      <c r="D4" s="9"/>
      <c r="E4" s="9"/>
      <c r="F4" s="9"/>
      <c r="G4" s="9"/>
      <c r="H4" s="9"/>
      <c r="I4" s="9"/>
      <c r="J4" s="9"/>
      <c r="K4" s="9"/>
      <c r="L4" s="9"/>
      <c r="M4" s="11"/>
    </row>
    <row r="5" spans="1:13" x14ac:dyDescent="0.25">
      <c r="A5" s="220" t="s">
        <v>67</v>
      </c>
      <c r="B5" s="10"/>
      <c r="C5" s="9"/>
      <c r="D5" s="9"/>
      <c r="E5" s="9"/>
      <c r="F5" s="9"/>
      <c r="G5" s="9"/>
      <c r="H5" s="9"/>
      <c r="I5" s="9"/>
      <c r="J5" s="9"/>
      <c r="K5" s="9"/>
      <c r="L5" s="9"/>
      <c r="M5" s="11"/>
    </row>
    <row r="6" spans="1:13" x14ac:dyDescent="0.25">
      <c r="A6" s="220" t="s">
        <v>62</v>
      </c>
      <c r="B6" s="10"/>
      <c r="C6" s="9"/>
      <c r="D6" s="9"/>
      <c r="E6" s="9"/>
      <c r="F6" s="9"/>
      <c r="G6" s="9"/>
      <c r="H6" s="9"/>
      <c r="I6" s="9"/>
      <c r="J6" s="9"/>
      <c r="K6" s="9"/>
      <c r="L6" s="9"/>
      <c r="M6" s="11"/>
    </row>
    <row r="7" spans="1:13" ht="17.25" customHeight="1" x14ac:dyDescent="0.25">
      <c r="A7" s="220" t="s">
        <v>351</v>
      </c>
      <c r="B7" s="10"/>
      <c r="C7" s="9" t="s">
        <v>312</v>
      </c>
      <c r="D7" s="9"/>
      <c r="E7" s="299" t="s">
        <v>374</v>
      </c>
      <c r="F7" s="300"/>
      <c r="G7" s="297" t="s">
        <v>10</v>
      </c>
      <c r="H7" s="298"/>
      <c r="I7" s="299" t="s">
        <v>375</v>
      </c>
      <c r="J7" s="301"/>
      <c r="K7" s="301"/>
      <c r="L7" s="300"/>
      <c r="M7" s="11"/>
    </row>
    <row r="8" spans="1:13" ht="7.5" customHeight="1" x14ac:dyDescent="0.25">
      <c r="B8" s="10"/>
      <c r="C8" s="9"/>
      <c r="D8" s="9"/>
      <c r="E8" s="9"/>
      <c r="F8" s="9"/>
      <c r="G8" s="9"/>
      <c r="H8" s="9"/>
      <c r="I8" s="9"/>
      <c r="J8" s="9"/>
      <c r="K8" s="9"/>
      <c r="L8" s="9"/>
      <c r="M8" s="11"/>
    </row>
    <row r="9" spans="1:13" ht="17.25" customHeight="1" x14ac:dyDescent="0.25">
      <c r="B9" s="10"/>
      <c r="C9" s="9" t="s">
        <v>332</v>
      </c>
      <c r="D9" s="9"/>
      <c r="E9" s="302">
        <v>42095</v>
      </c>
      <c r="F9" s="300"/>
      <c r="G9" s="297" t="s">
        <v>11</v>
      </c>
      <c r="H9" s="298"/>
      <c r="I9" s="299" t="s">
        <v>376</v>
      </c>
      <c r="J9" s="301"/>
      <c r="K9" s="301"/>
      <c r="L9" s="300"/>
      <c r="M9" s="11"/>
    </row>
    <row r="10" spans="1:13" ht="17.25" customHeight="1" x14ac:dyDescent="0.25">
      <c r="B10" s="10"/>
      <c r="C10" s="9"/>
      <c r="D10" s="9"/>
      <c r="E10" s="9"/>
      <c r="F10" s="9"/>
      <c r="G10" s="9"/>
      <c r="H10" s="9"/>
      <c r="I10" s="17"/>
      <c r="J10" s="17"/>
      <c r="K10" s="17"/>
      <c r="L10" s="17"/>
      <c r="M10" s="11"/>
    </row>
    <row r="11" spans="1:13" x14ac:dyDescent="0.25">
      <c r="B11" s="10"/>
      <c r="C11" s="9"/>
      <c r="D11" s="9"/>
      <c r="E11" s="9"/>
      <c r="F11" s="9"/>
      <c r="G11" s="9"/>
      <c r="H11" s="9"/>
      <c r="I11" s="9"/>
      <c r="J11" s="246" t="str">
        <f ca="1">IF(H18=0,"Complete your profile to display charges","")</f>
        <v/>
      </c>
      <c r="K11" s="9"/>
      <c r="L11" s="9"/>
      <c r="M11" s="11"/>
    </row>
    <row r="12" spans="1:13" ht="13" x14ac:dyDescent="0.3">
      <c r="B12" s="10"/>
      <c r="C12" s="306" t="s">
        <v>19</v>
      </c>
      <c r="D12" s="307"/>
      <c r="E12" s="308"/>
      <c r="F12" s="304" t="s">
        <v>16</v>
      </c>
      <c r="G12" s="304"/>
      <c r="H12" s="19" t="s">
        <v>17</v>
      </c>
      <c r="I12" s="9"/>
      <c r="J12" s="306" t="s">
        <v>102</v>
      </c>
      <c r="K12" s="307"/>
      <c r="L12" s="308"/>
      <c r="M12" s="11"/>
    </row>
    <row r="13" spans="1:13" ht="17.25" customHeight="1" x14ac:dyDescent="0.3">
      <c r="B13" s="10"/>
      <c r="C13" s="305" t="s">
        <v>15</v>
      </c>
      <c r="D13" s="305"/>
      <c r="E13" s="305"/>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8208</v>
      </c>
      <c r="M13" s="11"/>
    </row>
    <row r="14" spans="1:13" ht="17.25" customHeight="1" x14ac:dyDescent="0.3">
      <c r="B14" s="10"/>
      <c r="C14" s="305" t="s">
        <v>12</v>
      </c>
      <c r="D14" s="305"/>
      <c r="E14" s="305"/>
      <c r="F14" s="295" t="str">
        <f>Complexity_Emissions_Location!O10</f>
        <v>B</v>
      </c>
      <c r="G14" s="295"/>
      <c r="H14" s="18">
        <f>IF(F14="","",HLOOKUP(F14,References!$H$8:$O$13,3,FALSE))</f>
        <v>7</v>
      </c>
      <c r="I14" s="9"/>
      <c r="J14" s="4" t="s">
        <v>353</v>
      </c>
      <c r="K14" s="4"/>
      <c r="L14" s="75">
        <f ca="1">H17*References!H4</f>
        <v>6672</v>
      </c>
      <c r="M14" s="11"/>
    </row>
    <row r="15" spans="1:13" ht="17.25" customHeight="1" x14ac:dyDescent="0.3">
      <c r="B15" s="10"/>
      <c r="C15" s="305" t="s">
        <v>13</v>
      </c>
      <c r="D15" s="305"/>
      <c r="E15" s="305"/>
      <c r="F15" s="295" t="str">
        <f ca="1">Complexity_Emissions_Location!O22</f>
        <v>B</v>
      </c>
      <c r="G15" s="295"/>
      <c r="H15" s="18">
        <f ca="1">IF(F15="","",HLOOKUP(F15,References!$H$8:$O$13,4,FALSE))</f>
        <v>2</v>
      </c>
      <c r="I15" s="9"/>
      <c r="J15" s="4" t="s">
        <v>328</v>
      </c>
      <c r="K15" s="4"/>
      <c r="L15" s="75">
        <f ca="1">H17*References!J4</f>
        <v>6000</v>
      </c>
      <c r="M15" s="11"/>
    </row>
    <row r="16" spans="1:13" ht="17.25" customHeight="1" x14ac:dyDescent="0.3">
      <c r="B16" s="10"/>
      <c r="C16" s="305" t="s">
        <v>14</v>
      </c>
      <c r="D16" s="305"/>
      <c r="E16" s="305"/>
      <c r="F16" s="295" t="str">
        <f ca="1">'Operator Performance'!H62</f>
        <v>B</v>
      </c>
      <c r="G16" s="295"/>
      <c r="H16" s="18">
        <f ca="1">IF(F16="","",HLOOKUP(F16,References!$H$8:$O$13,5,FALSE))</f>
        <v>4</v>
      </c>
      <c r="I16" s="9"/>
      <c r="J16" s="314" t="s">
        <v>329</v>
      </c>
      <c r="K16" s="314"/>
      <c r="L16" s="75">
        <f ca="1">H17*References!L4</f>
        <v>6000</v>
      </c>
      <c r="M16" s="11"/>
    </row>
    <row r="17" spans="2:13" ht="13" x14ac:dyDescent="0.3">
      <c r="B17" s="10"/>
      <c r="C17" s="309" t="str">
        <f ca="1">IF(H18=0,"Incomplete","")</f>
        <v/>
      </c>
      <c r="D17" s="310"/>
      <c r="E17" s="311"/>
      <c r="F17" s="304" t="s">
        <v>18</v>
      </c>
      <c r="G17" s="304"/>
      <c r="H17" s="19">
        <f ca="1">SUM(H13:H16)</f>
        <v>48</v>
      </c>
      <c r="I17" s="9"/>
      <c r="J17" s="314" t="s">
        <v>330</v>
      </c>
      <c r="K17" s="314"/>
      <c r="L17" s="245" t="s">
        <v>331</v>
      </c>
      <c r="M17" s="11"/>
    </row>
    <row r="18" spans="2:13" x14ac:dyDescent="0.25">
      <c r="B18" s="10"/>
      <c r="C18" s="9"/>
      <c r="D18" s="9"/>
      <c r="E18" s="9"/>
      <c r="F18" s="9"/>
      <c r="G18" s="9"/>
      <c r="H18" s="247">
        <f ca="1">IF(LEN(F13&amp;F14&amp;F15&amp;F16)&lt;4,0,H17)</f>
        <v>48</v>
      </c>
      <c r="I18" s="9"/>
      <c r="J18" s="1"/>
      <c r="K18" s="250"/>
      <c r="L18" s="251"/>
      <c r="M18" s="11"/>
    </row>
    <row r="19" spans="2:13" x14ac:dyDescent="0.25">
      <c r="B19" s="10"/>
      <c r="C19" s="9"/>
      <c r="D19" s="9"/>
      <c r="E19" s="9"/>
      <c r="F19" s="9"/>
      <c r="G19" s="9"/>
      <c r="H19" s="247"/>
      <c r="I19" s="9"/>
      <c r="J19" s="1"/>
      <c r="K19" s="250"/>
      <c r="L19" s="251"/>
      <c r="M19" s="11"/>
    </row>
    <row r="20" spans="2:13" ht="13" x14ac:dyDescent="0.3">
      <c r="B20" s="10"/>
      <c r="C20" s="315" t="s">
        <v>70</v>
      </c>
      <c r="D20" s="316"/>
      <c r="E20" s="317"/>
      <c r="F20" s="312" t="s">
        <v>65</v>
      </c>
      <c r="G20" s="313"/>
      <c r="H20" s="247"/>
      <c r="I20" s="9"/>
      <c r="J20" s="246" t="s">
        <v>354</v>
      </c>
      <c r="K20" s="250"/>
      <c r="L20" s="253">
        <f ca="1">IF(F20="",1,OFFSET(References!H13,,CODE(F20)-65))</f>
        <v>1</v>
      </c>
      <c r="M20" s="11"/>
    </row>
    <row r="21" spans="2:13" x14ac:dyDescent="0.25">
      <c r="B21" s="10"/>
      <c r="C21" s="9"/>
      <c r="D21" s="9"/>
      <c r="E21" s="9"/>
      <c r="F21" s="9"/>
      <c r="G21" s="9"/>
      <c r="H21" s="247"/>
      <c r="I21" s="9"/>
      <c r="J21" s="1"/>
      <c r="K21" s="9"/>
      <c r="L21" s="9"/>
      <c r="M21" s="11"/>
    </row>
    <row r="22" spans="2:13" ht="13" x14ac:dyDescent="0.3">
      <c r="B22" s="10"/>
      <c r="C22" s="303" t="s">
        <v>166</v>
      </c>
      <c r="D22" s="303"/>
      <c r="E22" s="303"/>
      <c r="F22" s="9"/>
      <c r="G22" s="9"/>
      <c r="H22" s="9"/>
      <c r="I22" s="9"/>
      <c r="J22" s="9"/>
      <c r="K22" s="9"/>
      <c r="L22" s="252"/>
      <c r="M22" s="11"/>
    </row>
    <row r="23" spans="2:13" ht="13" thickBot="1" x14ac:dyDescent="0.3">
      <c r="B23" s="12"/>
      <c r="C23" s="13"/>
      <c r="D23" s="13"/>
      <c r="E23" s="13"/>
      <c r="F23" s="13"/>
      <c r="G23" s="13"/>
      <c r="H23" s="13"/>
      <c r="I23" s="13"/>
      <c r="J23" s="13"/>
      <c r="K23" s="13"/>
      <c r="L23" s="13"/>
      <c r="M23" s="14"/>
    </row>
    <row r="26" spans="2:13" x14ac:dyDescent="0.25">
      <c r="E26" s="220"/>
    </row>
  </sheetData>
  <sheetProtection password="953B" sheet="1" objects="1" scenarios="1"/>
  <mergeCells count="24">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K1:M1"/>
    <mergeCell ref="G7:H7"/>
    <mergeCell ref="G9:H9"/>
    <mergeCell ref="E7:F7"/>
    <mergeCell ref="I7:L7"/>
    <mergeCell ref="E9:F9"/>
    <mergeCell ref="I9:L9"/>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K6" sqref="K6"/>
    </sheetView>
  </sheetViews>
  <sheetFormatPr defaultRowHeight="12.5" x14ac:dyDescent="0.25"/>
  <cols>
    <col min="1" max="1" width="1.81640625" customWidth="1"/>
    <col min="2" max="2" width="2.1796875" customWidth="1"/>
    <col min="3" max="3" width="15.26953125" customWidth="1"/>
    <col min="4" max="4" width="15.453125" customWidth="1"/>
    <col min="5" max="5" width="17.54296875" customWidth="1"/>
    <col min="6" max="6" width="7.453125" customWidth="1"/>
    <col min="7" max="7" width="1.26953125" customWidth="1"/>
    <col min="8" max="8" width="1.54296875" customWidth="1"/>
    <col min="9" max="9" width="2.7265625" customWidth="1"/>
    <col min="10" max="10" width="23.7265625" customWidth="1"/>
    <col min="11" max="11" width="8.54296875" customWidth="1"/>
    <col min="13" max="13" width="10.1796875" customWidth="1"/>
    <col min="14" max="14" width="6.26953125" customWidth="1"/>
    <col min="15" max="15" width="6.81640625" customWidth="1"/>
    <col min="16" max="16" width="2.1796875" customWidth="1"/>
  </cols>
  <sheetData>
    <row r="1" spans="2:17" ht="7.5" customHeight="1" thickBot="1" x14ac:dyDescent="0.3"/>
    <row r="2" spans="2:17" ht="7.5" customHeight="1" x14ac:dyDescent="0.25">
      <c r="B2" s="5"/>
      <c r="C2" s="6"/>
      <c r="D2" s="6"/>
      <c r="E2" s="6"/>
      <c r="F2" s="6"/>
      <c r="G2" s="6"/>
      <c r="H2" s="6"/>
      <c r="I2" s="6"/>
      <c r="J2" s="6"/>
      <c r="K2" s="6"/>
      <c r="L2" s="6"/>
      <c r="M2" s="6"/>
      <c r="N2" s="6"/>
      <c r="O2" s="6"/>
      <c r="P2" s="7"/>
    </row>
    <row r="3" spans="2:17" ht="15.75" customHeight="1" x14ac:dyDescent="0.25">
      <c r="B3" s="10"/>
      <c r="C3" s="33" t="s">
        <v>22</v>
      </c>
      <c r="D3" s="34"/>
      <c r="E3" s="34"/>
      <c r="F3" s="34"/>
      <c r="G3" s="35"/>
      <c r="H3" s="47"/>
      <c r="I3" s="33" t="s">
        <v>31</v>
      </c>
      <c r="J3" s="50"/>
      <c r="K3" s="31"/>
      <c r="L3" s="31"/>
      <c r="M3" s="31"/>
      <c r="N3" s="32"/>
      <c r="O3" s="65"/>
      <c r="P3" s="11"/>
    </row>
    <row r="4" spans="2:17" ht="13" x14ac:dyDescent="0.3">
      <c r="B4" s="10"/>
      <c r="C4" s="24"/>
      <c r="D4" s="9"/>
      <c r="E4" s="9"/>
      <c r="F4" s="9"/>
      <c r="G4" s="25"/>
      <c r="H4" s="9"/>
      <c r="I4" s="30"/>
      <c r="J4" s="51"/>
      <c r="K4" s="9"/>
      <c r="L4" s="9"/>
      <c r="M4" s="9"/>
      <c r="N4" s="9"/>
      <c r="O4" s="25"/>
      <c r="P4" s="11"/>
    </row>
    <row r="5" spans="2:17" ht="22.5" customHeight="1" x14ac:dyDescent="0.25">
      <c r="B5" s="10"/>
      <c r="C5" s="37" t="s">
        <v>20</v>
      </c>
      <c r="D5" s="86">
        <v>21</v>
      </c>
      <c r="E5" s="38" t="s">
        <v>98</v>
      </c>
      <c r="F5" s="260" t="str">
        <f ca="1">OFFSET(References!C3,D5-1,0)</f>
        <v>C</v>
      </c>
      <c r="G5" s="48"/>
      <c r="H5" s="9"/>
      <c r="I5" s="30"/>
      <c r="J5" s="52" t="s">
        <v>23</v>
      </c>
      <c r="K5" s="36" t="s">
        <v>29</v>
      </c>
      <c r="L5" s="36" t="s">
        <v>30</v>
      </c>
      <c r="M5" s="36" t="s">
        <v>28</v>
      </c>
      <c r="N5" s="9"/>
      <c r="O5" s="25"/>
      <c r="P5" s="11"/>
    </row>
    <row r="6" spans="2:17" ht="22.5" customHeight="1" x14ac:dyDescent="0.25">
      <c r="B6" s="10"/>
      <c r="C6" s="26"/>
      <c r="D6" s="23"/>
      <c r="E6" s="22"/>
      <c r="F6" s="23"/>
      <c r="G6" s="49"/>
      <c r="H6" s="9"/>
      <c r="I6" s="30"/>
      <c r="J6" s="20" t="s">
        <v>24</v>
      </c>
      <c r="K6" s="85"/>
      <c r="L6" s="20">
        <v>1000</v>
      </c>
      <c r="M6" s="230">
        <f>INT(K6/L6)</f>
        <v>0</v>
      </c>
      <c r="N6" s="9"/>
      <c r="O6" s="25"/>
      <c r="P6" s="11"/>
    </row>
    <row r="7" spans="2:17" ht="22.5" customHeight="1" x14ac:dyDescent="0.25">
      <c r="B7" s="10"/>
      <c r="C7" s="37" t="s">
        <v>107</v>
      </c>
      <c r="D7" s="86">
        <v>1</v>
      </c>
      <c r="E7" s="38" t="s">
        <v>108</v>
      </c>
      <c r="F7" s="260">
        <f ca="1">OFFSET(References!C3,D7-1,0)</f>
        <v>0</v>
      </c>
      <c r="G7" s="48"/>
      <c r="H7" s="9"/>
      <c r="I7" s="30"/>
      <c r="J7" s="20" t="s">
        <v>25</v>
      </c>
      <c r="K7" s="85">
        <v>28000</v>
      </c>
      <c r="L7" s="20">
        <v>750</v>
      </c>
      <c r="M7" s="230">
        <f>INT(K7/L7)</f>
        <v>37</v>
      </c>
      <c r="N7" s="9"/>
      <c r="O7" s="25"/>
      <c r="P7" s="11"/>
    </row>
    <row r="8" spans="2:17" ht="22.5" customHeight="1" x14ac:dyDescent="0.25">
      <c r="B8" s="10"/>
      <c r="C8" s="83" t="s">
        <v>110</v>
      </c>
      <c r="D8" s="28"/>
      <c r="E8" s="28"/>
      <c r="F8" s="28"/>
      <c r="G8" s="29"/>
      <c r="H8" s="9"/>
      <c r="I8" s="30"/>
      <c r="J8" s="20" t="s">
        <v>26</v>
      </c>
      <c r="K8" s="85">
        <v>3250</v>
      </c>
      <c r="L8" s="20">
        <v>500</v>
      </c>
      <c r="M8" s="230">
        <f>INT(K8/L8)</f>
        <v>6</v>
      </c>
      <c r="N8" s="9"/>
      <c r="O8" s="25"/>
      <c r="P8" s="11"/>
      <c r="Q8" s="39"/>
    </row>
    <row r="9" spans="2:17" ht="22.5" customHeight="1" x14ac:dyDescent="0.25">
      <c r="B9" s="10"/>
      <c r="C9" s="321" t="s">
        <v>347</v>
      </c>
      <c r="D9" s="321"/>
      <c r="E9" s="321"/>
      <c r="F9" s="321"/>
      <c r="G9" s="321"/>
      <c r="H9" s="9"/>
      <c r="I9" s="30"/>
      <c r="J9" s="20" t="s">
        <v>27</v>
      </c>
      <c r="K9" s="85"/>
      <c r="L9" s="20">
        <v>250</v>
      </c>
      <c r="M9" s="230">
        <f>INT(K9/L9)</f>
        <v>0</v>
      </c>
      <c r="N9" s="9"/>
      <c r="O9" s="25"/>
      <c r="P9" s="11"/>
      <c r="Q9" s="39"/>
    </row>
    <row r="10" spans="2:17" ht="18.75" customHeight="1" x14ac:dyDescent="0.3">
      <c r="B10" s="10"/>
      <c r="C10" s="322"/>
      <c r="D10" s="322"/>
      <c r="E10" s="322"/>
      <c r="F10" s="322"/>
      <c r="G10" s="322"/>
      <c r="H10" s="9"/>
      <c r="I10" s="30"/>
      <c r="J10" s="9"/>
      <c r="K10" s="9"/>
      <c r="L10" s="21" t="s">
        <v>18</v>
      </c>
      <c r="M10" s="231">
        <f>SUM(M6:M9)</f>
        <v>43</v>
      </c>
      <c r="N10" s="21" t="s">
        <v>97</v>
      </c>
      <c r="O10" s="261" t="str">
        <f>IF(D5=37,"B",IF(D5=41,"A",IF(K6 &amp; K7 &amp; K8 &amp; K9="","",IF(M10&lt;10,"A",IF(M10&lt;100,"B",IF(M10&lt;1000,"C",IF(M10&lt;10000,"D","E")))))))</f>
        <v>B</v>
      </c>
      <c r="P10" s="11"/>
      <c r="Q10" s="39"/>
    </row>
    <row r="11" spans="2:17" ht="13" x14ac:dyDescent="0.3">
      <c r="B11" s="10"/>
      <c r="C11" s="322"/>
      <c r="D11" s="322"/>
      <c r="E11" s="322"/>
      <c r="F11" s="322"/>
      <c r="G11" s="322"/>
      <c r="H11" s="9"/>
      <c r="I11" s="30"/>
      <c r="J11" s="9"/>
      <c r="K11" s="9"/>
      <c r="L11" s="21"/>
      <c r="M11" s="64"/>
      <c r="N11" s="9"/>
      <c r="O11" s="25"/>
      <c r="P11" s="11"/>
      <c r="Q11" s="39"/>
    </row>
    <row r="12" spans="2:17" x14ac:dyDescent="0.25">
      <c r="B12" s="10"/>
      <c r="C12" s="322"/>
      <c r="D12" s="322"/>
      <c r="E12" s="322"/>
      <c r="F12" s="322"/>
      <c r="G12" s="322"/>
      <c r="H12" s="9"/>
      <c r="I12" s="83" t="s">
        <v>340</v>
      </c>
      <c r="J12" s="28"/>
      <c r="K12" s="28"/>
      <c r="L12" s="28"/>
      <c r="M12" s="28"/>
      <c r="N12" s="28"/>
      <c r="O12" s="29"/>
      <c r="P12" s="11"/>
    </row>
    <row r="13" spans="2:17" ht="6" customHeight="1" x14ac:dyDescent="0.25">
      <c r="B13" s="10"/>
      <c r="C13" s="9"/>
      <c r="D13" s="9"/>
      <c r="E13" s="9"/>
      <c r="F13" s="9"/>
      <c r="G13" s="9"/>
      <c r="H13" s="9"/>
      <c r="I13" s="9"/>
      <c r="J13" s="9"/>
      <c r="K13" s="9"/>
      <c r="L13" s="9"/>
      <c r="M13" s="9"/>
      <c r="N13" s="9"/>
      <c r="O13" s="9"/>
      <c r="P13" s="11"/>
    </row>
    <row r="14" spans="2:17" ht="15.75" customHeight="1" x14ac:dyDescent="0.25">
      <c r="B14" s="54" t="s">
        <v>37</v>
      </c>
      <c r="C14" s="50"/>
      <c r="D14" s="34"/>
      <c r="E14" s="34"/>
      <c r="F14" s="34"/>
      <c r="G14" s="34"/>
      <c r="H14" s="34"/>
      <c r="I14" s="34"/>
      <c r="J14" s="34"/>
      <c r="K14" s="34"/>
      <c r="L14" s="34"/>
      <c r="M14" s="34"/>
      <c r="N14" s="34"/>
      <c r="O14" s="55"/>
      <c r="P14" s="53"/>
    </row>
    <row r="15" spans="2:17" ht="17.25" customHeight="1" x14ac:dyDescent="0.25">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5">
      <c r="B16" s="10"/>
      <c r="C16" s="319" t="s">
        <v>32</v>
      </c>
      <c r="D16" s="319"/>
      <c r="E16" s="86">
        <v>3</v>
      </c>
      <c r="F16" s="63">
        <f ca="1">OFFSET(References!E53,E16-1,0)</f>
        <v>1</v>
      </c>
      <c r="G16" s="67"/>
      <c r="H16" s="57"/>
      <c r="I16" s="23" t="s">
        <v>36</v>
      </c>
      <c r="J16" s="68"/>
      <c r="K16" s="86">
        <v>1</v>
      </c>
      <c r="L16" s="23"/>
      <c r="M16" s="46"/>
      <c r="N16" s="68"/>
      <c r="O16" s="68">
        <f ca="1">OFFSET(References!E67,K16-1,0)</f>
        <v>1</v>
      </c>
      <c r="P16" s="11"/>
    </row>
    <row r="17" spans="2:17" ht="12" customHeight="1" x14ac:dyDescent="0.25">
      <c r="B17" s="10"/>
      <c r="C17" s="23"/>
      <c r="D17" s="23"/>
      <c r="E17" s="23"/>
      <c r="F17" s="46"/>
      <c r="G17" s="23"/>
      <c r="H17" s="23"/>
      <c r="I17" s="23"/>
      <c r="J17" s="23"/>
      <c r="K17" s="23"/>
      <c r="L17" s="23"/>
      <c r="M17" s="23"/>
      <c r="N17" s="23"/>
      <c r="O17" s="46"/>
      <c r="P17" s="11"/>
    </row>
    <row r="18" spans="2:17" ht="23.25" customHeight="1" x14ac:dyDescent="0.25">
      <c r="B18" s="10"/>
      <c r="C18" s="320" t="s">
        <v>99</v>
      </c>
      <c r="D18" s="320"/>
      <c r="E18" s="87">
        <v>2</v>
      </c>
      <c r="F18" s="46">
        <f ca="1">OFFSET(References!E57,E18-1,0)</f>
        <v>2</v>
      </c>
      <c r="G18" s="46"/>
      <c r="H18" s="23"/>
      <c r="I18" s="56" t="s">
        <v>100</v>
      </c>
      <c r="J18" s="23"/>
      <c r="K18" s="86">
        <v>4</v>
      </c>
      <c r="L18" s="318"/>
      <c r="M18" s="318"/>
      <c r="N18" s="23"/>
      <c r="O18" s="22">
        <f ca="1">OFFSET(References!E70,K18-1,0)</f>
        <v>0</v>
      </c>
      <c r="P18" s="11"/>
    </row>
    <row r="19" spans="2:17" ht="12" customHeight="1" x14ac:dyDescent="0.25">
      <c r="B19" s="10"/>
      <c r="C19" s="68"/>
      <c r="D19" s="68"/>
      <c r="E19" s="68"/>
      <c r="F19" s="68"/>
      <c r="G19" s="23"/>
      <c r="H19" s="23"/>
      <c r="I19" s="68"/>
      <c r="J19" s="68"/>
      <c r="K19" s="68"/>
      <c r="L19" s="68"/>
      <c r="M19" s="68"/>
      <c r="N19" s="68"/>
      <c r="O19" s="68"/>
      <c r="P19" s="11"/>
    </row>
    <row r="20" spans="2:17" ht="23.25" customHeight="1" x14ac:dyDescent="0.25">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5">
      <c r="B21" s="10"/>
      <c r="C21" s="23"/>
      <c r="D21" s="68"/>
      <c r="E21" s="68"/>
      <c r="F21" s="68"/>
      <c r="G21" s="68"/>
      <c r="H21" s="68"/>
      <c r="I21" s="68"/>
      <c r="J21" s="68"/>
      <c r="K21" s="68"/>
      <c r="L21" s="68"/>
      <c r="M21" s="68"/>
      <c r="N21" s="68"/>
      <c r="O21" s="68"/>
      <c r="P21" s="11"/>
      <c r="Q21" s="220"/>
    </row>
    <row r="22" spans="2:17" ht="22.5" customHeight="1" x14ac:dyDescent="0.25">
      <c r="B22" s="66"/>
      <c r="C22" s="56" t="s">
        <v>34</v>
      </c>
      <c r="D22" s="23"/>
      <c r="E22" s="88">
        <v>2</v>
      </c>
      <c r="F22" s="46">
        <f ca="1">OFFSET(References!E63,E22-1,0)</f>
        <v>2</v>
      </c>
      <c r="G22" s="23"/>
      <c r="H22" s="46"/>
      <c r="I22" s="68"/>
      <c r="J22" s="69" t="s">
        <v>96</v>
      </c>
      <c r="K22" s="46">
        <f ca="1">SUM(F16:F22,O16:O20)</f>
        <v>7</v>
      </c>
      <c r="L22" s="1"/>
      <c r="M22" s="1"/>
      <c r="N22" s="70" t="s">
        <v>97</v>
      </c>
      <c r="O22" s="262" t="str">
        <f ca="1">IF(Q23=0,"",IF(D5=37,"A",IF(K22&lt;=4,"A",IF(K22&lt;=8,"B",IF(K22&lt;=12,"C",IF(K22&lt;=18,"D","E"))))))</f>
        <v>B</v>
      </c>
      <c r="P22" s="11"/>
      <c r="Q22" s="220"/>
    </row>
    <row r="23" spans="2:17" ht="13" thickBot="1" x14ac:dyDescent="0.3">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3574</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317500</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50800</xdr:rowOff>
                  </from>
                  <to>
                    <xdr:col>4</xdr:col>
                    <xdr:colOff>171450</xdr:colOff>
                    <xdr:row>6</xdr:row>
                    <xdr:rowOff>317500</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1174750</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1174750</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50800</xdr:colOff>
                    <xdr:row>15</xdr:row>
                    <xdr:rowOff>95250</xdr:rowOff>
                  </from>
                  <to>
                    <xdr:col>13</xdr:col>
                    <xdr:colOff>450850</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88900</xdr:rowOff>
                  </from>
                  <to>
                    <xdr:col>13</xdr:col>
                    <xdr:colOff>431800</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1174750</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1174750</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88900</xdr:rowOff>
                  </from>
                  <to>
                    <xdr:col>13</xdr:col>
                    <xdr:colOff>431800</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topLeftCell="A39" zoomScaleNormal="100" zoomScaleSheetLayoutView="100" workbookViewId="0">
      <selection activeCell="E31" sqref="E31"/>
    </sheetView>
  </sheetViews>
  <sheetFormatPr defaultRowHeight="12.5" x14ac:dyDescent="0.25"/>
  <cols>
    <col min="1" max="1" width="4.26953125" bestFit="1" customWidth="1"/>
    <col min="2" max="2" width="3.1796875" customWidth="1"/>
    <col min="3" max="3" width="3.26953125" style="264" customWidth="1"/>
    <col min="4" max="4" width="80.453125" customWidth="1"/>
    <col min="6" max="6" width="5.1796875" style="91" customWidth="1"/>
    <col min="7" max="7" width="0.1796875" hidden="1" customWidth="1"/>
    <col min="8" max="8" width="15" customWidth="1"/>
    <col min="9" max="9" width="4.1796875" bestFit="1" customWidth="1"/>
  </cols>
  <sheetData>
    <row r="1" spans="1:9" ht="9.75" customHeight="1" thickBot="1" x14ac:dyDescent="0.3">
      <c r="I1" s="143"/>
    </row>
    <row r="2" spans="1:9" ht="13" x14ac:dyDescent="0.3">
      <c r="A2" s="92">
        <f ca="1">(IF(Complexity_Emissions_Location!F5=0,0,HLOOKUP(Complexity_Emissions_Location!F5,References!$H$8:$O$13,2,FALSE)))</f>
        <v>35</v>
      </c>
      <c r="B2" s="5"/>
      <c r="C2" s="265"/>
      <c r="D2" s="151" t="s">
        <v>4</v>
      </c>
      <c r="E2" s="152" t="str">
        <f ca="1">IF(A2&gt;=50,"HIGH",IF(A2&gt;=10,"MEDIUM","LOW"))</f>
        <v>MEDIUM</v>
      </c>
      <c r="F2" s="153"/>
      <c r="G2" s="6"/>
      <c r="H2" s="6"/>
      <c r="I2" s="7"/>
    </row>
    <row r="3" spans="1:9" ht="13" x14ac:dyDescent="0.3">
      <c r="A3" s="92"/>
      <c r="B3" s="160"/>
      <c r="C3" s="266"/>
      <c r="D3" s="111"/>
      <c r="E3" s="112"/>
      <c r="F3" s="150"/>
      <c r="G3" s="110"/>
      <c r="H3" s="110"/>
      <c r="I3" s="154"/>
    </row>
    <row r="4" spans="1:9" ht="13" x14ac:dyDescent="0.3">
      <c r="A4" s="92" t="s">
        <v>89</v>
      </c>
      <c r="B4" s="10"/>
      <c r="C4" s="323" t="s">
        <v>0</v>
      </c>
      <c r="D4" s="324"/>
      <c r="E4" s="324"/>
      <c r="F4" s="324"/>
      <c r="G4" s="110"/>
      <c r="H4" s="144"/>
      <c r="I4" s="159"/>
    </row>
    <row r="5" spans="1:9" ht="25" x14ac:dyDescent="0.3">
      <c r="A5" s="92" t="s">
        <v>77</v>
      </c>
      <c r="B5" s="93"/>
      <c r="C5" s="267">
        <v>1</v>
      </c>
      <c r="D5" s="94" t="s">
        <v>313</v>
      </c>
      <c r="E5" s="115" t="s">
        <v>89</v>
      </c>
      <c r="F5" s="146">
        <f t="shared" ref="F5:F10" ca="1" si="0">IF(E5="yes",HLOOKUP($E$2,EMS_Score_Card,G5+1,FALSE),0)</f>
        <v>4</v>
      </c>
      <c r="G5" s="9">
        <v>1</v>
      </c>
      <c r="H5" s="155"/>
      <c r="I5" s="159"/>
    </row>
    <row r="6" spans="1:9" ht="25" x14ac:dyDescent="0.3">
      <c r="A6" s="92" t="s">
        <v>1</v>
      </c>
      <c r="B6" s="93"/>
      <c r="C6" s="268">
        <v>2</v>
      </c>
      <c r="D6" s="95" t="s">
        <v>117</v>
      </c>
      <c r="E6" s="115" t="s">
        <v>89</v>
      </c>
      <c r="F6" s="146">
        <f t="shared" ca="1" si="0"/>
        <v>2</v>
      </c>
      <c r="G6" s="9">
        <v>2</v>
      </c>
      <c r="H6" s="156"/>
      <c r="I6" s="11"/>
    </row>
    <row r="7" spans="1:9" ht="13" x14ac:dyDescent="0.3">
      <c r="B7" s="93"/>
      <c r="C7" s="268">
        <v>3</v>
      </c>
      <c r="D7" s="95" t="s">
        <v>130</v>
      </c>
      <c r="E7" s="115" t="s">
        <v>89</v>
      </c>
      <c r="F7" s="146">
        <f t="shared" ca="1" si="0"/>
        <v>0</v>
      </c>
      <c r="G7" s="9">
        <v>3</v>
      </c>
      <c r="H7" s="156"/>
      <c r="I7" s="11"/>
    </row>
    <row r="8" spans="1:9" ht="25" x14ac:dyDescent="0.3">
      <c r="B8" s="93"/>
      <c r="C8" s="268">
        <v>4</v>
      </c>
      <c r="D8" s="95" t="s">
        <v>314</v>
      </c>
      <c r="E8" s="115" t="s">
        <v>89</v>
      </c>
      <c r="F8" s="146">
        <f t="shared" ca="1" si="0"/>
        <v>2</v>
      </c>
      <c r="G8" s="9">
        <v>4</v>
      </c>
      <c r="H8" s="157" t="s">
        <v>131</v>
      </c>
      <c r="I8" s="11"/>
    </row>
    <row r="9" spans="1:9" ht="25" x14ac:dyDescent="0.3">
      <c r="B9" s="93"/>
      <c r="C9" s="268">
        <v>5</v>
      </c>
      <c r="D9" s="95" t="s">
        <v>315</v>
      </c>
      <c r="E9" s="115" t="s">
        <v>89</v>
      </c>
      <c r="F9" s="146">
        <f t="shared" ca="1" si="0"/>
        <v>2</v>
      </c>
      <c r="G9" s="9">
        <v>5</v>
      </c>
      <c r="H9" s="157" t="s">
        <v>132</v>
      </c>
      <c r="I9" s="11"/>
    </row>
    <row r="10" spans="1:9" ht="25" x14ac:dyDescent="0.3">
      <c r="B10" s="93"/>
      <c r="C10" s="268">
        <v>6</v>
      </c>
      <c r="D10" s="95" t="s">
        <v>316</v>
      </c>
      <c r="E10" s="115" t="s">
        <v>89</v>
      </c>
      <c r="F10" s="146">
        <f t="shared" ca="1" si="0"/>
        <v>2</v>
      </c>
      <c r="G10" s="9">
        <v>6</v>
      </c>
      <c r="H10" s="157" t="s">
        <v>133</v>
      </c>
      <c r="I10" s="11"/>
    </row>
    <row r="11" spans="1:9" ht="13" x14ac:dyDescent="0.3">
      <c r="B11" s="93"/>
      <c r="C11" s="269"/>
      <c r="D11" s="96" t="s">
        <v>124</v>
      </c>
      <c r="E11" s="97"/>
      <c r="F11" s="147">
        <f ca="1">SUM(F5:F10)</f>
        <v>12</v>
      </c>
      <c r="G11" s="9"/>
      <c r="H11" s="158">
        <f ca="1">(F11/12)*2</f>
        <v>2</v>
      </c>
      <c r="I11" s="11"/>
    </row>
    <row r="12" spans="1:9" ht="13" x14ac:dyDescent="0.3">
      <c r="B12" s="93"/>
      <c r="C12" s="270"/>
      <c r="D12" s="98"/>
      <c r="E12" s="99"/>
      <c r="F12" s="100"/>
      <c r="G12" s="9"/>
      <c r="H12" s="110"/>
      <c r="I12" s="11"/>
    </row>
    <row r="13" spans="1:9" ht="15" customHeight="1" x14ac:dyDescent="0.3">
      <c r="B13" s="93"/>
      <c r="C13" s="325" t="s">
        <v>126</v>
      </c>
      <c r="D13" s="326"/>
      <c r="E13" s="326"/>
      <c r="F13" s="326"/>
      <c r="G13" s="9"/>
      <c r="H13" s="144"/>
      <c r="I13" s="11"/>
    </row>
    <row r="14" spans="1:9" ht="13" x14ac:dyDescent="0.3">
      <c r="B14" s="93"/>
      <c r="C14" s="271">
        <v>1</v>
      </c>
      <c r="D14" s="102" t="s">
        <v>123</v>
      </c>
      <c r="E14" s="330" t="s">
        <v>89</v>
      </c>
      <c r="F14" s="335">
        <f ca="1">IF(E14="yes",HLOOKUP($E$2,EMS_Score_Card,G14+1,FALSE),0)</f>
        <v>3</v>
      </c>
      <c r="G14" s="9">
        <v>7</v>
      </c>
      <c r="H14" s="156"/>
      <c r="I14" s="11"/>
    </row>
    <row r="15" spans="1:9" ht="25" x14ac:dyDescent="0.3">
      <c r="B15" s="93"/>
      <c r="C15" s="272"/>
      <c r="D15" s="103" t="s">
        <v>317</v>
      </c>
      <c r="E15" s="331"/>
      <c r="F15" s="336"/>
      <c r="G15" s="9"/>
      <c r="H15" s="156"/>
      <c r="I15" s="11"/>
    </row>
    <row r="16" spans="1:9" ht="13" x14ac:dyDescent="0.3">
      <c r="B16" s="93"/>
      <c r="C16" s="267">
        <v>2</v>
      </c>
      <c r="D16" s="95" t="s">
        <v>114</v>
      </c>
      <c r="E16" s="117"/>
      <c r="F16" s="148"/>
      <c r="G16" s="9"/>
      <c r="H16" s="156"/>
      <c r="I16" s="11"/>
    </row>
    <row r="17" spans="2:9" ht="25" x14ac:dyDescent="0.3">
      <c r="B17" s="93"/>
      <c r="C17" s="273"/>
      <c r="D17" s="104" t="s">
        <v>318</v>
      </c>
      <c r="E17" s="116" t="s">
        <v>89</v>
      </c>
      <c r="F17" s="148">
        <f t="shared" ref="F17:F22" ca="1" si="1">IF(E17="yes",HLOOKUP($E$2,EMS_Score_Card,G17+1,FALSE),0)</f>
        <v>2</v>
      </c>
      <c r="G17" s="9">
        <v>8</v>
      </c>
      <c r="H17" s="156"/>
      <c r="I17" s="11"/>
    </row>
    <row r="18" spans="2:9" ht="25" x14ac:dyDescent="0.3">
      <c r="B18" s="93"/>
      <c r="C18" s="274"/>
      <c r="D18" s="113" t="s">
        <v>127</v>
      </c>
      <c r="E18" s="116" t="s">
        <v>89</v>
      </c>
      <c r="F18" s="148">
        <f t="shared" ca="1" si="1"/>
        <v>2</v>
      </c>
      <c r="G18" s="9">
        <v>9</v>
      </c>
      <c r="H18" s="156"/>
      <c r="I18" s="11"/>
    </row>
    <row r="19" spans="2:9" ht="25" x14ac:dyDescent="0.3">
      <c r="B19" s="93"/>
      <c r="C19" s="275"/>
      <c r="D19" s="104" t="s">
        <v>120</v>
      </c>
      <c r="E19" s="116" t="s">
        <v>89</v>
      </c>
      <c r="F19" s="148">
        <f t="shared" ca="1" si="1"/>
        <v>3</v>
      </c>
      <c r="G19" s="9">
        <v>10</v>
      </c>
      <c r="H19" s="156"/>
      <c r="I19" s="11"/>
    </row>
    <row r="20" spans="2:9" ht="25" x14ac:dyDescent="0.3">
      <c r="B20" s="93"/>
      <c r="C20" s="274"/>
      <c r="D20" s="291" t="s">
        <v>370</v>
      </c>
      <c r="E20" s="116" t="s">
        <v>89</v>
      </c>
      <c r="F20" s="148">
        <f t="shared" ca="1" si="1"/>
        <v>2</v>
      </c>
      <c r="G20" s="9">
        <v>11</v>
      </c>
      <c r="H20" s="156"/>
      <c r="I20" s="11"/>
    </row>
    <row r="21" spans="2:9" ht="25" x14ac:dyDescent="0.3">
      <c r="B21" s="93"/>
      <c r="C21" s="274"/>
      <c r="D21" s="104" t="s">
        <v>125</v>
      </c>
      <c r="E21" s="116" t="s">
        <v>89</v>
      </c>
      <c r="F21" s="148">
        <f t="shared" ca="1" si="1"/>
        <v>2</v>
      </c>
      <c r="G21" s="9">
        <v>12</v>
      </c>
      <c r="H21" s="157" t="s">
        <v>134</v>
      </c>
      <c r="I21" s="11"/>
    </row>
    <row r="22" spans="2:9" ht="25" x14ac:dyDescent="0.3">
      <c r="B22" s="93"/>
      <c r="C22" s="268">
        <v>3</v>
      </c>
      <c r="D22" s="95" t="s">
        <v>115</v>
      </c>
      <c r="E22" s="116" t="s">
        <v>89</v>
      </c>
      <c r="F22" s="148">
        <f t="shared" ca="1" si="1"/>
        <v>3</v>
      </c>
      <c r="G22" s="9">
        <v>13</v>
      </c>
      <c r="H22" s="157" t="s">
        <v>132</v>
      </c>
      <c r="I22" s="11"/>
    </row>
    <row r="23" spans="2:9" ht="25" x14ac:dyDescent="0.3">
      <c r="B23" s="93"/>
      <c r="C23" s="268">
        <v>4</v>
      </c>
      <c r="D23" s="95" t="s">
        <v>333</v>
      </c>
      <c r="E23" s="116" t="s">
        <v>89</v>
      </c>
      <c r="F23" s="148">
        <f>IF(E23="no",HLOOKUP($E$2,EMS_Score_Card,G23+1,FALSE),0)</f>
        <v>0</v>
      </c>
      <c r="G23" s="9">
        <v>14</v>
      </c>
      <c r="H23" s="157" t="s">
        <v>133</v>
      </c>
      <c r="I23" s="11"/>
    </row>
    <row r="24" spans="2:9" ht="13" x14ac:dyDescent="0.3">
      <c r="B24" s="93"/>
      <c r="C24" s="276"/>
      <c r="D24" s="105" t="s">
        <v>334</v>
      </c>
      <c r="E24" s="109"/>
      <c r="F24" s="149">
        <f ca="1">SUM(F14:F23)</f>
        <v>17</v>
      </c>
      <c r="G24" s="9"/>
      <c r="H24" s="158">
        <f ca="1">(F24/17)*2</f>
        <v>2</v>
      </c>
      <c r="I24" s="159"/>
    </row>
    <row r="25" spans="2:9" ht="13" x14ac:dyDescent="0.3">
      <c r="B25" s="93"/>
      <c r="C25" s="277"/>
      <c r="D25" s="106"/>
      <c r="E25" s="101"/>
      <c r="F25" s="108"/>
      <c r="G25" s="9"/>
      <c r="H25" s="110"/>
      <c r="I25" s="11"/>
    </row>
    <row r="26" spans="2:9" ht="13" x14ac:dyDescent="0.3">
      <c r="B26" s="93"/>
      <c r="C26" s="325" t="s">
        <v>121</v>
      </c>
      <c r="D26" s="326"/>
      <c r="E26" s="326"/>
      <c r="F26" s="326"/>
      <c r="G26" s="9"/>
      <c r="H26" s="144"/>
      <c r="I26" s="11"/>
    </row>
    <row r="27" spans="2:9" ht="38" x14ac:dyDescent="0.3">
      <c r="B27" s="93"/>
      <c r="C27" s="278">
        <v>1</v>
      </c>
      <c r="D27" s="114" t="s">
        <v>364</v>
      </c>
      <c r="E27" s="118" t="s">
        <v>89</v>
      </c>
      <c r="F27" s="172">
        <f t="shared" ref="F27:F33" ca="1" si="2">IF(E27="yes",HLOOKUP($E$2,EMS_Score_Card,G27+1,FALSE),0)</f>
        <v>6</v>
      </c>
      <c r="G27" s="9">
        <v>15</v>
      </c>
      <c r="H27" s="25"/>
      <c r="I27" s="11"/>
    </row>
    <row r="28" spans="2:9" ht="13" x14ac:dyDescent="0.3">
      <c r="B28" s="93"/>
      <c r="C28" s="268">
        <v>2</v>
      </c>
      <c r="D28" s="95" t="s">
        <v>128</v>
      </c>
      <c r="E28" s="116" t="s">
        <v>77</v>
      </c>
      <c r="F28" s="173">
        <f t="shared" si="2"/>
        <v>0</v>
      </c>
      <c r="G28" s="9">
        <v>16</v>
      </c>
      <c r="H28" s="25"/>
      <c r="I28" s="11"/>
    </row>
    <row r="29" spans="2:9" ht="25" x14ac:dyDescent="0.3">
      <c r="B29" s="93"/>
      <c r="C29" s="268">
        <v>3</v>
      </c>
      <c r="D29" s="292" t="s">
        <v>371</v>
      </c>
      <c r="E29" s="116" t="s">
        <v>89</v>
      </c>
      <c r="F29" s="173">
        <f>IF(E29="no",HLOOKUP($E$2,EMS_Score_Card,G29+1,FALSE),0)</f>
        <v>0</v>
      </c>
      <c r="G29" s="9">
        <v>17</v>
      </c>
      <c r="H29" s="25"/>
      <c r="I29" s="11"/>
    </row>
    <row r="30" spans="2:9" ht="25" x14ac:dyDescent="0.25">
      <c r="B30" s="195"/>
      <c r="C30" s="268">
        <v>4</v>
      </c>
      <c r="D30" s="95" t="s">
        <v>319</v>
      </c>
      <c r="E30" s="116" t="s">
        <v>89</v>
      </c>
      <c r="F30" s="173">
        <f t="shared" ca="1" si="2"/>
        <v>4</v>
      </c>
      <c r="G30" s="9">
        <v>18</v>
      </c>
      <c r="H30" s="25"/>
      <c r="I30" s="11"/>
    </row>
    <row r="31" spans="2:9" ht="25" x14ac:dyDescent="0.3">
      <c r="B31" s="93"/>
      <c r="C31" s="268">
        <v>5</v>
      </c>
      <c r="D31" s="95" t="s">
        <v>320</v>
      </c>
      <c r="E31" s="116"/>
      <c r="F31" s="173">
        <f t="shared" si="2"/>
        <v>0</v>
      </c>
      <c r="G31" s="9">
        <v>19</v>
      </c>
      <c r="H31" s="161" t="s">
        <v>131</v>
      </c>
      <c r="I31" s="11"/>
    </row>
    <row r="32" spans="2:9" ht="25" x14ac:dyDescent="0.3">
      <c r="B32" s="93"/>
      <c r="C32" s="268">
        <v>6</v>
      </c>
      <c r="D32" s="95" t="s">
        <v>321</v>
      </c>
      <c r="E32" s="116"/>
      <c r="F32" s="173">
        <f t="shared" si="2"/>
        <v>0</v>
      </c>
      <c r="G32" s="9">
        <v>20</v>
      </c>
      <c r="H32" s="161" t="s">
        <v>132</v>
      </c>
      <c r="I32" s="11"/>
    </row>
    <row r="33" spans="2:9" ht="25" x14ac:dyDescent="0.3">
      <c r="B33" s="93"/>
      <c r="C33" s="268">
        <v>7</v>
      </c>
      <c r="D33" s="95" t="s">
        <v>322</v>
      </c>
      <c r="E33" s="116"/>
      <c r="F33" s="173">
        <f t="shared" si="2"/>
        <v>0</v>
      </c>
      <c r="G33" s="9">
        <v>21</v>
      </c>
      <c r="H33" s="161" t="s">
        <v>133</v>
      </c>
      <c r="I33" s="11"/>
    </row>
    <row r="34" spans="2:9" ht="13" x14ac:dyDescent="0.3">
      <c r="B34" s="93"/>
      <c r="C34" s="276"/>
      <c r="D34" s="105" t="s">
        <v>111</v>
      </c>
      <c r="E34" s="109"/>
      <c r="F34" s="174">
        <f ca="1">SUM(F27:F33)</f>
        <v>10</v>
      </c>
      <c r="G34" s="9"/>
      <c r="H34" s="162">
        <f ca="1">(F34/12)*2</f>
        <v>1.6666666666666667</v>
      </c>
      <c r="I34" s="11"/>
    </row>
    <row r="35" spans="2:9" ht="13" x14ac:dyDescent="0.3">
      <c r="B35" s="93"/>
      <c r="C35" s="277"/>
      <c r="D35" s="106"/>
      <c r="E35" s="101"/>
      <c r="F35" s="108"/>
      <c r="G35" s="9"/>
      <c r="H35" s="110"/>
      <c r="I35" s="11"/>
    </row>
    <row r="36" spans="2:9" ht="13" x14ac:dyDescent="0.3">
      <c r="B36" s="93"/>
      <c r="C36" s="325" t="s">
        <v>122</v>
      </c>
      <c r="D36" s="326"/>
      <c r="E36" s="326"/>
      <c r="F36" s="326"/>
      <c r="G36" s="9"/>
      <c r="H36" s="144"/>
      <c r="I36" s="11"/>
    </row>
    <row r="37" spans="2:9" ht="52.5" customHeight="1" x14ac:dyDescent="0.3">
      <c r="B37" s="93"/>
      <c r="C37" s="279"/>
      <c r="D37" s="327" t="s">
        <v>310</v>
      </c>
      <c r="E37" s="328"/>
      <c r="F37" s="329"/>
      <c r="G37" s="9"/>
      <c r="H37" s="25"/>
      <c r="I37" s="11"/>
    </row>
    <row r="38" spans="2:9" ht="25" x14ac:dyDescent="0.3">
      <c r="B38" s="93"/>
      <c r="C38" s="280">
        <v>1</v>
      </c>
      <c r="D38" s="224" t="s">
        <v>335</v>
      </c>
      <c r="E38" s="226">
        <v>1</v>
      </c>
      <c r="F38" s="225">
        <f ca="1">OFFSET(References!G16,E38,0)</f>
        <v>0</v>
      </c>
      <c r="G38" s="9">
        <v>22</v>
      </c>
      <c r="H38" s="25"/>
      <c r="I38" s="11"/>
    </row>
    <row r="39" spans="2:9" ht="13" x14ac:dyDescent="0.3">
      <c r="B39" s="93"/>
      <c r="C39" s="276"/>
      <c r="D39" s="119" t="s">
        <v>116</v>
      </c>
      <c r="E39" s="107"/>
      <c r="F39" s="175">
        <f ca="1">MAX(F38:F38)</f>
        <v>0</v>
      </c>
      <c r="G39" s="9"/>
      <c r="H39" s="25"/>
      <c r="I39" s="11"/>
    </row>
    <row r="40" spans="2:9" ht="29.25" customHeight="1" x14ac:dyDescent="0.3">
      <c r="B40" s="93"/>
      <c r="C40" s="279">
        <v>2</v>
      </c>
      <c r="D40" s="327" t="s">
        <v>323</v>
      </c>
      <c r="E40" s="328"/>
      <c r="F40" s="180"/>
      <c r="G40" s="9"/>
      <c r="H40" s="25"/>
      <c r="I40" s="11"/>
    </row>
    <row r="41" spans="2:9" ht="13" x14ac:dyDescent="0.3">
      <c r="B41" s="93"/>
      <c r="C41" s="281">
        <v>2.1</v>
      </c>
      <c r="D41" s="177" t="s">
        <v>112</v>
      </c>
      <c r="E41" s="178"/>
      <c r="F41" s="179"/>
      <c r="G41" s="9"/>
      <c r="H41" s="25"/>
      <c r="I41" s="11"/>
    </row>
    <row r="42" spans="2:9" ht="13" x14ac:dyDescent="0.3">
      <c r="B42" s="93"/>
      <c r="C42" s="268"/>
      <c r="D42" s="120" t="s">
        <v>118</v>
      </c>
      <c r="E42" s="89" t="s">
        <v>89</v>
      </c>
      <c r="F42" s="173">
        <f t="shared" ref="F42:F47" ca="1" si="3">IF(E42="yes",HLOOKUP($E$2,EMS_Score_Card,G42+1,FALSE),0)</f>
        <v>3</v>
      </c>
      <c r="G42" s="9">
        <v>26</v>
      </c>
      <c r="H42" s="25"/>
      <c r="I42" s="11"/>
    </row>
    <row r="43" spans="2:9" ht="25.5" customHeight="1" x14ac:dyDescent="0.3">
      <c r="B43" s="93"/>
      <c r="C43" s="268"/>
      <c r="D43" s="120" t="s">
        <v>129</v>
      </c>
      <c r="E43" s="89" t="s">
        <v>89</v>
      </c>
      <c r="F43" s="173">
        <f t="shared" ca="1" si="3"/>
        <v>3</v>
      </c>
      <c r="G43" s="9">
        <v>27</v>
      </c>
      <c r="H43" s="25"/>
      <c r="I43" s="11"/>
    </row>
    <row r="44" spans="2:9" ht="25" x14ac:dyDescent="0.3">
      <c r="B44" s="93"/>
      <c r="C44" s="282"/>
      <c r="D44" s="121" t="s">
        <v>119</v>
      </c>
      <c r="E44" s="89" t="s">
        <v>89</v>
      </c>
      <c r="F44" s="173">
        <f t="shared" ca="1" si="3"/>
        <v>3</v>
      </c>
      <c r="G44" s="9">
        <v>28</v>
      </c>
      <c r="H44" s="25"/>
      <c r="I44" s="11"/>
    </row>
    <row r="45" spans="2:9" ht="27" customHeight="1" x14ac:dyDescent="0.3">
      <c r="B45" s="93"/>
      <c r="C45" s="283">
        <v>2.2000000000000002</v>
      </c>
      <c r="D45" s="235" t="s">
        <v>336</v>
      </c>
      <c r="E45" s="89" t="s">
        <v>77</v>
      </c>
      <c r="F45" s="233">
        <f t="shared" si="3"/>
        <v>0</v>
      </c>
      <c r="G45" s="9">
        <v>29</v>
      </c>
      <c r="H45" s="25"/>
      <c r="I45" s="11"/>
    </row>
    <row r="46" spans="2:9" ht="25" x14ac:dyDescent="0.3">
      <c r="B46" s="93"/>
      <c r="C46" s="284">
        <v>2.2999999999999998</v>
      </c>
      <c r="D46" s="122" t="s">
        <v>337</v>
      </c>
      <c r="E46" s="234" t="s">
        <v>77</v>
      </c>
      <c r="F46" s="181">
        <f t="shared" si="3"/>
        <v>0</v>
      </c>
      <c r="G46" s="9">
        <v>30</v>
      </c>
      <c r="H46" s="161" t="s">
        <v>131</v>
      </c>
      <c r="I46" s="11"/>
    </row>
    <row r="47" spans="2:9" ht="25" x14ac:dyDescent="0.3">
      <c r="B47" s="93"/>
      <c r="C47" s="268">
        <v>3</v>
      </c>
      <c r="D47" s="95" t="s">
        <v>338</v>
      </c>
      <c r="E47" s="116" t="s">
        <v>77</v>
      </c>
      <c r="F47" s="182">
        <f t="shared" si="3"/>
        <v>0</v>
      </c>
      <c r="G47" s="9">
        <v>31</v>
      </c>
      <c r="H47" s="161" t="s">
        <v>135</v>
      </c>
      <c r="I47" s="11"/>
    </row>
    <row r="48" spans="2:9" ht="37.5" x14ac:dyDescent="0.3">
      <c r="B48" s="93"/>
      <c r="C48" s="279">
        <v>4</v>
      </c>
      <c r="D48" s="293" t="s">
        <v>372</v>
      </c>
      <c r="E48" s="90">
        <v>0</v>
      </c>
      <c r="F48" s="176">
        <f>E48*-2</f>
        <v>0</v>
      </c>
      <c r="G48" s="9">
        <v>32</v>
      </c>
      <c r="H48" s="161" t="s">
        <v>133</v>
      </c>
      <c r="I48" s="11"/>
    </row>
    <row r="49" spans="2:9" ht="13" x14ac:dyDescent="0.3">
      <c r="B49" s="184"/>
      <c r="C49" s="279"/>
      <c r="D49" s="185" t="s">
        <v>136</v>
      </c>
      <c r="E49" s="123"/>
      <c r="F49" s="183">
        <f ca="1">IF(F39=20,F39+F48,IF(F39&gt;=12,F39+SUM(F47:F48),IF(SUM(F42:F46)&gt;F39,SUM(F42:F48),F39+SUM(F47:F48))))</f>
        <v>9</v>
      </c>
      <c r="G49" s="28"/>
      <c r="H49" s="162">
        <f ca="1">(F49/20)*4</f>
        <v>1.8</v>
      </c>
      <c r="I49" s="159"/>
    </row>
    <row r="50" spans="2:9" ht="13" x14ac:dyDescent="0.3">
      <c r="B50" s="93"/>
      <c r="C50" s="125"/>
      <c r="D50" s="125"/>
      <c r="E50" s="126"/>
      <c r="F50" s="127"/>
      <c r="G50" s="9"/>
      <c r="H50" s="9"/>
      <c r="I50" s="11"/>
    </row>
    <row r="51" spans="2:9" ht="13" x14ac:dyDescent="0.3">
      <c r="B51" s="93"/>
      <c r="C51" s="333" t="s">
        <v>139</v>
      </c>
      <c r="D51" s="334"/>
      <c r="E51" s="334"/>
      <c r="F51" s="334"/>
      <c r="G51" s="124"/>
      <c r="H51" s="163"/>
      <c r="I51" s="11"/>
    </row>
    <row r="52" spans="2:9" ht="6.75" customHeight="1" x14ac:dyDescent="0.3">
      <c r="B52" s="93"/>
      <c r="C52" s="285"/>
      <c r="D52" s="126"/>
      <c r="E52" s="126"/>
      <c r="F52" s="126"/>
      <c r="G52" s="126"/>
      <c r="H52" s="164"/>
      <c r="I52" s="11"/>
    </row>
    <row r="53" spans="2:9" ht="45.75" customHeight="1" x14ac:dyDescent="0.3">
      <c r="B53" s="93"/>
      <c r="C53" s="286"/>
      <c r="D53" s="332" t="s">
        <v>341</v>
      </c>
      <c r="E53" s="332"/>
      <c r="F53" s="332"/>
      <c r="G53" s="129"/>
      <c r="H53" s="164"/>
      <c r="I53" s="11"/>
    </row>
    <row r="54" spans="2:9" ht="75" x14ac:dyDescent="0.3">
      <c r="B54" s="93"/>
      <c r="C54" s="282">
        <v>1</v>
      </c>
      <c r="D54" s="130" t="s">
        <v>365</v>
      </c>
      <c r="E54" s="133">
        <v>0</v>
      </c>
      <c r="F54" s="137" t="str">
        <f>IF(E54=0,"",IF(E54=1,-5,IF(E54=2,-10,-40)))</f>
        <v/>
      </c>
      <c r="G54" s="135"/>
      <c r="H54" s="236"/>
      <c r="I54" s="11"/>
    </row>
    <row r="55" spans="2:9" ht="25" x14ac:dyDescent="0.3">
      <c r="B55" s="93"/>
      <c r="C55" s="282">
        <v>2</v>
      </c>
      <c r="D55" s="131" t="s">
        <v>366</v>
      </c>
      <c r="E55" s="134">
        <v>0</v>
      </c>
      <c r="F55" s="137" t="str">
        <f>IF(E55=0,"",IF(E55=1,-5,IF(E55=2,-10,-40)))</f>
        <v/>
      </c>
      <c r="G55" s="132"/>
      <c r="H55" s="237"/>
      <c r="I55" s="11"/>
    </row>
    <row r="56" spans="2:9" ht="50" x14ac:dyDescent="0.3">
      <c r="B56" s="93"/>
      <c r="C56" s="282">
        <v>3</v>
      </c>
      <c r="D56" s="131" t="s">
        <v>367</v>
      </c>
      <c r="E56" s="134">
        <v>0</v>
      </c>
      <c r="F56" s="137" t="str">
        <f>IF(E56=0,"",IF(E56=1,-10,IF(E56=2,-40,-40)))</f>
        <v/>
      </c>
      <c r="G56" s="132"/>
      <c r="H56" s="237"/>
      <c r="I56" s="11"/>
    </row>
    <row r="57" spans="2:9" ht="62.5" x14ac:dyDescent="0.3">
      <c r="B57" s="93"/>
      <c r="C57" s="282">
        <v>4</v>
      </c>
      <c r="D57" s="294" t="s">
        <v>373</v>
      </c>
      <c r="E57" s="134">
        <v>0</v>
      </c>
      <c r="F57" s="137" t="str">
        <f>IF(E57=0,"",IF(E57=1,-15,IF(E57=2,-40,-40)))</f>
        <v/>
      </c>
      <c r="G57" s="132"/>
      <c r="H57" s="238" t="s">
        <v>324</v>
      </c>
      <c r="I57" s="11"/>
    </row>
    <row r="58" spans="2:9" ht="13" x14ac:dyDescent="0.3">
      <c r="B58" s="93"/>
      <c r="C58" s="276"/>
      <c r="D58" s="136"/>
      <c r="E58" s="97"/>
      <c r="F58" s="138">
        <f>SUM(F54:F57)</f>
        <v>0</v>
      </c>
      <c r="G58" s="165"/>
      <c r="H58" s="158">
        <f>(F58/40)*4</f>
        <v>0</v>
      </c>
      <c r="I58" s="11"/>
    </row>
    <row r="59" spans="2:9" ht="13" x14ac:dyDescent="0.3">
      <c r="B59" s="93"/>
      <c r="C59" s="287"/>
      <c r="D59" s="139"/>
      <c r="E59" s="190"/>
      <c r="F59" s="191"/>
      <c r="G59" s="139"/>
      <c r="H59" s="189"/>
      <c r="I59" s="166"/>
    </row>
    <row r="60" spans="2:9" ht="13" x14ac:dyDescent="0.3">
      <c r="B60" s="93"/>
      <c r="C60" s="287"/>
      <c r="D60" s="139"/>
      <c r="E60" s="186" t="s">
        <v>137</v>
      </c>
      <c r="F60" s="192"/>
      <c r="G60" s="139"/>
      <c r="H60" s="263">
        <f ca="1">H11+H24+H34+H49+H58</f>
        <v>7.4666666666666668</v>
      </c>
      <c r="I60" s="166"/>
    </row>
    <row r="61" spans="2:9" ht="8.25" customHeight="1" x14ac:dyDescent="0.3">
      <c r="B61" s="93"/>
      <c r="C61" s="288"/>
      <c r="D61" s="140"/>
      <c r="E61" s="193"/>
      <c r="F61" s="194"/>
      <c r="G61" s="139"/>
      <c r="H61" s="158"/>
      <c r="I61" s="166"/>
    </row>
    <row r="62" spans="2:9" ht="21" customHeight="1" x14ac:dyDescent="0.3">
      <c r="B62" s="93"/>
      <c r="C62" s="289"/>
      <c r="D62" s="141" t="s">
        <v>325</v>
      </c>
      <c r="E62" s="145"/>
      <c r="F62" s="188" t="s">
        <v>113</v>
      </c>
      <c r="G62" s="142"/>
      <c r="H62" s="187" t="str">
        <f ca="1">IF(H60=0,"",IF(H60&lt;2,"E",IF(H60&lt;4,"D",IF(H60&lt;6,"C",IF(H60&lt;8,"B","A")))))</f>
        <v>B</v>
      </c>
      <c r="I62" s="167"/>
    </row>
    <row r="63" spans="2:9" ht="13.5" thickBot="1" x14ac:dyDescent="0.35">
      <c r="B63" s="128"/>
      <c r="C63" s="290"/>
      <c r="D63" s="168"/>
      <c r="E63" s="169"/>
      <c r="F63" s="170"/>
      <c r="G63" s="168"/>
      <c r="H63" s="168"/>
      <c r="I63" s="171"/>
    </row>
    <row r="64" spans="2:9" ht="13" thickBot="1" x14ac:dyDescent="0.3"/>
    <row r="65" spans="5:9" ht="13" x14ac:dyDescent="0.3">
      <c r="E65" s="198" t="s">
        <v>138</v>
      </c>
      <c r="F65" s="199"/>
      <c r="G65" s="200"/>
      <c r="H65" s="200"/>
      <c r="I65" s="201"/>
    </row>
    <row r="66" spans="5:9" x14ac:dyDescent="0.25">
      <c r="E66" s="202" t="s">
        <v>0</v>
      </c>
      <c r="F66" s="196"/>
      <c r="G66" s="4"/>
      <c r="H66" s="4"/>
      <c r="I66" s="203">
        <f ca="1">H11</f>
        <v>2</v>
      </c>
    </row>
    <row r="67" spans="5:9" x14ac:dyDescent="0.25">
      <c r="E67" s="202" t="s">
        <v>339</v>
      </c>
      <c r="F67" s="196"/>
      <c r="G67" s="4"/>
      <c r="H67" s="4"/>
      <c r="I67" s="203">
        <f ca="1">H24</f>
        <v>2</v>
      </c>
    </row>
    <row r="68" spans="5:9" ht="13.5" customHeight="1" x14ac:dyDescent="0.25">
      <c r="E68" s="202" t="s">
        <v>140</v>
      </c>
      <c r="F68" s="196"/>
      <c r="G68" s="4"/>
      <c r="H68" s="4"/>
      <c r="I68" s="203">
        <f ca="1">H34</f>
        <v>1.6666666666666667</v>
      </c>
    </row>
    <row r="69" spans="5:9" x14ac:dyDescent="0.25">
      <c r="E69" s="202" t="s">
        <v>141</v>
      </c>
      <c r="F69" s="197"/>
      <c r="G69" s="110"/>
      <c r="H69" s="144"/>
      <c r="I69" s="203">
        <f ca="1">H49</f>
        <v>1.8</v>
      </c>
    </row>
    <row r="70" spans="5:9" x14ac:dyDescent="0.25">
      <c r="E70" s="202" t="s">
        <v>142</v>
      </c>
      <c r="F70" s="196"/>
      <c r="G70" s="4"/>
      <c r="H70" s="4"/>
      <c r="I70" s="203">
        <f>H58</f>
        <v>0</v>
      </c>
    </row>
    <row r="71" spans="5:9" ht="13" thickBot="1" x14ac:dyDescent="0.3">
      <c r="E71" s="204" t="s">
        <v>143</v>
      </c>
      <c r="F71" s="205"/>
      <c r="G71" s="206"/>
      <c r="H71" s="206"/>
      <c r="I71" s="207">
        <f ca="1">H59+H60</f>
        <v>7.4666666666666668</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4</xdr:col>
                    <xdr:colOff>0</xdr:colOff>
                    <xdr:row>37</xdr:row>
                    <xdr:rowOff>76200</xdr:rowOff>
                  </from>
                  <to>
                    <xdr:col>5</xdr:col>
                    <xdr:colOff>0</xdr:colOff>
                    <xdr:row>38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heetViews>
  <sheetFormatPr defaultRowHeight="12.5" x14ac:dyDescent="0.25"/>
  <cols>
    <col min="1" max="1" width="1.26953125" customWidth="1"/>
    <col min="2" max="2" width="17.453125" customWidth="1"/>
    <col min="3" max="3" width="4.81640625" bestFit="1" customWidth="1"/>
    <col min="4" max="4" width="9.26953125" customWidth="1"/>
    <col min="5" max="5" width="6.7265625" customWidth="1"/>
    <col min="6" max="6" width="9.26953125" customWidth="1"/>
    <col min="7" max="7" width="7.26953125" bestFit="1" customWidth="1"/>
    <col min="8" max="8" width="6.7265625" customWidth="1"/>
    <col min="9" max="9" width="7.81640625" customWidth="1"/>
    <col min="10" max="10" width="6.7265625" customWidth="1"/>
    <col min="11" max="11" width="8.54296875" bestFit="1" customWidth="1"/>
    <col min="12" max="12" width="6.1796875" customWidth="1"/>
    <col min="13" max="13" width="8" bestFit="1" customWidth="1"/>
    <col min="14" max="14" width="7.1796875" customWidth="1"/>
  </cols>
  <sheetData>
    <row r="1" spans="2:15" ht="7.5" customHeight="1" x14ac:dyDescent="0.25"/>
    <row r="2" spans="2:15" x14ac:dyDescent="0.25">
      <c r="B2" s="77" t="s">
        <v>109</v>
      </c>
      <c r="C2" s="76"/>
      <c r="E2" t="s">
        <v>369</v>
      </c>
    </row>
    <row r="3" spans="2:15" x14ac:dyDescent="0.25">
      <c r="B3" s="80" t="s">
        <v>101</v>
      </c>
      <c r="C3" s="79"/>
      <c r="E3" s="77" t="s">
        <v>104</v>
      </c>
      <c r="F3" s="77"/>
      <c r="G3" s="241"/>
      <c r="H3" s="241"/>
      <c r="I3" s="241"/>
      <c r="J3" s="241"/>
      <c r="K3" s="241"/>
      <c r="L3" s="241"/>
      <c r="M3" s="255"/>
      <c r="N3" s="256"/>
    </row>
    <row r="4" spans="2:15" x14ac:dyDescent="0.25">
      <c r="B4" s="81" t="s">
        <v>38</v>
      </c>
      <c r="C4" s="79" t="s">
        <v>60</v>
      </c>
      <c r="E4" s="4" t="s">
        <v>105</v>
      </c>
      <c r="F4" s="78">
        <v>171</v>
      </c>
      <c r="G4" s="244" t="s">
        <v>352</v>
      </c>
      <c r="H4" s="242">
        <v>139</v>
      </c>
      <c r="I4" s="244" t="s">
        <v>326</v>
      </c>
      <c r="J4" s="243">
        <v>125</v>
      </c>
      <c r="K4" s="4" t="s">
        <v>327</v>
      </c>
      <c r="L4" s="243">
        <v>125</v>
      </c>
      <c r="M4" s="257"/>
      <c r="N4" s="258"/>
    </row>
    <row r="5" spans="2:15" x14ac:dyDescent="0.25">
      <c r="B5" s="81" t="s">
        <v>172</v>
      </c>
      <c r="C5" s="79" t="s">
        <v>65</v>
      </c>
      <c r="E5" s="4" t="s">
        <v>106</v>
      </c>
      <c r="F5" s="240" t="s">
        <v>1</v>
      </c>
      <c r="G5" s="239"/>
      <c r="H5" s="239"/>
      <c r="I5" s="239"/>
    </row>
    <row r="6" spans="2:15" x14ac:dyDescent="0.25">
      <c r="B6" s="81" t="s">
        <v>39</v>
      </c>
      <c r="C6" s="79" t="s">
        <v>61</v>
      </c>
    </row>
    <row r="7" spans="2:15" x14ac:dyDescent="0.25">
      <c r="B7" s="81" t="s">
        <v>173</v>
      </c>
      <c r="C7" s="79" t="s">
        <v>65</v>
      </c>
      <c r="E7" t="s">
        <v>343</v>
      </c>
    </row>
    <row r="8" spans="2:15" x14ac:dyDescent="0.25">
      <c r="B8" s="81" t="s">
        <v>40</v>
      </c>
      <c r="C8" s="79" t="s">
        <v>62</v>
      </c>
      <c r="E8" s="337" t="s">
        <v>63</v>
      </c>
      <c r="F8" s="338"/>
      <c r="G8" s="339"/>
      <c r="H8" s="40" t="s">
        <v>64</v>
      </c>
      <c r="I8" s="40" t="s">
        <v>65</v>
      </c>
      <c r="J8" s="40" t="s">
        <v>66</v>
      </c>
      <c r="K8" s="40" t="s">
        <v>67</v>
      </c>
      <c r="L8" s="40" t="s">
        <v>62</v>
      </c>
      <c r="M8" s="248" t="s">
        <v>342</v>
      </c>
      <c r="N8" s="71" t="s">
        <v>61</v>
      </c>
      <c r="O8" s="74" t="s">
        <v>60</v>
      </c>
    </row>
    <row r="9" spans="2:15" x14ac:dyDescent="0.25">
      <c r="B9" s="81" t="s">
        <v>174</v>
      </c>
      <c r="C9" s="79" t="s">
        <v>65</v>
      </c>
      <c r="E9" s="340" t="s">
        <v>21</v>
      </c>
      <c r="F9" s="341"/>
      <c r="G9" s="342"/>
      <c r="H9" s="41">
        <v>4</v>
      </c>
      <c r="I9" s="41">
        <v>10</v>
      </c>
      <c r="J9" s="41">
        <v>35</v>
      </c>
      <c r="K9" s="41">
        <v>50</v>
      </c>
      <c r="L9" s="41">
        <v>65</v>
      </c>
      <c r="M9" s="41">
        <v>100</v>
      </c>
      <c r="N9" s="73">
        <v>130</v>
      </c>
      <c r="O9" s="73">
        <v>195</v>
      </c>
    </row>
    <row r="10" spans="2:15" x14ac:dyDescent="0.25">
      <c r="B10" s="81" t="s">
        <v>41</v>
      </c>
      <c r="C10" s="79" t="s">
        <v>342</v>
      </c>
      <c r="E10" s="340" t="s">
        <v>69</v>
      </c>
      <c r="F10" s="341"/>
      <c r="G10" s="342"/>
      <c r="H10" s="41">
        <v>3</v>
      </c>
      <c r="I10" s="41">
        <v>7</v>
      </c>
      <c r="J10" s="41">
        <v>15</v>
      </c>
      <c r="K10" s="41">
        <v>30</v>
      </c>
      <c r="L10" s="41">
        <v>40</v>
      </c>
      <c r="M10" s="249"/>
      <c r="N10" s="72"/>
      <c r="O10" s="72"/>
    </row>
    <row r="11" spans="2:15" x14ac:dyDescent="0.25">
      <c r="B11" s="82" t="s">
        <v>167</v>
      </c>
      <c r="C11" s="41" t="s">
        <v>65</v>
      </c>
      <c r="E11" s="340" t="s">
        <v>68</v>
      </c>
      <c r="F11" s="341"/>
      <c r="G11" s="342"/>
      <c r="H11" s="41">
        <v>1</v>
      </c>
      <c r="I11" s="41">
        <v>2</v>
      </c>
      <c r="J11" s="41">
        <v>3</v>
      </c>
      <c r="K11" s="41">
        <v>5</v>
      </c>
      <c r="L11" s="41">
        <v>7</v>
      </c>
      <c r="M11" s="249"/>
      <c r="N11" s="72"/>
      <c r="O11" s="72"/>
    </row>
    <row r="12" spans="2:15" x14ac:dyDescent="0.25">
      <c r="B12" s="82" t="s">
        <v>175</v>
      </c>
      <c r="C12" s="41" t="s">
        <v>65</v>
      </c>
      <c r="E12" s="340" t="s">
        <v>344</v>
      </c>
      <c r="F12" s="341"/>
      <c r="G12" s="342"/>
      <c r="H12" s="41">
        <v>2</v>
      </c>
      <c r="I12" s="41">
        <v>4</v>
      </c>
      <c r="J12" s="41">
        <v>7</v>
      </c>
      <c r="K12" s="41">
        <v>10</v>
      </c>
      <c r="L12" s="41">
        <v>14</v>
      </c>
      <c r="M12" s="249"/>
      <c r="N12" s="72"/>
      <c r="O12" s="72"/>
    </row>
    <row r="13" spans="2:15" x14ac:dyDescent="0.25">
      <c r="B13" s="82" t="s">
        <v>42</v>
      </c>
      <c r="C13" s="41" t="s">
        <v>66</v>
      </c>
      <c r="E13" s="347" t="s">
        <v>70</v>
      </c>
      <c r="F13" s="348"/>
      <c r="G13" s="349"/>
      <c r="H13" s="41">
        <v>0.95</v>
      </c>
      <c r="I13" s="41">
        <v>1</v>
      </c>
      <c r="J13" s="41">
        <v>1.1000000000000001</v>
      </c>
      <c r="K13" s="41">
        <v>1.25</v>
      </c>
      <c r="L13" s="41">
        <v>1.5</v>
      </c>
      <c r="M13" s="41">
        <v>3</v>
      </c>
      <c r="N13" s="72"/>
      <c r="O13" s="72"/>
    </row>
    <row r="14" spans="2:15" x14ac:dyDescent="0.25">
      <c r="B14" s="82" t="s">
        <v>168</v>
      </c>
      <c r="C14" s="41" t="s">
        <v>64</v>
      </c>
      <c r="E14" s="50"/>
      <c r="F14" s="259" t="s">
        <v>63</v>
      </c>
      <c r="G14" s="50"/>
      <c r="H14" s="254" t="s">
        <v>64</v>
      </c>
      <c r="I14" s="254" t="s">
        <v>65</v>
      </c>
      <c r="J14" s="254" t="s">
        <v>66</v>
      </c>
      <c r="K14" s="254" t="s">
        <v>67</v>
      </c>
      <c r="L14" s="254" t="s">
        <v>62</v>
      </c>
      <c r="M14" s="254" t="s">
        <v>351</v>
      </c>
    </row>
    <row r="15" spans="2:15" x14ac:dyDescent="0.25">
      <c r="B15" s="82" t="s">
        <v>43</v>
      </c>
      <c r="C15" s="41" t="s">
        <v>66</v>
      </c>
    </row>
    <row r="16" spans="2:15" x14ac:dyDescent="0.25">
      <c r="B16" s="82" t="s">
        <v>169</v>
      </c>
      <c r="C16" s="41" t="s">
        <v>64</v>
      </c>
      <c r="E16" s="223" t="s">
        <v>305</v>
      </c>
      <c r="F16" s="222"/>
      <c r="G16" s="221" t="s">
        <v>17</v>
      </c>
    </row>
    <row r="17" spans="2:7" x14ac:dyDescent="0.25">
      <c r="B17" s="82" t="s">
        <v>44</v>
      </c>
      <c r="C17" s="41" t="s">
        <v>66</v>
      </c>
      <c r="E17" s="350" t="s">
        <v>77</v>
      </c>
      <c r="F17" s="351"/>
      <c r="G17" s="227">
        <v>0</v>
      </c>
    </row>
    <row r="18" spans="2:7" x14ac:dyDescent="0.25">
      <c r="B18" s="82" t="s">
        <v>170</v>
      </c>
      <c r="C18" s="41" t="s">
        <v>64</v>
      </c>
      <c r="E18" s="343" t="s">
        <v>306</v>
      </c>
      <c r="F18" s="344"/>
      <c r="G18" s="228">
        <v>20</v>
      </c>
    </row>
    <row r="19" spans="2:7" x14ac:dyDescent="0.25">
      <c r="B19" s="82" t="s">
        <v>45</v>
      </c>
      <c r="C19" s="41" t="s">
        <v>66</v>
      </c>
      <c r="E19" s="343" t="s">
        <v>307</v>
      </c>
      <c r="F19" s="344"/>
      <c r="G19" s="228">
        <v>15</v>
      </c>
    </row>
    <row r="20" spans="2:7" x14ac:dyDescent="0.25">
      <c r="B20" s="82" t="s">
        <v>171</v>
      </c>
      <c r="C20" s="41" t="s">
        <v>64</v>
      </c>
      <c r="E20" s="343" t="s">
        <v>308</v>
      </c>
      <c r="F20" s="344"/>
      <c r="G20" s="228">
        <v>12</v>
      </c>
    </row>
    <row r="21" spans="2:7" x14ac:dyDescent="0.25">
      <c r="B21" s="30" t="s">
        <v>311</v>
      </c>
      <c r="C21" s="79" t="s">
        <v>67</v>
      </c>
      <c r="E21" s="345" t="s">
        <v>309</v>
      </c>
      <c r="F21" s="346"/>
      <c r="G21" s="229">
        <v>8</v>
      </c>
    </row>
    <row r="22" spans="2:7" x14ac:dyDescent="0.25">
      <c r="B22" s="30" t="s">
        <v>46</v>
      </c>
      <c r="C22" s="79" t="s">
        <v>65</v>
      </c>
    </row>
    <row r="23" spans="2:7" x14ac:dyDescent="0.25">
      <c r="B23" s="30" t="s">
        <v>47</v>
      </c>
      <c r="C23" s="79" t="s">
        <v>66</v>
      </c>
    </row>
    <row r="24" spans="2:7" x14ac:dyDescent="0.25">
      <c r="B24" s="30" t="s">
        <v>48</v>
      </c>
      <c r="C24" s="79" t="s">
        <v>67</v>
      </c>
    </row>
    <row r="25" spans="2:7" x14ac:dyDescent="0.25">
      <c r="B25" s="30" t="s">
        <v>361</v>
      </c>
      <c r="C25" s="79" t="s">
        <v>65</v>
      </c>
    </row>
    <row r="26" spans="2:7" x14ac:dyDescent="0.25">
      <c r="B26" s="30" t="s">
        <v>360</v>
      </c>
      <c r="C26" s="79" t="s">
        <v>66</v>
      </c>
    </row>
    <row r="27" spans="2:7" x14ac:dyDescent="0.25">
      <c r="B27" s="30" t="s">
        <v>49</v>
      </c>
      <c r="C27" s="79" t="s">
        <v>65</v>
      </c>
    </row>
    <row r="28" spans="2:7" x14ac:dyDescent="0.25">
      <c r="B28" s="30" t="s">
        <v>50</v>
      </c>
      <c r="C28" s="79" t="s">
        <v>64</v>
      </c>
    </row>
    <row r="29" spans="2:7" x14ac:dyDescent="0.25">
      <c r="B29" s="30" t="s">
        <v>362</v>
      </c>
      <c r="C29" s="79" t="s">
        <v>64</v>
      </c>
    </row>
    <row r="30" spans="2:7" x14ac:dyDescent="0.25">
      <c r="B30" s="30" t="s">
        <v>363</v>
      </c>
      <c r="C30" s="79" t="s">
        <v>67</v>
      </c>
    </row>
    <row r="31" spans="2:7" x14ac:dyDescent="0.25">
      <c r="B31" s="30" t="s">
        <v>51</v>
      </c>
      <c r="C31" s="79" t="s">
        <v>62</v>
      </c>
    </row>
    <row r="32" spans="2:7" x14ac:dyDescent="0.25">
      <c r="B32" s="30" t="s">
        <v>52</v>
      </c>
      <c r="C32" s="79" t="s">
        <v>67</v>
      </c>
    </row>
    <row r="33" spans="2:3" x14ac:dyDescent="0.25">
      <c r="B33" s="30" t="s">
        <v>53</v>
      </c>
      <c r="C33" s="79" t="s">
        <v>66</v>
      </c>
    </row>
    <row r="34" spans="2:3" x14ac:dyDescent="0.25">
      <c r="B34" s="30" t="s">
        <v>350</v>
      </c>
      <c r="C34" s="79" t="s">
        <v>65</v>
      </c>
    </row>
    <row r="35" spans="2:3" x14ac:dyDescent="0.25">
      <c r="B35" s="30" t="s">
        <v>54</v>
      </c>
      <c r="C35" s="79" t="s">
        <v>66</v>
      </c>
    </row>
    <row r="36" spans="2:3" x14ac:dyDescent="0.25">
      <c r="B36" s="30" t="s">
        <v>55</v>
      </c>
      <c r="C36" s="79" t="s">
        <v>62</v>
      </c>
    </row>
    <row r="37" spans="2:3" x14ac:dyDescent="0.25">
      <c r="B37" s="30" t="s">
        <v>56</v>
      </c>
      <c r="C37" s="79" t="s">
        <v>66</v>
      </c>
    </row>
    <row r="38" spans="2:3" x14ac:dyDescent="0.25">
      <c r="B38" s="30" t="s">
        <v>57</v>
      </c>
      <c r="C38" s="79" t="s">
        <v>66</v>
      </c>
    </row>
    <row r="39" spans="2:3" x14ac:dyDescent="0.25">
      <c r="B39" s="30" t="s">
        <v>58</v>
      </c>
      <c r="C39" s="79" t="s">
        <v>65</v>
      </c>
    </row>
    <row r="40" spans="2:3" x14ac:dyDescent="0.25">
      <c r="B40" s="30" t="s">
        <v>59</v>
      </c>
      <c r="C40" s="79" t="s">
        <v>65</v>
      </c>
    </row>
    <row r="41" spans="2:3" x14ac:dyDescent="0.25">
      <c r="B41" s="30" t="s">
        <v>348</v>
      </c>
      <c r="C41" s="79" t="s">
        <v>359</v>
      </c>
    </row>
    <row r="42" spans="2:3" x14ac:dyDescent="0.25">
      <c r="B42" s="30" t="s">
        <v>349</v>
      </c>
      <c r="C42" s="79" t="s">
        <v>64</v>
      </c>
    </row>
    <row r="43" spans="2:3" x14ac:dyDescent="0.25">
      <c r="B43" s="30" t="s">
        <v>358</v>
      </c>
      <c r="C43" s="79" t="s">
        <v>65</v>
      </c>
    </row>
    <row r="44" spans="2:3" x14ac:dyDescent="0.25">
      <c r="B44" s="30" t="s">
        <v>355</v>
      </c>
      <c r="C44" s="79" t="s">
        <v>66</v>
      </c>
    </row>
    <row r="45" spans="2:3" x14ac:dyDescent="0.25">
      <c r="B45" s="27" t="s">
        <v>356</v>
      </c>
      <c r="C45" s="79" t="s">
        <v>64</v>
      </c>
    </row>
    <row r="46" spans="2:3" x14ac:dyDescent="0.25">
      <c r="B46" s="143"/>
      <c r="C46" s="213"/>
    </row>
    <row r="47" spans="2:3" x14ac:dyDescent="0.25">
      <c r="B47" s="143"/>
      <c r="C47" s="213"/>
    </row>
    <row r="51" spans="2:15" hidden="1" x14ac:dyDescent="0.25">
      <c r="B51" t="s">
        <v>37</v>
      </c>
    </row>
    <row r="52" spans="2:15" hidden="1" x14ac:dyDescent="0.25">
      <c r="B52" s="43" t="s">
        <v>90</v>
      </c>
      <c r="C52" s="43" t="s">
        <v>91</v>
      </c>
      <c r="D52" s="43" t="s">
        <v>93</v>
      </c>
      <c r="E52" s="43" t="s">
        <v>92</v>
      </c>
      <c r="F52" s="43" t="s">
        <v>94</v>
      </c>
    </row>
    <row r="53" spans="2:15" ht="12.75" hidden="1" customHeight="1" x14ac:dyDescent="0.25">
      <c r="B53" s="44">
        <v>1</v>
      </c>
      <c r="C53" s="45">
        <v>2</v>
      </c>
      <c r="D53" s="44" t="s">
        <v>71</v>
      </c>
      <c r="E53" s="45">
        <v>5</v>
      </c>
      <c r="F53" s="45">
        <v>1</v>
      </c>
      <c r="H53" t="s">
        <v>89</v>
      </c>
      <c r="K53" t="s">
        <v>3</v>
      </c>
      <c r="L53" t="s">
        <v>5</v>
      </c>
      <c r="M53" t="s">
        <v>2</v>
      </c>
      <c r="O53" t="s">
        <v>165</v>
      </c>
    </row>
    <row r="54" spans="2:15" ht="12.75" hidden="1" customHeight="1" x14ac:dyDescent="0.25">
      <c r="B54" s="44">
        <v>1</v>
      </c>
      <c r="C54" s="45">
        <v>2</v>
      </c>
      <c r="D54" s="44" t="s">
        <v>72</v>
      </c>
      <c r="E54" s="45">
        <v>3</v>
      </c>
      <c r="F54" s="45">
        <v>2</v>
      </c>
      <c r="H54" t="s">
        <v>77</v>
      </c>
      <c r="I54" t="s">
        <v>6</v>
      </c>
      <c r="J54">
        <v>1</v>
      </c>
      <c r="K54">
        <v>2</v>
      </c>
      <c r="L54">
        <v>4</v>
      </c>
      <c r="M54">
        <v>4</v>
      </c>
      <c r="O54">
        <v>24</v>
      </c>
    </row>
    <row r="55" spans="2:15" ht="12.75" hidden="1" customHeight="1" x14ac:dyDescent="0.25">
      <c r="B55" s="44">
        <v>1</v>
      </c>
      <c r="C55" s="45">
        <v>2</v>
      </c>
      <c r="D55" s="44" t="s">
        <v>73</v>
      </c>
      <c r="E55" s="45">
        <v>1</v>
      </c>
      <c r="F55" s="45">
        <v>3</v>
      </c>
      <c r="H55" t="s">
        <v>1</v>
      </c>
      <c r="J55">
        <v>2</v>
      </c>
      <c r="K55">
        <v>2</v>
      </c>
      <c r="L55">
        <v>2</v>
      </c>
      <c r="M55">
        <v>2</v>
      </c>
      <c r="O55">
        <v>26</v>
      </c>
    </row>
    <row r="56" spans="2:15" ht="12.75" hidden="1" customHeight="1" x14ac:dyDescent="0.25">
      <c r="B56" s="44">
        <v>1</v>
      </c>
      <c r="C56" s="45">
        <v>2</v>
      </c>
      <c r="D56" s="44" t="s">
        <v>74</v>
      </c>
      <c r="E56" s="45">
        <v>0</v>
      </c>
      <c r="F56" s="45">
        <v>4</v>
      </c>
      <c r="J56">
        <v>3</v>
      </c>
      <c r="K56">
        <v>2</v>
      </c>
      <c r="L56">
        <v>0</v>
      </c>
      <c r="M56">
        <v>0</v>
      </c>
      <c r="O56">
        <v>28</v>
      </c>
    </row>
    <row r="57" spans="2:15" ht="12.75" hidden="1" customHeight="1" x14ac:dyDescent="0.25">
      <c r="B57" s="44">
        <v>2</v>
      </c>
      <c r="C57" s="45">
        <v>3</v>
      </c>
      <c r="D57" s="44" t="s">
        <v>75</v>
      </c>
      <c r="E57" s="45">
        <v>3</v>
      </c>
      <c r="F57" s="45">
        <v>5</v>
      </c>
      <c r="J57">
        <v>4</v>
      </c>
      <c r="K57">
        <v>2</v>
      </c>
      <c r="L57">
        <v>2</v>
      </c>
      <c r="M57">
        <v>2</v>
      </c>
      <c r="O57">
        <v>30</v>
      </c>
    </row>
    <row r="58" spans="2:15" ht="12.75" hidden="1" customHeight="1" x14ac:dyDescent="0.25">
      <c r="B58" s="44">
        <v>2</v>
      </c>
      <c r="C58" s="45">
        <v>3</v>
      </c>
      <c r="D58" s="44" t="s">
        <v>76</v>
      </c>
      <c r="E58" s="45">
        <v>2</v>
      </c>
      <c r="F58" s="45">
        <v>6</v>
      </c>
      <c r="J58">
        <v>5</v>
      </c>
      <c r="K58">
        <v>2</v>
      </c>
      <c r="L58">
        <v>2</v>
      </c>
      <c r="M58">
        <v>2</v>
      </c>
      <c r="O58">
        <v>32</v>
      </c>
    </row>
    <row r="59" spans="2:15" ht="12.75" hidden="1" customHeight="1" x14ac:dyDescent="0.25">
      <c r="B59" s="44">
        <v>2</v>
      </c>
      <c r="C59" s="45">
        <v>3</v>
      </c>
      <c r="D59" s="44" t="s">
        <v>77</v>
      </c>
      <c r="E59" s="45">
        <v>0</v>
      </c>
      <c r="F59" s="45">
        <v>7</v>
      </c>
      <c r="J59">
        <v>6</v>
      </c>
      <c r="K59">
        <v>2</v>
      </c>
      <c r="L59">
        <v>2</v>
      </c>
      <c r="M59">
        <v>2</v>
      </c>
      <c r="O59">
        <v>36</v>
      </c>
    </row>
    <row r="60" spans="2:15" ht="12.75" hidden="1" customHeight="1" x14ac:dyDescent="0.25">
      <c r="B60" s="44">
        <v>3</v>
      </c>
      <c r="C60" s="45">
        <v>4</v>
      </c>
      <c r="D60" s="44" t="s">
        <v>78</v>
      </c>
      <c r="E60" s="45">
        <v>2</v>
      </c>
      <c r="F60" s="45">
        <v>8</v>
      </c>
      <c r="I60" t="s">
        <v>7</v>
      </c>
      <c r="J60">
        <v>7</v>
      </c>
      <c r="K60">
        <v>3</v>
      </c>
      <c r="L60">
        <v>3</v>
      </c>
      <c r="M60">
        <v>3</v>
      </c>
      <c r="O60">
        <v>42</v>
      </c>
    </row>
    <row r="61" spans="2:15" ht="12.75" hidden="1" customHeight="1" x14ac:dyDescent="0.25">
      <c r="B61" s="44">
        <v>3</v>
      </c>
      <c r="C61" s="45">
        <v>4</v>
      </c>
      <c r="D61" s="44" t="s">
        <v>79</v>
      </c>
      <c r="E61" s="45">
        <v>1</v>
      </c>
      <c r="F61" s="45">
        <v>9</v>
      </c>
      <c r="J61">
        <v>8</v>
      </c>
      <c r="K61">
        <v>2</v>
      </c>
      <c r="L61">
        <v>2</v>
      </c>
      <c r="M61">
        <v>2</v>
      </c>
      <c r="O61">
        <v>44</v>
      </c>
    </row>
    <row r="62" spans="2:15" ht="12.75" hidden="1" customHeight="1" x14ac:dyDescent="0.25">
      <c r="B62" s="44">
        <v>3</v>
      </c>
      <c r="C62" s="45">
        <v>4</v>
      </c>
      <c r="D62" s="44" t="s">
        <v>77</v>
      </c>
      <c r="E62" s="45">
        <v>0</v>
      </c>
      <c r="F62" s="45">
        <v>10</v>
      </c>
      <c r="J62">
        <v>9</v>
      </c>
      <c r="K62">
        <v>2</v>
      </c>
      <c r="L62">
        <v>2</v>
      </c>
      <c r="M62">
        <v>2</v>
      </c>
      <c r="O62">
        <v>46</v>
      </c>
    </row>
    <row r="63" spans="2:15" ht="12.75" hidden="1" customHeight="1" x14ac:dyDescent="0.25">
      <c r="B63" s="44">
        <v>4</v>
      </c>
      <c r="C63" s="45">
        <v>5</v>
      </c>
      <c r="D63" s="44" t="s">
        <v>80</v>
      </c>
      <c r="E63" s="45">
        <v>1</v>
      </c>
      <c r="F63" s="45">
        <v>11</v>
      </c>
      <c r="J63">
        <v>10</v>
      </c>
      <c r="K63">
        <v>3</v>
      </c>
      <c r="L63">
        <v>3</v>
      </c>
      <c r="M63">
        <v>3</v>
      </c>
      <c r="O63">
        <v>48</v>
      </c>
    </row>
    <row r="64" spans="2:15" ht="12.75" hidden="1" customHeight="1" x14ac:dyDescent="0.25">
      <c r="B64" s="44">
        <v>4</v>
      </c>
      <c r="C64" s="45">
        <v>5</v>
      </c>
      <c r="D64" s="44" t="s">
        <v>81</v>
      </c>
      <c r="E64" s="45">
        <v>2</v>
      </c>
      <c r="F64" s="45">
        <v>12</v>
      </c>
      <c r="J64">
        <v>11</v>
      </c>
      <c r="K64">
        <v>2</v>
      </c>
      <c r="L64">
        <v>2</v>
      </c>
      <c r="M64">
        <v>2</v>
      </c>
      <c r="O64">
        <v>50</v>
      </c>
    </row>
    <row r="65" spans="2:15" ht="12.75" hidden="1" customHeight="1" x14ac:dyDescent="0.25">
      <c r="B65" s="44">
        <v>4</v>
      </c>
      <c r="C65" s="45">
        <v>5</v>
      </c>
      <c r="D65" s="44" t="s">
        <v>82</v>
      </c>
      <c r="E65" s="45">
        <v>3</v>
      </c>
      <c r="F65" s="45">
        <v>13</v>
      </c>
      <c r="J65">
        <v>12</v>
      </c>
      <c r="K65">
        <v>2</v>
      </c>
      <c r="L65">
        <v>2</v>
      </c>
      <c r="M65">
        <v>2</v>
      </c>
      <c r="O65">
        <v>52</v>
      </c>
    </row>
    <row r="66" spans="2:15" ht="12.75" hidden="1" customHeight="1" x14ac:dyDescent="0.25">
      <c r="B66" s="44">
        <v>4</v>
      </c>
      <c r="C66" s="45">
        <v>5</v>
      </c>
      <c r="D66" s="44" t="s">
        <v>83</v>
      </c>
      <c r="E66" s="45">
        <v>0</v>
      </c>
      <c r="F66" s="45">
        <v>14</v>
      </c>
      <c r="J66">
        <v>13</v>
      </c>
      <c r="K66">
        <v>3</v>
      </c>
      <c r="L66">
        <v>3</v>
      </c>
      <c r="M66">
        <v>3</v>
      </c>
      <c r="O66">
        <v>65</v>
      </c>
    </row>
    <row r="67" spans="2:15" ht="12.75" hidden="1" customHeight="1" x14ac:dyDescent="0.25">
      <c r="B67" s="44">
        <v>5</v>
      </c>
      <c r="C67" s="45">
        <v>6</v>
      </c>
      <c r="D67" s="44" t="s">
        <v>84</v>
      </c>
      <c r="E67" s="45">
        <v>1</v>
      </c>
      <c r="F67" s="45">
        <v>15</v>
      </c>
      <c r="J67">
        <v>14</v>
      </c>
      <c r="K67">
        <v>-2</v>
      </c>
      <c r="L67">
        <v>-2</v>
      </c>
      <c r="M67">
        <v>-2</v>
      </c>
      <c r="O67">
        <v>69</v>
      </c>
    </row>
    <row r="68" spans="2:15" ht="12.75" hidden="1" customHeight="1" x14ac:dyDescent="0.25">
      <c r="B68" s="44">
        <v>5</v>
      </c>
      <c r="C68" s="45">
        <v>6</v>
      </c>
      <c r="D68" s="44" t="s">
        <v>85</v>
      </c>
      <c r="E68" s="45">
        <v>2</v>
      </c>
      <c r="F68" s="45">
        <v>16</v>
      </c>
      <c r="J68">
        <v>15</v>
      </c>
      <c r="K68">
        <v>4</v>
      </c>
      <c r="L68">
        <v>6</v>
      </c>
      <c r="M68">
        <v>10</v>
      </c>
      <c r="O68">
        <v>73</v>
      </c>
    </row>
    <row r="69" spans="2:15" ht="12.75" hidden="1" customHeight="1" x14ac:dyDescent="0.25">
      <c r="B69" s="44">
        <v>5</v>
      </c>
      <c r="C69" s="45">
        <v>6</v>
      </c>
      <c r="D69" s="44" t="s">
        <v>77</v>
      </c>
      <c r="E69" s="45">
        <v>0</v>
      </c>
      <c r="F69" s="45">
        <v>17</v>
      </c>
      <c r="J69">
        <v>16</v>
      </c>
      <c r="K69">
        <v>1</v>
      </c>
      <c r="L69">
        <v>2</v>
      </c>
      <c r="M69">
        <v>2</v>
      </c>
      <c r="O69">
        <v>75</v>
      </c>
    </row>
    <row r="70" spans="2:15" ht="12.75" hidden="1" customHeight="1" x14ac:dyDescent="0.25">
      <c r="B70" s="44">
        <v>6</v>
      </c>
      <c r="C70" s="45">
        <v>7</v>
      </c>
      <c r="D70" s="44" t="s">
        <v>86</v>
      </c>
      <c r="E70" s="45">
        <v>3</v>
      </c>
      <c r="F70" s="45">
        <v>18</v>
      </c>
      <c r="J70">
        <v>17</v>
      </c>
      <c r="K70">
        <v>-2</v>
      </c>
      <c r="L70">
        <v>-4</v>
      </c>
      <c r="M70">
        <v>-4</v>
      </c>
      <c r="O70">
        <v>77</v>
      </c>
    </row>
    <row r="71" spans="2:15" ht="12.75" hidden="1" customHeight="1" x14ac:dyDescent="0.25">
      <c r="B71" s="44">
        <v>6</v>
      </c>
      <c r="C71" s="45">
        <v>7</v>
      </c>
      <c r="D71" s="44" t="s">
        <v>87</v>
      </c>
      <c r="E71" s="45">
        <v>2</v>
      </c>
      <c r="F71" s="45">
        <v>19</v>
      </c>
      <c r="J71">
        <v>18</v>
      </c>
      <c r="K71">
        <v>1</v>
      </c>
      <c r="L71">
        <v>4</v>
      </c>
      <c r="M71">
        <v>0</v>
      </c>
      <c r="O71">
        <v>79</v>
      </c>
    </row>
    <row r="72" spans="2:15" ht="12.75" hidden="1" customHeight="1" x14ac:dyDescent="0.25">
      <c r="B72" s="44">
        <v>6</v>
      </c>
      <c r="C72" s="45">
        <v>7</v>
      </c>
      <c r="D72" s="44" t="s">
        <v>88</v>
      </c>
      <c r="E72" s="45">
        <v>1</v>
      </c>
      <c r="F72" s="45">
        <v>20</v>
      </c>
      <c r="J72">
        <v>19</v>
      </c>
      <c r="K72">
        <v>1</v>
      </c>
      <c r="L72">
        <v>0</v>
      </c>
      <c r="M72">
        <v>0</v>
      </c>
      <c r="O72">
        <v>81</v>
      </c>
    </row>
    <row r="73" spans="2:15" ht="12.75" hidden="1" customHeight="1" x14ac:dyDescent="0.25">
      <c r="B73" s="44">
        <v>6</v>
      </c>
      <c r="C73" s="45">
        <v>7</v>
      </c>
      <c r="D73" s="44" t="s">
        <v>77</v>
      </c>
      <c r="E73" s="45">
        <v>0</v>
      </c>
      <c r="F73" s="45">
        <v>21</v>
      </c>
      <c r="J73">
        <v>20</v>
      </c>
      <c r="K73">
        <v>2</v>
      </c>
      <c r="L73">
        <v>0</v>
      </c>
      <c r="M73">
        <v>0</v>
      </c>
      <c r="O73">
        <v>83</v>
      </c>
    </row>
    <row r="74" spans="2:15" ht="12.75" hidden="1" customHeight="1" x14ac:dyDescent="0.25">
      <c r="B74" s="44">
        <v>7</v>
      </c>
      <c r="C74" s="45">
        <v>8</v>
      </c>
      <c r="D74" s="44" t="s">
        <v>89</v>
      </c>
      <c r="E74" s="45">
        <v>2</v>
      </c>
      <c r="F74" s="45">
        <v>22</v>
      </c>
      <c r="J74">
        <v>21</v>
      </c>
      <c r="K74">
        <v>3</v>
      </c>
      <c r="L74">
        <v>0</v>
      </c>
      <c r="M74">
        <v>0</v>
      </c>
      <c r="O74">
        <v>87</v>
      </c>
    </row>
    <row r="75" spans="2:15" ht="12.75" hidden="1" customHeight="1" x14ac:dyDescent="0.25">
      <c r="B75" s="44">
        <v>7</v>
      </c>
      <c r="C75" s="45">
        <v>8</v>
      </c>
      <c r="D75" s="44" t="s">
        <v>77</v>
      </c>
      <c r="E75" s="45">
        <v>0</v>
      </c>
      <c r="F75" s="45">
        <v>23</v>
      </c>
      <c r="J75">
        <v>22</v>
      </c>
      <c r="K75">
        <v>20</v>
      </c>
      <c r="L75">
        <v>20</v>
      </c>
      <c r="M75">
        <v>20</v>
      </c>
      <c r="O75">
        <v>89</v>
      </c>
    </row>
    <row r="76" spans="2:15" hidden="1" x14ac:dyDescent="0.25">
      <c r="J76">
        <v>23</v>
      </c>
      <c r="K76">
        <v>15</v>
      </c>
      <c r="L76">
        <v>15</v>
      </c>
      <c r="M76">
        <v>15</v>
      </c>
      <c r="O76">
        <v>90</v>
      </c>
    </row>
    <row r="77" spans="2:15" hidden="1" x14ac:dyDescent="0.25">
      <c r="J77">
        <v>24</v>
      </c>
      <c r="K77">
        <v>12</v>
      </c>
      <c r="L77">
        <v>12</v>
      </c>
      <c r="M77">
        <v>12</v>
      </c>
      <c r="O77">
        <v>91</v>
      </c>
    </row>
    <row r="78" spans="2:15" hidden="1" x14ac:dyDescent="0.25">
      <c r="J78">
        <v>25</v>
      </c>
      <c r="K78">
        <v>8</v>
      </c>
      <c r="L78">
        <v>8</v>
      </c>
      <c r="M78">
        <v>8</v>
      </c>
      <c r="O78">
        <v>92</v>
      </c>
    </row>
    <row r="79" spans="2:15" hidden="1" x14ac:dyDescent="0.25">
      <c r="J79">
        <v>26</v>
      </c>
      <c r="K79">
        <v>3</v>
      </c>
      <c r="L79">
        <v>3</v>
      </c>
      <c r="M79">
        <v>3</v>
      </c>
      <c r="O79">
        <v>93</v>
      </c>
    </row>
    <row r="80" spans="2:15" hidden="1" x14ac:dyDescent="0.25">
      <c r="J80">
        <v>27</v>
      </c>
      <c r="K80">
        <v>3</v>
      </c>
      <c r="L80">
        <v>3</v>
      </c>
      <c r="M80">
        <v>3</v>
      </c>
      <c r="O80">
        <v>95</v>
      </c>
    </row>
    <row r="81" spans="10:15" hidden="1" x14ac:dyDescent="0.25">
      <c r="J81">
        <v>28</v>
      </c>
      <c r="K81">
        <v>3</v>
      </c>
      <c r="L81">
        <v>3</v>
      </c>
      <c r="M81">
        <v>3</v>
      </c>
      <c r="O81">
        <v>97</v>
      </c>
    </row>
    <row r="82" spans="10:15" hidden="1" x14ac:dyDescent="0.25">
      <c r="J82">
        <v>29</v>
      </c>
      <c r="K82">
        <v>2</v>
      </c>
      <c r="L82">
        <v>2</v>
      </c>
      <c r="M82">
        <v>2</v>
      </c>
      <c r="O82">
        <v>107</v>
      </c>
    </row>
    <row r="83" spans="10:15" hidden="1" x14ac:dyDescent="0.25">
      <c r="J83">
        <v>30</v>
      </c>
      <c r="K83">
        <v>1</v>
      </c>
      <c r="L83">
        <v>1</v>
      </c>
      <c r="M83">
        <v>1</v>
      </c>
      <c r="O83">
        <v>111</v>
      </c>
    </row>
    <row r="84" spans="10:15" hidden="1" x14ac:dyDescent="0.25">
      <c r="J84">
        <v>31</v>
      </c>
      <c r="K84">
        <v>1</v>
      </c>
      <c r="L84">
        <v>1</v>
      </c>
      <c r="M84">
        <v>1</v>
      </c>
      <c r="O84">
        <v>113</v>
      </c>
    </row>
    <row r="85" spans="10:15" hidden="1" x14ac:dyDescent="0.25">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5" x14ac:dyDescent="0.25"/>
  <cols>
    <col min="1" max="1" width="33.7265625" customWidth="1"/>
    <col min="2" max="2" width="34.7265625" customWidth="1"/>
    <col min="3" max="3" width="9.26953125" customWidth="1"/>
    <col min="4" max="4" width="38.1796875" bestFit="1" customWidth="1"/>
    <col min="6" max="6" width="90.1796875" customWidth="1"/>
  </cols>
  <sheetData>
    <row r="1" spans="1:6" ht="12.75" customHeight="1" x14ac:dyDescent="0.25">
      <c r="F1" s="214" t="s">
        <v>176</v>
      </c>
    </row>
    <row r="2" spans="1:6" ht="12.75" customHeight="1" x14ac:dyDescent="0.3">
      <c r="F2" s="216" t="s">
        <v>220</v>
      </c>
    </row>
    <row r="3" spans="1:6" ht="12.75" customHeight="1" x14ac:dyDescent="0.25">
      <c r="F3" s="214" t="s">
        <v>221</v>
      </c>
    </row>
    <row r="4" spans="1:6" ht="12.75" customHeight="1" x14ac:dyDescent="0.3">
      <c r="F4" s="216" t="s">
        <v>222</v>
      </c>
    </row>
    <row r="5" spans="1:6" ht="12.75" customHeight="1" x14ac:dyDescent="0.25">
      <c r="F5" s="214" t="s">
        <v>223</v>
      </c>
    </row>
    <row r="6" spans="1:6" ht="12.75" customHeight="1" x14ac:dyDescent="0.25">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x14ac:dyDescent="0.25">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5">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x14ac:dyDescent="0.25">
      <c r="A9" s="215" t="s">
        <v>229</v>
      </c>
      <c r="B9" t="str">
        <f t="shared" si="0"/>
        <v>&lt;emissions_Band&gt;</v>
      </c>
      <c r="C9" s="215" t="str">
        <f>'Summary and Calculation'!F14</f>
        <v>B</v>
      </c>
      <c r="D9" t="str">
        <f t="shared" si="1"/>
        <v>&lt;/emissions_Band&gt;</v>
      </c>
      <c r="F9" t="str">
        <f t="shared" si="2"/>
        <v>&lt;emissions_Band&gt;B&lt;/emissions_Band&gt;</v>
      </c>
    </row>
    <row r="10" spans="1:6" ht="12.75" customHeight="1" x14ac:dyDescent="0.25">
      <c r="A10" s="215" t="s">
        <v>230</v>
      </c>
      <c r="B10" t="str">
        <f t="shared" si="0"/>
        <v>&lt;emissions_Score&gt;</v>
      </c>
      <c r="C10" s="215">
        <f>'Summary and Calculation'!H14</f>
        <v>7</v>
      </c>
      <c r="D10" t="str">
        <f t="shared" si="1"/>
        <v>&lt;/emissions_Score&gt;</v>
      </c>
      <c r="F10" t="str">
        <f t="shared" si="2"/>
        <v>&lt;emissions_Score&gt;7&lt;/emissions_Score&gt;</v>
      </c>
    </row>
    <row r="11" spans="1:6" ht="12.75" customHeight="1" x14ac:dyDescent="0.25">
      <c r="A11" s="215" t="s">
        <v>244</v>
      </c>
      <c r="B11" t="str">
        <f t="shared" si="0"/>
        <v>&lt;location_Band&gt;</v>
      </c>
      <c r="C11" s="215" t="str">
        <f ca="1">'Summary and Calculation'!F15</f>
        <v>B</v>
      </c>
      <c r="D11" t="str">
        <f t="shared" si="1"/>
        <v>&lt;/location_Band&gt;</v>
      </c>
      <c r="F11" t="str">
        <f t="shared" ca="1" si="2"/>
        <v>&lt;location_Band&gt;B&lt;/location_Band&gt;</v>
      </c>
    </row>
    <row r="12" spans="1:6" ht="12.75" customHeight="1" x14ac:dyDescent="0.25">
      <c r="A12" s="215" t="s">
        <v>245</v>
      </c>
      <c r="B12" t="str">
        <f t="shared" si="0"/>
        <v>&lt;location_Score&gt;</v>
      </c>
      <c r="C12" s="215">
        <f ca="1">'Summary and Calculation'!H15</f>
        <v>2</v>
      </c>
      <c r="D12" t="str">
        <f t="shared" si="1"/>
        <v>&lt;/location_Score&gt;</v>
      </c>
      <c r="F12" t="str">
        <f t="shared" ca="1" si="2"/>
        <v>&lt;location_Score&gt;2&lt;/location_Score&gt;</v>
      </c>
    </row>
    <row r="13" spans="1:6" ht="12.75" customHeight="1" x14ac:dyDescent="0.25">
      <c r="A13" s="215" t="s">
        <v>242</v>
      </c>
      <c r="B13" t="str">
        <f t="shared" si="0"/>
        <v>&lt;oP_Perf_Band&gt;</v>
      </c>
      <c r="C13" s="215" t="str">
        <f ca="1">'Summary and Calculation'!F16</f>
        <v>B</v>
      </c>
      <c r="D13" t="str">
        <f t="shared" si="1"/>
        <v>&lt;/oP_Perf_Band&gt;</v>
      </c>
      <c r="F13" t="str">
        <f t="shared" ca="1" si="2"/>
        <v>&lt;oP_Perf_Band&gt;B&lt;/oP_Perf_Band&gt;</v>
      </c>
    </row>
    <row r="14" spans="1:6" ht="12.75" customHeight="1" x14ac:dyDescent="0.25">
      <c r="A14" s="215" t="s">
        <v>243</v>
      </c>
      <c r="B14" t="str">
        <f t="shared" si="0"/>
        <v>&lt;oP_Perf_Score&gt;</v>
      </c>
      <c r="C14" s="215">
        <f ca="1">'Summary and Calculation'!H16</f>
        <v>4</v>
      </c>
      <c r="D14" t="str">
        <f t="shared" si="1"/>
        <v>&lt;/oP_Perf_Score&gt;</v>
      </c>
      <c r="F14" t="str">
        <f t="shared" ca="1" si="2"/>
        <v>&lt;oP_Perf_Score&gt;4&lt;/oP_Perf_Score&gt;</v>
      </c>
    </row>
    <row r="15" spans="1:6" ht="12.75" customHeight="1" x14ac:dyDescent="0.25">
      <c r="A15" s="215" t="s">
        <v>231</v>
      </c>
      <c r="B15" t="str">
        <f t="shared" si="0"/>
        <v>&lt;totalOPRAScore&gt;</v>
      </c>
      <c r="C15" s="215">
        <f ca="1">'Summary and Calculation'!H17</f>
        <v>48</v>
      </c>
      <c r="D15" t="str">
        <f t="shared" si="1"/>
        <v>&lt;/totalOPRAScore&gt;</v>
      </c>
      <c r="F15" t="str">
        <f t="shared" ca="1" si="2"/>
        <v>&lt;totalOPRAScore&gt;48&lt;/totalOPRAScore&gt;</v>
      </c>
    </row>
    <row r="16" spans="1:6" ht="12.75" customHeight="1" x14ac:dyDescent="0.25">
      <c r="A16" s="215" t="s">
        <v>240</v>
      </c>
      <c r="B16" t="str">
        <f t="shared" si="0"/>
        <v>&lt;company_Name&gt;</v>
      </c>
      <c r="C16" s="215" t="str">
        <f>'Summary and Calculation'!I9</f>
        <v>Silent Valley Waste Services Ltd</v>
      </c>
      <c r="D16" t="str">
        <f t="shared" si="1"/>
        <v>&lt;/company_Name&gt;</v>
      </c>
      <c r="F16" t="str">
        <f t="shared" si="2"/>
        <v>&lt;company_Name&gt;Silent Valley Waste Services Ltd&lt;/company_Name&gt;</v>
      </c>
    </row>
    <row r="17" spans="1:6" ht="12.75" customHeight="1" x14ac:dyDescent="0.25">
      <c r="A17" s="215" t="s">
        <v>241</v>
      </c>
      <c r="B17" t="str">
        <f t="shared" si="0"/>
        <v>&lt;case_Number&gt;</v>
      </c>
      <c r="C17" s="215">
        <f>'Summary and Calculation'!E9</f>
        <v>42095</v>
      </c>
      <c r="D17" t="str">
        <f t="shared" si="1"/>
        <v>&lt;/case_Number&gt;</v>
      </c>
      <c r="F17" t="str">
        <f t="shared" si="2"/>
        <v>&lt;case_Number&gt;42095&lt;/case_Number&gt;</v>
      </c>
    </row>
    <row r="18" spans="1:6" ht="12.75" customHeight="1" x14ac:dyDescent="0.25">
      <c r="A18" s="215"/>
      <c r="C18" s="215"/>
      <c r="F18" t="s">
        <v>304</v>
      </c>
    </row>
    <row r="19" spans="1:6" ht="12.75" customHeight="1" x14ac:dyDescent="0.25">
      <c r="A19" s="215"/>
      <c r="C19" s="215"/>
      <c r="F19" t="s">
        <v>303</v>
      </c>
    </row>
    <row r="20" spans="1:6" ht="12.75" customHeight="1" x14ac:dyDescent="0.25">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5">
      <c r="A21" s="215" t="s">
        <v>233</v>
      </c>
      <c r="B21" t="str">
        <f t="shared" si="0"/>
        <v>&lt;wasteInput_NonHazNonBio_Answer&gt;</v>
      </c>
      <c r="C21" s="215">
        <f>Complexity_Emissions_Location!K7</f>
        <v>28000</v>
      </c>
      <c r="D21" t="str">
        <f t="shared" si="1"/>
        <v>&lt;/wasteInput_NonHazNonBio_Answer&gt;</v>
      </c>
      <c r="F21" t="str">
        <f t="shared" si="2"/>
        <v>&lt;wasteInput_NonHazNonBio_Answer&gt;28000&lt;/wasteInput_NonHazNonBio_Answer&gt;</v>
      </c>
    </row>
    <row r="22" spans="1:6" ht="12.75" customHeight="1" x14ac:dyDescent="0.25">
      <c r="A22" s="215" t="s">
        <v>234</v>
      </c>
      <c r="B22" t="str">
        <f t="shared" si="0"/>
        <v>&lt;wasteInput_Haz_Answer&gt;</v>
      </c>
      <c r="C22" s="215">
        <f>Complexity_Emissions_Location!K8</f>
        <v>3250</v>
      </c>
      <c r="D22" t="str">
        <f t="shared" si="1"/>
        <v>&lt;/wasteInput_Haz_Answer&gt;</v>
      </c>
      <c r="F22" t="str">
        <f t="shared" si="2"/>
        <v>&lt;wasteInput_Haz_Answer&gt;3250&lt;/wasteInput_Haz_Answer&gt;</v>
      </c>
    </row>
    <row r="23" spans="1:6" ht="12.75" customHeight="1" x14ac:dyDescent="0.25">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5">
      <c r="A24" s="215" t="s">
        <v>236</v>
      </c>
      <c r="B24" t="str">
        <f t="shared" si="0"/>
        <v>&lt;wasteInput_total&gt;</v>
      </c>
      <c r="C24" s="215">
        <f>Complexity_Emissions_Location!M10</f>
        <v>43</v>
      </c>
      <c r="D24" t="str">
        <f t="shared" si="1"/>
        <v>&lt;/wasteInput_total&gt;</v>
      </c>
      <c r="F24" t="str">
        <f t="shared" si="2"/>
        <v>&lt;wasteInput_total&gt;43&lt;/wasteInput_total&gt;</v>
      </c>
    </row>
    <row r="25" spans="1:6" ht="12.75" customHeight="1" x14ac:dyDescent="0.25">
      <c r="A25" s="215" t="s">
        <v>237</v>
      </c>
      <c r="B25" t="str">
        <f t="shared" si="0"/>
        <v>&lt;wasteInput_Band&gt;</v>
      </c>
      <c r="C25" s="215" t="str">
        <f>Complexity_Emissions_Location!O10</f>
        <v>B</v>
      </c>
      <c r="D25" t="str">
        <f t="shared" si="1"/>
        <v>&lt;/wasteInput_Band&gt;</v>
      </c>
      <c r="F25" t="str">
        <f t="shared" si="2"/>
        <v>&lt;wasteInput_Band&gt;B&lt;/wasteInput_Band&gt;</v>
      </c>
    </row>
    <row r="26" spans="1:6" ht="12.75" customHeight="1" x14ac:dyDescent="0.25">
      <c r="A26" s="215"/>
      <c r="C26" s="215"/>
      <c r="F26" t="s">
        <v>302</v>
      </c>
    </row>
    <row r="27" spans="1:6" ht="12.75" customHeight="1" x14ac:dyDescent="0.25">
      <c r="A27" s="215"/>
      <c r="C27" s="215"/>
      <c r="F27" t="s">
        <v>301</v>
      </c>
    </row>
    <row r="28" spans="1:6" ht="12.75" customHeight="1" x14ac:dyDescent="0.25">
      <c r="A28" s="215" t="s">
        <v>238</v>
      </c>
      <c r="B28" t="str">
        <f t="shared" si="0"/>
        <v>&lt;activity_AType_1&gt;</v>
      </c>
      <c r="C28" s="215">
        <f>Complexity_Emissions_Location!D5</f>
        <v>21</v>
      </c>
      <c r="D28" t="str">
        <f t="shared" si="1"/>
        <v>&lt;/activity_AType_1&gt;</v>
      </c>
      <c r="F28" t="str">
        <f t="shared" si="2"/>
        <v>&lt;activity_AType_1&gt;21&lt;/activity_AType_1&gt;</v>
      </c>
    </row>
    <row r="29" spans="1:6" ht="12.75" customHeight="1" x14ac:dyDescent="0.25">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x14ac:dyDescent="0.25">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5">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5">
      <c r="A32" s="215"/>
      <c r="C32" s="215"/>
      <c r="F32" t="s">
        <v>300</v>
      </c>
    </row>
    <row r="33" spans="1:6" ht="12.75" customHeight="1" x14ac:dyDescent="0.25">
      <c r="A33" s="215"/>
      <c r="C33" s="215"/>
      <c r="F33" t="s">
        <v>299</v>
      </c>
    </row>
    <row r="34" spans="1:6" ht="12.75" customHeight="1" x14ac:dyDescent="0.25">
      <c r="A34" s="215" t="s">
        <v>246</v>
      </c>
      <c r="B34" t="str">
        <f t="shared" si="0"/>
        <v>&lt;loc_Human_Answer&gt;</v>
      </c>
      <c r="C34" s="215">
        <f>Complexity_Emissions_Location!E16</f>
        <v>3</v>
      </c>
      <c r="D34" t="str">
        <f t="shared" si="1"/>
        <v>&lt;/loc_Human_Answer&gt;</v>
      </c>
      <c r="F34" t="str">
        <f t="shared" si="2"/>
        <v>&lt;loc_Human_Answer&gt;3&lt;/loc_Human_Answer&gt;</v>
      </c>
    </row>
    <row r="35" spans="1:6" ht="12.75" customHeight="1" x14ac:dyDescent="0.25">
      <c r="A35" s="215" t="s">
        <v>247</v>
      </c>
      <c r="B35" t="str">
        <f t="shared" si="0"/>
        <v>&lt;loc_Human_Score&gt;</v>
      </c>
      <c r="C35" s="215">
        <f ca="1">Complexity_Emissions_Location!F16</f>
        <v>1</v>
      </c>
      <c r="D35" t="str">
        <f t="shared" si="1"/>
        <v>&lt;/loc_Human_Score&gt;</v>
      </c>
      <c r="F35" t="str">
        <f t="shared" ca="1" si="2"/>
        <v>&lt;loc_Human_Score&gt;1&lt;/loc_Human_Score&gt;</v>
      </c>
    </row>
    <row r="36" spans="1:6" ht="12.75" customHeight="1" x14ac:dyDescent="0.25">
      <c r="A36" s="215" t="s">
        <v>248</v>
      </c>
      <c r="B36" t="str">
        <f t="shared" si="0"/>
        <v>&lt;loc_Habitats_Answer&gt;</v>
      </c>
      <c r="C36" s="215">
        <f>Complexity_Emissions_Location!E18</f>
        <v>2</v>
      </c>
      <c r="D36" t="str">
        <f t="shared" si="1"/>
        <v>&lt;/loc_Habitats_Answer&gt;</v>
      </c>
      <c r="F36" t="str">
        <f t="shared" si="2"/>
        <v>&lt;loc_Habitats_Answer&gt;2&lt;/loc_Habitats_Answer&gt;</v>
      </c>
    </row>
    <row r="37" spans="1:6" ht="12.75" customHeight="1" x14ac:dyDescent="0.25">
      <c r="A37" s="215" t="s">
        <v>249</v>
      </c>
      <c r="B37" t="str">
        <f t="shared" si="0"/>
        <v>&lt;loc_Habitats_Score&gt;</v>
      </c>
      <c r="C37" s="215">
        <f ca="1">Complexity_Emissions_Location!F18</f>
        <v>2</v>
      </c>
      <c r="D37" t="str">
        <f t="shared" si="1"/>
        <v>&lt;/loc_Habitats_Score&gt;</v>
      </c>
      <c r="F37" t="str">
        <f t="shared" ca="1" si="2"/>
        <v>&lt;loc_Habitats_Score&gt;2&lt;/loc_Habitats_Score&gt;</v>
      </c>
    </row>
    <row r="38" spans="1:6" ht="12.75" customHeight="1" x14ac:dyDescent="0.25">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5">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5">
      <c r="A40" s="215" t="s">
        <v>252</v>
      </c>
      <c r="B40" t="str">
        <f t="shared" si="0"/>
        <v>&lt;loc_SW_Answer&gt;</v>
      </c>
      <c r="C40" s="215">
        <f>Complexity_Emissions_Location!E22</f>
        <v>2</v>
      </c>
      <c r="D40" t="str">
        <f t="shared" si="1"/>
        <v>&lt;/loc_SW_Answer&gt;</v>
      </c>
      <c r="F40" t="str">
        <f t="shared" si="2"/>
        <v>&lt;loc_SW_Answer&gt;2&lt;/loc_SW_Answer&gt;</v>
      </c>
    </row>
    <row r="41" spans="1:6" ht="12.75" customHeight="1" x14ac:dyDescent="0.25">
      <c r="A41" s="215" t="s">
        <v>253</v>
      </c>
      <c r="B41" t="str">
        <f t="shared" si="0"/>
        <v>&lt;loc_SW_Score&gt;</v>
      </c>
      <c r="C41" s="215">
        <f ca="1">Complexity_Emissions_Location!F22</f>
        <v>2</v>
      </c>
      <c r="D41" t="str">
        <f t="shared" si="1"/>
        <v>&lt;/loc_SW_Score&gt;</v>
      </c>
      <c r="F41" t="str">
        <f t="shared" ca="1" si="2"/>
        <v>&lt;loc_SW_Score&gt;2&lt;/loc_SW_Score&gt;</v>
      </c>
    </row>
    <row r="42" spans="1:6" ht="12.75" customHeight="1" x14ac:dyDescent="0.25">
      <c r="A42" s="215" t="s">
        <v>254</v>
      </c>
      <c r="B42" t="str">
        <f t="shared" si="0"/>
        <v>&lt;loc_RunOff_Answer&gt;</v>
      </c>
      <c r="C42" s="215">
        <f>Complexity_Emissions_Location!K16</f>
        <v>1</v>
      </c>
      <c r="D42" t="str">
        <f t="shared" si="1"/>
        <v>&lt;/loc_RunOff_Answer&gt;</v>
      </c>
      <c r="F42" t="str">
        <f t="shared" si="2"/>
        <v>&lt;loc_RunOff_Answer&gt;1&lt;/loc_RunOff_Answer&gt;</v>
      </c>
    </row>
    <row r="43" spans="1:6" ht="12.75" customHeight="1" x14ac:dyDescent="0.25">
      <c r="A43" s="215" t="s">
        <v>255</v>
      </c>
      <c r="B43" t="str">
        <f t="shared" si="0"/>
        <v>&lt;loc_RunOff_Score&gt;</v>
      </c>
      <c r="C43" s="215">
        <f ca="1">Complexity_Emissions_Location!O16</f>
        <v>1</v>
      </c>
      <c r="D43" t="str">
        <f t="shared" si="1"/>
        <v>&lt;/loc_RunOff_Score&gt;</v>
      </c>
      <c r="F43" t="str">
        <f t="shared" ca="1" si="2"/>
        <v>&lt;loc_RunOff_Score&gt;1&lt;/loc_RunOff_Score&gt;</v>
      </c>
    </row>
    <row r="44" spans="1:6" ht="12.75" customHeight="1" x14ac:dyDescent="0.25">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5">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5">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5">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5">
      <c r="A48" s="215" t="s">
        <v>260</v>
      </c>
      <c r="B48" t="str">
        <f t="shared" si="0"/>
        <v>&lt;loc_RawScore&gt;</v>
      </c>
      <c r="C48" s="215">
        <f ca="1">Complexity_Emissions_Location!K22</f>
        <v>7</v>
      </c>
      <c r="D48" t="str">
        <f t="shared" si="1"/>
        <v>&lt;/loc_RawScore&gt;</v>
      </c>
      <c r="F48" t="str">
        <f t="shared" ca="1" si="2"/>
        <v>&lt;loc_RawScore&gt;7&lt;/loc_RawScore&gt;</v>
      </c>
    </row>
    <row r="49" spans="1:6" ht="12.75" customHeight="1" x14ac:dyDescent="0.25">
      <c r="A49" s="215" t="s">
        <v>261</v>
      </c>
      <c r="B49" t="str">
        <f t="shared" si="0"/>
        <v>&lt;loc_Band&gt;</v>
      </c>
      <c r="C49" s="215" t="str">
        <f ca="1">Complexity_Emissions_Location!O22</f>
        <v>B</v>
      </c>
      <c r="D49" t="str">
        <f t="shared" si="1"/>
        <v>&lt;/loc_Band&gt;</v>
      </c>
      <c r="F49" t="str">
        <f t="shared" ca="1" si="2"/>
        <v>&lt;loc_Band&gt;B&lt;/loc_Band&gt;</v>
      </c>
    </row>
    <row r="50" spans="1:6" ht="12.75" customHeight="1" x14ac:dyDescent="0.25">
      <c r="A50" s="215"/>
      <c r="C50" s="215"/>
      <c r="F50" t="s">
        <v>298</v>
      </c>
    </row>
    <row r="51" spans="1:6" ht="12.75" customHeight="1" x14ac:dyDescent="0.25">
      <c r="A51" s="215"/>
      <c r="C51" s="215"/>
      <c r="F51" t="s">
        <v>297</v>
      </c>
    </row>
    <row r="52" spans="1:6" ht="12.75" customHeight="1" x14ac:dyDescent="0.25">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5">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5">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5">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5">
      <c r="A56" s="215" t="s">
        <v>181</v>
      </c>
      <c r="B56" t="str">
        <f t="shared" si="0"/>
        <v>&lt;docOpProcs_question3_answer&gt;</v>
      </c>
      <c r="C56" s="215" t="str">
        <f>'Operator Performance'!E7</f>
        <v>Yes</v>
      </c>
      <c r="D56" t="str">
        <f t="shared" si="1"/>
        <v>&lt;/docOpProcs_question3_answer&gt;</v>
      </c>
      <c r="F56" t="str">
        <f t="shared" si="2"/>
        <v>&lt;docOpProcs_question3_answer&gt;Yes&lt;/docOpProcs_question3_answer&gt;</v>
      </c>
    </row>
    <row r="57" spans="1:6" ht="12.75" customHeight="1" x14ac:dyDescent="0.25">
      <c r="A57" s="215" t="s">
        <v>182</v>
      </c>
      <c r="B57" t="str">
        <f t="shared" si="0"/>
        <v>&lt;docOpProcs_question3_score&gt;</v>
      </c>
      <c r="C57" s="217">
        <f ca="1">'Operator Performance'!F7</f>
        <v>0</v>
      </c>
      <c r="D57" t="str">
        <f t="shared" si="1"/>
        <v>&lt;/docOpProcs_question3_score&gt;</v>
      </c>
      <c r="F57" t="str">
        <f t="shared" ca="1" si="2"/>
        <v>&lt;docOpProcs_question3_score&gt;0&lt;/docOpProcs_question3_score&gt;</v>
      </c>
    </row>
    <row r="58" spans="1:6" ht="12.75" customHeight="1" x14ac:dyDescent="0.25">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5">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5">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5">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5">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5">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5">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5">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5">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5">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5">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5">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5">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5">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5">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5">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5">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5">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5">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5">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5">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5">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5">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5">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x14ac:dyDescent="0.25">
      <c r="A82" s="215" t="s">
        <v>207</v>
      </c>
      <c r="B82" t="str">
        <f t="shared" si="3"/>
        <v>&lt;accidentPlan_question2_answer&gt;</v>
      </c>
      <c r="C82" s="215" t="str">
        <f>'Operator Performance'!E28</f>
        <v>No</v>
      </c>
      <c r="D82" t="str">
        <f t="shared" si="4"/>
        <v>&lt;/accidentPlan_question2_answer&gt;</v>
      </c>
      <c r="F82" t="str">
        <f t="shared" si="5"/>
        <v>&lt;accidentPlan_question2_answer&gt;No&lt;/accidentPlan_question2_answer&gt;</v>
      </c>
    </row>
    <row r="83" spans="1:6" ht="12.75" customHeight="1" x14ac:dyDescent="0.25">
      <c r="A83" s="215" t="s">
        <v>208</v>
      </c>
      <c r="B83" t="str">
        <f t="shared" si="3"/>
        <v>&lt;accidentPlan_question2_score&gt;</v>
      </c>
      <c r="C83" s="217">
        <f>'Operator Performance'!F28</f>
        <v>0</v>
      </c>
      <c r="D83" t="str">
        <f t="shared" si="4"/>
        <v>&lt;/accidentPlan_question2_score&gt;</v>
      </c>
      <c r="F83" t="str">
        <f t="shared" si="5"/>
        <v>&lt;accidentPlan_question2_score&gt;0&lt;/accidentPlan_question2_score&gt;</v>
      </c>
    </row>
    <row r="84" spans="1:6" ht="12.75" customHeight="1" x14ac:dyDescent="0.25">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5">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5">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5">
      <c r="A87" s="215" t="s">
        <v>212</v>
      </c>
      <c r="B87" t="str">
        <f t="shared" si="3"/>
        <v>&lt;accidentPlan_question4_score&gt;</v>
      </c>
      <c r="C87" s="217">
        <f ca="1">'Operator Performance'!F30</f>
        <v>4</v>
      </c>
      <c r="D87" t="str">
        <f t="shared" si="4"/>
        <v>&lt;/accidentPlan_question4_score&gt;</v>
      </c>
      <c r="F87" t="str">
        <f t="shared" ca="1" si="5"/>
        <v>&lt;accidentPlan_question4_score&gt;4&lt;/accidentPlan_question4_score&gt;</v>
      </c>
    </row>
    <row r="88" spans="1:6" ht="12.75" customHeight="1" x14ac:dyDescent="0.25">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5">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5">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5">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5">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5">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5">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x14ac:dyDescent="0.25">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x14ac:dyDescent="0.25">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5">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5">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5">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5">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5">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5">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5">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5">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5">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5">
      <c r="A106" s="215" t="s">
        <v>274</v>
      </c>
      <c r="B106" t="str">
        <f t="shared" si="3"/>
        <v>&lt;organisation_question4_answer&gt;</v>
      </c>
      <c r="C106" s="215" t="str">
        <f>'Operator Performance'!E47</f>
        <v>No</v>
      </c>
      <c r="D106" t="str">
        <f t="shared" si="4"/>
        <v>&lt;/organisation_question4_answer&gt;</v>
      </c>
      <c r="F106" t="str">
        <f t="shared" si="5"/>
        <v>&lt;organisation_question4_answer&gt;No&lt;/organisation_question4_answer&gt;</v>
      </c>
    </row>
    <row r="107" spans="1:6" ht="12.75" customHeight="1" x14ac:dyDescent="0.25">
      <c r="A107" s="215" t="s">
        <v>275</v>
      </c>
      <c r="B107" t="str">
        <f t="shared" si="3"/>
        <v>&lt;organisation_question4_score&gt;</v>
      </c>
      <c r="C107" s="217">
        <f>'Operator Performance'!F47</f>
        <v>0</v>
      </c>
      <c r="D107" t="str">
        <f t="shared" si="4"/>
        <v>&lt;/organisation_question4_score&gt;</v>
      </c>
      <c r="F107" t="str">
        <f t="shared" si="5"/>
        <v>&lt;organisation_question4_score&gt;0&lt;/organisation_question4_score&gt;</v>
      </c>
    </row>
    <row r="108" spans="1:6" ht="12.75" customHeight="1" x14ac:dyDescent="0.25">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5">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5">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5">
      <c r="A111" s="215" t="s">
        <v>279</v>
      </c>
      <c r="B111" t="str">
        <f t="shared" si="3"/>
        <v>&lt;enfNotice_score&gt;</v>
      </c>
      <c r="C111" s="215">
        <f ca="1">'Operator Performance'!F49</f>
        <v>9</v>
      </c>
      <c r="D111" t="str">
        <f t="shared" si="4"/>
        <v>&lt;/enfNotice_score&gt;</v>
      </c>
      <c r="F111" t="str">
        <f t="shared" ca="1" si="5"/>
        <v>&lt;enfNotice_score&gt;9&lt;/enfNotice_score&gt;</v>
      </c>
    </row>
    <row r="112" spans="1:6" ht="12.75" customHeight="1" x14ac:dyDescent="0.25">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5">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5">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5">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5">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5">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5">
      <c r="C118" s="215"/>
      <c r="F118" t="s">
        <v>296</v>
      </c>
    </row>
    <row r="119" spans="1:6" x14ac:dyDescent="0.25">
      <c r="C119" s="215"/>
      <c r="F119" t="s">
        <v>295</v>
      </c>
    </row>
    <row r="120" spans="1:6" x14ac:dyDescent="0.25">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5">
      <c r="A121" t="s">
        <v>287</v>
      </c>
      <c r="B121" t="str">
        <f t="shared" si="3"/>
        <v>&lt;cat2Events&gt;</v>
      </c>
      <c r="C121" s="215"/>
      <c r="D121" t="str">
        <f t="shared" si="6"/>
        <v>&lt;/cat2Events&gt;</v>
      </c>
      <c r="F121" t="str">
        <f t="shared" si="7"/>
        <v>&lt;cat2Events&gt;&lt;/cat2Events&gt;</v>
      </c>
    </row>
    <row r="122" spans="1:6" x14ac:dyDescent="0.25">
      <c r="A122" t="s">
        <v>288</v>
      </c>
      <c r="B122" t="str">
        <f t="shared" si="3"/>
        <v>&lt;cat3Events&gt;</v>
      </c>
      <c r="C122" s="215"/>
      <c r="D122" t="str">
        <f t="shared" si="6"/>
        <v>&lt;/cat3Events&gt;</v>
      </c>
      <c r="F122" t="str">
        <f t="shared" si="7"/>
        <v>&lt;cat3Events&gt;&lt;/cat3Events&gt;</v>
      </c>
    </row>
    <row r="123" spans="1:6" x14ac:dyDescent="0.25">
      <c r="A123" t="s">
        <v>289</v>
      </c>
      <c r="B123" t="str">
        <f t="shared" si="3"/>
        <v>&lt;cat4Events&gt;</v>
      </c>
      <c r="D123" t="str">
        <f t="shared" si="6"/>
        <v>&lt;/cat4Events&gt;</v>
      </c>
      <c r="F123" t="str">
        <f t="shared" si="7"/>
        <v>&lt;cat4Events&gt;&lt;/cat4Events&gt;</v>
      </c>
    </row>
    <row r="124" spans="1:6" x14ac:dyDescent="0.25">
      <c r="A124" t="s">
        <v>290</v>
      </c>
      <c r="B124" t="str">
        <f t="shared" si="3"/>
        <v>&lt;complianceIndex&gt;</v>
      </c>
      <c r="D124" t="str">
        <f t="shared" si="6"/>
        <v>&lt;/complianceIndex&gt;</v>
      </c>
      <c r="F124" t="str">
        <f t="shared" si="7"/>
        <v>&lt;complianceIndex&gt;&lt;/complianceIndex&gt;</v>
      </c>
    </row>
    <row r="125" spans="1:6" x14ac:dyDescent="0.25">
      <c r="A125" t="s">
        <v>291</v>
      </c>
      <c r="B125" t="str">
        <f t="shared" si="3"/>
        <v>&lt;complianceBand&gt;</v>
      </c>
      <c r="D125" t="str">
        <f t="shared" si="6"/>
        <v>&lt;/complianceBand&gt;</v>
      </c>
      <c r="F125" t="str">
        <f t="shared" si="7"/>
        <v>&lt;complianceBand&gt;&lt;/complianceBand&gt;</v>
      </c>
    </row>
    <row r="126" spans="1:6" x14ac:dyDescent="0.25">
      <c r="F126" t="s">
        <v>292</v>
      </c>
    </row>
    <row r="127" spans="1:6" x14ac:dyDescent="0.25">
      <c r="F127" s="214" t="s">
        <v>219</v>
      </c>
    </row>
    <row r="128" spans="1:6" x14ac:dyDescent="0.25">
      <c r="F128" s="214" t="s">
        <v>293</v>
      </c>
    </row>
    <row r="129" spans="6:6" ht="13.5" x14ac:dyDescent="0.3">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5" x14ac:dyDescent="0.25"/>
  <cols>
    <col min="1" max="1" width="14.1796875" style="210" bestFit="1" customWidth="1"/>
    <col min="2" max="2" width="12.54296875" style="210" bestFit="1" customWidth="1"/>
    <col min="3" max="3" width="14.1796875" style="210" bestFit="1" customWidth="1"/>
    <col min="4" max="4" width="6" style="210" bestFit="1" customWidth="1"/>
    <col min="5" max="5" width="14.1796875" style="210" customWidth="1"/>
    <col min="6" max="6" width="11.26953125" style="210" bestFit="1" customWidth="1"/>
    <col min="7" max="7" width="12.81640625" style="210" bestFit="1" customWidth="1"/>
    <col min="8" max="8" width="13.1796875" style="210" bestFit="1" customWidth="1"/>
    <col min="9" max="9" width="8.54296875" style="210" bestFit="1" customWidth="1"/>
    <col min="10" max="11" width="11.1796875" style="210" bestFit="1" customWidth="1"/>
    <col min="12" max="12" width="12.26953125" style="210" bestFit="1" customWidth="1"/>
    <col min="13" max="13" width="14" style="210" bestFit="1" customWidth="1"/>
    <col min="14" max="14" width="11.26953125" style="210" bestFit="1" customWidth="1"/>
    <col min="15" max="15" width="11.1796875" style="210" bestFit="1" customWidth="1"/>
    <col min="16" max="16" width="13.7265625" style="210" bestFit="1" customWidth="1"/>
    <col min="17" max="17" width="6.453125" style="210" bestFit="1" customWidth="1"/>
    <col min="18" max="18" width="9.1796875" style="210" customWidth="1"/>
  </cols>
  <sheetData>
    <row r="1" spans="1:17" ht="13" x14ac:dyDescent="0.3">
      <c r="A1" s="209" t="s">
        <v>161</v>
      </c>
    </row>
    <row r="2" spans="1:17" x14ac:dyDescent="0.25">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5">
      <c r="A3" s="210">
        <f ca="1">('Summary and Calculation'!E9*100000)+('Summary and Calculation'!E9 *RAND())</f>
        <v>4209514793.3619576</v>
      </c>
      <c r="B3" s="210">
        <v>3</v>
      </c>
      <c r="C3" s="210">
        <f ca="1">TODAY()</f>
        <v>44054</v>
      </c>
      <c r="D3" s="210">
        <f>'Summary and Calculation'!E9</f>
        <v>42095</v>
      </c>
      <c r="E3" s="210" t="str">
        <f ca="1">OFFSET(References!B2,Complexity_Emissions_Location!D5,0)</f>
        <v>A11</v>
      </c>
      <c r="F3" s="210" t="str">
        <f ca="1">OFFSET(References!B2,Complexity_Emissions_Location!D7,0)</f>
        <v xml:space="preserve">   …</v>
      </c>
      <c r="G3" s="210">
        <f ca="1">Complexity_Emissions_Location!K22</f>
        <v>7</v>
      </c>
      <c r="H3" s="210">
        <f>Complexity_Emissions_Location!M10</f>
        <v>43</v>
      </c>
      <c r="I3" s="208">
        <f ca="1">'Operator Performance'!H60</f>
        <v>7.4666666666666668</v>
      </c>
      <c r="J3" s="210" t="str">
        <f ca="1">'Summary and Calculation'!F13</f>
        <v>C</v>
      </c>
      <c r="K3" s="210">
        <f ca="1">'Summary and Calculation'!G13</f>
        <v>0</v>
      </c>
      <c r="L3" s="210" t="str">
        <f ca="1">'Summary and Calculation'!F15</f>
        <v>B</v>
      </c>
      <c r="M3" s="210" t="str">
        <f>'Summary and Calculation'!F14</f>
        <v>B</v>
      </c>
      <c r="N3" s="210" t="str">
        <f ca="1">'Summary and Calculation'!F16</f>
        <v>B</v>
      </c>
      <c r="P3" s="210">
        <f ca="1">'Summary and Calculation'!H17</f>
        <v>48</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5" x14ac:dyDescent="0.25"/>
  <cols>
    <col min="1" max="1" width="12.7265625" bestFit="1" customWidth="1"/>
    <col min="2" max="2" width="11" bestFit="1" customWidth="1"/>
    <col min="3" max="3" width="4.1796875" bestFit="1" customWidth="1"/>
    <col min="4" max="4" width="8.54296875" bestFit="1" customWidth="1"/>
    <col min="5" max="5" width="34.26953125" bestFit="1" customWidth="1"/>
  </cols>
  <sheetData>
    <row r="1" spans="1:6" x14ac:dyDescent="0.25">
      <c r="A1" s="211" t="s">
        <v>162</v>
      </c>
      <c r="B1" s="211" t="s">
        <v>144</v>
      </c>
      <c r="C1" s="211" t="s">
        <v>91</v>
      </c>
      <c r="D1" s="211" t="s">
        <v>94</v>
      </c>
      <c r="E1" s="211" t="s">
        <v>163</v>
      </c>
      <c r="F1" s="211" t="s">
        <v>164</v>
      </c>
    </row>
    <row r="2" spans="1:6" x14ac:dyDescent="0.25">
      <c r="A2" s="212" t="str">
        <f ca="1">FIXED(10000000000*RAND(),0,TRUE)</f>
        <v>1789601301</v>
      </c>
      <c r="B2" s="210">
        <f ca="1">ProfileHeader!$A$3</f>
        <v>4209514793.3619576</v>
      </c>
      <c r="C2" s="210">
        <v>2</v>
      </c>
      <c r="D2" s="210">
        <f ca="1">OFFSET(References!F$53,Complexity_Emissions_Location!E16-1,0)</f>
        <v>3</v>
      </c>
      <c r="E2" s="210" t="str">
        <f ca="1">OFFSET(References!D$53,Complexity_Emissions_Location!E16-1,0)</f>
        <v>250m -1km</v>
      </c>
      <c r="F2" s="210">
        <f ca="1">OFFSET(References!E$53,Complexity_Emissions_Location!E16-1,0)</f>
        <v>1</v>
      </c>
    </row>
    <row r="3" spans="1:6" x14ac:dyDescent="0.25">
      <c r="A3" s="212" t="str">
        <f t="shared" ref="A3:A40" ca="1" si="0">FIXED(10000000000*RAND(),0,TRUE)</f>
        <v>9190656529</v>
      </c>
      <c r="B3" s="210">
        <f ca="1">ProfileHeader!$A$3</f>
        <v>4209514793.3619576</v>
      </c>
      <c r="C3" s="210">
        <v>3</v>
      </c>
      <c r="D3" s="210">
        <f ca="1">OFFSET(References!F$57,Complexity_Emissions_Location!E18-1,0)</f>
        <v>6</v>
      </c>
      <c r="E3" s="210" t="str">
        <f ca="1">OFFSET(References!D$57,Complexity_Emissions_Location!E18-1,0)</f>
        <v>CRoW</v>
      </c>
      <c r="F3" s="210">
        <f ca="1">OFFSET(References!E$57,Complexity_Emissions_Location!E18-1,0)</f>
        <v>2</v>
      </c>
    </row>
    <row r="4" spans="1:6" x14ac:dyDescent="0.25">
      <c r="A4" s="212" t="str">
        <f t="shared" ca="1" si="0"/>
        <v>4734039701</v>
      </c>
      <c r="B4" s="210">
        <f ca="1">ProfileHeader!$A$3</f>
        <v>4209514793.3619576</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5">
      <c r="A5" s="212" t="str">
        <f t="shared" ca="1" si="0"/>
        <v>5115227615</v>
      </c>
      <c r="B5" s="210">
        <f ca="1">ProfileHeader!$A$3</f>
        <v>4209514793.3619576</v>
      </c>
      <c r="C5" s="210">
        <v>5</v>
      </c>
      <c r="D5" s="210">
        <f ca="1">OFFSET(References!F$63,Complexity_Emissions_Location!E22-1,0)</f>
        <v>12</v>
      </c>
      <c r="E5" s="210" t="str">
        <f ca="1">OFFSET(References!D$63,Complexity_Emissions_Location!E22-1,0)</f>
        <v>Grade 3 or 4</v>
      </c>
      <c r="F5" s="210">
        <f ca="1">OFFSET(References!E$63,Complexity_Emissions_Location!E22-1,0)</f>
        <v>2</v>
      </c>
    </row>
    <row r="6" spans="1:6" x14ac:dyDescent="0.25">
      <c r="A6" s="212" t="str">
        <f t="shared" ca="1" si="0"/>
        <v>7082243387</v>
      </c>
      <c r="B6" s="210">
        <f ca="1">ProfileHeader!$A$3</f>
        <v>4209514793.3619576</v>
      </c>
      <c r="C6" s="210">
        <v>6</v>
      </c>
      <c r="D6" s="210">
        <f ca="1">OFFSET(References!F$67,Complexity_Emissions_Location!K16-1,0)</f>
        <v>15</v>
      </c>
      <c r="E6" s="210" t="str">
        <f ca="1">OFFSET(References!D$67,Complexity_Emissions_Location!K16-1,0)</f>
        <v>Yes - With interceptors</v>
      </c>
      <c r="F6" s="210">
        <f ca="1">OFFSET(References!E$67,Complexity_Emissions_Location!K16-1,0)</f>
        <v>1</v>
      </c>
    </row>
    <row r="7" spans="1:6" x14ac:dyDescent="0.25">
      <c r="A7" s="212" t="str">
        <f t="shared" ca="1" si="0"/>
        <v>1869263663</v>
      </c>
      <c r="B7" s="210">
        <f ca="1">ProfileHeader!$A$3</f>
        <v>4209514793.3619576</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5">
      <c r="A8" s="212" t="str">
        <f t="shared" ca="1" si="0"/>
        <v>1962127955</v>
      </c>
      <c r="B8" s="210">
        <f ca="1">ProfileHeader!$A$3</f>
        <v>4209514793.3619576</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5">
      <c r="A9" s="212" t="str">
        <f t="shared" ca="1" si="0"/>
        <v>984048512</v>
      </c>
      <c r="B9" s="210">
        <f ca="1">ProfileHeader!$A$3</f>
        <v>4209514793.3619576</v>
      </c>
      <c r="C9" s="210">
        <v>60</v>
      </c>
      <c r="D9" s="210">
        <f ca="1">OFFSET(References!$O$54,'Operator Performance'!G5-1,0)</f>
        <v>24</v>
      </c>
      <c r="E9" s="210" t="str">
        <f>'Operator Performance'!E5</f>
        <v>Yes</v>
      </c>
      <c r="F9" s="210">
        <f ca="1">'Operator Performance'!F5</f>
        <v>4</v>
      </c>
    </row>
    <row r="10" spans="1:6" x14ac:dyDescent="0.25">
      <c r="A10" s="212" t="str">
        <f t="shared" ca="1" si="0"/>
        <v>5222811019</v>
      </c>
      <c r="B10" s="210">
        <f ca="1">ProfileHeader!$A$3</f>
        <v>4209514793.3619576</v>
      </c>
      <c r="C10" s="210">
        <v>61</v>
      </c>
      <c r="D10" s="210">
        <f ca="1">OFFSET(References!$O$54,'Operator Performance'!G6-1,0)</f>
        <v>26</v>
      </c>
      <c r="E10" s="210" t="str">
        <f>'Operator Performance'!E6</f>
        <v>Yes</v>
      </c>
      <c r="F10" s="210">
        <f ca="1">'Operator Performance'!F6</f>
        <v>2</v>
      </c>
    </row>
    <row r="11" spans="1:6" x14ac:dyDescent="0.25">
      <c r="A11" s="212" t="str">
        <f t="shared" ca="1" si="0"/>
        <v>319283614</v>
      </c>
      <c r="B11" s="210">
        <f ca="1">ProfileHeader!$A$3</f>
        <v>4209514793.3619576</v>
      </c>
      <c r="C11" s="210">
        <v>62</v>
      </c>
      <c r="D11" s="210">
        <f ca="1">OFFSET(References!$O$54,'Operator Performance'!G7-1,0)</f>
        <v>28</v>
      </c>
      <c r="E11" s="210" t="str">
        <f>'Operator Performance'!E7</f>
        <v>Yes</v>
      </c>
      <c r="F11" s="210">
        <f ca="1">'Operator Performance'!F7</f>
        <v>0</v>
      </c>
    </row>
    <row r="12" spans="1:6" x14ac:dyDescent="0.25">
      <c r="A12" s="212" t="str">
        <f t="shared" ca="1" si="0"/>
        <v>7633722973</v>
      </c>
      <c r="B12" s="210">
        <f ca="1">ProfileHeader!$A$3</f>
        <v>4209514793.3619576</v>
      </c>
      <c r="C12" s="210">
        <v>63</v>
      </c>
      <c r="D12" s="210">
        <f ca="1">OFFSET(References!$O$54,'Operator Performance'!G8-1,0)</f>
        <v>30</v>
      </c>
      <c r="E12" s="210" t="str">
        <f>'Operator Performance'!E8</f>
        <v>Yes</v>
      </c>
      <c r="F12" s="210">
        <f ca="1">'Operator Performance'!F8</f>
        <v>2</v>
      </c>
    </row>
    <row r="13" spans="1:6" x14ac:dyDescent="0.25">
      <c r="A13" s="212" t="str">
        <f ca="1">FIXED(10000000000*RAND(),0,TRUE)</f>
        <v>3666325008</v>
      </c>
      <c r="B13" s="210">
        <f ca="1">ProfileHeader!$A$3</f>
        <v>4209514793.3619576</v>
      </c>
      <c r="C13" s="210">
        <v>64</v>
      </c>
      <c r="D13" s="210">
        <f ca="1">OFFSET(References!$O$54,'Operator Performance'!G9-1,0)</f>
        <v>32</v>
      </c>
      <c r="E13" s="210" t="str">
        <f>'Operator Performance'!E9</f>
        <v>Yes</v>
      </c>
      <c r="F13" s="210">
        <f ca="1">'Operator Performance'!F9</f>
        <v>2</v>
      </c>
    </row>
    <row r="14" spans="1:6" x14ac:dyDescent="0.25">
      <c r="A14" s="212" t="str">
        <f t="shared" ca="1" si="0"/>
        <v>2637544424</v>
      </c>
      <c r="B14" s="210">
        <f ca="1">ProfileHeader!$A$3</f>
        <v>4209514793.3619576</v>
      </c>
      <c r="C14" s="210">
        <v>66</v>
      </c>
      <c r="D14" s="210">
        <f ca="1">OFFSET(References!$O$54,'Operator Performance'!G10-1,0)</f>
        <v>36</v>
      </c>
      <c r="E14" s="210" t="str">
        <f>'Operator Performance'!E10</f>
        <v>Yes</v>
      </c>
      <c r="F14" s="210">
        <f ca="1">'Operator Performance'!F10</f>
        <v>2</v>
      </c>
    </row>
    <row r="15" spans="1:6" x14ac:dyDescent="0.25">
      <c r="A15" s="212" t="str">
        <f t="shared" ca="1" si="0"/>
        <v>6377174332</v>
      </c>
      <c r="B15" s="210">
        <f ca="1">ProfileHeader!$A$3</f>
        <v>4209514793.3619576</v>
      </c>
      <c r="C15" s="210">
        <v>69</v>
      </c>
      <c r="D15" s="210">
        <f ca="1">OFFSET(References!$O$54,'Operator Performance'!G14-1,0)</f>
        <v>42</v>
      </c>
      <c r="E15" s="210" t="str">
        <f>'Operator Performance'!E14</f>
        <v>Yes</v>
      </c>
      <c r="F15" s="212">
        <f ca="1">'Operator Performance'!F14</f>
        <v>3</v>
      </c>
    </row>
    <row r="16" spans="1:6" x14ac:dyDescent="0.25">
      <c r="A16" s="212" t="str">
        <f t="shared" ca="1" si="0"/>
        <v>213139571</v>
      </c>
      <c r="B16" s="210">
        <f ca="1">ProfileHeader!$A$3</f>
        <v>4209514793.3619576</v>
      </c>
      <c r="C16" s="210">
        <v>70</v>
      </c>
      <c r="D16" s="210">
        <f ca="1">OFFSET(References!$O$54,'Operator Performance'!G17-1,0)</f>
        <v>44</v>
      </c>
      <c r="E16" s="210" t="str">
        <f>'Operator Performance'!E17</f>
        <v>Yes</v>
      </c>
      <c r="F16" s="212">
        <f ca="1">'Operator Performance'!F17</f>
        <v>2</v>
      </c>
    </row>
    <row r="17" spans="1:6" x14ac:dyDescent="0.25">
      <c r="A17" s="212" t="str">
        <f t="shared" ca="1" si="0"/>
        <v>1167872929</v>
      </c>
      <c r="B17" s="210">
        <f ca="1">ProfileHeader!$A$3</f>
        <v>4209514793.3619576</v>
      </c>
      <c r="C17" s="210">
        <v>71</v>
      </c>
      <c r="D17" s="210">
        <f ca="1">OFFSET(References!$O$54,'Operator Performance'!G18-1,0)</f>
        <v>46</v>
      </c>
      <c r="E17" s="210" t="str">
        <f>'Operator Performance'!E18</f>
        <v>Yes</v>
      </c>
      <c r="F17" s="212">
        <f ca="1">'Operator Performance'!F18</f>
        <v>2</v>
      </c>
    </row>
    <row r="18" spans="1:6" x14ac:dyDescent="0.25">
      <c r="A18" s="212" t="str">
        <f t="shared" ca="1" si="0"/>
        <v>8226197289</v>
      </c>
      <c r="B18" s="210">
        <f ca="1">ProfileHeader!$A$3</f>
        <v>4209514793.3619576</v>
      </c>
      <c r="C18" s="210">
        <v>72</v>
      </c>
      <c r="D18" s="210">
        <f ca="1">OFFSET(References!$O$54,'Operator Performance'!G19-1,0)</f>
        <v>48</v>
      </c>
      <c r="E18" s="210" t="str">
        <f>'Operator Performance'!E19</f>
        <v>Yes</v>
      </c>
      <c r="F18" s="212">
        <f ca="1">'Operator Performance'!F19</f>
        <v>3</v>
      </c>
    </row>
    <row r="19" spans="1:6" x14ac:dyDescent="0.25">
      <c r="A19" s="212" t="str">
        <f t="shared" ca="1" si="0"/>
        <v>7866638555</v>
      </c>
      <c r="B19" s="210">
        <f ca="1">ProfileHeader!$A$3</f>
        <v>4209514793.3619576</v>
      </c>
      <c r="C19" s="210">
        <v>73</v>
      </c>
      <c r="D19" s="210">
        <f ca="1">OFFSET(References!$O$54,'Operator Performance'!G20-1,0)</f>
        <v>50</v>
      </c>
      <c r="E19" s="210" t="str">
        <f>'Operator Performance'!E20</f>
        <v>Yes</v>
      </c>
      <c r="F19" s="212">
        <f ca="1">'Operator Performance'!F20</f>
        <v>2</v>
      </c>
    </row>
    <row r="20" spans="1:6" x14ac:dyDescent="0.25">
      <c r="A20" s="212" t="str">
        <f t="shared" ca="1" si="0"/>
        <v>4792391595</v>
      </c>
      <c r="B20" s="210">
        <f ca="1">ProfileHeader!$A$3</f>
        <v>4209514793.3619576</v>
      </c>
      <c r="C20" s="210">
        <v>74</v>
      </c>
      <c r="D20" s="210">
        <f ca="1">OFFSET(References!$O$54,'Operator Performance'!G21-1,0)</f>
        <v>52</v>
      </c>
      <c r="E20" s="210" t="str">
        <f>'Operator Performance'!E21</f>
        <v>Yes</v>
      </c>
      <c r="F20" s="212">
        <f ca="1">'Operator Performance'!F21</f>
        <v>2</v>
      </c>
    </row>
    <row r="21" spans="1:6" x14ac:dyDescent="0.25">
      <c r="A21" s="212" t="str">
        <f t="shared" ca="1" si="0"/>
        <v>3191821072</v>
      </c>
      <c r="B21" s="210">
        <f ca="1">ProfileHeader!$A$3</f>
        <v>4209514793.3619576</v>
      </c>
      <c r="C21" s="210">
        <v>77</v>
      </c>
      <c r="D21" s="210">
        <f ca="1">OFFSET(References!$O$54,'Operator Performance'!G22-1,0)</f>
        <v>65</v>
      </c>
      <c r="E21" s="210" t="str">
        <f>'Operator Performance'!E22</f>
        <v>Yes</v>
      </c>
      <c r="F21" s="212">
        <f ca="1">'Operator Performance'!F22</f>
        <v>3</v>
      </c>
    </row>
    <row r="22" spans="1:6" x14ac:dyDescent="0.25">
      <c r="A22" s="212" t="str">
        <f t="shared" ca="1" si="0"/>
        <v>4724490302</v>
      </c>
      <c r="B22" s="210">
        <f ca="1">ProfileHeader!$A$3</f>
        <v>4209514793.3619576</v>
      </c>
      <c r="C22" s="210">
        <v>79</v>
      </c>
      <c r="D22" s="210">
        <f ca="1">OFFSET(References!$O$54,'Operator Performance'!G23-1,0)</f>
        <v>69</v>
      </c>
      <c r="E22" s="210" t="str">
        <f>'Operator Performance'!E23</f>
        <v>Yes</v>
      </c>
      <c r="F22" s="212">
        <f>'Operator Performance'!F23</f>
        <v>0</v>
      </c>
    </row>
    <row r="23" spans="1:6" x14ac:dyDescent="0.25">
      <c r="A23" s="212" t="str">
        <f t="shared" ca="1" si="0"/>
        <v>1030823446</v>
      </c>
      <c r="B23" s="210">
        <f ca="1">ProfileHeader!$A$3</f>
        <v>4209514793.3619576</v>
      </c>
      <c r="C23" s="210">
        <v>80</v>
      </c>
      <c r="D23" s="210">
        <f ca="1">OFFSET(References!$O$54,'Operator Performance'!G27-1,0)</f>
        <v>73</v>
      </c>
      <c r="E23" s="210" t="str">
        <f>'Operator Performance'!E27</f>
        <v>Yes</v>
      </c>
      <c r="F23" s="212">
        <f ca="1">'Operator Performance'!F27</f>
        <v>6</v>
      </c>
    </row>
    <row r="24" spans="1:6" x14ac:dyDescent="0.25">
      <c r="A24" s="212" t="str">
        <f t="shared" ca="1" si="0"/>
        <v>7869190853</v>
      </c>
      <c r="B24" s="210">
        <f ca="1">ProfileHeader!$A$3</f>
        <v>4209514793.3619576</v>
      </c>
      <c r="C24" s="210">
        <v>81</v>
      </c>
      <c r="D24" s="210">
        <f ca="1">OFFSET(References!$O$54,'Operator Performance'!G28-1,0)</f>
        <v>75</v>
      </c>
      <c r="E24" s="210" t="str">
        <f>'Operator Performance'!E28</f>
        <v>No</v>
      </c>
      <c r="F24" s="212">
        <f>'Operator Performance'!F28</f>
        <v>0</v>
      </c>
    </row>
    <row r="25" spans="1:6" x14ac:dyDescent="0.25">
      <c r="A25" s="212" t="str">
        <f t="shared" ca="1" si="0"/>
        <v>198267403</v>
      </c>
      <c r="B25" s="210">
        <f ca="1">ProfileHeader!$A$3</f>
        <v>4209514793.3619576</v>
      </c>
      <c r="C25" s="210">
        <v>82</v>
      </c>
      <c r="D25" s="210">
        <f ca="1">OFFSET(References!$O$54,'Operator Performance'!G29-1,0)</f>
        <v>77</v>
      </c>
      <c r="E25" s="210" t="str">
        <f>'Operator Performance'!E29</f>
        <v>Yes</v>
      </c>
      <c r="F25" s="212">
        <f>'Operator Performance'!F29</f>
        <v>0</v>
      </c>
    </row>
    <row r="26" spans="1:6" x14ac:dyDescent="0.25">
      <c r="A26" s="212" t="str">
        <f t="shared" ca="1" si="0"/>
        <v>9115904911</v>
      </c>
      <c r="B26" s="210">
        <f ca="1">ProfileHeader!$A$3</f>
        <v>4209514793.3619576</v>
      </c>
      <c r="C26" s="210">
        <v>83</v>
      </c>
      <c r="D26" s="210">
        <f ca="1">OFFSET(References!$O$54,'Operator Performance'!G30-1,0)</f>
        <v>79</v>
      </c>
      <c r="E26" s="210" t="str">
        <f>'Operator Performance'!E30</f>
        <v>Yes</v>
      </c>
      <c r="F26" s="212">
        <f ca="1">'Operator Performance'!F30</f>
        <v>4</v>
      </c>
    </row>
    <row r="27" spans="1:6" x14ac:dyDescent="0.25">
      <c r="A27" s="212" t="str">
        <f t="shared" ca="1" si="0"/>
        <v>2633982124</v>
      </c>
      <c r="B27" s="210">
        <f ca="1">ProfileHeader!$A$3</f>
        <v>4209514793.3619576</v>
      </c>
      <c r="C27" s="210">
        <v>84</v>
      </c>
      <c r="D27" s="210">
        <f ca="1">OFFSET(References!$O$54,'Operator Performance'!G31-1,0)</f>
        <v>81</v>
      </c>
      <c r="E27" s="210">
        <f>'Operator Performance'!E31</f>
        <v>0</v>
      </c>
      <c r="F27" s="212">
        <f>'Operator Performance'!F31</f>
        <v>0</v>
      </c>
    </row>
    <row r="28" spans="1:6" x14ac:dyDescent="0.25">
      <c r="A28" s="212" t="str">
        <f t="shared" ca="1" si="0"/>
        <v>4388574052</v>
      </c>
      <c r="B28" s="210">
        <f ca="1">ProfileHeader!$A$3</f>
        <v>4209514793.3619576</v>
      </c>
      <c r="C28" s="210">
        <v>85</v>
      </c>
      <c r="D28" s="210">
        <f ca="1">OFFSET(References!$O$54,'Operator Performance'!G32-1,0)</f>
        <v>83</v>
      </c>
      <c r="E28" s="210">
        <f>'Operator Performance'!E32</f>
        <v>0</v>
      </c>
      <c r="F28" s="212">
        <f>'Operator Performance'!F32</f>
        <v>0</v>
      </c>
    </row>
    <row r="29" spans="1:6" x14ac:dyDescent="0.25">
      <c r="A29" s="212" t="str">
        <f t="shared" ca="1" si="0"/>
        <v>1327041376</v>
      </c>
      <c r="B29" s="210">
        <f ca="1">ProfileHeader!$A$3</f>
        <v>4209514793.3619576</v>
      </c>
      <c r="C29" s="210">
        <v>86</v>
      </c>
      <c r="D29" s="210">
        <f ca="1">OFFSET(References!$O$54,'Operator Performance'!G33-1,0)</f>
        <v>87</v>
      </c>
      <c r="E29" s="210">
        <f>'Operator Performance'!E33</f>
        <v>0</v>
      </c>
      <c r="F29" s="212">
        <f>'Operator Performance'!F33</f>
        <v>0</v>
      </c>
    </row>
    <row r="30" spans="1:6" x14ac:dyDescent="0.25">
      <c r="A30" s="212" t="str">
        <f t="shared" ca="1" si="0"/>
        <v>3192160665</v>
      </c>
      <c r="B30" s="210">
        <f ca="1">ProfileHeader!$A$3</f>
        <v>4209514793.3619576</v>
      </c>
      <c r="C30" s="210">
        <v>88</v>
      </c>
      <c r="D30" s="210">
        <f ca="1">OFFSET(References!$O$54,'Operator Performance'!G38-1,0)</f>
        <v>89</v>
      </c>
      <c r="E30" s="210">
        <f>'Operator Performance'!E38</f>
        <v>1</v>
      </c>
      <c r="F30" s="212">
        <f ca="1">'Operator Performance'!F38</f>
        <v>0</v>
      </c>
    </row>
    <row r="31" spans="1:6" x14ac:dyDescent="0.25">
      <c r="A31" s="212" t="str">
        <f t="shared" ca="1" si="0"/>
        <v>1190020710</v>
      </c>
      <c r="B31" s="210">
        <f ca="1">ProfileHeader!$A$3</f>
        <v>4209514793.3619576</v>
      </c>
      <c r="C31" s="210">
        <v>89</v>
      </c>
      <c r="D31" s="210" t="e">
        <f ca="1">OFFSET(References!$O$54,'Operator Performance'!#REF!-1,0)</f>
        <v>#REF!</v>
      </c>
      <c r="E31" s="210" t="e">
        <f>'Operator Performance'!#REF!</f>
        <v>#REF!</v>
      </c>
      <c r="F31" s="212" t="e">
        <f>'Operator Performance'!#REF!</f>
        <v>#REF!</v>
      </c>
    </row>
    <row r="32" spans="1:6" x14ac:dyDescent="0.25">
      <c r="A32" s="212" t="str">
        <f t="shared" ca="1" si="0"/>
        <v>8898667378</v>
      </c>
      <c r="B32" s="210">
        <f ca="1">ProfileHeader!$A$3</f>
        <v>4209514793.3619576</v>
      </c>
      <c r="C32" s="210">
        <v>90</v>
      </c>
      <c r="D32" s="210" t="e">
        <f ca="1">OFFSET(References!$O$54,'Operator Performance'!#REF!-1,0)</f>
        <v>#REF!</v>
      </c>
      <c r="E32" s="210" t="e">
        <f>'Operator Performance'!#REF!</f>
        <v>#REF!</v>
      </c>
      <c r="F32" s="212" t="e">
        <f>'Operator Performance'!#REF!</f>
        <v>#REF!</v>
      </c>
    </row>
    <row r="33" spans="1:6" x14ac:dyDescent="0.25">
      <c r="A33" s="212" t="str">
        <f t="shared" ca="1" si="0"/>
        <v>3638146340</v>
      </c>
      <c r="B33" s="210">
        <f ca="1">ProfileHeader!$A$3</f>
        <v>4209514793.3619576</v>
      </c>
      <c r="C33" s="210">
        <v>91</v>
      </c>
      <c r="D33" s="210" t="e">
        <f ca="1">OFFSET(References!$O$54,'Operator Performance'!#REF!-1,0)</f>
        <v>#REF!</v>
      </c>
      <c r="E33" s="210" t="e">
        <f>'Operator Performance'!#REF!</f>
        <v>#REF!</v>
      </c>
      <c r="F33" s="212" t="e">
        <f>'Operator Performance'!#REF!</f>
        <v>#REF!</v>
      </c>
    </row>
    <row r="34" spans="1:6" x14ac:dyDescent="0.25">
      <c r="A34" s="212" t="str">
        <f t="shared" ca="1" si="0"/>
        <v>8178735631</v>
      </c>
      <c r="B34" s="210">
        <f ca="1">ProfileHeader!$A$3</f>
        <v>4209514793.3619576</v>
      </c>
      <c r="C34" s="210">
        <v>92</v>
      </c>
      <c r="D34" s="210">
        <f ca="1">OFFSET(References!$O$54,'Operator Performance'!G42-1,0)</f>
        <v>93</v>
      </c>
      <c r="E34" s="210" t="str">
        <f>'Operator Performance'!E42</f>
        <v>Yes</v>
      </c>
      <c r="F34" s="212">
        <f ca="1">'Operator Performance'!F42</f>
        <v>3</v>
      </c>
    </row>
    <row r="35" spans="1:6" x14ac:dyDescent="0.25">
      <c r="A35" s="212" t="str">
        <f t="shared" ca="1" si="0"/>
        <v>9002934698</v>
      </c>
      <c r="B35" s="210">
        <f ca="1">ProfileHeader!$A$3</f>
        <v>4209514793.3619576</v>
      </c>
      <c r="C35" s="210">
        <v>97</v>
      </c>
      <c r="D35" s="210">
        <f ca="1">OFFSET(References!$O$54,'Operator Performance'!G43-1,0)</f>
        <v>95</v>
      </c>
      <c r="E35" s="210" t="str">
        <f>'Operator Performance'!E43</f>
        <v>Yes</v>
      </c>
      <c r="F35" s="212">
        <f ca="1">'Operator Performance'!F43</f>
        <v>3</v>
      </c>
    </row>
    <row r="36" spans="1:6" x14ac:dyDescent="0.25">
      <c r="A36" s="212" t="str">
        <f t="shared" ca="1" si="0"/>
        <v>8211414200</v>
      </c>
      <c r="B36" s="210">
        <f ca="1">ProfileHeader!$A$3</f>
        <v>4209514793.3619576</v>
      </c>
      <c r="C36" s="210">
        <v>99</v>
      </c>
      <c r="D36" s="210">
        <f ca="1">OFFSET(References!$O$54,'Operator Performance'!G44-1,0)</f>
        <v>97</v>
      </c>
      <c r="E36" s="210" t="str">
        <f>'Operator Performance'!E44</f>
        <v>Yes</v>
      </c>
      <c r="F36" s="212">
        <f ca="1">'Operator Performance'!F44</f>
        <v>3</v>
      </c>
    </row>
    <row r="37" spans="1:6" x14ac:dyDescent="0.25">
      <c r="A37" s="212" t="str">
        <f t="shared" ca="1" si="0"/>
        <v>8044060995</v>
      </c>
      <c r="B37" s="210">
        <f ca="1">ProfileHeader!$A$3</f>
        <v>4209514793.3619576</v>
      </c>
      <c r="C37" s="210">
        <v>100</v>
      </c>
      <c r="D37" s="210">
        <f ca="1">OFFSET(References!$O$54,'Operator Performance'!G45-1,0)</f>
        <v>107</v>
      </c>
      <c r="E37" s="210" t="str">
        <f>'Operator Performance'!E45</f>
        <v>No</v>
      </c>
      <c r="F37" s="212">
        <f>'Operator Performance'!F45</f>
        <v>0</v>
      </c>
    </row>
    <row r="38" spans="1:6" x14ac:dyDescent="0.25">
      <c r="A38" s="212" t="str">
        <f t="shared" ca="1" si="0"/>
        <v>6476092650</v>
      </c>
      <c r="B38" s="210">
        <f ca="1">ProfileHeader!$A$3</f>
        <v>4209514793.3619576</v>
      </c>
      <c r="C38" s="210">
        <v>101</v>
      </c>
      <c r="D38" s="210">
        <f ca="1">OFFSET(References!$O$54,'Operator Performance'!G46-1,0)</f>
        <v>111</v>
      </c>
      <c r="E38" s="210" t="str">
        <f>'Operator Performance'!E46</f>
        <v>No</v>
      </c>
      <c r="F38" s="212">
        <f>'Operator Performance'!F46</f>
        <v>0</v>
      </c>
    </row>
    <row r="39" spans="1:6" x14ac:dyDescent="0.25">
      <c r="A39" s="212" t="str">
        <f t="shared" ca="1" si="0"/>
        <v>5296591951</v>
      </c>
      <c r="B39" s="210">
        <f ca="1">ProfileHeader!$A$3</f>
        <v>4209514793.3619576</v>
      </c>
      <c r="C39" s="210">
        <v>102</v>
      </c>
      <c r="D39" s="210">
        <f ca="1">OFFSET(References!$O$54,'Operator Performance'!G47-1,0)</f>
        <v>113</v>
      </c>
      <c r="E39" s="210" t="str">
        <f>'Operator Performance'!E47</f>
        <v>No</v>
      </c>
      <c r="F39" s="212">
        <f>'Operator Performance'!F47</f>
        <v>0</v>
      </c>
    </row>
    <row r="40" spans="1:6" x14ac:dyDescent="0.25">
      <c r="A40" s="212" t="str">
        <f t="shared" ca="1" si="0"/>
        <v>5245360058</v>
      </c>
      <c r="B40" s="210">
        <f ca="1">ProfileHeader!$A$3</f>
        <v>4209514793.3619576</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505" ma:contentTypeDescription="Permitting &amp; Compliance Word Document" ma:contentTypeScope="" ma:versionID="d513e406f3362f245e9bfff1d880a827">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a4aa77742108f3cd7a998a27fb425127"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MediaServiceAutoTags" ma:description=""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1"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Silent Valley Waste Transfer Station </Site_x0020_Name>
    <Internal_x002f_External xmlns="859f7ad6-93f6-4205-b62b-a17f28acbbac">Incoming document</Internal_x002f_External>
    <Post_x0020_code xmlns="859f7ad6-93f6-4205-b62b-a17f28acbbac">NP23 6PZ	</Post_x0020_code>
    <Document_x0020_Type xmlns="859f7ad6-93f6-4205-b62b-a17f28acbbac">Report</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Beechwood House, Cwm, Ebbw Vale</Facility_x0020_Address>
    <Environment_x0020_Sub_x0020_Folder xmlns="859f7ad6-93f6-4205-b62b-a17f28acbbac">Licence surrender</Environment_x0020_Sub_x0020_Folder>
    <Customer_x0020_Name xmlns="859f7ad6-93f6-4205-b62b-a17f28acbbac">Silent Valley Waste Services Ltd			</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C10F63F-2E4D-4B72-9FFF-A1DB3A7E2A1B}"/>
</file>

<file path=customXml/itemProps2.xml><?xml version="1.0" encoding="utf-8"?>
<ds:datastoreItem xmlns:ds="http://schemas.openxmlformats.org/officeDocument/2006/customXml" ds:itemID="{5610EBAD-303A-4624-B115-E84E7487024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DDD235A-9D79-446F-9D05-1D6E8066830D}">
  <ds:schemaRefs>
    <ds:schemaRef ds:uri="http://schemas.microsoft.com/sharepoint/v3/contenttype/forms"/>
  </ds:schemaRefs>
</ds:datastoreItem>
</file>

<file path=customXml/itemProps4.xml><?xml version="1.0" encoding="utf-8"?>
<ds:datastoreItem xmlns:ds="http://schemas.openxmlformats.org/officeDocument/2006/customXml" ds:itemID="{E7F116C2-FD41-4871-BE89-F586B97761D4}"/>
</file>

<file path=customXml/itemProps5.xml><?xml version="1.0" encoding="utf-8"?>
<ds:datastoreItem xmlns:ds="http://schemas.openxmlformats.org/officeDocument/2006/customXml" ds:itemID="{C3E602D3-F4CB-4EAD-8E20-E2207568962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PAN-011355 - Appendix 5_EAWML 30207 - OPRA_2015.xlsx</dc:title>
  <dc:creator/>
  <cp:lastModifiedBy>Viktoria Karagits</cp:lastModifiedBy>
  <cp:lastPrinted>2005-10-03T15:12:33Z</cp:lastPrinted>
  <dcterms:created xsi:type="dcterms:W3CDTF">2005-09-28T20:46:41Z</dcterms:created>
  <dcterms:modified xsi:type="dcterms:W3CDTF">2020-08-11T10:48:35Z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0x01010067EB80C5FE939D4A9B3D8BA62129B7F5010200614DF11ADA2F0C49BD4360B2CC643CB8</vt:lpwstr>
  </property>
  <property fmtid="{D5CDD505-2E9C-101B-9397-08002B2CF9AE}" pid="6" name="_dlc_DocId">
    <vt:lpwstr>REGU-106-142168</vt:lpwstr>
  </property>
  <property fmtid="{D5CDD505-2E9C-101B-9397-08002B2CF9AE}" pid="7" name="_dlc_DocIdItemGuid">
    <vt:lpwstr>6f1a612d-af37-4fb4-a114-83154830e6b3</vt:lpwstr>
  </property>
  <property fmtid="{D5CDD505-2E9C-101B-9397-08002B2CF9AE}" pid="8" name="_dlc_DocIdUrl">
    <vt:lpwstr>https://cyfoethnaturiolcymru.sharepoint.com/teams/Regulatory/Permitting/_layouts/15/DocIdRedir.aspx?ID=REGU-106-142168, REGU-106-142168</vt:lpwstr>
  </property>
</Properties>
</file>