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1642\"/>
    </mc:Choice>
  </mc:AlternateContent>
  <xr:revisionPtr revIDLastSave="0" documentId="13_ncr:1_{23C594BA-1484-4F47-8697-C23E81CB0B36}" xr6:coauthVersionLast="44" xr6:coauthVersionMax="44" xr10:uidLastSave="{00000000-0000-0000-0000-000000000000}"/>
  <bookViews>
    <workbookView xWindow="-19310" yWindow="2410" windowWidth="19420" windowHeight="10420" tabRatio="870" activeTab="7"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Q24" i="30"/>
  <c r="P24" i="30"/>
  <c r="O24" i="30"/>
  <c r="N24" i="30"/>
  <c r="M24" i="30"/>
  <c r="L24" i="30"/>
  <c r="K24" i="30"/>
  <c r="J24" i="30"/>
  <c r="I24" i="30"/>
  <c r="V22" i="30"/>
  <c r="U22" i="30"/>
  <c r="S22" i="30"/>
  <c r="Q22" i="30"/>
  <c r="O22" i="30"/>
  <c r="N22" i="30"/>
  <c r="M22" i="30"/>
  <c r="K22" i="30"/>
  <c r="I22" i="30"/>
  <c r="G22" i="30"/>
  <c r="E22" i="30"/>
  <c r="V20" i="30"/>
  <c r="U20" i="30"/>
  <c r="T20" i="30"/>
  <c r="S20" i="30"/>
  <c r="R20" i="30"/>
  <c r="Q20" i="30"/>
  <c r="P20" i="30"/>
  <c r="O20" i="30"/>
  <c r="N20" i="30"/>
  <c r="M20" i="30"/>
  <c r="L20" i="30"/>
  <c r="K20" i="30"/>
  <c r="J20" i="30"/>
  <c r="I20" i="30"/>
  <c r="V18" i="30"/>
  <c r="T18" i="30"/>
  <c r="R18" i="30"/>
  <c r="Q18" i="30"/>
  <c r="P18" i="30"/>
  <c r="N18" i="30"/>
  <c r="L18" i="30"/>
  <c r="J18" i="30"/>
  <c r="I18" i="30"/>
  <c r="H18" i="30"/>
  <c r="D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O21" i="30" s="1"/>
  <c r="N14" i="30"/>
  <c r="M59" i="30" s="1"/>
  <c r="M14" i="30"/>
  <c r="L59" i="30" s="1"/>
  <c r="L14" i="30"/>
  <c r="K59" i="30" s="1"/>
  <c r="K14" i="30"/>
  <c r="J59" i="30" s="1"/>
  <c r="J14" i="30"/>
  <c r="I59" i="30" s="1"/>
  <c r="I14" i="30"/>
  <c r="H59" i="30" s="1"/>
  <c r="H14" i="30"/>
  <c r="G14" i="30"/>
  <c r="G21" i="30" s="1"/>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D50" i="29"/>
  <c r="C50" i="29"/>
  <c r="U49" i="29"/>
  <c r="T49" i="29"/>
  <c r="S49" i="29"/>
  <c r="R49" i="29"/>
  <c r="Q49" i="29"/>
  <c r="P49" i="29"/>
  <c r="O49" i="29"/>
  <c r="N49" i="29"/>
  <c r="M49" i="29"/>
  <c r="L49" i="29"/>
  <c r="K49" i="29"/>
  <c r="J49" i="29"/>
  <c r="I49" i="29"/>
  <c r="H49" i="29"/>
  <c r="G49" i="29"/>
  <c r="F49" i="29"/>
  <c r="E49" i="29"/>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D44" i="29"/>
  <c r="C44" i="29"/>
  <c r="U43" i="29"/>
  <c r="T43" i="29"/>
  <c r="S43" i="29"/>
  <c r="R43" i="29"/>
  <c r="Q43" i="29"/>
  <c r="P43" i="29"/>
  <c r="O43" i="29"/>
  <c r="N43" i="29"/>
  <c r="M43" i="29"/>
  <c r="L43" i="29"/>
  <c r="K43" i="29"/>
  <c r="J43" i="29"/>
  <c r="I43" i="29"/>
  <c r="H43" i="29"/>
  <c r="G43" i="29"/>
  <c r="F43" i="29"/>
  <c r="E43" i="29"/>
  <c r="O22" i="29" s="1"/>
  <c r="D43" i="29"/>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D36" i="29"/>
  <c r="C36" i="29"/>
  <c r="U35" i="29"/>
  <c r="T35" i="29"/>
  <c r="S35" i="29"/>
  <c r="R35" i="29"/>
  <c r="Q35" i="29"/>
  <c r="P35" i="29"/>
  <c r="O35" i="29"/>
  <c r="N35" i="29"/>
  <c r="M35" i="29"/>
  <c r="L35" i="29"/>
  <c r="K35" i="29"/>
  <c r="J35" i="29"/>
  <c r="I35" i="29"/>
  <c r="H35" i="29"/>
  <c r="G35" i="29"/>
  <c r="F35" i="29"/>
  <c r="E35" i="29"/>
  <c r="G22" i="29" s="1"/>
  <c r="D35" i="29"/>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32" i="29"/>
  <c r="D18" i="29" s="1"/>
  <c r="C32" i="29"/>
  <c r="U31" i="29"/>
  <c r="T31" i="29"/>
  <c r="S31" i="29"/>
  <c r="R31" i="29"/>
  <c r="Q31" i="29"/>
  <c r="P31" i="29"/>
  <c r="O31" i="29"/>
  <c r="N31" i="29"/>
  <c r="M31" i="29"/>
  <c r="L31" i="29"/>
  <c r="K31" i="29"/>
  <c r="J31" i="29"/>
  <c r="I31" i="29"/>
  <c r="H31" i="29"/>
  <c r="G31" i="29"/>
  <c r="F31" i="29"/>
  <c r="E31" i="29"/>
  <c r="C22" i="29" s="1"/>
  <c r="D31" i="29"/>
  <c r="C18" i="29" s="1"/>
  <c r="C31" i="29"/>
  <c r="V24" i="29"/>
  <c r="U24" i="29"/>
  <c r="T24" i="29"/>
  <c r="S24" i="29"/>
  <c r="R24" i="29"/>
  <c r="Q24" i="29"/>
  <c r="P24" i="29"/>
  <c r="O24" i="29"/>
  <c r="N24" i="29"/>
  <c r="M24" i="29"/>
  <c r="L24" i="29"/>
  <c r="K24" i="29"/>
  <c r="J24" i="29"/>
  <c r="I24" i="29"/>
  <c r="V22" i="29"/>
  <c r="U22" i="29"/>
  <c r="T22" i="29"/>
  <c r="S22" i="29"/>
  <c r="P22" i="29"/>
  <c r="M22" i="29"/>
  <c r="L22" i="29"/>
  <c r="H22" i="29"/>
  <c r="D22" i="29"/>
  <c r="V20" i="29"/>
  <c r="U20" i="29"/>
  <c r="T20" i="29"/>
  <c r="S20" i="29"/>
  <c r="R20" i="29"/>
  <c r="Q20" i="29"/>
  <c r="P20" i="29"/>
  <c r="O20" i="29"/>
  <c r="N20" i="29"/>
  <c r="M20" i="29"/>
  <c r="L20" i="29"/>
  <c r="K20" i="29"/>
  <c r="J20" i="29"/>
  <c r="I20" i="29"/>
  <c r="V18" i="29"/>
  <c r="S18" i="29"/>
  <c r="P18" i="29"/>
  <c r="O18" i="29"/>
  <c r="N18" i="29"/>
  <c r="K18" i="29"/>
  <c r="H18" i="29"/>
  <c r="G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59" i="29" s="1"/>
  <c r="U14" i="29"/>
  <c r="T59" i="29" s="1"/>
  <c r="T14" i="29"/>
  <c r="S59" i="29" s="1"/>
  <c r="S14" i="29"/>
  <c r="R59" i="29" s="1"/>
  <c r="R14" i="29"/>
  <c r="Q59" i="29" s="1"/>
  <c r="Q14" i="29"/>
  <c r="Q21" i="29" s="1"/>
  <c r="P14" i="29"/>
  <c r="O14" i="29"/>
  <c r="N14" i="29"/>
  <c r="M59" i="29" s="1"/>
  <c r="M14" i="29"/>
  <c r="L59" i="29" s="1"/>
  <c r="L14" i="29"/>
  <c r="K59" i="29" s="1"/>
  <c r="K14" i="29"/>
  <c r="J59" i="29" s="1"/>
  <c r="J14" i="29"/>
  <c r="I59" i="29" s="1"/>
  <c r="I14" i="29"/>
  <c r="I21" i="29" s="1"/>
  <c r="H14" i="29"/>
  <c r="G14" i="29"/>
  <c r="F14" i="29"/>
  <c r="E59" i="29" s="1"/>
  <c r="E14" i="29"/>
  <c r="D59" i="29" s="1"/>
  <c r="D14" i="29"/>
  <c r="C59" i="29" s="1"/>
  <c r="C14" i="29"/>
  <c r="B59" i="29" s="1"/>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F63" i="28"/>
  <c r="U62" i="28"/>
  <c r="T62" i="28"/>
  <c r="S62" i="28"/>
  <c r="R62" i="28"/>
  <c r="Q62" i="28"/>
  <c r="P62" i="28"/>
  <c r="O62" i="28"/>
  <c r="N62" i="28"/>
  <c r="M62" i="28"/>
  <c r="L62" i="28"/>
  <c r="K62" i="28"/>
  <c r="J62" i="28"/>
  <c r="I62" i="28"/>
  <c r="H62" i="28"/>
  <c r="G62" i="28"/>
  <c r="F62" i="28"/>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C48" i="28"/>
  <c r="U47" i="28"/>
  <c r="T47" i="28"/>
  <c r="S47" i="28"/>
  <c r="R47" i="28"/>
  <c r="Q47" i="28"/>
  <c r="P47" i="28"/>
  <c r="O47" i="28"/>
  <c r="N47" i="28"/>
  <c r="M47" i="28"/>
  <c r="L47" i="28"/>
  <c r="K47" i="28"/>
  <c r="J47" i="28"/>
  <c r="I47" i="28"/>
  <c r="H47" i="28"/>
  <c r="G47" i="28"/>
  <c r="F47" i="28"/>
  <c r="E47" i="28"/>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D45" i="28"/>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C43" i="28"/>
  <c r="U42" i="28"/>
  <c r="T42" i="28"/>
  <c r="S42" i="28"/>
  <c r="R42" i="28"/>
  <c r="Q42" i="28"/>
  <c r="P42" i="28"/>
  <c r="O42" i="28"/>
  <c r="N42" i="28"/>
  <c r="M42" i="28"/>
  <c r="L42" i="28"/>
  <c r="K42" i="28"/>
  <c r="J42" i="28"/>
  <c r="I42" i="28"/>
  <c r="H42" i="28"/>
  <c r="G42" i="28"/>
  <c r="F42" i="28"/>
  <c r="E42" i="28"/>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D39" i="28"/>
  <c r="C39" i="28"/>
  <c r="U38" i="28"/>
  <c r="T38" i="28"/>
  <c r="S38" i="28"/>
  <c r="R38" i="28"/>
  <c r="Q38" i="28"/>
  <c r="P38" i="28"/>
  <c r="O38" i="28"/>
  <c r="N38" i="28"/>
  <c r="M38" i="28"/>
  <c r="L38" i="28"/>
  <c r="K38" i="28"/>
  <c r="J38" i="28"/>
  <c r="I38" i="28"/>
  <c r="H38" i="28"/>
  <c r="G38" i="28"/>
  <c r="F38" i="28"/>
  <c r="E38" i="28"/>
  <c r="J22" i="28" s="1"/>
  <c r="D38" i="28"/>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C35" i="28"/>
  <c r="U34" i="28"/>
  <c r="T34" i="28"/>
  <c r="S34" i="28"/>
  <c r="R34" i="28"/>
  <c r="Q34" i="28"/>
  <c r="P34" i="28"/>
  <c r="O34" i="28"/>
  <c r="N34" i="28"/>
  <c r="M34" i="28"/>
  <c r="L34" i="28"/>
  <c r="K34" i="28"/>
  <c r="J34" i="28"/>
  <c r="I34" i="28"/>
  <c r="H34" i="28"/>
  <c r="G34" i="28"/>
  <c r="F34" i="28"/>
  <c r="E34" i="28"/>
  <c r="F22" i="28" s="1"/>
  <c r="D34" i="28"/>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Q24" i="28"/>
  <c r="P24" i="28"/>
  <c r="O24" i="28"/>
  <c r="N24" i="28"/>
  <c r="M24" i="28"/>
  <c r="L24" i="28"/>
  <c r="K24" i="28"/>
  <c r="J24" i="28"/>
  <c r="I24" i="28"/>
  <c r="V22" i="28"/>
  <c r="S22" i="28"/>
  <c r="Q22" i="28"/>
  <c r="O22" i="28"/>
  <c r="N22" i="28"/>
  <c r="K22" i="28"/>
  <c r="V20" i="28"/>
  <c r="U20" i="28"/>
  <c r="T20" i="28"/>
  <c r="S20" i="28"/>
  <c r="R20" i="28"/>
  <c r="Q20" i="28"/>
  <c r="P20" i="28"/>
  <c r="O20" i="28"/>
  <c r="N20" i="28"/>
  <c r="M20" i="28"/>
  <c r="L20" i="28"/>
  <c r="K20" i="28"/>
  <c r="J20" i="28"/>
  <c r="I20" i="28"/>
  <c r="V18" i="28"/>
  <c r="U18" i="28"/>
  <c r="T18" i="28"/>
  <c r="R18" i="28"/>
  <c r="Q18" i="28"/>
  <c r="O18" i="28"/>
  <c r="N18" i="28"/>
  <c r="M18" i="28"/>
  <c r="K18" i="28"/>
  <c r="J18" i="28"/>
  <c r="I18" i="28"/>
  <c r="G18" i="28"/>
  <c r="F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C50" i="27"/>
  <c r="U49" i="27"/>
  <c r="T49" i="27"/>
  <c r="S49" i="27"/>
  <c r="R49" i="27"/>
  <c r="Q49" i="27"/>
  <c r="P49" i="27"/>
  <c r="O49" i="27"/>
  <c r="N49" i="27"/>
  <c r="M49" i="27"/>
  <c r="L49" i="27"/>
  <c r="K49" i="27"/>
  <c r="J49" i="27"/>
  <c r="I49" i="27"/>
  <c r="H49" i="27"/>
  <c r="G49" i="27"/>
  <c r="F49" i="27"/>
  <c r="E49" i="27"/>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D42" i="27"/>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M24" i="27"/>
  <c r="L24" i="27"/>
  <c r="K24" i="27"/>
  <c r="J24" i="27"/>
  <c r="I24" i="27"/>
  <c r="V22" i="27"/>
  <c r="U22" i="27"/>
  <c r="S22" i="27"/>
  <c r="O22" i="27"/>
  <c r="N22" i="27"/>
  <c r="G22" i="27"/>
  <c r="V20" i="27"/>
  <c r="U20" i="27"/>
  <c r="T20" i="27"/>
  <c r="S20" i="27"/>
  <c r="R20" i="27"/>
  <c r="Q20" i="27"/>
  <c r="P20" i="27"/>
  <c r="O20" i="27"/>
  <c r="N20" i="27"/>
  <c r="M20" i="27"/>
  <c r="L20" i="27"/>
  <c r="K20" i="27"/>
  <c r="J20" i="27"/>
  <c r="I20" i="27"/>
  <c r="V18" i="27"/>
  <c r="U18" i="27"/>
  <c r="S18" i="27"/>
  <c r="R18" i="27"/>
  <c r="P18" i="27"/>
  <c r="N18" i="27"/>
  <c r="K18" i="27"/>
  <c r="J18" i="27"/>
  <c r="H18" i="27"/>
  <c r="F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N63" i="26"/>
  <c r="M63" i="26"/>
  <c r="F63" i="26"/>
  <c r="U62" i="26"/>
  <c r="T62" i="26"/>
  <c r="S62" i="26"/>
  <c r="R62" i="26"/>
  <c r="Q62" i="26"/>
  <c r="P62" i="26"/>
  <c r="O62" i="26"/>
  <c r="N62" i="26"/>
  <c r="M62" i="26"/>
  <c r="L62" i="26"/>
  <c r="K62" i="26"/>
  <c r="J62" i="26"/>
  <c r="I62" i="26"/>
  <c r="H62" i="26"/>
  <c r="G62" i="26"/>
  <c r="F62" i="26"/>
  <c r="E62" i="26"/>
  <c r="E63" i="26" s="1"/>
  <c r="D62" i="26"/>
  <c r="C62" i="26"/>
  <c r="B62" i="26"/>
  <c r="G55" i="26"/>
  <c r="E55" i="26"/>
  <c r="T63" i="26" s="1"/>
  <c r="D55" i="26"/>
  <c r="U50" i="26"/>
  <c r="T50" i="26"/>
  <c r="S50" i="26"/>
  <c r="R50" i="26"/>
  <c r="Q50" i="26"/>
  <c r="P50" i="26"/>
  <c r="O50" i="26"/>
  <c r="N50" i="26"/>
  <c r="M50" i="26"/>
  <c r="L50" i="26"/>
  <c r="K50" i="26"/>
  <c r="J50" i="26"/>
  <c r="I50" i="26"/>
  <c r="H50" i="26"/>
  <c r="G50" i="26"/>
  <c r="F50" i="26"/>
  <c r="E50" i="26"/>
  <c r="D50" i="26"/>
  <c r="C50" i="26"/>
  <c r="U49" i="26"/>
  <c r="T49" i="26"/>
  <c r="S49" i="26"/>
  <c r="R49" i="26"/>
  <c r="Q49" i="26"/>
  <c r="P49" i="26"/>
  <c r="O49" i="26"/>
  <c r="N49" i="26"/>
  <c r="M49" i="26"/>
  <c r="L49" i="26"/>
  <c r="K49" i="26"/>
  <c r="J49" i="26"/>
  <c r="I49" i="26"/>
  <c r="H49" i="26"/>
  <c r="G49" i="26"/>
  <c r="F49" i="26"/>
  <c r="E49" i="26"/>
  <c r="D49" i="26"/>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D42" i="26"/>
  <c r="N18" i="26" s="1"/>
  <c r="C42" i="26"/>
  <c r="U41" i="26"/>
  <c r="T41" i="26"/>
  <c r="S41" i="26"/>
  <c r="R41" i="26"/>
  <c r="Q41" i="26"/>
  <c r="P41" i="26"/>
  <c r="O41" i="26"/>
  <c r="N41" i="26"/>
  <c r="M41" i="26"/>
  <c r="L41" i="26"/>
  <c r="K41" i="26"/>
  <c r="J41" i="26"/>
  <c r="I41" i="26"/>
  <c r="H41" i="26"/>
  <c r="G41" i="26"/>
  <c r="F41" i="26"/>
  <c r="E41" i="26"/>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U24" i="26"/>
  <c r="T24" i="26"/>
  <c r="S24" i="26"/>
  <c r="R24" i="26"/>
  <c r="Q24" i="26"/>
  <c r="P24" i="26"/>
  <c r="O24" i="26"/>
  <c r="N24" i="26"/>
  <c r="M24" i="26"/>
  <c r="L24" i="26"/>
  <c r="K24" i="26"/>
  <c r="J24" i="26"/>
  <c r="I24" i="26"/>
  <c r="V22" i="26"/>
  <c r="U22" i="26"/>
  <c r="S22" i="26"/>
  <c r="Q22" i="26"/>
  <c r="N22" i="26"/>
  <c r="M22" i="26"/>
  <c r="I22" i="26"/>
  <c r="E22" i="26"/>
  <c r="V20" i="26"/>
  <c r="U20" i="26"/>
  <c r="T20" i="26"/>
  <c r="S20" i="26"/>
  <c r="R20" i="26"/>
  <c r="Q20" i="26"/>
  <c r="P20" i="26"/>
  <c r="O20" i="26"/>
  <c r="N20" i="26"/>
  <c r="M20" i="26"/>
  <c r="L20" i="26"/>
  <c r="K20" i="26"/>
  <c r="J20" i="26"/>
  <c r="I20" i="26"/>
  <c r="V18" i="26"/>
  <c r="U18" i="26"/>
  <c r="T18" i="26"/>
  <c r="S18" i="26"/>
  <c r="Q18" i="26"/>
  <c r="P18" i="26"/>
  <c r="O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N63" i="24"/>
  <c r="U62" i="24"/>
  <c r="T62" i="24"/>
  <c r="S62" i="24"/>
  <c r="R62" i="24"/>
  <c r="Q62" i="24"/>
  <c r="P62" i="24"/>
  <c r="O62" i="24"/>
  <c r="N62" i="24"/>
  <c r="M62" i="24"/>
  <c r="L62" i="24"/>
  <c r="K62" i="24"/>
  <c r="J62" i="24"/>
  <c r="I62" i="24"/>
  <c r="H62" i="24"/>
  <c r="G62" i="24"/>
  <c r="F62" i="24"/>
  <c r="F63" i="24" s="1"/>
  <c r="E62" i="24"/>
  <c r="D62" i="24"/>
  <c r="C62" i="24"/>
  <c r="B62" i="24"/>
  <c r="G55" i="24"/>
  <c r="E55" i="24"/>
  <c r="U63"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C48" i="24"/>
  <c r="U47" i="24"/>
  <c r="T47" i="24"/>
  <c r="S47" i="24"/>
  <c r="R47" i="24"/>
  <c r="Q47" i="24"/>
  <c r="P47" i="24"/>
  <c r="O47" i="24"/>
  <c r="N47" i="24"/>
  <c r="M47" i="24"/>
  <c r="L47" i="24"/>
  <c r="K47" i="24"/>
  <c r="J47" i="24"/>
  <c r="I47" i="24"/>
  <c r="H47" i="24"/>
  <c r="G47" i="24"/>
  <c r="F47" i="24"/>
  <c r="E47" i="24"/>
  <c r="D47" i="24"/>
  <c r="C47" i="24"/>
  <c r="U46" i="24"/>
  <c r="T46" i="24"/>
  <c r="S46" i="24"/>
  <c r="R46" i="24"/>
  <c r="Q46" i="24"/>
  <c r="P46" i="24"/>
  <c r="O46" i="24"/>
  <c r="N46" i="24"/>
  <c r="M46" i="24"/>
  <c r="L46" i="24"/>
  <c r="K46" i="24"/>
  <c r="J46" i="24"/>
  <c r="I46" i="24"/>
  <c r="H46" i="24"/>
  <c r="G46" i="24"/>
  <c r="F46" i="24"/>
  <c r="E46" i="24"/>
  <c r="R22" i="24" s="1"/>
  <c r="D46" i="24"/>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D34" i="24"/>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T31" i="24"/>
  <c r="S31" i="24"/>
  <c r="R31" i="24"/>
  <c r="Q31" i="24"/>
  <c r="P31" i="24"/>
  <c r="O31" i="24"/>
  <c r="N31" i="24"/>
  <c r="M31" i="24"/>
  <c r="L31" i="24"/>
  <c r="K31" i="24"/>
  <c r="J31" i="24"/>
  <c r="I31" i="24"/>
  <c r="H31" i="24"/>
  <c r="G31" i="24"/>
  <c r="F31" i="24"/>
  <c r="E31" i="24"/>
  <c r="C22" i="24" s="1"/>
  <c r="D31" i="24"/>
  <c r="C18" i="24" s="1"/>
  <c r="C31" i="24"/>
  <c r="V24" i="24"/>
  <c r="U24" i="24"/>
  <c r="T24" i="24"/>
  <c r="S24" i="24"/>
  <c r="R24" i="24"/>
  <c r="Q24" i="24"/>
  <c r="P24" i="24"/>
  <c r="O24" i="24"/>
  <c r="N24" i="24"/>
  <c r="M24" i="24"/>
  <c r="L24" i="24"/>
  <c r="K24" i="24"/>
  <c r="J24" i="24"/>
  <c r="I24" i="24"/>
  <c r="U22" i="24"/>
  <c r="S22" i="24"/>
  <c r="Q22" i="24"/>
  <c r="K22" i="24"/>
  <c r="I22" i="24"/>
  <c r="F22" i="24"/>
  <c r="V20" i="24"/>
  <c r="U20" i="24"/>
  <c r="T20" i="24"/>
  <c r="S20" i="24"/>
  <c r="R20" i="24"/>
  <c r="Q20" i="24"/>
  <c r="P20" i="24"/>
  <c r="O20" i="24"/>
  <c r="N20" i="24"/>
  <c r="M20" i="24"/>
  <c r="L20" i="24"/>
  <c r="K20" i="24"/>
  <c r="J20" i="24"/>
  <c r="I20" i="24"/>
  <c r="V18" i="24"/>
  <c r="U18" i="24"/>
  <c r="T18" i="24"/>
  <c r="S18" i="24"/>
  <c r="R18" i="24"/>
  <c r="N18" i="24"/>
  <c r="M18" i="24"/>
  <c r="F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59" i="24" s="1"/>
  <c r="U14" i="24"/>
  <c r="T59" i="24" s="1"/>
  <c r="T14" i="24"/>
  <c r="S59" i="24" s="1"/>
  <c r="S14" i="24"/>
  <c r="R59" i="24" s="1"/>
  <c r="R14" i="24"/>
  <c r="Q59" i="24" s="1"/>
  <c r="Q14" i="24"/>
  <c r="P14" i="24"/>
  <c r="O14" i="24"/>
  <c r="N14" i="24"/>
  <c r="M59" i="24" s="1"/>
  <c r="M14" i="24"/>
  <c r="L59" i="24" s="1"/>
  <c r="L14" i="24"/>
  <c r="K59" i="24" s="1"/>
  <c r="K14" i="24"/>
  <c r="J59" i="24" s="1"/>
  <c r="J14" i="24"/>
  <c r="I59" i="24" s="1"/>
  <c r="I14" i="24"/>
  <c r="H14" i="24"/>
  <c r="H21" i="24" s="1"/>
  <c r="G14" i="24"/>
  <c r="F14" i="24"/>
  <c r="E59" i="24" s="1"/>
  <c r="E14" i="24"/>
  <c r="D59" i="24" s="1"/>
  <c r="D14" i="24"/>
  <c r="C59" i="24" s="1"/>
  <c r="C14" i="24"/>
  <c r="B59" i="24" s="1"/>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G8" i="2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G60" i="21"/>
  <c r="L59" i="21"/>
  <c r="D59" i="21"/>
  <c r="N58" i="21"/>
  <c r="N61" i="21" s="1"/>
  <c r="U57" i="21"/>
  <c r="M57" i="21"/>
  <c r="F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M20" i="21"/>
  <c r="L20" i="21"/>
  <c r="K20" i="21"/>
  <c r="J20" i="21"/>
  <c r="I20" i="21"/>
  <c r="F17" i="21"/>
  <c r="G58" i="21" l="1"/>
  <c r="G61" i="21" s="1"/>
  <c r="L21" i="21"/>
  <c r="S58" i="21"/>
  <c r="S61" i="21" s="1"/>
  <c r="C58" i="21"/>
  <c r="C61" i="21" s="1"/>
  <c r="I17" i="21"/>
  <c r="T21" i="21"/>
  <c r="L17" i="21"/>
  <c r="D17" i="21"/>
  <c r="D19" i="21" s="1"/>
  <c r="D20" i="21" s="1"/>
  <c r="K58" i="21"/>
  <c r="K61" i="21" s="1"/>
  <c r="J21" i="24"/>
  <c r="R17" i="24"/>
  <c r="R19" i="24" s="1"/>
  <c r="I21" i="27"/>
  <c r="Q21" i="27"/>
  <c r="U21" i="21"/>
  <c r="U23" i="21" s="1"/>
  <c r="U24" i="21" s="1"/>
  <c r="T17" i="21"/>
  <c r="R58" i="21"/>
  <c r="R61" i="21" s="1"/>
  <c r="S21" i="21"/>
  <c r="S23" i="21" s="1"/>
  <c r="S24" i="21" s="1"/>
  <c r="S17" i="21"/>
  <c r="P21" i="24"/>
  <c r="O57" i="21"/>
  <c r="O21" i="21"/>
  <c r="O23" i="21" s="1"/>
  <c r="O24" i="21" s="1"/>
  <c r="A43" i="21"/>
  <c r="M21" i="21"/>
  <c r="J58" i="21"/>
  <c r="J61" i="21" s="1"/>
  <c r="K21" i="21"/>
  <c r="G21" i="21"/>
  <c r="E17" i="21"/>
  <c r="E19" i="21" s="1"/>
  <c r="E20" i="21" s="1"/>
  <c r="G17" i="21"/>
  <c r="G21" i="26"/>
  <c r="G23" i="26" s="1"/>
  <c r="G24" i="26" s="1"/>
  <c r="O21" i="26"/>
  <c r="D58" i="29"/>
  <c r="D61" i="29" s="1"/>
  <c r="D64" i="29" s="1"/>
  <c r="J17" i="21"/>
  <c r="H21" i="26"/>
  <c r="H23" i="26" s="1"/>
  <c r="H24" i="26" s="1"/>
  <c r="P21" i="26"/>
  <c r="P23" i="26" s="1"/>
  <c r="G21" i="27"/>
  <c r="O21" i="27"/>
  <c r="O23" i="27" s="1"/>
  <c r="D58" i="30"/>
  <c r="D61" i="30" s="1"/>
  <c r="L58" i="30"/>
  <c r="L61" i="30" s="1"/>
  <c r="L64" i="30" s="1"/>
  <c r="H21" i="27"/>
  <c r="P21" i="27"/>
  <c r="H21" i="28"/>
  <c r="H23" i="28" s="1"/>
  <c r="H24" i="28" s="1"/>
  <c r="P21" i="28"/>
  <c r="G21" i="29"/>
  <c r="G23" i="29" s="1"/>
  <c r="G24" i="29" s="1"/>
  <c r="O17" i="21"/>
  <c r="R17" i="21"/>
  <c r="J58" i="26"/>
  <c r="J61" i="26" s="1"/>
  <c r="J58" i="27"/>
  <c r="J61" i="27" s="1"/>
  <c r="J64" i="27" s="1"/>
  <c r="R58" i="27"/>
  <c r="R61" i="27" s="1"/>
  <c r="R64" i="27" s="1"/>
  <c r="R58" i="28"/>
  <c r="R61" i="28" s="1"/>
  <c r="R64" i="28" s="1"/>
  <c r="H21" i="21"/>
  <c r="D17" i="27"/>
  <c r="D19" i="27" s="1"/>
  <c r="D20" i="27" s="1"/>
  <c r="L21" i="27"/>
  <c r="L23" i="27" s="1"/>
  <c r="T21" i="27"/>
  <c r="H57" i="29"/>
  <c r="J21" i="30"/>
  <c r="R21" i="30"/>
  <c r="R23" i="30" s="1"/>
  <c r="P58" i="21"/>
  <c r="P61" i="21" s="1"/>
  <c r="H58" i="21"/>
  <c r="H61" i="21" s="1"/>
  <c r="R58" i="26"/>
  <c r="R61" i="26" s="1"/>
  <c r="R64" i="26" s="1"/>
  <c r="R57" i="21"/>
  <c r="K58" i="29"/>
  <c r="K61" i="29" s="1"/>
  <c r="K64" i="29" s="1"/>
  <c r="H21" i="30"/>
  <c r="P21" i="30"/>
  <c r="P23" i="30" s="1"/>
  <c r="L58" i="29"/>
  <c r="L61" i="29" s="1"/>
  <c r="L64" i="29" s="1"/>
  <c r="T58" i="29"/>
  <c r="T61" i="29" s="1"/>
  <c r="I21" i="30"/>
  <c r="I23" i="30" s="1"/>
  <c r="Q21" i="30"/>
  <c r="Q23" i="30" s="1"/>
  <c r="E21" i="30"/>
  <c r="E23" i="30" s="1"/>
  <c r="E24" i="30" s="1"/>
  <c r="M21" i="30"/>
  <c r="M23" i="30" s="1"/>
  <c r="U21" i="30"/>
  <c r="U23" i="30" s="1"/>
  <c r="J58" i="28"/>
  <c r="J61" i="28" s="1"/>
  <c r="J64" i="28" s="1"/>
  <c r="J58" i="24"/>
  <c r="J61" i="24" s="1"/>
  <c r="R58" i="24"/>
  <c r="R61" i="24" s="1"/>
  <c r="R64" i="24" s="1"/>
  <c r="F57" i="24"/>
  <c r="R21" i="26"/>
  <c r="T58" i="30"/>
  <c r="T61" i="30" s="1"/>
  <c r="T64" i="30" s="1"/>
  <c r="F58" i="26"/>
  <c r="F61" i="26" s="1"/>
  <c r="D58" i="27"/>
  <c r="D61" i="27" s="1"/>
  <c r="D64" i="27" s="1"/>
  <c r="L58" i="27"/>
  <c r="L61" i="27" s="1"/>
  <c r="L64" i="27" s="1"/>
  <c r="L65" i="27" s="1"/>
  <c r="T58" i="27"/>
  <c r="T61" i="27" s="1"/>
  <c r="T64" i="27" s="1"/>
  <c r="O21" i="29"/>
  <c r="J58" i="30"/>
  <c r="J61" i="30" s="1"/>
  <c r="J64" i="30" s="1"/>
  <c r="R58" i="30"/>
  <c r="R61" i="30" s="1"/>
  <c r="R64" i="30" s="1"/>
  <c r="P57" i="30"/>
  <c r="J57" i="21"/>
  <c r="H59" i="21"/>
  <c r="H64" i="21" s="1"/>
  <c r="I17" i="24"/>
  <c r="I19" i="24" s="1"/>
  <c r="Q17" i="24"/>
  <c r="Q19" i="24" s="1"/>
  <c r="J17" i="27"/>
  <c r="J19" i="27" s="1"/>
  <c r="R21" i="27"/>
  <c r="R23" i="27" s="1"/>
  <c r="O64" i="21"/>
  <c r="E58" i="27"/>
  <c r="E61" i="27" s="1"/>
  <c r="E64" i="27" s="1"/>
  <c r="M58" i="27"/>
  <c r="M61" i="27" s="1"/>
  <c r="M64" i="27" s="1"/>
  <c r="U58" i="27"/>
  <c r="U61" i="27" s="1"/>
  <c r="U64" i="27" s="1"/>
  <c r="U65" i="27" s="1"/>
  <c r="I58" i="29"/>
  <c r="I61" i="29" s="1"/>
  <c r="I64" i="29" s="1"/>
  <c r="Q58" i="29"/>
  <c r="Q61" i="29" s="1"/>
  <c r="Q64" i="29" s="1"/>
  <c r="F58" i="30"/>
  <c r="F61" i="30" s="1"/>
  <c r="N58" i="30"/>
  <c r="N61" i="30" s="1"/>
  <c r="P21" i="21"/>
  <c r="G59" i="21"/>
  <c r="G64" i="21" s="1"/>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K64" i="28" s="1"/>
  <c r="S58" i="28"/>
  <c r="S61" i="28" s="1"/>
  <c r="S64" i="28" s="1"/>
  <c r="J58" i="29"/>
  <c r="J61" i="29" s="1"/>
  <c r="J64" i="29" s="1"/>
  <c r="R58" i="29"/>
  <c r="R61" i="29" s="1"/>
  <c r="R64" i="29" s="1"/>
  <c r="P57" i="29"/>
  <c r="D21" i="30"/>
  <c r="L21" i="30"/>
  <c r="L23" i="30" s="1"/>
  <c r="T21" i="30"/>
  <c r="T23" i="30" s="1"/>
  <c r="G58" i="30"/>
  <c r="G61" i="30" s="1"/>
  <c r="O58" i="30"/>
  <c r="O61" i="30" s="1"/>
  <c r="Q57" i="30"/>
  <c r="E21" i="21"/>
  <c r="E23" i="21" s="1"/>
  <c r="E24" i="21" s="1"/>
  <c r="G58" i="27"/>
  <c r="G61" i="27" s="1"/>
  <c r="T58" i="28"/>
  <c r="T61" i="28" s="1"/>
  <c r="C58" i="29"/>
  <c r="C61" i="29" s="1"/>
  <c r="C64" i="29" s="1"/>
  <c r="H58" i="30"/>
  <c r="H61" i="30" s="1"/>
  <c r="N59" i="30"/>
  <c r="K17" i="21"/>
  <c r="K19" i="21" s="1"/>
  <c r="Q57" i="21"/>
  <c r="B58" i="21"/>
  <c r="B61" i="21" s="1"/>
  <c r="B64" i="21" s="1"/>
  <c r="E58" i="24"/>
  <c r="E61" i="24" s="1"/>
  <c r="E64" i="24" s="1"/>
  <c r="M58" i="24"/>
  <c r="M61" i="24" s="1"/>
  <c r="U58" i="24"/>
  <c r="U61" i="24" s="1"/>
  <c r="U64" i="24" s="1"/>
  <c r="U65" i="24" s="1"/>
  <c r="N59" i="26"/>
  <c r="H58" i="27"/>
  <c r="H61" i="27" s="1"/>
  <c r="P58" i="27"/>
  <c r="P61" i="27" s="1"/>
  <c r="F57" i="27"/>
  <c r="J21" i="28"/>
  <c r="J23" i="28" s="1"/>
  <c r="R21" i="28"/>
  <c r="E58" i="28"/>
  <c r="E61" i="28" s="1"/>
  <c r="E64" i="28" s="1"/>
  <c r="M58" i="28"/>
  <c r="M61" i="28" s="1"/>
  <c r="M64" i="28" s="1"/>
  <c r="U58" i="28"/>
  <c r="U61" i="28" s="1"/>
  <c r="U64" i="28" s="1"/>
  <c r="U65" i="28" s="1"/>
  <c r="T64" i="29"/>
  <c r="I58" i="30"/>
  <c r="I61" i="30" s="1"/>
  <c r="Q58" i="30"/>
  <c r="Q61" i="30" s="1"/>
  <c r="Q64" i="30" s="1"/>
  <c r="Q65" i="30" s="1"/>
  <c r="P59" i="30"/>
  <c r="L58" i="24"/>
  <c r="L61" i="24" s="1"/>
  <c r="L64" i="24" s="1"/>
  <c r="P58" i="26"/>
  <c r="P61" i="26" s="1"/>
  <c r="F59" i="26"/>
  <c r="O58" i="27"/>
  <c r="O61" i="27" s="1"/>
  <c r="U17" i="21"/>
  <c r="U19" i="21" s="1"/>
  <c r="V17" i="21"/>
  <c r="V19" i="21" s="1"/>
  <c r="A38" i="21"/>
  <c r="G21" i="24"/>
  <c r="G23" i="24" s="1"/>
  <c r="G24" i="24" s="1"/>
  <c r="O21" i="24"/>
  <c r="O23" i="24" s="1"/>
  <c r="F58" i="24"/>
  <c r="F61" i="24" s="1"/>
  <c r="N58" i="24"/>
  <c r="N61" i="24" s="1"/>
  <c r="F59" i="24"/>
  <c r="F64" i="24" s="1"/>
  <c r="F65" i="24" s="1"/>
  <c r="J64" i="26"/>
  <c r="I58" i="27"/>
  <c r="I61" i="27" s="1"/>
  <c r="Q58" i="27"/>
  <c r="Q61" i="27" s="1"/>
  <c r="Q64" i="27" s="1"/>
  <c r="H57" i="27"/>
  <c r="F59" i="27"/>
  <c r="G21" i="28"/>
  <c r="G23" i="28" s="1"/>
  <c r="G24" i="28" s="1"/>
  <c r="O21" i="28"/>
  <c r="O23" i="28" s="1"/>
  <c r="F58" i="28"/>
  <c r="F61" i="28" s="1"/>
  <c r="F64" i="28" s="1"/>
  <c r="F65" i="28" s="1"/>
  <c r="N58" i="28"/>
  <c r="N61" i="28" s="1"/>
  <c r="E58" i="29"/>
  <c r="E61" i="29" s="1"/>
  <c r="E64" i="29" s="1"/>
  <c r="M58" i="29"/>
  <c r="M61" i="29" s="1"/>
  <c r="U58" i="29"/>
  <c r="U61" i="29" s="1"/>
  <c r="U64" i="29" s="1"/>
  <c r="U65" i="29" s="1"/>
  <c r="F57" i="30"/>
  <c r="N58" i="26"/>
  <c r="N61" i="26" s="1"/>
  <c r="T58" i="24"/>
  <c r="T61" i="24" s="1"/>
  <c r="T64" i="24" s="1"/>
  <c r="H58" i="26"/>
  <c r="H61" i="26" s="1"/>
  <c r="L58" i="28"/>
  <c r="L61" i="28" s="1"/>
  <c r="S58" i="29"/>
  <c r="S61" i="29" s="1"/>
  <c r="S64" i="29" s="1"/>
  <c r="P17" i="21"/>
  <c r="P19" i="21" s="1"/>
  <c r="H17" i="21"/>
  <c r="D21" i="24"/>
  <c r="D23" i="24" s="1"/>
  <c r="D24" i="24" s="1"/>
  <c r="L21" i="24"/>
  <c r="L23" i="24" s="1"/>
  <c r="T21" i="24"/>
  <c r="T23" i="24" s="1"/>
  <c r="G58" i="24"/>
  <c r="G61" i="24" s="1"/>
  <c r="O58" i="24"/>
  <c r="O61" i="24" s="1"/>
  <c r="N59" i="24"/>
  <c r="C58" i="26"/>
  <c r="C61" i="26" s="1"/>
  <c r="C64" i="26" s="1"/>
  <c r="K58" i="26"/>
  <c r="K61" i="26" s="1"/>
  <c r="K64" i="26" s="1"/>
  <c r="S58" i="26"/>
  <c r="S61" i="26" s="1"/>
  <c r="H23" i="27"/>
  <c r="H24" i="27" s="1"/>
  <c r="P23" i="27"/>
  <c r="N57" i="27"/>
  <c r="H59" i="27"/>
  <c r="H64" i="27" s="1"/>
  <c r="G58" i="28"/>
  <c r="G61" i="28" s="1"/>
  <c r="O58" i="28"/>
  <c r="O61" i="28" s="1"/>
  <c r="R23" i="28"/>
  <c r="F57" i="28"/>
  <c r="F58" i="29"/>
  <c r="F61" i="29" s="1"/>
  <c r="N58" i="29"/>
  <c r="N61" i="29" s="1"/>
  <c r="H59" i="29"/>
  <c r="C58" i="30"/>
  <c r="C61" i="30" s="1"/>
  <c r="C64" i="30" s="1"/>
  <c r="K58" i="30"/>
  <c r="K61" i="30" s="1"/>
  <c r="K64" i="30" s="1"/>
  <c r="S58" i="30"/>
  <c r="S61" i="30" s="1"/>
  <c r="S64" i="30" s="1"/>
  <c r="H57" i="30"/>
  <c r="F19" i="21"/>
  <c r="F20" i="21" s="1"/>
  <c r="J64" i="24"/>
  <c r="D58" i="24"/>
  <c r="D61" i="24" s="1"/>
  <c r="D64" i="24" s="1"/>
  <c r="D58" i="28"/>
  <c r="D61" i="28" s="1"/>
  <c r="D64" i="28" s="1"/>
  <c r="P58" i="30"/>
  <c r="P61" i="30" s="1"/>
  <c r="N17" i="21"/>
  <c r="Q58" i="21"/>
  <c r="Q61" i="21" s="1"/>
  <c r="I58" i="21"/>
  <c r="I61" i="21" s="1"/>
  <c r="I64" i="21" s="1"/>
  <c r="I21" i="24"/>
  <c r="I23" i="24" s="1"/>
  <c r="Q21" i="24"/>
  <c r="Q23" i="24" s="1"/>
  <c r="H58" i="24"/>
  <c r="H61" i="24" s="1"/>
  <c r="P58" i="24"/>
  <c r="P61" i="24" s="1"/>
  <c r="I21" i="26"/>
  <c r="I23" i="26" s="1"/>
  <c r="Q21" i="26"/>
  <c r="Q23" i="26" s="1"/>
  <c r="D58" i="26"/>
  <c r="D61" i="26" s="1"/>
  <c r="D64" i="26" s="1"/>
  <c r="L58" i="26"/>
  <c r="L61" i="26" s="1"/>
  <c r="T58" i="26"/>
  <c r="T61" i="26" s="1"/>
  <c r="T64" i="26" s="1"/>
  <c r="T65" i="26" s="1"/>
  <c r="F57" i="26"/>
  <c r="C58" i="27"/>
  <c r="C61" i="27" s="1"/>
  <c r="C64" i="27" s="1"/>
  <c r="K58" i="27"/>
  <c r="K61" i="27" s="1"/>
  <c r="S58" i="27"/>
  <c r="S61" i="27" s="1"/>
  <c r="S64" i="27" s="1"/>
  <c r="S65" i="27" s="1"/>
  <c r="P57" i="27"/>
  <c r="N59" i="27"/>
  <c r="I21" i="28"/>
  <c r="I23" i="28" s="1"/>
  <c r="Q21" i="28"/>
  <c r="Q23" i="28" s="1"/>
  <c r="H58" i="28"/>
  <c r="H61" i="28" s="1"/>
  <c r="P58" i="28"/>
  <c r="P61" i="28" s="1"/>
  <c r="N57" i="28"/>
  <c r="H21" i="29"/>
  <c r="H23" i="29" s="1"/>
  <c r="H24" i="29" s="1"/>
  <c r="P21" i="29"/>
  <c r="D21" i="29"/>
  <c r="D23" i="29" s="1"/>
  <c r="D24" i="29" s="1"/>
  <c r="L21" i="29"/>
  <c r="L23" i="29" s="1"/>
  <c r="T21" i="29"/>
  <c r="T23" i="29" s="1"/>
  <c r="G58" i="29"/>
  <c r="G61" i="29" s="1"/>
  <c r="O58" i="29"/>
  <c r="O61" i="29" s="1"/>
  <c r="P59" i="29"/>
  <c r="D64" i="30"/>
  <c r="I57" i="30"/>
  <c r="M17" i="21"/>
  <c r="M19" i="21" s="1"/>
  <c r="G57" i="21"/>
  <c r="I58" i="24"/>
  <c r="I61" i="24" s="1"/>
  <c r="I64" i="24" s="1"/>
  <c r="Q58" i="24"/>
  <c r="Q61" i="24" s="1"/>
  <c r="Q64" i="24" s="1"/>
  <c r="J21" i="26"/>
  <c r="E58" i="26"/>
  <c r="E61" i="26" s="1"/>
  <c r="M58" i="26"/>
  <c r="M61" i="26" s="1"/>
  <c r="M64" i="26" s="1"/>
  <c r="M65" i="26" s="1"/>
  <c r="U58" i="26"/>
  <c r="U61" i="26" s="1"/>
  <c r="N57" i="26"/>
  <c r="G23" i="27"/>
  <c r="G24" i="27" s="1"/>
  <c r="P59" i="27"/>
  <c r="P64" i="27" s="1"/>
  <c r="I58" i="28"/>
  <c r="I61" i="28" s="1"/>
  <c r="I64" i="28" s="1"/>
  <c r="Q58" i="28"/>
  <c r="Q61" i="28" s="1"/>
  <c r="Q64" i="28" s="1"/>
  <c r="P23" i="28"/>
  <c r="H58" i="29"/>
  <c r="H61" i="29" s="1"/>
  <c r="H64" i="29" s="1"/>
  <c r="P58" i="29"/>
  <c r="P61" i="29" s="1"/>
  <c r="P23" i="29"/>
  <c r="E58" i="30"/>
  <c r="E61" i="30" s="1"/>
  <c r="E64" i="30" s="1"/>
  <c r="M58" i="30"/>
  <c r="M61" i="30" s="1"/>
  <c r="M64" i="30" s="1"/>
  <c r="U58" i="30"/>
  <c r="U61" i="30" s="1"/>
  <c r="U64" i="30" s="1"/>
  <c r="U65" i="30" s="1"/>
  <c r="N57" i="30"/>
  <c r="F59" i="30"/>
  <c r="F64" i="30" s="1"/>
  <c r="B58" i="30"/>
  <c r="B61" i="30" s="1"/>
  <c r="B64" i="30" s="1"/>
  <c r="B58" i="24"/>
  <c r="B61" i="24" s="1"/>
  <c r="B64" i="24" s="1"/>
  <c r="B58" i="26"/>
  <c r="B61" i="26" s="1"/>
  <c r="B64" i="26" s="1"/>
  <c r="B58" i="27"/>
  <c r="B61" i="27" s="1"/>
  <c r="B64" i="27" s="1"/>
  <c r="B58" i="28"/>
  <c r="B61" i="28" s="1"/>
  <c r="B64" i="28" s="1"/>
  <c r="C21" i="21"/>
  <c r="C23" i="21" s="1"/>
  <c r="C24" i="21" s="1"/>
  <c r="B58" i="29"/>
  <c r="B61" i="29" s="1"/>
  <c r="B64" i="29" s="1"/>
  <c r="C17" i="21"/>
  <c r="C19" i="21" s="1"/>
  <c r="C20" i="21" s="1"/>
  <c r="H64" i="30"/>
  <c r="D23" i="30"/>
  <c r="D24" i="30" s="1"/>
  <c r="I64" i="30"/>
  <c r="O23" i="30"/>
  <c r="J23" i="30"/>
  <c r="H23" i="30"/>
  <c r="H24" i="30" s="1"/>
  <c r="G23" i="30"/>
  <c r="G24" i="30" s="1"/>
  <c r="J17" i="30"/>
  <c r="J19" i="30" s="1"/>
  <c r="R17" i="30"/>
  <c r="R19" i="30" s="1"/>
  <c r="F63" i="30"/>
  <c r="N63" i="30"/>
  <c r="C17" i="30"/>
  <c r="C19" i="30" s="1"/>
  <c r="C20" i="30" s="1"/>
  <c r="K17" i="30"/>
  <c r="K19" i="30" s="1"/>
  <c r="S17" i="30"/>
  <c r="S19" i="30" s="1"/>
  <c r="C21" i="30"/>
  <c r="C23" i="30" s="1"/>
  <c r="C24" i="30" s="1"/>
  <c r="K21" i="30"/>
  <c r="K23" i="30" s="1"/>
  <c r="S21" i="30"/>
  <c r="S23" i="30" s="1"/>
  <c r="A31" i="30"/>
  <c r="A33" i="30"/>
  <c r="A39" i="30"/>
  <c r="A41" i="30"/>
  <c r="A47" i="30"/>
  <c r="A49" i="30"/>
  <c r="G57" i="30"/>
  <c r="O57" i="30"/>
  <c r="G59" i="30"/>
  <c r="G64" i="30" s="1"/>
  <c r="O59" i="30"/>
  <c r="G63" i="30"/>
  <c r="O63" i="30"/>
  <c r="D17" i="30"/>
  <c r="D19" i="30" s="1"/>
  <c r="D20" i="30" s="1"/>
  <c r="P63" i="30"/>
  <c r="I63" i="30"/>
  <c r="Q63" i="30"/>
  <c r="T17" i="30"/>
  <c r="T19" i="30" s="1"/>
  <c r="E17" i="30"/>
  <c r="E19" i="30" s="1"/>
  <c r="E20" i="30" s="1"/>
  <c r="F17" i="30"/>
  <c r="F19" i="30" s="1"/>
  <c r="F20" i="30" s="1"/>
  <c r="N17" i="30"/>
  <c r="N19" i="30" s="1"/>
  <c r="V17" i="30"/>
  <c r="V19" i="30" s="1"/>
  <c r="F21" i="30"/>
  <c r="F23" i="30" s="1"/>
  <c r="F24" i="30" s="1"/>
  <c r="N21" i="30"/>
  <c r="N23" i="30" s="1"/>
  <c r="V21" i="30"/>
  <c r="V23" i="30" s="1"/>
  <c r="B63" i="30"/>
  <c r="J63" i="30"/>
  <c r="R63" i="30"/>
  <c r="M17" i="30"/>
  <c r="M19" i="30" s="1"/>
  <c r="G17" i="30"/>
  <c r="G19" i="30" s="1"/>
  <c r="G20" i="30" s="1"/>
  <c r="O17" i="30"/>
  <c r="O19" i="30" s="1"/>
  <c r="A32" i="30"/>
  <c r="A34" i="30"/>
  <c r="A40" i="30"/>
  <c r="A42" i="30"/>
  <c r="A48" i="30"/>
  <c r="A50" i="30"/>
  <c r="C63" i="30"/>
  <c r="K63" i="30"/>
  <c r="S63" i="30"/>
  <c r="L17" i="30"/>
  <c r="L19" i="30" s="1"/>
  <c r="H17" i="30"/>
  <c r="H19" i="30" s="1"/>
  <c r="H20" i="30" s="1"/>
  <c r="P17" i="30"/>
  <c r="P19" i="30" s="1"/>
  <c r="D63" i="30"/>
  <c r="L63" i="30"/>
  <c r="T63" i="30"/>
  <c r="H63" i="30"/>
  <c r="U17" i="30"/>
  <c r="U19" i="30" s="1"/>
  <c r="I17" i="30"/>
  <c r="I19" i="30" s="1"/>
  <c r="Q17" i="30"/>
  <c r="Q19" i="30" s="1"/>
  <c r="E63" i="30"/>
  <c r="M63" i="30"/>
  <c r="I23" i="29"/>
  <c r="Q23" i="29"/>
  <c r="M64" i="29"/>
  <c r="O23" i="29"/>
  <c r="T17" i="29"/>
  <c r="T19" i="29" s="1"/>
  <c r="P63" i="29"/>
  <c r="J17" i="29"/>
  <c r="J19" i="29" s="1"/>
  <c r="R17" i="29"/>
  <c r="R19" i="29" s="1"/>
  <c r="J21" i="29"/>
  <c r="J23" i="29" s="1"/>
  <c r="R21" i="29"/>
  <c r="R23" i="29" s="1"/>
  <c r="F57" i="29"/>
  <c r="N57" i="29"/>
  <c r="F59" i="29"/>
  <c r="N59" i="29"/>
  <c r="F63" i="29"/>
  <c r="N63" i="29"/>
  <c r="H63" i="29"/>
  <c r="C17" i="29"/>
  <c r="C19" i="29" s="1"/>
  <c r="C20" i="29" s="1"/>
  <c r="K17" i="29"/>
  <c r="K19" i="29" s="1"/>
  <c r="S17" i="29"/>
  <c r="S19" i="29" s="1"/>
  <c r="C21" i="29"/>
  <c r="C23" i="29" s="1"/>
  <c r="C24" i="29" s="1"/>
  <c r="K21" i="29"/>
  <c r="K23" i="29" s="1"/>
  <c r="S21" i="29"/>
  <c r="S23" i="29" s="1"/>
  <c r="A31" i="29"/>
  <c r="A33" i="29"/>
  <c r="A39" i="29"/>
  <c r="A41" i="29"/>
  <c r="A47" i="29"/>
  <c r="A49" i="29"/>
  <c r="G57" i="29"/>
  <c r="O57" i="29"/>
  <c r="G59" i="29"/>
  <c r="O59" i="29"/>
  <c r="G63" i="29"/>
  <c r="O63" i="29"/>
  <c r="D17" i="29"/>
  <c r="D19" i="29" s="1"/>
  <c r="D20" i="29" s="1"/>
  <c r="E17" i="29"/>
  <c r="E19" i="29" s="1"/>
  <c r="E20" i="29" s="1"/>
  <c r="M17" i="29"/>
  <c r="M19" i="29" s="1"/>
  <c r="U17" i="29"/>
  <c r="U19" i="29" s="1"/>
  <c r="E21" i="29"/>
  <c r="E23" i="29" s="1"/>
  <c r="E24" i="29" s="1"/>
  <c r="M21" i="29"/>
  <c r="M23" i="29" s="1"/>
  <c r="U21" i="29"/>
  <c r="U23" i="29" s="1"/>
  <c r="I57" i="29"/>
  <c r="Q57" i="29"/>
  <c r="I63" i="29"/>
  <c r="Q63" i="29"/>
  <c r="F17" i="29"/>
  <c r="F19" i="29" s="1"/>
  <c r="F20" i="29" s="1"/>
  <c r="N17" i="29"/>
  <c r="N19" i="29" s="1"/>
  <c r="V17" i="29"/>
  <c r="V19" i="29" s="1"/>
  <c r="F21" i="29"/>
  <c r="F23" i="29" s="1"/>
  <c r="F24" i="29" s="1"/>
  <c r="N21" i="29"/>
  <c r="N23" i="29" s="1"/>
  <c r="V21" i="29"/>
  <c r="V23" i="29" s="1"/>
  <c r="B63" i="29"/>
  <c r="J63" i="29"/>
  <c r="R63" i="29"/>
  <c r="L17" i="29"/>
  <c r="L19" i="29" s="1"/>
  <c r="G17" i="29"/>
  <c r="G19" i="29" s="1"/>
  <c r="G20" i="29" s="1"/>
  <c r="O17" i="29"/>
  <c r="O19" i="29" s="1"/>
  <c r="A32" i="29"/>
  <c r="A34" i="29"/>
  <c r="A40" i="29"/>
  <c r="A42" i="29"/>
  <c r="A48" i="29"/>
  <c r="A50" i="29"/>
  <c r="C63" i="29"/>
  <c r="K63" i="29"/>
  <c r="S63" i="29"/>
  <c r="H17" i="29"/>
  <c r="H19" i="29" s="1"/>
  <c r="H20" i="29" s="1"/>
  <c r="P17" i="29"/>
  <c r="P19" i="29" s="1"/>
  <c r="D63" i="29"/>
  <c r="L63" i="29"/>
  <c r="T63" i="29"/>
  <c r="I17" i="29"/>
  <c r="I19" i="29" s="1"/>
  <c r="Q17" i="29"/>
  <c r="Q19" i="29" s="1"/>
  <c r="E63" i="29"/>
  <c r="M63" i="29"/>
  <c r="L64" i="28"/>
  <c r="T64" i="28"/>
  <c r="N64" i="28"/>
  <c r="N65" i="28" s="1"/>
  <c r="J17" i="28"/>
  <c r="J19" i="28" s="1"/>
  <c r="C17" i="28"/>
  <c r="C19" i="28" s="1"/>
  <c r="C20" i="28" s="1"/>
  <c r="K17" i="28"/>
  <c r="K19" i="28" s="1"/>
  <c r="S17" i="28"/>
  <c r="S19" i="28" s="1"/>
  <c r="C21" i="28"/>
  <c r="C23" i="28" s="1"/>
  <c r="C24" i="28" s="1"/>
  <c r="K21" i="28"/>
  <c r="K23" i="28" s="1"/>
  <c r="S21" i="28"/>
  <c r="S23" i="28" s="1"/>
  <c r="A31" i="28"/>
  <c r="A33" i="28"/>
  <c r="A37" i="28"/>
  <c r="A39" i="28"/>
  <c r="A41" i="28"/>
  <c r="A45" i="28"/>
  <c r="A47" i="28"/>
  <c r="A49" i="28"/>
  <c r="G57" i="28"/>
  <c r="O57" i="28"/>
  <c r="G59" i="28"/>
  <c r="G64" i="28" s="1"/>
  <c r="O59" i="28"/>
  <c r="G63" i="28"/>
  <c r="O63" i="28"/>
  <c r="D17" i="28"/>
  <c r="D19" i="28" s="1"/>
  <c r="D20" i="28" s="1"/>
  <c r="L17" i="28"/>
  <c r="L19" i="28" s="1"/>
  <c r="T17" i="28"/>
  <c r="T19" i="28" s="1"/>
  <c r="D21" i="28"/>
  <c r="D23" i="28" s="1"/>
  <c r="D24" i="28" s="1"/>
  <c r="L21" i="28"/>
  <c r="L23" i="28" s="1"/>
  <c r="T21" i="28"/>
  <c r="T23" i="28" s="1"/>
  <c r="H59" i="28"/>
  <c r="H64" i="28" s="1"/>
  <c r="P59" i="28"/>
  <c r="P64" i="28" s="1"/>
  <c r="H63" i="28"/>
  <c r="P63" i="28"/>
  <c r="E17" i="28"/>
  <c r="E19" i="28" s="1"/>
  <c r="E20" i="28" s="1"/>
  <c r="M17" i="28"/>
  <c r="M19" i="28" s="1"/>
  <c r="U17" i="28"/>
  <c r="U19" i="28" s="1"/>
  <c r="E21" i="28"/>
  <c r="E23" i="28" s="1"/>
  <c r="E24" i="28" s="1"/>
  <c r="M21" i="28"/>
  <c r="M23" i="28" s="1"/>
  <c r="U21" i="28"/>
  <c r="U23" i="28" s="1"/>
  <c r="I57" i="28"/>
  <c r="Q57" i="28"/>
  <c r="I63" i="28"/>
  <c r="Q63" i="28"/>
  <c r="R17" i="28"/>
  <c r="R19" i="28" s="1"/>
  <c r="F17" i="28"/>
  <c r="F19" i="28" s="1"/>
  <c r="F20" i="28" s="1"/>
  <c r="N17" i="28"/>
  <c r="N19" i="28" s="1"/>
  <c r="V17" i="28"/>
  <c r="V19" i="28" s="1"/>
  <c r="F21" i="28"/>
  <c r="F23" i="28" s="1"/>
  <c r="F24" i="28" s="1"/>
  <c r="N21" i="28"/>
  <c r="N23" i="28" s="1"/>
  <c r="V21" i="28"/>
  <c r="V23" i="28" s="1"/>
  <c r="B63" i="28"/>
  <c r="J63" i="28"/>
  <c r="R63" i="28"/>
  <c r="G17" i="28"/>
  <c r="G19" i="28" s="1"/>
  <c r="G20" i="28" s="1"/>
  <c r="O17" i="28"/>
  <c r="O19" i="28" s="1"/>
  <c r="A32" i="28"/>
  <c r="A34" i="28"/>
  <c r="A40" i="28"/>
  <c r="A42" i="28"/>
  <c r="A48" i="28"/>
  <c r="A50" i="28"/>
  <c r="C63" i="28"/>
  <c r="K63" i="28"/>
  <c r="S63" i="28"/>
  <c r="H17" i="28"/>
  <c r="H19" i="28" s="1"/>
  <c r="H20" i="28" s="1"/>
  <c r="P17" i="28"/>
  <c r="P19" i="28" s="1"/>
  <c r="D63" i="28"/>
  <c r="L63" i="28"/>
  <c r="T63" i="28"/>
  <c r="I17" i="28"/>
  <c r="I19" i="28" s="1"/>
  <c r="Q17" i="28"/>
  <c r="Q19" i="28" s="1"/>
  <c r="E63" i="28"/>
  <c r="M63" i="28"/>
  <c r="K64" i="27"/>
  <c r="Q23" i="27"/>
  <c r="I23" i="27"/>
  <c r="T23" i="27"/>
  <c r="I64" i="27"/>
  <c r="R17" i="27"/>
  <c r="R19" i="27" s="1"/>
  <c r="J21" i="27"/>
  <c r="J23" i="27" s="1"/>
  <c r="F63" i="27"/>
  <c r="N63" i="27"/>
  <c r="C17" i="27"/>
  <c r="C19" i="27" s="1"/>
  <c r="C20" i="27" s="1"/>
  <c r="K17" i="27"/>
  <c r="K19" i="27" s="1"/>
  <c r="S17" i="27"/>
  <c r="S19" i="27" s="1"/>
  <c r="C21" i="27"/>
  <c r="C23" i="27" s="1"/>
  <c r="C24" i="27" s="1"/>
  <c r="K21" i="27"/>
  <c r="K23"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U17" i="27"/>
  <c r="U19" i="27" s="1"/>
  <c r="E21" i="27"/>
  <c r="E23" i="27" s="1"/>
  <c r="E24" i="27" s="1"/>
  <c r="M21" i="27"/>
  <c r="M23" i="27" s="1"/>
  <c r="U21" i="27"/>
  <c r="U23" i="27" s="1"/>
  <c r="I57" i="27"/>
  <c r="Q57" i="27"/>
  <c r="I63" i="27"/>
  <c r="Q63" i="27"/>
  <c r="F17" i="27"/>
  <c r="F19" i="27" s="1"/>
  <c r="F20" i="27" s="1"/>
  <c r="N17" i="27"/>
  <c r="N19" i="27" s="1"/>
  <c r="V17" i="27"/>
  <c r="V19" i="27" s="1"/>
  <c r="F21" i="27"/>
  <c r="F23" i="27" s="1"/>
  <c r="F24" i="27" s="1"/>
  <c r="N21" i="27"/>
  <c r="N23" i="27" s="1"/>
  <c r="V21" i="27"/>
  <c r="V23" i="27" s="1"/>
  <c r="B63" i="27"/>
  <c r="J63" i="27"/>
  <c r="R63" i="27"/>
  <c r="G17" i="27"/>
  <c r="G19" i="27" s="1"/>
  <c r="G20" i="27" s="1"/>
  <c r="O17" i="27"/>
  <c r="O19" i="27" s="1"/>
  <c r="A32" i="27"/>
  <c r="A34" i="27"/>
  <c r="A40" i="27"/>
  <c r="A42" i="27"/>
  <c r="A48" i="27"/>
  <c r="A50" i="27"/>
  <c r="C63" i="27"/>
  <c r="K63" i="27"/>
  <c r="S63" i="27"/>
  <c r="L17" i="27"/>
  <c r="L19" i="27" s="1"/>
  <c r="H17" i="27"/>
  <c r="H19" i="27" s="1"/>
  <c r="H20" i="27" s="1"/>
  <c r="P17" i="27"/>
  <c r="P19" i="27" s="1"/>
  <c r="D63" i="27"/>
  <c r="L63" i="27"/>
  <c r="T63" i="27"/>
  <c r="H63" i="27"/>
  <c r="I17" i="27"/>
  <c r="I19" i="27" s="1"/>
  <c r="Q17" i="27"/>
  <c r="Q19" i="27" s="1"/>
  <c r="E63" i="27"/>
  <c r="M63" i="27"/>
  <c r="S64" i="26"/>
  <c r="L64" i="26"/>
  <c r="F64" i="26"/>
  <c r="F65" i="26" s="1"/>
  <c r="E64" i="26"/>
  <c r="E65" i="26" s="1"/>
  <c r="U64" i="26"/>
  <c r="U65" i="26" s="1"/>
  <c r="O23" i="26"/>
  <c r="J23" i="26"/>
  <c r="R23" i="26"/>
  <c r="H64" i="26"/>
  <c r="P64" i="26"/>
  <c r="R17" i="26"/>
  <c r="R19" i="26" s="1"/>
  <c r="C17" i="26"/>
  <c r="C19" i="26" s="1"/>
  <c r="C20" i="26" s="1"/>
  <c r="K17" i="26"/>
  <c r="K19" i="26" s="1"/>
  <c r="S17" i="26"/>
  <c r="S19" i="26" s="1"/>
  <c r="C21" i="26"/>
  <c r="C23" i="26" s="1"/>
  <c r="C24" i="26" s="1"/>
  <c r="K21" i="26"/>
  <c r="K23" i="26" s="1"/>
  <c r="S21" i="26"/>
  <c r="S23" i="26" s="1"/>
  <c r="A31" i="26"/>
  <c r="A33" i="26"/>
  <c r="A37" i="26"/>
  <c r="A39" i="26"/>
  <c r="A41" i="26"/>
  <c r="A45" i="26"/>
  <c r="A47" i="26"/>
  <c r="A49" i="26"/>
  <c r="G57" i="26"/>
  <c r="O57" i="26"/>
  <c r="G59" i="26"/>
  <c r="O59" i="26"/>
  <c r="G63" i="26"/>
  <c r="O63" i="26"/>
  <c r="D17" i="26"/>
  <c r="D19" i="26" s="1"/>
  <c r="D20" i="26" s="1"/>
  <c r="L17" i="26"/>
  <c r="L19" i="26" s="1"/>
  <c r="T17" i="26"/>
  <c r="T19" i="26" s="1"/>
  <c r="D21" i="26"/>
  <c r="D23" i="26" s="1"/>
  <c r="D24" i="26" s="1"/>
  <c r="L21" i="26"/>
  <c r="L23" i="26" s="1"/>
  <c r="T21" i="26"/>
  <c r="T23" i="26" s="1"/>
  <c r="H63" i="26"/>
  <c r="P63" i="26"/>
  <c r="E17" i="26"/>
  <c r="E19" i="26" s="1"/>
  <c r="E20" i="26" s="1"/>
  <c r="M17" i="26"/>
  <c r="M19" i="26" s="1"/>
  <c r="U17" i="26"/>
  <c r="U19" i="26" s="1"/>
  <c r="E21" i="26"/>
  <c r="E23" i="26" s="1"/>
  <c r="E24" i="26" s="1"/>
  <c r="M21" i="26"/>
  <c r="M23" i="26" s="1"/>
  <c r="U21" i="26"/>
  <c r="U23" i="26" s="1"/>
  <c r="I57" i="26"/>
  <c r="Q57" i="26"/>
  <c r="I59" i="26"/>
  <c r="I64" i="26" s="1"/>
  <c r="Q59" i="26"/>
  <c r="Q64" i="26" s="1"/>
  <c r="I63" i="26"/>
  <c r="Q63" i="26"/>
  <c r="J17" i="26"/>
  <c r="J19" i="26" s="1"/>
  <c r="F17" i="26"/>
  <c r="F19" i="26" s="1"/>
  <c r="F20" i="26" s="1"/>
  <c r="N17" i="26"/>
  <c r="N19" i="26" s="1"/>
  <c r="V17" i="26"/>
  <c r="V19" i="26" s="1"/>
  <c r="F21" i="26"/>
  <c r="F23" i="26" s="1"/>
  <c r="F24" i="26" s="1"/>
  <c r="N21" i="26"/>
  <c r="N23" i="26" s="1"/>
  <c r="V21" i="26"/>
  <c r="V23" i="26" s="1"/>
  <c r="B63" i="26"/>
  <c r="J63" i="26"/>
  <c r="R63" i="26"/>
  <c r="G17" i="26"/>
  <c r="G19" i="26" s="1"/>
  <c r="G20" i="26" s="1"/>
  <c r="O17" i="26"/>
  <c r="O19" i="26" s="1"/>
  <c r="A32" i="26"/>
  <c r="A34" i="26"/>
  <c r="A40" i="26"/>
  <c r="A42" i="26"/>
  <c r="A48" i="26"/>
  <c r="A50" i="26"/>
  <c r="C63" i="26"/>
  <c r="K63" i="26"/>
  <c r="S63" i="26"/>
  <c r="H17" i="26"/>
  <c r="H19" i="26" s="1"/>
  <c r="H20" i="26" s="1"/>
  <c r="P17" i="26"/>
  <c r="P19" i="26" s="1"/>
  <c r="D63" i="26"/>
  <c r="L63" i="26"/>
  <c r="I17" i="26"/>
  <c r="I19" i="26" s="1"/>
  <c r="Q17" i="26"/>
  <c r="Q19" i="26" s="1"/>
  <c r="M64" i="24"/>
  <c r="J23" i="24"/>
  <c r="H23" i="24"/>
  <c r="H24" i="24" s="1"/>
  <c r="P23" i="24"/>
  <c r="J17" i="24"/>
  <c r="J19" i="24" s="1"/>
  <c r="C17" i="24"/>
  <c r="C19" i="24" s="1"/>
  <c r="C20" i="24" s="1"/>
  <c r="K17" i="24"/>
  <c r="K19" i="24" s="1"/>
  <c r="S17" i="24"/>
  <c r="S19" i="24" s="1"/>
  <c r="C21" i="24"/>
  <c r="C23" i="24" s="1"/>
  <c r="C24" i="24" s="1"/>
  <c r="K21" i="24"/>
  <c r="K23" i="24" s="1"/>
  <c r="S21" i="24"/>
  <c r="S23" i="24" s="1"/>
  <c r="A31" i="24"/>
  <c r="A33" i="24"/>
  <c r="A37" i="24"/>
  <c r="A39" i="24"/>
  <c r="A41" i="24"/>
  <c r="A45" i="24"/>
  <c r="A47" i="24"/>
  <c r="A49" i="24"/>
  <c r="G57" i="24"/>
  <c r="O57" i="24"/>
  <c r="G59" i="24"/>
  <c r="G64" i="24" s="1"/>
  <c r="O59" i="24"/>
  <c r="O64" i="24" s="1"/>
  <c r="G63" i="24"/>
  <c r="O63" i="24"/>
  <c r="D17" i="24"/>
  <c r="D19" i="24" s="1"/>
  <c r="D20" i="24" s="1"/>
  <c r="L17" i="24"/>
  <c r="L19" i="24" s="1"/>
  <c r="T17" i="24"/>
  <c r="T19" i="24" s="1"/>
  <c r="H59" i="24"/>
  <c r="H64" i="24" s="1"/>
  <c r="P59" i="24"/>
  <c r="P64" i="24" s="1"/>
  <c r="H63" i="24"/>
  <c r="P63" i="24"/>
  <c r="E17" i="24"/>
  <c r="E19" i="24" s="1"/>
  <c r="E20" i="24" s="1"/>
  <c r="M17" i="24"/>
  <c r="M19" i="24" s="1"/>
  <c r="U17" i="24"/>
  <c r="U19" i="24" s="1"/>
  <c r="E21" i="24"/>
  <c r="E23" i="24" s="1"/>
  <c r="E24" i="24" s="1"/>
  <c r="M21" i="24"/>
  <c r="M23" i="24" s="1"/>
  <c r="U21" i="24"/>
  <c r="U23" i="24" s="1"/>
  <c r="I57" i="24"/>
  <c r="Q57" i="24"/>
  <c r="I63" i="24"/>
  <c r="Q63" i="24"/>
  <c r="F17" i="24"/>
  <c r="F19" i="24" s="1"/>
  <c r="F20" i="24" s="1"/>
  <c r="N17" i="24"/>
  <c r="N19" i="24" s="1"/>
  <c r="V17" i="24"/>
  <c r="V19" i="24" s="1"/>
  <c r="F21" i="24"/>
  <c r="F23" i="24" s="1"/>
  <c r="F24" i="24" s="1"/>
  <c r="N21" i="24"/>
  <c r="N23" i="24" s="1"/>
  <c r="V21" i="24"/>
  <c r="V23" i="24" s="1"/>
  <c r="B63" i="24"/>
  <c r="J63" i="24"/>
  <c r="R63" i="24"/>
  <c r="G17" i="24"/>
  <c r="G19" i="24" s="1"/>
  <c r="G20" i="24" s="1"/>
  <c r="O17" i="24"/>
  <c r="O19" i="24" s="1"/>
  <c r="A32" i="24"/>
  <c r="A34" i="24"/>
  <c r="A40" i="24"/>
  <c r="A42" i="24"/>
  <c r="A48" i="24"/>
  <c r="A50" i="24"/>
  <c r="C63" i="24"/>
  <c r="K63" i="24"/>
  <c r="S63" i="24"/>
  <c r="R21" i="24"/>
  <c r="R23" i="24" s="1"/>
  <c r="H17" i="24"/>
  <c r="H19" i="24" s="1"/>
  <c r="H20" i="24" s="1"/>
  <c r="P17" i="24"/>
  <c r="P19" i="24" s="1"/>
  <c r="D63" i="24"/>
  <c r="L63" i="24"/>
  <c r="T63" i="24"/>
  <c r="E63" i="24"/>
  <c r="M63" i="24"/>
  <c r="P64" i="21"/>
  <c r="N64" i="21"/>
  <c r="N65" i="21" s="1"/>
  <c r="F64" i="21"/>
  <c r="F65" i="21" s="1"/>
  <c r="N19" i="21"/>
  <c r="D23" i="21"/>
  <c r="D24" i="21" s="1"/>
  <c r="H23" i="21"/>
  <c r="H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S19" i="21"/>
  <c r="I21" i="21"/>
  <c r="I23" i="21" s="1"/>
  <c r="I24" i="21" s="1"/>
  <c r="Q21" i="21"/>
  <c r="Q23" i="21" s="1"/>
  <c r="Q24" i="21" s="1"/>
  <c r="G23" i="21"/>
  <c r="G24" i="21" s="1"/>
  <c r="K23" i="21"/>
  <c r="K24" i="21" s="1"/>
  <c r="M23" i="21"/>
  <c r="M24" i="21" s="1"/>
  <c r="C57" i="21"/>
  <c r="K57" i="21"/>
  <c r="S57" i="21"/>
  <c r="G19" i="21"/>
  <c r="G20" i="21" s="1"/>
  <c r="Q17" i="21"/>
  <c r="Q19" i="21" s="1"/>
  <c r="J21" i="21"/>
  <c r="J23" i="21" s="1"/>
  <c r="J24" i="21" s="1"/>
  <c r="R21" i="21"/>
  <c r="R23" i="21" s="1"/>
  <c r="R24" i="21" s="1"/>
  <c r="I19" i="21"/>
  <c r="J19" i="21"/>
  <c r="L19" i="2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30" l="1"/>
  <c r="G65" i="28"/>
  <c r="T65" i="29"/>
  <c r="O64" i="27"/>
  <c r="O65" i="27" s="1"/>
  <c r="O64" i="28"/>
  <c r="N64" i="27"/>
  <c r="N65" i="27" s="1"/>
  <c r="N64" i="30"/>
  <c r="N65" i="30" s="1"/>
  <c r="L65" i="30"/>
  <c r="J65" i="28"/>
  <c r="H65" i="27"/>
  <c r="G64" i="26"/>
  <c r="G65" i="26" s="1"/>
  <c r="G64" i="29"/>
  <c r="G65" i="29" s="1"/>
  <c r="D65" i="29"/>
  <c r="O64" i="26"/>
  <c r="O65" i="26" s="1"/>
  <c r="I65" i="21"/>
  <c r="O65" i="28"/>
  <c r="T65" i="24"/>
  <c r="P64" i="30"/>
  <c r="P65" i="30" s="1"/>
  <c r="H65" i="29"/>
  <c r="Q65" i="21"/>
  <c r="P65" i="21"/>
  <c r="K65" i="27"/>
  <c r="Q65" i="24"/>
  <c r="K65" i="26"/>
  <c r="R65" i="27"/>
  <c r="C65" i="27"/>
  <c r="O65" i="24"/>
  <c r="J65" i="27"/>
  <c r="G64" i="27"/>
  <c r="G65" i="27" s="1"/>
  <c r="G65" i="30"/>
  <c r="J65" i="30"/>
  <c r="F64" i="27"/>
  <c r="F65" i="27" s="1"/>
  <c r="G65" i="21"/>
  <c r="J65" i="21"/>
  <c r="T65" i="27"/>
  <c r="L65" i="29"/>
  <c r="J65" i="26"/>
  <c r="E65" i="21"/>
  <c r="T65" i="21"/>
  <c r="H65" i="30"/>
  <c r="E65" i="30"/>
  <c r="S65" i="24"/>
  <c r="L65" i="21"/>
  <c r="S65" i="26"/>
  <c r="L65" i="28"/>
  <c r="L65" i="26"/>
  <c r="T65" i="30"/>
  <c r="C65" i="29"/>
  <c r="R65" i="28"/>
  <c r="N64" i="26"/>
  <c r="N65" i="26" s="1"/>
  <c r="O64" i="29"/>
  <c r="O65" i="29" s="1"/>
  <c r="P64" i="29"/>
  <c r="P65" i="29" s="1"/>
  <c r="S64" i="1"/>
  <c r="R65" i="26"/>
  <c r="D65" i="27"/>
  <c r="N64" i="29"/>
  <c r="N65" i="29" s="1"/>
  <c r="R65" i="30"/>
  <c r="F65" i="30"/>
  <c r="R64" i="1"/>
  <c r="Q64" i="1"/>
  <c r="U64" i="1"/>
  <c r="P64" i="1"/>
  <c r="C65" i="24"/>
  <c r="E65" i="27"/>
  <c r="J65" i="24"/>
  <c r="Q65" i="29"/>
  <c r="C65" i="28"/>
  <c r="F64" i="29"/>
  <c r="F65" i="29" s="1"/>
  <c r="O64" i="30"/>
  <c r="N64" i="24"/>
  <c r="N65" i="24" s="1"/>
  <c r="B65" i="27"/>
  <c r="B65" i="28"/>
  <c r="B65" i="30"/>
  <c r="B65" i="26"/>
  <c r="B65" i="24"/>
  <c r="O65" i="30"/>
  <c r="S65" i="30"/>
  <c r="M65" i="30"/>
  <c r="K65" i="30"/>
  <c r="C65" i="30"/>
  <c r="I65" i="30"/>
  <c r="E65" i="29"/>
  <c r="R65" i="29"/>
  <c r="J65" i="29"/>
  <c r="M65" i="29"/>
  <c r="I65" i="29"/>
  <c r="S65" i="29"/>
  <c r="B65" i="29"/>
  <c r="K65" i="29"/>
  <c r="T65" i="28"/>
  <c r="E65" i="28"/>
  <c r="D65" i="28"/>
  <c r="M65" i="28"/>
  <c r="P65" i="28"/>
  <c r="Q65" i="28"/>
  <c r="H65" i="28"/>
  <c r="I65" i="28"/>
  <c r="S65" i="28"/>
  <c r="K65" i="28"/>
  <c r="Q65" i="27"/>
  <c r="I65" i="27"/>
  <c r="M65" i="27"/>
  <c r="P65" i="27"/>
  <c r="Q65" i="26"/>
  <c r="P65" i="26"/>
  <c r="C65" i="26"/>
  <c r="I65" i="26"/>
  <c r="H65" i="26"/>
  <c r="D65" i="26"/>
  <c r="G65" i="24"/>
  <c r="H65" i="24"/>
  <c r="L65" i="24"/>
  <c r="R65" i="24"/>
  <c r="I65" i="24"/>
  <c r="P65" i="24"/>
  <c r="D65" i="24"/>
  <c r="K65" i="24"/>
  <c r="M65" i="24"/>
  <c r="E65" i="24"/>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<sst xmlns="http://schemas.openxmlformats.org/spreadsheetml/2006/main" count="1752" uniqueCount="170">
  <si>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</si>
  <si>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</si>
  <si>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</si>
  <si>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</si>
  <si>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</si>
  <si>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</si>
  <si>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</si>
  <si>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</si>
  <si>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</si>
  <si>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</si>
  <si>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</si>
  <si>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</si>
  <si>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</si>
  <si>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</si>
  <si>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</si>
  <si>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</si>
  <si>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</si>
  <si>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</si>
  <si>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</si>
  <si>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</si>
  <si>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</si>
  <si>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</si>
  <si>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</si>
  <si>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</si>
  <si>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</si>
  <si>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</si>
  <si>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</si>
  <si>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</si>
  <si>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</si>
  <si>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</si>
  <si>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</si>
  <si>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</si>
  <si>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</si>
  <si>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</si>
  <si>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</si>
  <si>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</si>
  <si>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</si>
  <si>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</si>
  <si>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</si>
  <si>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</si>
  <si>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</si>
  <si>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</si>
  <si>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</si>
  <si>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</si>
  <si>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</si>
  <si>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</si>
  <si>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</si>
  <si>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</si>
  <si>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</si>
  <si>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</si>
  <si>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</si>
  <si>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</si>
  <si>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</si>
  <si>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</si>
  <si>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</si>
  <si>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</si>
  <si>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</si>
  <si>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</si>
  <si>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</si>
  <si>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</si>
  <si>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</si>
  <si>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</si>
  <si>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</si>
  <si>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</si>
  <si>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</si>
  <si>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</si>
  <si>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</si>
  <si>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</si>
  <si>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</si>
  <si>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</si>
  <si>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</si>
  <si>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</si>
  <si>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</si>
  <si>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</si>
  <si>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</si>
  <si>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</si>
  <si>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</si>
  <si>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</si>
  <si>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</si>
  <si>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</si>
  <si>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</si>
  <si>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</si>
  <si>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</si>
  <si>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</si>
  <si>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</si>
  <si>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</si>
  <si>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</si>
  <si>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</si>
  <si>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</si>
  <si>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</si>
  <si>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</si>
  <si>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</si>
  <si>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</si>
  <si>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</si>
  <si>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</si>
  <si>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</si>
  <si>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</si>
  <si>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</si>
  <si>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</si>
  <si>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</si>
  <si>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</si>
  <si>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</si>
  <si>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</si>
  <si>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</si>
  <si>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</si>
  <si>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</si>
  <si>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</si>
  <si>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</si>
  <si>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</si>
  <si>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</si>
  <si>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</si>
  <si>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</si>
  <si>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</si>
  <si>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</si>
  <si>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</si>
  <si>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</si>
  <si>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</si>
  <si>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</si>
  <si>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</si>
  <si>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</si>
  <si>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</si>
  <si>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</si>
  <si>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</si>
  <si>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</si>
  <si>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</si>
  <si>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</si>
  <si>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</si>
  <si>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</si>
  <si>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</si>
  <si>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</si>
  <si>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</si>
  <si>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</si>
  <si>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</si>
  <si>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</si>
  <si>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</si>
  <si>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</si>
  <si>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</si>
  <si>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</si>
  <si>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</si>
  <si>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</si>
  <si>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</si>
  <si>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</si>
  <si>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</si>
  <si>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</si>
  <si>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</si>
  <si>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</si>
  <si>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</si>
  <si>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</si>
  <si>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</si>
  <si>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</si>
  <si>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</si>
  <si>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</si>
  <si>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High Trees 1</t>
  </si>
  <si>
    <t>High Trees 2</t>
  </si>
  <si>
    <t>High Trees 4</t>
  </si>
  <si>
    <t>High Trees 5</t>
  </si>
  <si>
    <t>High Trees 6</t>
  </si>
  <si>
    <t>High Trees 8</t>
  </si>
  <si>
    <t>PAN-011642</t>
  </si>
  <si>
    <t>EPR/GP3792SK</t>
  </si>
  <si>
    <t>ByProduct Recovery Ltd</t>
  </si>
  <si>
    <t>Llwyn y Brain, Pontsticill, Merthyr Tydfil, Mid Glamorgan, CF48 2TU</t>
  </si>
  <si>
    <t>Sion Sleep</t>
  </si>
  <si>
    <t>19 09 02</t>
  </si>
  <si>
    <t>DCWW Cefn Dryscoed</t>
  </si>
  <si>
    <t>DCWW Court Farm</t>
  </si>
  <si>
    <t>DCWW Crai</t>
  </si>
  <si>
    <t>DCWW Pontsticill</t>
  </si>
  <si>
    <t>DCWW Talybont</t>
  </si>
  <si>
    <t>Andigestion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</si>
</sst>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2">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3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60F44E4-7249-415F-8D5E-41D249F9A162}" name="Crop" dataDxfId="285"/>
    <tableColumn id="2" xr3:uid="{55E07717-B4EC-4E8A-B9A9-34F3CF85E32D}" name="P Offtake" dataDxfId="284"/>
    <tableColumn id="3" xr3:uid="{7B25FA52-8104-4FE3-AED4-B53CBFDF89B2}" name="K Offtake" dataDxfId="283"/>
    <tableColumn id="4" xr3:uid="{0DBAE461-2D09-43C8-9342-3980D552AE4D}" name="Order" dataDxfId="282"/>
    <tableColumn id="5" xr3:uid="{52CACE7B-0CBA-46FC-9F24-02CBD6100239}" name="Lime pH requirement" dataDxfId="281"/>
    <tableColumn id="6" xr3:uid="{F1432630-9B16-4266-8147-CE754A715307}" name="Column1" dataDxfId="2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7E96A84B-948F-445F-BD6E-30CC8E6E6DD1}" name="Crop" dataDxfId="245"/>
    <tableColumn id="2" xr3:uid="{12657DDB-F680-47DE-ABB1-8675D5F91E41}" name="P Offtake" dataDxfId="244"/>
    <tableColumn id="3" xr3:uid="{DEB99109-D325-4F98-8A71-E70C03433437}" name="K Offtake" dataDxfId="243"/>
    <tableColumn id="4" xr3:uid="{E96A561F-7E7F-4FB3-97AA-0B35D8C8E93A}" name="Order" dataDxfId="242"/>
    <tableColumn id="5" xr3:uid="{181DD475-0A71-4C52-AF1A-8BFF46F5A827}" name="Lime pH requirement" dataDxfId="241"/>
    <tableColumn id="6" xr3:uid="{AC3FA7E8-D76B-43A3-B715-04446DFF63C6}" name="Column1" dataDxfId="2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10" dataDxfId="208" headerRowBorderDxfId="209" tableBorderDxfId="207" totalsRowBorderDxfId="206">
  <autoFilter ref="AI1:AN26" xr:uid="{F8B5EC87-3095-445A-A980-2CFAA0A7B9A2}"/>
  <sortState xmlns:xlrd2="http://schemas.microsoft.com/office/spreadsheetml/2017/richdata2" ref="AI2:AL25">
    <sortCondition ref="AL1:AL25"/>
  </sortState>
  <tableColumns count="6">
    <tableColumn id="1" xr3:uid="{06008BA1-A1E9-4286-B67A-352533C06A26}" name="Crop" dataDxfId="205"/>
    <tableColumn id="2" xr3:uid="{2AEB5EEB-C9D1-41DC-913E-953A33D1A4AF}" name="P Offtake" dataDxfId="204"/>
    <tableColumn id="3" xr3:uid="{8FA16A0B-1017-4CEE-862E-0A8CBD8EB3D3}" name="K Offtake" dataDxfId="203"/>
    <tableColumn id="4" xr3:uid="{E7A3B8CD-4036-47F4-B818-C3F22E80C749}" name="Order" dataDxfId="202"/>
    <tableColumn id="5" xr3:uid="{8F3EBD84-7904-4559-9B5C-63088B792C98}" name="Lime pH requirement" dataDxfId="201"/>
    <tableColumn id="6" xr3:uid="{A21DD95A-C955-4510-9114-E3F1CB645370}" name="Column1" dataDxfId="20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70" dataDxfId="168" headerRowBorderDxfId="169" tableBorderDxfId="167" totalsRowBorderDxfId="166">
  <autoFilter ref="AI1:AN26" xr:uid="{F8B5EC87-3095-445A-A980-2CFAA0A7B9A2}"/>
  <sortState xmlns:xlrd2="http://schemas.microsoft.com/office/spreadsheetml/2017/richdata2" ref="AI2:AL25">
    <sortCondition ref="AL1:AL25"/>
  </sortState>
  <tableColumns count="6">
    <tableColumn id="1" xr3:uid="{11579FCC-3D9F-49AD-888D-5D79B801F6AE}" name="Crop" dataDxfId="165"/>
    <tableColumn id="2" xr3:uid="{05C08116-56D5-4CC6-A649-B06AF891B931}" name="P Offtake" dataDxfId="164"/>
    <tableColumn id="3" xr3:uid="{59CDE959-192B-4757-9203-A0F691CF0F96}" name="K Offtake" dataDxfId="163"/>
    <tableColumn id="4" xr3:uid="{9FB8E4F7-B91F-4CE0-AF39-D4895D0ECF2F}" name="Order" dataDxfId="162"/>
    <tableColumn id="5" xr3:uid="{688FF2A4-D7C6-4425-A915-A9ADD700A9EE}" name="Lime pH requirement" dataDxfId="161"/>
    <tableColumn id="6" xr3:uid="{05FC5CFF-3D81-4B5F-87C7-2364076F2714}" name="Column1" dataDxfId="16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973D7FFB-D248-4199-9B2E-B3C6CC09D382}" name="Crop" dataDxfId="125"/>
    <tableColumn id="2" xr3:uid="{7F2A3986-EC86-4CF9-BD10-791170BA6682}" name="P Offtake" dataDxfId="124"/>
    <tableColumn id="3" xr3:uid="{D6129C35-9DC6-42E5-AE3F-EA3A083168E6}" name="K Offtake" dataDxfId="123"/>
    <tableColumn id="4" xr3:uid="{C1CC42B5-564A-4DE7-B817-B7D686FE9A11}" name="Order" dataDxfId="122"/>
    <tableColumn id="5" xr3:uid="{620F3ABD-564C-411A-8DEA-CE1A34F9FC36}" name="Lime pH requirement" dataDxfId="121"/>
    <tableColumn id="6" xr3:uid="{76C9BC4F-4FF3-4AFB-8E7B-16DC0CC3E97C}" name="Column1" dataDxfId="12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D13A12FC-EAE6-4280-A219-C2622262E5F4}" name="Crop" dataDxfId="85"/>
    <tableColumn id="2" xr3:uid="{FD06C4A3-4B75-490D-88CF-232C7DC3EFC6}" name="P Offtake" dataDxfId="84"/>
    <tableColumn id="3" xr3:uid="{B043BEFF-10D4-4840-989B-BB13A502ECDF}" name="K Offtake" dataDxfId="83"/>
    <tableColumn id="4" xr3:uid="{48481FDC-5D20-466C-B554-D45886EA366A}" name="Order" dataDxfId="82"/>
    <tableColumn id="5" xr3:uid="{9E0852D2-9D0D-44AB-98B7-FBA51F331ACF}" name="Lime pH requirement" dataDxfId="81"/>
    <tableColumn id="6" xr3:uid="{29F9C4A5-6854-4F37-8BD1-0DD9B6024A55}" name="Column1" dataDxfId="8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1B554ED3-7AAF-4192-827C-B071945474B8}" name="Crop" dataDxfId="45"/>
    <tableColumn id="2" xr3:uid="{35F435E0-8D8E-44D1-84BD-C2FF51C3F944}" name="P Offtake" dataDxfId="44"/>
    <tableColumn id="3" xr3:uid="{38465C9D-AA8F-443A-80F5-96D1F6258317}" name="K Offtake" dataDxfId="43"/>
    <tableColumn id="4" xr3:uid="{E0C0E6AF-5628-4BC3-9625-81A87B93D279}" name="Order" dataDxfId="42"/>
    <tableColumn id="5" xr3:uid="{ACDE1D9A-7F94-4404-BDDC-1235C32C758F}" name="Lime pH requirement" dataDxfId="41"/>
    <tableColumn id="6" xr3:uid="{B093C9DF-C4CF-4906-9658-89F446EB9C12}" name="Column1" dataDxfId="4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C4B2E6E9-5990-417D-9E04-7933BDF1FC69}" name="Crop" dataDxfId="5"/>
    <tableColumn id="2" xr3:uid="{E74EF8D0-6C68-49B8-AE52-40C276CA5FC9}" name="P Offtake" dataDxfId="4"/>
    <tableColumn id="3" xr3:uid="{9E0A7857-36E3-482D-B4B2-65B90760417F}" name="K Offtake" dataDxfId="3"/>
    <tableColumn id="4" xr3:uid="{A78867D2-7566-4070-AF99-15EE4CEB1699}" name="Order" dataDxfId="2"/>
    <tableColumn id="5" xr3:uid="{240FD5FA-5659-468E-8544-C93086800EC9}" name="Lime pH requirement" dataDxfId="1"/>
    <tableColumn id="6" xr3:uid="{D5C8E9C3-9076-473B-AE62-DA32692BAAB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D10" sqref="D10"/>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20" t="s">
        <v>41</v>
      </c>
      <c r="B1" s="120"/>
      <c r="C1" s="106" t="s">
        <v>158</v>
      </c>
      <c r="D1" s="107"/>
      <c r="E1" s="37" t="s">
        <v>45</v>
      </c>
      <c r="F1" s="35">
        <v>34.4</v>
      </c>
      <c r="G1" s="108" t="s">
        <v>43</v>
      </c>
      <c r="H1" s="109"/>
      <c r="I1" s="35">
        <v>5.56</v>
      </c>
      <c r="AB1" s="26"/>
      <c r="AC1" s="26"/>
      <c r="AD1" s="43" t="s">
        <v>124</v>
      </c>
      <c r="AE1" s="25"/>
      <c r="AF1" s="25"/>
      <c r="AG1" s="26"/>
      <c r="AH1" s="26"/>
      <c r="AI1" s="47" t="s">
        <v>79</v>
      </c>
      <c r="AJ1" s="48" t="s">
        <v>91</v>
      </c>
      <c r="AK1" s="49" t="s">
        <v>92</v>
      </c>
      <c r="AL1" s="50" t="s">
        <v>123</v>
      </c>
      <c r="AM1" s="50" t="s">
        <v>129</v>
      </c>
      <c r="AN1" s="50" t="s">
        <v>109</v>
      </c>
    </row>
    <row r="2" spans="1:40" x14ac:dyDescent="0.2">
      <c r="A2" s="120" t="s">
        <v>84</v>
      </c>
      <c r="B2" s="120"/>
      <c r="C2" s="104" t="s">
        <v>159</v>
      </c>
      <c r="D2" s="105"/>
      <c r="E2" s="37" t="s">
        <v>106</v>
      </c>
      <c r="F2" s="103" t="s">
        <v>163</v>
      </c>
      <c r="G2" s="110" t="s">
        <v>107</v>
      </c>
      <c r="H2" s="111"/>
      <c r="I2" s="35"/>
      <c r="AB2" s="43" t="s">
        <v>56</v>
      </c>
      <c r="AC2" s="25"/>
      <c r="AD2" s="43" t="s">
        <v>70</v>
      </c>
      <c r="AE2" s="25"/>
      <c r="AF2" s="25"/>
      <c r="AG2" s="51" t="s">
        <v>76</v>
      </c>
      <c r="AH2" s="26"/>
      <c r="AI2" s="52" t="s">
        <v>124</v>
      </c>
      <c r="AJ2" s="53">
        <v>0</v>
      </c>
      <c r="AK2" s="54">
        <v>0</v>
      </c>
      <c r="AL2" s="18">
        <v>0</v>
      </c>
      <c r="AM2" s="19">
        <v>0</v>
      </c>
      <c r="AN2" s="19">
        <v>0</v>
      </c>
    </row>
    <row r="3" spans="1:40" x14ac:dyDescent="0.2">
      <c r="A3" s="124" t="s">
        <v>42</v>
      </c>
      <c r="B3" s="125"/>
      <c r="C3" s="104" t="s">
        <v>160</v>
      </c>
      <c r="D3" s="105"/>
      <c r="E3" s="37" t="s">
        <v>105</v>
      </c>
      <c r="F3" s="45" t="s">
        <v>77</v>
      </c>
      <c r="G3" s="112" t="s">
        <v>108</v>
      </c>
      <c r="H3" s="112"/>
      <c r="I3" s="35"/>
      <c r="AB3" s="43" t="s">
        <v>57</v>
      </c>
      <c r="AC3" s="25"/>
      <c r="AD3" s="43" t="s">
        <v>71</v>
      </c>
      <c r="AE3" s="25"/>
      <c r="AF3" s="25"/>
      <c r="AG3" s="51" t="s">
        <v>77</v>
      </c>
      <c r="AH3" s="26"/>
      <c r="AI3" s="55" t="s">
        <v>111</v>
      </c>
      <c r="AJ3" s="56">
        <v>1.7</v>
      </c>
      <c r="AK3" s="57">
        <v>6</v>
      </c>
      <c r="AL3" s="58">
        <v>1</v>
      </c>
      <c r="AM3" s="19">
        <v>6.2</v>
      </c>
      <c r="AN3" s="19" t="s">
        <v>110</v>
      </c>
    </row>
    <row r="4" spans="1:40" x14ac:dyDescent="0.2">
      <c r="A4" s="120" t="s">
        <v>0</v>
      </c>
      <c r="B4" s="120"/>
      <c r="C4" s="106" t="s">
        <v>161</v>
      </c>
      <c r="D4" s="107"/>
      <c r="E4" s="38" t="s">
        <v>1</v>
      </c>
      <c r="F4" s="102" t="s">
        <v>164</v>
      </c>
      <c r="G4" s="112"/>
      <c r="H4" s="112"/>
      <c r="I4" s="35"/>
      <c r="AB4" s="43" t="s">
        <v>52</v>
      </c>
      <c r="AC4" s="25"/>
      <c r="AD4" s="59" t="s">
        <v>72</v>
      </c>
      <c r="AE4" s="25"/>
      <c r="AF4" s="25"/>
      <c r="AG4" s="51" t="s">
        <v>78</v>
      </c>
      <c r="AH4" s="26"/>
      <c r="AI4" s="60" t="s">
        <v>122</v>
      </c>
      <c r="AJ4" s="61">
        <v>7</v>
      </c>
      <c r="AK4" s="62">
        <v>10.5</v>
      </c>
      <c r="AL4" s="19">
        <v>2</v>
      </c>
      <c r="AM4" s="19">
        <v>6.7</v>
      </c>
      <c r="AN4" s="19" t="s">
        <v>135</v>
      </c>
    </row>
    <row r="5" spans="1:40" x14ac:dyDescent="0.2">
      <c r="A5" s="120" t="s">
        <v>47</v>
      </c>
      <c r="B5" s="120"/>
      <c r="C5" s="113" t="s">
        <v>162</v>
      </c>
      <c r="D5" s="113"/>
      <c r="E5" s="38"/>
      <c r="F5" s="100"/>
      <c r="G5" s="112"/>
      <c r="H5" s="112"/>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20" t="s">
        <v>2</v>
      </c>
      <c r="B8" s="120"/>
      <c r="C8" s="23" t="s">
        <v>152</v>
      </c>
      <c r="D8" s="23" t="s">
        <v>153</v>
      </c>
      <c r="E8" s="23" t="s">
        <v>154</v>
      </c>
      <c r="F8" s="23" t="s">
        <v>155</v>
      </c>
      <c r="G8" s="23" t="s">
        <v>156</v>
      </c>
      <c r="H8" s="23" t="s">
        <v>157</v>
      </c>
      <c r="I8" s="23"/>
      <c r="J8" s="23"/>
      <c r="K8" s="23"/>
      <c r="L8" s="23"/>
      <c r="M8" s="23"/>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20" t="s">
        <v>3</v>
      </c>
      <c r="B9" s="120"/>
      <c r="C9" s="23"/>
      <c r="D9" s="23"/>
      <c r="E9" s="23"/>
      <c r="F9" s="23"/>
      <c r="G9" s="23"/>
      <c r="H9" s="23"/>
      <c r="I9" s="23"/>
      <c r="J9" s="23"/>
      <c r="K9" s="23"/>
      <c r="L9" s="23"/>
      <c r="M9" s="23"/>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20" t="s">
        <v>4</v>
      </c>
      <c r="B10" s="120"/>
      <c r="C10" s="23">
        <v>7</v>
      </c>
      <c r="D10" s="23">
        <v>7.1</v>
      </c>
      <c r="E10" s="23">
        <v>7.1</v>
      </c>
      <c r="F10" s="23">
        <v>6.9</v>
      </c>
      <c r="G10" s="23">
        <v>6.5</v>
      </c>
      <c r="H10" s="23">
        <v>6.5</v>
      </c>
      <c r="I10" s="23"/>
      <c r="J10" s="23"/>
      <c r="K10" s="23"/>
      <c r="L10" s="23"/>
      <c r="M10" s="23"/>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20" t="s">
        <v>5</v>
      </c>
      <c r="B11" s="120"/>
      <c r="C11" s="23">
        <v>3</v>
      </c>
      <c r="D11" s="23">
        <v>3</v>
      </c>
      <c r="E11" s="23">
        <v>3</v>
      </c>
      <c r="F11" s="23">
        <v>3</v>
      </c>
      <c r="G11" s="23">
        <v>3</v>
      </c>
      <c r="H11" s="23">
        <v>0</v>
      </c>
      <c r="I11" s="23"/>
      <c r="J11" s="23"/>
      <c r="K11" s="23"/>
      <c r="L11" s="23"/>
      <c r="M11" s="23"/>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20" t="s">
        <v>6</v>
      </c>
      <c r="B12" s="120"/>
      <c r="C12" s="23">
        <v>4</v>
      </c>
      <c r="D12" s="23">
        <v>5</v>
      </c>
      <c r="E12" s="23">
        <v>5</v>
      </c>
      <c r="F12" s="23">
        <v>5</v>
      </c>
      <c r="G12" s="23">
        <v>5</v>
      </c>
      <c r="H12" s="23">
        <v>0</v>
      </c>
      <c r="I12" s="23"/>
      <c r="J12" s="23"/>
      <c r="K12" s="23"/>
      <c r="L12" s="23"/>
      <c r="M12" s="23"/>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20" t="s">
        <v>7</v>
      </c>
      <c r="B13" s="120"/>
      <c r="C13" s="23">
        <v>3</v>
      </c>
      <c r="D13" s="23">
        <v>3</v>
      </c>
      <c r="E13" s="23">
        <v>3</v>
      </c>
      <c r="F13" s="23">
        <v>3</v>
      </c>
      <c r="G13" s="23">
        <v>3</v>
      </c>
      <c r="H13" s="23">
        <v>2</v>
      </c>
      <c r="I13" s="23"/>
      <c r="J13" s="23"/>
      <c r="K13" s="23"/>
      <c r="L13" s="23"/>
      <c r="M13" s="23"/>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2" t="s">
        <v>8</v>
      </c>
      <c r="B14" s="122"/>
      <c r="C14" s="36" t="s">
        <v>111</v>
      </c>
      <c r="D14" s="36" t="s">
        <v>111</v>
      </c>
      <c r="E14" s="36" t="s">
        <v>111</v>
      </c>
      <c r="F14" s="36" t="s">
        <v>111</v>
      </c>
      <c r="G14" s="36" t="s">
        <v>111</v>
      </c>
      <c r="H14" s="36" t="s">
        <v>111</v>
      </c>
      <c r="I14" s="36"/>
      <c r="J14" s="36"/>
      <c r="K14" s="36"/>
      <c r="L14" s="36"/>
      <c r="M14" s="36"/>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21" t="s">
        <v>9</v>
      </c>
      <c r="B15" s="121"/>
      <c r="C15" s="23">
        <v>32</v>
      </c>
      <c r="D15" s="23">
        <v>32</v>
      </c>
      <c r="E15" s="23">
        <v>32</v>
      </c>
      <c r="F15" s="23">
        <v>32</v>
      </c>
      <c r="G15" s="23">
        <v>32</v>
      </c>
      <c r="H15" s="23">
        <v>32</v>
      </c>
      <c r="I15" s="23"/>
      <c r="J15" s="23"/>
      <c r="K15" s="23"/>
      <c r="L15" s="23"/>
      <c r="M15" s="23"/>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3" t="s">
        <v>44</v>
      </c>
      <c r="B16" s="123"/>
      <c r="C16" s="41" t="s">
        <v>72</v>
      </c>
      <c r="D16" s="41" t="s">
        <v>72</v>
      </c>
      <c r="E16" s="41" t="s">
        <v>72</v>
      </c>
      <c r="F16" s="41" t="s">
        <v>72</v>
      </c>
      <c r="G16" s="41" t="s">
        <v>72</v>
      </c>
      <c r="H16" s="41" t="s">
        <v>72</v>
      </c>
      <c r="I16" s="41"/>
      <c r="J16" s="41"/>
      <c r="K16" s="41"/>
      <c r="L16" s="41"/>
      <c r="M16" s="41"/>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54.4</v>
      </c>
      <c r="D17" s="39">
        <f t="shared" si="0"/>
        <v>54.4</v>
      </c>
      <c r="E17" s="39">
        <f t="shared" si="0"/>
        <v>54.4</v>
      </c>
      <c r="F17" s="39">
        <f t="shared" si="0"/>
        <v>54.4</v>
      </c>
      <c r="G17" s="39">
        <f t="shared" si="0"/>
        <v>54.4</v>
      </c>
      <c r="H17" s="39">
        <f t="shared" si="0"/>
        <v>54.4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11.455</v>
      </c>
      <c r="D18" s="24">
        <f>$D32</f>
        <v>11.455</v>
      </c>
      <c r="E18" s="24">
        <f>$D33</f>
        <v>11.455</v>
      </c>
      <c r="F18" s="24">
        <f>$D34</f>
        <v>11.455</v>
      </c>
      <c r="G18" s="24">
        <f>$D35</f>
        <v>11.455</v>
      </c>
      <c r="H18" s="24">
        <f>$D36</f>
        <v>11.455</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-42.945</v>
      </c>
      <c r="D19" s="24">
        <f t="shared" ref="D19:V19" si="1">D18-D17</f>
        <v>-42.945</v>
      </c>
      <c r="E19" s="24">
        <f t="shared" si="1"/>
        <v>-42.945</v>
      </c>
      <c r="F19" s="24">
        <f t="shared" si="1"/>
        <v>-42.945</v>
      </c>
      <c r="G19" s="24">
        <f t="shared" si="1"/>
        <v>-42.945</v>
      </c>
      <c r="H19" s="24">
        <f t="shared" si="1"/>
        <v>-42.945</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192</v>
      </c>
      <c r="D21" s="39">
        <f t="shared" si="2"/>
        <v>192</v>
      </c>
      <c r="E21" s="39">
        <f t="shared" si="2"/>
        <v>192</v>
      </c>
      <c r="F21" s="39">
        <f t="shared" si="2"/>
        <v>192</v>
      </c>
      <c r="G21" s="39">
        <f t="shared" si="2"/>
        <v>192</v>
      </c>
      <c r="H21" s="39">
        <f t="shared" si="2"/>
        <v>192</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5.0007500000000009</v>
      </c>
      <c r="D22" s="24">
        <f>$E32</f>
        <v>5.0007500000000009</v>
      </c>
      <c r="E22" s="24">
        <f>$E33</f>
        <v>5.0007500000000009</v>
      </c>
      <c r="F22" s="24">
        <f>$E34</f>
        <v>5.0007500000000009</v>
      </c>
      <c r="G22" s="24">
        <f>$E35</f>
        <v>5.0007500000000009</v>
      </c>
      <c r="H22" s="24">
        <f>$E36</f>
        <v>5.0007500000000009</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-186.99924999999999</v>
      </c>
      <c r="D23" s="24">
        <f t="shared" ref="D23:V23" si="3">D22-D21</f>
        <v>-186.99924999999999</v>
      </c>
      <c r="E23" s="24">
        <f t="shared" si="3"/>
        <v>-186.99924999999999</v>
      </c>
      <c r="F23" s="24">
        <f t="shared" si="3"/>
        <v>-186.99924999999999</v>
      </c>
      <c r="G23" s="24">
        <f t="shared" si="3"/>
        <v>-186.99924999999999</v>
      </c>
      <c r="H23" s="24">
        <f t="shared" si="3"/>
        <v>-186.99924999999999</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t="s">
        <v>54</v>
      </c>
      <c r="O27" s="101" t="s">
        <v>54</v>
      </c>
      <c r="P27" s="101" t="s">
        <v>54</v>
      </c>
      <c r="Q27" s="101" t="s">
        <v>54</v>
      </c>
      <c r="R27" s="101" t="s">
        <v>54</v>
      </c>
      <c r="S27" s="101" t="s">
        <v>54</v>
      </c>
      <c r="T27" s="101" t="s">
        <v>54</v>
      </c>
      <c r="U27" s="101" t="s">
        <v>54</v>
      </c>
    </row>
    <row r="28" spans="1:40" s="64" customFormat="1" x14ac:dyDescent="0.25">
      <c r="A28" s="82"/>
      <c r="B28" s="31">
        <v>3.88</v>
      </c>
      <c r="C28" s="23">
        <v>0.02</v>
      </c>
      <c r="D28" s="23">
        <v>20</v>
      </c>
      <c r="E28" s="23">
        <v>16.600000000000001</v>
      </c>
      <c r="F28" s="23">
        <v>12.9</v>
      </c>
      <c r="G28" s="23">
        <v>1.25</v>
      </c>
      <c r="H28" s="23">
        <v>4.0599999999999996</v>
      </c>
      <c r="I28" s="23">
        <v>5.48</v>
      </c>
      <c r="J28" s="23">
        <v>0.02</v>
      </c>
      <c r="K28" s="30">
        <v>0.05</v>
      </c>
      <c r="L28" s="23">
        <v>0.46</v>
      </c>
      <c r="M28" s="23">
        <v>0.43</v>
      </c>
      <c r="N28" s="23">
        <v>6502</v>
      </c>
      <c r="O28" s="23">
        <v>278</v>
      </c>
      <c r="P28" s="23">
        <v>10</v>
      </c>
      <c r="Q28" s="23">
        <v>481</v>
      </c>
      <c r="R28" s="23">
        <v>0.04</v>
      </c>
      <c r="S28" s="23">
        <v>1.99</v>
      </c>
      <c r="T28" s="23">
        <v>0.05</v>
      </c>
      <c r="U28" s="23">
        <v>20</v>
      </c>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High Trees 1</v>
      </c>
      <c r="B31" s="23">
        <v>250</v>
      </c>
      <c r="C31" s="2">
        <f>IF(C$27="%w/w SAR",((C$28*10)*$B31),IF(C$27="%w/w DM",(((C$28*10)*($B$28/100))*$B31),IF(C$27="kg/t SAR",(C$28*$B31),IF(C$27="kg/t DM",((C$28*($B$28/100))*$B31),IF(C$27="mg/kg SAR",((C$28*0.001)*$B31),IF(C$27="mg/kg DM",(((C$28*0.001)*($B$28/100))*$B31),0))))))</f>
        <v>50</v>
      </c>
      <c r="D31" s="2">
        <f>(IF(D$27="%w/w SAR",((D$28*10)*$B31),IF(D$27="%w/w DM",(((D$28*10)*($B$28/100))*$B31),IF(D$27="kg/t SAR",(D$28*$B31),IF(D$27="kg/t DM",((D$28*($B$28/100))*$B31),IF(D$27="mg/kg SAR",((D$28*0.001)*$B31),IF(D$27="mg/kg DM",(((D$28*0.001)*($B$28/100))*$B31),"0")))))))*2.291</f>
        <v>11.455</v>
      </c>
      <c r="E31" s="2">
        <f>(IF(E$27="%w/w SAR",((E$28*10)*$B31),IF(E$27="%w/w DM",(((E$28*10)*($B$28/100))*$B31),IF(E$27="kg/t SAR",(E$28*$B31),IF(E$27="kg/t DM",((E$28*($B$28/100))*$B31),IF(E$27="mg/kg SAR",((E$28*0.001)*$B31),IF(E$27="mg/kg DM",(((E$28*0.001)*($B$28/100))*$B31),"0")))))))*1.205</f>
        <v>5.0007500000000009</v>
      </c>
      <c r="F31" s="2">
        <f>(IF(F$27="%w/w SAR",((F$28*10)*$B31),IF(F$27="%w/w DM",(((F$28*10)*($B$28/100))*$B31),IF(F$27="kg/t SAR",(F$28*$B31),IF(F$27="kg/t DM",((F$28*($B$28/100))*$B31),IF(F$27="mg/kg SAR",((F$28*0.001)*$B31),IF(F$27="mg/kg DM",(((F$28*0.001)*($B$28/100))*$B31),"0")))))))*1.658</f>
        <v>5.3470500000000003</v>
      </c>
      <c r="G31" s="2">
        <f t="shared" ref="G31:P31" si="5">IF(G$27="%w/w SAR",((G$28*10)*$B31),IF(G$27="%w/w DM",(((G$28*10)*($B$28/100))*$B31),IF(G$27="kg/t SAR",(G$28*$B31),IF(G$27="kg/t DM",((G$28*($B$28/100))*$B31),IF(G$27="mg/kg SAR",((G$28*0.001)*$B31),IF(G$27="mg/kg DM",(((G$28*0.001)*($B$28/100))*$B31),0))))))</f>
        <v>0.3125</v>
      </c>
      <c r="H31" s="2">
        <f t="shared" si="5"/>
        <v>1.0149999999999999</v>
      </c>
      <c r="I31" s="2">
        <f t="shared" si="5"/>
        <v>1.37</v>
      </c>
      <c r="J31" s="2">
        <f t="shared" si="5"/>
        <v>5.0000000000000001E-3</v>
      </c>
      <c r="K31" s="2">
        <f t="shared" si="5"/>
        <v>1.2500000000000001E-2</v>
      </c>
      <c r="L31" s="2">
        <f t="shared" si="5"/>
        <v>0.115</v>
      </c>
      <c r="M31" s="2">
        <f t="shared" si="5"/>
        <v>0.1075</v>
      </c>
      <c r="N31" s="2">
        <f t="shared" si="5"/>
        <v>1625.5</v>
      </c>
      <c r="O31" s="2">
        <f t="shared" si="5"/>
        <v>69.5</v>
      </c>
      <c r="P31" s="2">
        <f t="shared" si="5"/>
        <v>2.5</v>
      </c>
      <c r="Q31" s="2">
        <f>(IF(Q$27="%w/w SAR",((Q$28*10)*$B31),IF(Q$27="%w/w DM",(((Q$28*10)*($B$28/100))*$B31),IF(Q$27="kg/t SAR",(Q$28*$B31),IF(Q$27="kg/t DM",((Q$28*($B$28/100))*$B31),IF(Q$27="mg/kg SAR",((Q$28*0.001)*$B31),IF(Q$27="mg/kg DM",(((Q$28*0.001)*($B$28/100))*$B31),0)))))))*2.5</f>
        <v>300.625</v>
      </c>
      <c r="R31" s="2">
        <f>IF(R$27="%w/w SAR",((R$28*10)*$B31),IF(R$27="%w/w DM",(((R$28*10)*($B$28/100))*$B31),IF(R$27="kg/t SAR",(R$28*$B31),IF(R$27="kg/t DM",((R$28*($B$28/100))*$B31),IF(R$27="mg/kg SAR",((R$28*0.001)*$B31),IF(R$27="mg/kg DM",(((R$28*0.001)*($B$28/100))*$B31),0))))))</f>
        <v>0.01</v>
      </c>
      <c r="S31" s="2">
        <f>IF(S$27="%w/w SAR",((S$28*10)*$B31),IF(S$27="%w/w DM",(((S$28*10)*($B$28/100))*$B31),IF(S$27="kg/t SAR",(S$28*$B31),IF(S$27="kg/t DM",((S$28*($B$28/100))*$B31),IF(S$27="mg/kg SAR",((S$28*0.001)*$B31),IF(S$27="mg/kg DM",(((S$28*0.001)*($B$28/100))*$B31),0))))))</f>
        <v>0.4975</v>
      </c>
      <c r="T31" s="2">
        <f>IF(T$27="%w/w SAR",((T$28*10)*$B31),IF(T$27="%w/w DM",(((T$28*10)*($B$28/100))*$B31),IF(T$27="kg/t SAR",(T$28*$B31),IF(T$27="kg/t DM",((T$28*($B$28/100))*$B31),IF(T$27="mg/kg SAR",((T$28*0.001)*$B31),IF(T$27="mg/kg DM",(((T$28*0.001)*($B$28/100))*$B31),0))))))</f>
        <v>1.2500000000000001E-2</v>
      </c>
      <c r="U31" s="2">
        <f>IF(U$27="%w/w SAR",((U$28*10)*$B31),IF(U$27="%w/w DM",(((U$28*10)*($B$28/100))*$B31),IF(U$27="kg/t SAR",(U$28*$B31),IF(U$27="kg/t DM",((U$28*($B$28/100))*$B31),IF(U$27="mg/kg SAR",((U$28*0.001)*$B31),IF(U$27="mg/kg DM",(((U$28*0.001)*($B$28/100))*$B31),0))))))</f>
        <v>5</v>
      </c>
      <c r="AB31" s="66"/>
      <c r="AC31" s="66"/>
      <c r="AD31" s="66"/>
      <c r="AE31" s="66"/>
      <c r="AF31" s="66"/>
      <c r="AG31" s="66"/>
      <c r="AH31" s="66"/>
      <c r="AI31" s="66"/>
    </row>
    <row r="32" spans="1:40" s="83" customFormat="1" x14ac:dyDescent="0.25">
      <c r="A32" s="21" t="str">
        <f>D8</f>
        <v>High Trees 2</v>
      </c>
      <c r="B32" s="23">
        <v>250</v>
      </c>
      <c r="C32" s="2">
        <f t="shared" ref="C32:C50" si="6">IF(C$27="%w/w SAR",((C$28*10)*$B32),IF(C$27="%w/w DM",(((C$28*10)*($B$28/100))*$B32),IF(C$27="kg/t SAR",(C$28*$B32),IF(C$27="kg/t DM",((C$28*($B$28/100))*$B32),IF(C$27="mg/kg SAR",((C$28*0.001)*$B32),IF(C$27="mg/kg DM",(((C$28*0.001)*($B$28/100))*$B32),0))))))</f>
        <v>50</v>
      </c>
      <c r="D32" s="2">
        <f t="shared" ref="D32:D50" si="7">(IF(D$27="%w/w SAR",((D$28*10)*$B32),IF(D$27="%w/w DM",(((D$28*10)*($B$28/100))*$B32),IF(D$27="kg/t SAR",(D$28*$B32),IF(D$27="kg/t DM",((D$28*($B$28/100))*$B32),IF(D$27="mg/kg SAR",((D$28*0.001)*$B32),IF(D$27="mg/kg DM",(((D$28*0.001)*($B$28/100))*$B32),"0")))))))*2.291</f>
        <v>11.455</v>
      </c>
      <c r="E32" s="2">
        <f t="shared" ref="E32:E50" si="8">(IF(E$27="%w/w SAR",((E$28*10)*$B32),IF(E$27="%w/w DM",(((E$28*10)*($B$28/100))*$B32),IF(E$27="kg/t SAR",(E$28*$B32),IF(E$27="kg/t DM",((E$28*($B$28/100))*$B32),IF(E$27="mg/kg SAR",((E$28*0.001)*$B32),IF(E$27="mg/kg DM",(((E$28*0.001)*($B$28/100))*$B32),"0")))))))*1.205</f>
        <v>5.0007500000000009</v>
      </c>
      <c r="F32" s="2">
        <f t="shared" ref="F32:F50" si="9">(IF(F$27="%w/w SAR",((F$28*10)*$B32),IF(F$27="%w/w DM",(((F$28*10)*($B$28/100))*$B32),IF(F$27="kg/t SAR",(F$28*$B32),IF(F$27="kg/t DM",((F$28*($B$28/100))*$B32),IF(F$27="mg/kg SAR",((F$28*0.001)*$B32),IF(F$27="mg/kg DM",(((F$28*0.001)*($B$28/100))*$B32),"0")))))))*1.658</f>
        <v>5.3470500000000003</v>
      </c>
      <c r="G32" s="2">
        <f t="shared" ref="G32:P50" si="10">IF(G$27="%w/w SAR",((G$28*10)*$B32),IF(G$27="%w/w DM",(((G$28*10)*($B$28/100))*$B32),IF(G$27="kg/t SAR",(G$28*$B32),IF(G$27="kg/t DM",((G$28*($B$28/100))*$B32),IF(G$27="mg/kg SAR",((G$28*0.001)*$B32),IF(G$27="mg/kg DM",(((G$28*0.001)*($B$28/100))*$B32),0))))))</f>
        <v>0.3125</v>
      </c>
      <c r="H32" s="2">
        <f t="shared" si="10"/>
        <v>1.0149999999999999</v>
      </c>
      <c r="I32" s="2">
        <f t="shared" si="10"/>
        <v>1.37</v>
      </c>
      <c r="J32" s="2">
        <f t="shared" si="10"/>
        <v>5.0000000000000001E-3</v>
      </c>
      <c r="K32" s="2">
        <f t="shared" si="10"/>
        <v>1.2500000000000001E-2</v>
      </c>
      <c r="L32" s="2">
        <f t="shared" si="10"/>
        <v>0.115</v>
      </c>
      <c r="M32" s="2">
        <f t="shared" si="10"/>
        <v>0.1075</v>
      </c>
      <c r="N32" s="2">
        <f t="shared" si="10"/>
        <v>1625.5</v>
      </c>
      <c r="O32" s="2">
        <f t="shared" si="10"/>
        <v>69.5</v>
      </c>
      <c r="P32" s="2">
        <f t="shared" si="10"/>
        <v>2.5</v>
      </c>
      <c r="Q32" s="2">
        <f t="shared" ref="Q32:Q50" si="11">(IF(Q$27="%w/w SAR",((Q$28*10)*$B32),IF(Q$27="%w/w DM",(((Q$28*10)*($B$28/100))*$B32),IF(Q$27="kg/t SAR",(Q$28*$B32),IF(Q$27="kg/t DM",((Q$28*($B$28/100))*$B32),IF(Q$27="mg/kg SAR",((Q$28*0.001)*$B32),IF(Q$27="mg/kg DM",(((Q$28*0.001)*($B$28/100))*$B32),0)))))))*2.5</f>
        <v>300.625</v>
      </c>
      <c r="R32" s="2">
        <f t="shared" ref="R32:U50" si="12">IF(R$27="%w/w SAR",((R$28*10)*$B32),IF(R$27="%w/w DM",(((R$28*10)*($B$28/100))*$B32),IF(R$27="kg/t SAR",(R$28*$B32),IF(R$27="kg/t DM",((R$28*($B$28/100))*$B32),IF(R$27="mg/kg SAR",((R$28*0.001)*$B32),IF(R$27="mg/kg DM",(((R$28*0.001)*($B$28/100))*$B32),0))))))</f>
        <v>0.01</v>
      </c>
      <c r="S32" s="2">
        <f t="shared" si="12"/>
        <v>0.4975</v>
      </c>
      <c r="T32" s="2">
        <f t="shared" si="12"/>
        <v>1.2500000000000001E-2</v>
      </c>
      <c r="U32" s="2">
        <f t="shared" si="12"/>
        <v>5</v>
      </c>
      <c r="AB32" s="66"/>
      <c r="AC32" s="66"/>
      <c r="AD32" s="66"/>
      <c r="AE32" s="66"/>
      <c r="AF32" s="66"/>
      <c r="AG32" s="66"/>
      <c r="AH32" s="66"/>
      <c r="AI32" s="66"/>
    </row>
    <row r="33" spans="1:35" s="83" customFormat="1" x14ac:dyDescent="0.25">
      <c r="A33" s="21" t="str">
        <f>E8</f>
        <v>High Trees 4</v>
      </c>
      <c r="B33" s="23">
        <v>250</v>
      </c>
      <c r="C33" s="2">
        <f t="shared" si="6"/>
        <v>50</v>
      </c>
      <c r="D33" s="2">
        <f t="shared" si="7"/>
        <v>11.455</v>
      </c>
      <c r="E33" s="2">
        <f t="shared" si="8"/>
        <v>5.0007500000000009</v>
      </c>
      <c r="F33" s="2">
        <f t="shared" si="9"/>
        <v>5.3470500000000003</v>
      </c>
      <c r="G33" s="2">
        <f t="shared" si="10"/>
        <v>0.3125</v>
      </c>
      <c r="H33" s="2">
        <f t="shared" si="10"/>
        <v>1.0149999999999999</v>
      </c>
      <c r="I33" s="2">
        <f t="shared" si="10"/>
        <v>1.37</v>
      </c>
      <c r="J33" s="2">
        <f t="shared" si="10"/>
        <v>5.0000000000000001E-3</v>
      </c>
      <c r="K33" s="2">
        <f t="shared" si="10"/>
        <v>1.2500000000000001E-2</v>
      </c>
      <c r="L33" s="2">
        <f t="shared" si="10"/>
        <v>0.115</v>
      </c>
      <c r="M33" s="2">
        <f t="shared" si="10"/>
        <v>0.1075</v>
      </c>
      <c r="N33" s="2">
        <f t="shared" si="10"/>
        <v>1625.5</v>
      </c>
      <c r="O33" s="2">
        <f t="shared" si="10"/>
        <v>69.5</v>
      </c>
      <c r="P33" s="2">
        <f t="shared" si="10"/>
        <v>2.5</v>
      </c>
      <c r="Q33" s="2">
        <f t="shared" si="11"/>
        <v>300.625</v>
      </c>
      <c r="R33" s="2">
        <f t="shared" si="12"/>
        <v>0.01</v>
      </c>
      <c r="S33" s="2">
        <f t="shared" si="12"/>
        <v>0.4975</v>
      </c>
      <c r="T33" s="2">
        <f t="shared" si="12"/>
        <v>1.2500000000000001E-2</v>
      </c>
      <c r="U33" s="2">
        <f t="shared" si="12"/>
        <v>5</v>
      </c>
      <c r="AB33" s="66"/>
      <c r="AC33" s="66"/>
      <c r="AD33" s="66"/>
      <c r="AE33" s="66"/>
      <c r="AF33" s="66"/>
      <c r="AG33" s="66"/>
      <c r="AH33" s="66"/>
      <c r="AI33" s="66"/>
    </row>
    <row r="34" spans="1:35" s="83" customFormat="1" x14ac:dyDescent="0.25">
      <c r="A34" s="21" t="str">
        <f>F8</f>
        <v>High Trees 5</v>
      </c>
      <c r="B34" s="23">
        <v>250</v>
      </c>
      <c r="C34" s="2">
        <f t="shared" si="6"/>
        <v>50</v>
      </c>
      <c r="D34" s="2">
        <f t="shared" si="7"/>
        <v>11.455</v>
      </c>
      <c r="E34" s="2">
        <f t="shared" si="8"/>
        <v>5.0007500000000009</v>
      </c>
      <c r="F34" s="2">
        <f t="shared" si="9"/>
        <v>5.3470500000000003</v>
      </c>
      <c r="G34" s="2">
        <f t="shared" si="10"/>
        <v>0.3125</v>
      </c>
      <c r="H34" s="2">
        <f t="shared" si="10"/>
        <v>1.0149999999999999</v>
      </c>
      <c r="I34" s="2">
        <f t="shared" si="10"/>
        <v>1.37</v>
      </c>
      <c r="J34" s="2">
        <f t="shared" si="10"/>
        <v>5.0000000000000001E-3</v>
      </c>
      <c r="K34" s="2">
        <f t="shared" si="10"/>
        <v>1.2500000000000001E-2</v>
      </c>
      <c r="L34" s="2">
        <f t="shared" si="10"/>
        <v>0.115</v>
      </c>
      <c r="M34" s="2">
        <f t="shared" si="10"/>
        <v>0.1075</v>
      </c>
      <c r="N34" s="2">
        <f t="shared" si="10"/>
        <v>1625.5</v>
      </c>
      <c r="O34" s="2">
        <f t="shared" si="10"/>
        <v>69.5</v>
      </c>
      <c r="P34" s="2">
        <f t="shared" si="10"/>
        <v>2.5</v>
      </c>
      <c r="Q34" s="2">
        <f t="shared" si="11"/>
        <v>300.625</v>
      </c>
      <c r="R34" s="2">
        <f t="shared" si="12"/>
        <v>0.01</v>
      </c>
      <c r="S34" s="2">
        <f t="shared" si="12"/>
        <v>0.4975</v>
      </c>
      <c r="T34" s="2">
        <f t="shared" si="12"/>
        <v>1.2500000000000001E-2</v>
      </c>
      <c r="U34" s="2">
        <f t="shared" si="12"/>
        <v>5</v>
      </c>
      <c r="AB34" s="66"/>
      <c r="AC34" s="66"/>
      <c r="AD34" s="66"/>
      <c r="AE34" s="66"/>
      <c r="AF34" s="66"/>
      <c r="AG34" s="66"/>
      <c r="AH34" s="66"/>
      <c r="AI34" s="66"/>
    </row>
    <row r="35" spans="1:35" s="83" customFormat="1" x14ac:dyDescent="0.25">
      <c r="A35" s="21" t="str">
        <f>G8</f>
        <v>High Trees 6</v>
      </c>
      <c r="B35" s="23">
        <v>250</v>
      </c>
      <c r="C35" s="2">
        <f t="shared" si="6"/>
        <v>50</v>
      </c>
      <c r="D35" s="2">
        <f t="shared" si="7"/>
        <v>11.455</v>
      </c>
      <c r="E35" s="2">
        <f t="shared" si="8"/>
        <v>5.0007500000000009</v>
      </c>
      <c r="F35" s="2">
        <f t="shared" si="9"/>
        <v>5.3470500000000003</v>
      </c>
      <c r="G35" s="2">
        <f t="shared" si="10"/>
        <v>0.3125</v>
      </c>
      <c r="H35" s="2">
        <f t="shared" si="10"/>
        <v>1.0149999999999999</v>
      </c>
      <c r="I35" s="2">
        <f t="shared" si="10"/>
        <v>1.37</v>
      </c>
      <c r="J35" s="2">
        <f t="shared" si="10"/>
        <v>5.0000000000000001E-3</v>
      </c>
      <c r="K35" s="2">
        <f t="shared" si="10"/>
        <v>1.2500000000000001E-2</v>
      </c>
      <c r="L35" s="2">
        <f t="shared" si="10"/>
        <v>0.115</v>
      </c>
      <c r="M35" s="2">
        <f t="shared" si="10"/>
        <v>0.1075</v>
      </c>
      <c r="N35" s="2">
        <f t="shared" si="10"/>
        <v>1625.5</v>
      </c>
      <c r="O35" s="2">
        <f t="shared" si="10"/>
        <v>69.5</v>
      </c>
      <c r="P35" s="2">
        <f t="shared" si="10"/>
        <v>2.5</v>
      </c>
      <c r="Q35" s="2">
        <f t="shared" si="11"/>
        <v>300.625</v>
      </c>
      <c r="R35" s="2">
        <f t="shared" si="12"/>
        <v>0.01</v>
      </c>
      <c r="S35" s="2">
        <f t="shared" si="12"/>
        <v>0.4975</v>
      </c>
      <c r="T35" s="2">
        <f t="shared" si="12"/>
        <v>1.2500000000000001E-2</v>
      </c>
      <c r="U35" s="2">
        <f t="shared" si="12"/>
        <v>5</v>
      </c>
      <c r="AB35" s="66"/>
      <c r="AC35" s="66"/>
      <c r="AD35" s="66"/>
      <c r="AE35" s="66"/>
      <c r="AF35" s="66"/>
      <c r="AG35" s="66"/>
      <c r="AH35" s="66"/>
      <c r="AI35" s="66"/>
    </row>
    <row r="36" spans="1:35" s="83" customFormat="1" x14ac:dyDescent="0.25">
      <c r="A36" s="21" t="str">
        <f>H8</f>
        <v>High Trees 8</v>
      </c>
      <c r="B36" s="23">
        <v>250</v>
      </c>
      <c r="C36" s="2">
        <f t="shared" si="6"/>
        <v>50</v>
      </c>
      <c r="D36" s="2">
        <f t="shared" si="7"/>
        <v>11.455</v>
      </c>
      <c r="E36" s="2">
        <f t="shared" si="8"/>
        <v>5.0007500000000009</v>
      </c>
      <c r="F36" s="2">
        <f t="shared" si="9"/>
        <v>5.3470500000000003</v>
      </c>
      <c r="G36" s="2">
        <f t="shared" si="10"/>
        <v>0.3125</v>
      </c>
      <c r="H36" s="2">
        <f t="shared" si="10"/>
        <v>1.0149999999999999</v>
      </c>
      <c r="I36" s="2">
        <f t="shared" si="10"/>
        <v>1.37</v>
      </c>
      <c r="J36" s="2">
        <f t="shared" si="10"/>
        <v>5.0000000000000001E-3</v>
      </c>
      <c r="K36" s="2">
        <f t="shared" si="10"/>
        <v>1.2500000000000001E-2</v>
      </c>
      <c r="L36" s="2">
        <f t="shared" si="10"/>
        <v>0.115</v>
      </c>
      <c r="M36" s="2">
        <f t="shared" si="10"/>
        <v>0.1075</v>
      </c>
      <c r="N36" s="2">
        <f t="shared" si="10"/>
        <v>1625.5</v>
      </c>
      <c r="O36" s="2">
        <f t="shared" si="10"/>
        <v>69.5</v>
      </c>
      <c r="P36" s="2">
        <f t="shared" si="10"/>
        <v>2.5</v>
      </c>
      <c r="Q36" s="2">
        <f t="shared" si="11"/>
        <v>300.625</v>
      </c>
      <c r="R36" s="2">
        <f t="shared" si="12"/>
        <v>0.01</v>
      </c>
      <c r="S36" s="2">
        <f t="shared" si="12"/>
        <v>0.4975</v>
      </c>
      <c r="T36" s="2">
        <f t="shared" si="12"/>
        <v>1.2500000000000001E-2</v>
      </c>
      <c r="U36" s="2">
        <f t="shared" si="12"/>
        <v>5</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10"/>
        <v>0</v>
      </c>
      <c r="H37" s="2">
        <f t="shared" si="10"/>
        <v>0</v>
      </c>
      <c r="I37" s="2">
        <f t="shared" si="10"/>
        <v>0</v>
      </c>
      <c r="J37" s="2">
        <f t="shared" si="10"/>
        <v>0</v>
      </c>
      <c r="K37" s="2">
        <f t="shared" si="10"/>
        <v>0</v>
      </c>
      <c r="L37" s="2">
        <f t="shared" si="10"/>
        <v>0</v>
      </c>
      <c r="M37" s="2">
        <f t="shared" si="10"/>
        <v>0</v>
      </c>
      <c r="N37" s="2">
        <f t="shared" si="10"/>
        <v>0</v>
      </c>
      <c r="O37" s="2">
        <f t="shared" si="10"/>
        <v>0</v>
      </c>
      <c r="P37" s="2">
        <f t="shared" si="10"/>
        <v>0</v>
      </c>
      <c r="Q37" s="2">
        <f t="shared" si="11"/>
        <v>0</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10"/>
        <v>0</v>
      </c>
      <c r="H38" s="2">
        <f t="shared" si="10"/>
        <v>0</v>
      </c>
      <c r="I38" s="2">
        <f t="shared" si="10"/>
        <v>0</v>
      </c>
      <c r="J38" s="2">
        <f t="shared" si="10"/>
        <v>0</v>
      </c>
      <c r="K38" s="2">
        <f t="shared" si="10"/>
        <v>0</v>
      </c>
      <c r="L38" s="2">
        <f t="shared" si="10"/>
        <v>0</v>
      </c>
      <c r="M38" s="2">
        <f t="shared" si="10"/>
        <v>0</v>
      </c>
      <c r="N38" s="2">
        <f t="shared" si="10"/>
        <v>0</v>
      </c>
      <c r="O38" s="2">
        <f t="shared" si="10"/>
        <v>0</v>
      </c>
      <c r="P38" s="2">
        <f t="shared" si="10"/>
        <v>0</v>
      </c>
      <c r="Q38" s="2">
        <f t="shared" si="11"/>
        <v>0</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10"/>
        <v>0</v>
      </c>
      <c r="H39" s="2">
        <f t="shared" si="10"/>
        <v>0</v>
      </c>
      <c r="I39" s="2">
        <f t="shared" si="10"/>
        <v>0</v>
      </c>
      <c r="J39" s="2">
        <f t="shared" si="10"/>
        <v>0</v>
      </c>
      <c r="K39" s="2">
        <f t="shared" si="10"/>
        <v>0</v>
      </c>
      <c r="L39" s="2">
        <f t="shared" si="10"/>
        <v>0</v>
      </c>
      <c r="M39" s="2">
        <f t="shared" si="10"/>
        <v>0</v>
      </c>
      <c r="N39" s="2">
        <f t="shared" si="10"/>
        <v>0</v>
      </c>
      <c r="O39" s="2">
        <f t="shared" si="10"/>
        <v>0</v>
      </c>
      <c r="P39" s="2">
        <f t="shared" si="10"/>
        <v>0</v>
      </c>
      <c r="Q39" s="2">
        <f t="shared" si="11"/>
        <v>0</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10"/>
        <v>0</v>
      </c>
      <c r="H40" s="2">
        <f t="shared" si="10"/>
        <v>0</v>
      </c>
      <c r="I40" s="2">
        <f t="shared" si="10"/>
        <v>0</v>
      </c>
      <c r="J40" s="2">
        <f t="shared" si="10"/>
        <v>0</v>
      </c>
      <c r="K40" s="2">
        <f t="shared" si="10"/>
        <v>0</v>
      </c>
      <c r="L40" s="2">
        <f t="shared" si="10"/>
        <v>0</v>
      </c>
      <c r="M40" s="2">
        <f t="shared" si="10"/>
        <v>0</v>
      </c>
      <c r="N40" s="2">
        <f t="shared" si="10"/>
        <v>0</v>
      </c>
      <c r="O40" s="2">
        <f t="shared" si="10"/>
        <v>0</v>
      </c>
      <c r="P40" s="2">
        <f t="shared" si="10"/>
        <v>0</v>
      </c>
      <c r="Q40" s="2">
        <f t="shared" si="11"/>
        <v>0</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High Trees 1</v>
      </c>
      <c r="C57" s="16" t="str">
        <f t="shared" ref="C57:U57" si="13">D8</f>
        <v>High Trees 2</v>
      </c>
      <c r="D57" s="16" t="str">
        <f t="shared" si="13"/>
        <v>High Trees 4</v>
      </c>
      <c r="E57" s="16" t="str">
        <f t="shared" si="13"/>
        <v>High Trees 5</v>
      </c>
      <c r="F57" s="16" t="str">
        <f t="shared" si="13"/>
        <v>High Trees 6</v>
      </c>
      <c r="G57" s="16" t="str">
        <f t="shared" si="13"/>
        <v>High Trees 8</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e">
        <f>I16&amp;" I "&amp;(VLOOKUP(I14,Table24[],6,FALSE))</f>
        <v>#N/A</v>
      </c>
      <c r="I58" s="21" t="e">
        <f>J16&amp;" I "&amp;(VLOOKUP(J14,Table24[],6,FALSE))</f>
        <v>#N/A</v>
      </c>
      <c r="J58" s="21" t="e">
        <f>K16&amp;" I "&amp;(VLOOKUP(K14,Table24[],6,FALSE))</f>
        <v>#N/A</v>
      </c>
      <c r="K58" s="21" t="e">
        <f>L16&amp;" I "&amp;(VLOOKUP(L14,Table24[],6,FALSE))</f>
        <v>#N/A</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t="e">
        <f>VLOOKUP(I$14,Table24[],5,FALSE)</f>
        <v>#N/A</v>
      </c>
      <c r="I59" s="93" t="e">
        <f>VLOOKUP(J$14,Table24[],5,FALSE)</f>
        <v>#N/A</v>
      </c>
      <c r="J59" s="93" t="e">
        <f>VLOOKUP(K$14,Table24[],5,FALSE)</f>
        <v>#N/A</v>
      </c>
      <c r="K59" s="93" t="e">
        <f>VLOOKUP(L$14,Table24[],5,FALSE)</f>
        <v>#N/A</v>
      </c>
      <c r="L59" s="93" t="e">
        <f>VLOOKUP(M$14,Table24[],5,FALSE)</f>
        <v>#N/A</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7</v>
      </c>
      <c r="C60" s="93">
        <f t="shared" ref="C60:U60" si="14">D10</f>
        <v>7.1</v>
      </c>
      <c r="D60" s="93">
        <f t="shared" si="14"/>
        <v>7.1</v>
      </c>
      <c r="E60" s="93">
        <f t="shared" si="14"/>
        <v>6.9</v>
      </c>
      <c r="F60" s="93">
        <f t="shared" si="14"/>
        <v>6.5</v>
      </c>
      <c r="G60" s="93">
        <f t="shared" si="14"/>
        <v>6.5</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-5.3999999999999968</v>
      </c>
      <c r="D64" s="94">
        <f t="shared" si="17"/>
        <v>-5.3999999999999968</v>
      </c>
      <c r="E64" s="94">
        <f t="shared" si="17"/>
        <v>-4.2000000000000011</v>
      </c>
      <c r="F64" s="94">
        <f t="shared" si="17"/>
        <v>-1.7999999999999989</v>
      </c>
      <c r="G64" s="94">
        <f t="shared" si="17"/>
        <v>-1.7999999999999989</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19" priority="41" operator="equal">
      <formula>"DECREASE"</formula>
    </cfRule>
    <cfRule type="cellIs" dxfId="318" priority="42" operator="equal">
      <formula>"INCREASE"</formula>
    </cfRule>
  </conditionalFormatting>
  <conditionalFormatting sqref="B62:U65 B31:B50">
    <cfRule type="cellIs" dxfId="317" priority="40" operator="greaterThan">
      <formula>$B$51</formula>
    </cfRule>
  </conditionalFormatting>
  <conditionalFormatting sqref="C31:C50">
    <cfRule type="cellIs" dxfId="316" priority="39" operator="greaterThan">
      <formula>$C$51</formula>
    </cfRule>
  </conditionalFormatting>
  <conditionalFormatting sqref="C18:V18">
    <cfRule type="cellIs" dxfId="315" priority="35" operator="equal">
      <formula>0</formula>
    </cfRule>
  </conditionalFormatting>
  <conditionalFormatting sqref="C17:V17">
    <cfRule type="cellIs" dxfId="314" priority="33" operator="equal">
      <formula>0</formula>
    </cfRule>
  </conditionalFormatting>
  <conditionalFormatting sqref="C19:V19">
    <cfRule type="cellIs" dxfId="313" priority="32" operator="equal">
      <formula>0</formula>
    </cfRule>
  </conditionalFormatting>
  <conditionalFormatting sqref="G31:G50">
    <cfRule type="cellIs" dxfId="312" priority="29" operator="greaterThan">
      <formula>$G$51</formula>
    </cfRule>
  </conditionalFormatting>
  <conditionalFormatting sqref="H31:H50">
    <cfRule type="cellIs" dxfId="311" priority="28" operator="greaterThan">
      <formula>$H$51</formula>
    </cfRule>
  </conditionalFormatting>
  <conditionalFormatting sqref="I31:I50">
    <cfRule type="cellIs" dxfId="310" priority="27" operator="greaterThan">
      <formula>$I$51</formula>
    </cfRule>
  </conditionalFormatting>
  <conditionalFormatting sqref="K31:K50">
    <cfRule type="cellIs" dxfId="309" priority="25" operator="greaterThan">
      <formula>$K$51</formula>
    </cfRule>
  </conditionalFormatting>
  <conditionalFormatting sqref="L31:L50">
    <cfRule type="cellIs" dxfId="308" priority="24" operator="greaterThan">
      <formula>$L$51</formula>
    </cfRule>
  </conditionalFormatting>
  <conditionalFormatting sqref="M31:M50">
    <cfRule type="cellIs" dxfId="307" priority="23" operator="greaterThan">
      <formula>$M$51</formula>
    </cfRule>
  </conditionalFormatting>
  <conditionalFormatting sqref="P31:P50">
    <cfRule type="cellIs" dxfId="306" priority="22" operator="greaterThan">
      <formula>$P$51</formula>
    </cfRule>
  </conditionalFormatting>
  <conditionalFormatting sqref="R31:R50">
    <cfRule type="cellIs" dxfId="305" priority="21" operator="greaterThan">
      <formula>$R$51</formula>
    </cfRule>
  </conditionalFormatting>
  <conditionalFormatting sqref="S31:S50">
    <cfRule type="cellIs" dxfId="304" priority="20" operator="greaterThan">
      <formula>$S$51</formula>
    </cfRule>
  </conditionalFormatting>
  <conditionalFormatting sqref="T31:T50">
    <cfRule type="cellIs" dxfId="303" priority="19" operator="greaterThan">
      <formula>$T$51</formula>
    </cfRule>
  </conditionalFormatting>
  <conditionalFormatting sqref="U31:U50">
    <cfRule type="cellIs" dxfId="302" priority="18" operator="greaterThan">
      <formula>$U$51</formula>
    </cfRule>
  </conditionalFormatting>
  <conditionalFormatting sqref="C22:V22">
    <cfRule type="cellIs" dxfId="301" priority="16" operator="equal">
      <formula>0</formula>
    </cfRule>
  </conditionalFormatting>
  <conditionalFormatting sqref="C24:V24">
    <cfRule type="cellIs" dxfId="300" priority="14" operator="equal">
      <formula>"DECREASE"</formula>
    </cfRule>
    <cfRule type="cellIs" dxfId="299" priority="15" operator="equal">
      <formula>"INCREASE"</formula>
    </cfRule>
  </conditionalFormatting>
  <conditionalFormatting sqref="C23:V23">
    <cfRule type="cellIs" dxfId="298" priority="13" operator="equal">
      <formula>0</formula>
    </cfRule>
  </conditionalFormatting>
  <conditionalFormatting sqref="I1">
    <cfRule type="cellIs" dxfId="297" priority="9" operator="lessThan">
      <formula>5</formula>
    </cfRule>
  </conditionalFormatting>
  <conditionalFormatting sqref="I2">
    <cfRule type="cellIs" dxfId="296" priority="8" operator="greaterThan">
      <formula>5000.1</formula>
    </cfRule>
  </conditionalFormatting>
  <conditionalFormatting sqref="I3">
    <cfRule type="cellIs" dxfId="295" priority="7" operator="greaterThan">
      <formula>4.1</formula>
    </cfRule>
  </conditionalFormatting>
  <conditionalFormatting sqref="C21:V21">
    <cfRule type="cellIs" dxfId="294" priority="6" operator="equal">
      <formula>0</formula>
    </cfRule>
  </conditionalFormatting>
  <conditionalFormatting sqref="B65:U65">
    <cfRule type="cellIs" dxfId="293" priority="2" operator="equal">
      <formula>"UNDER"</formula>
    </cfRule>
    <cfRule type="cellIs" dxfId="292" priority="3" operator="equal">
      <formula>"OVER"</formula>
    </cfRule>
  </conditionalFormatting>
  <conditionalFormatting sqref="J31:J50">
    <cfRule type="cellIs" dxfId="29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F4" sqref="F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PAN-011642</v>
      </c>
      <c r="D1" s="129"/>
      <c r="E1" s="37" t="s">
        <v>45</v>
      </c>
      <c r="F1" s="46">
        <f>'Field data and Waste 1'!F1</f>
        <v>34.4</v>
      </c>
      <c r="G1" s="108" t="s">
        <v>43</v>
      </c>
      <c r="H1" s="109"/>
      <c r="I1" s="35">
        <v>7.6</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EPR/GP3792SK</v>
      </c>
      <c r="D2" s="131"/>
      <c r="E2" s="37" t="s">
        <v>106</v>
      </c>
      <c r="F2" s="103" t="s">
        <v>163</v>
      </c>
      <c r="G2" s="110" t="s">
        <v>107</v>
      </c>
      <c r="H2" s="111"/>
      <c r="I2" s="35"/>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ByProduct Recovery Ltd</v>
      </c>
      <c r="D3" s="131"/>
      <c r="E3" s="37" t="s">
        <v>105</v>
      </c>
      <c r="F3" s="45" t="s">
        <v>101</v>
      </c>
      <c r="G3" s="108" t="s">
        <v>108</v>
      </c>
      <c r="H3" s="109"/>
      <c r="I3" s="35"/>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Llwyn y Brain, Pontsticill, Merthyr Tydfil, Mid Glamorgan, CF48 2TU</v>
      </c>
      <c r="D4" s="129"/>
      <c r="E4" s="38" t="s">
        <v>1</v>
      </c>
      <c r="F4" s="103" t="s">
        <v>165</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t="str">
        <f>'Field data and Waste 1'!C8</f>
        <v>High Trees 1</v>
      </c>
      <c r="D8" s="67" t="str">
        <f>'Field data and Waste 1'!D8</f>
        <v>High Trees 2</v>
      </c>
      <c r="E8" s="67" t="str">
        <f>'Field data and Waste 1'!E8</f>
        <v>High Trees 4</v>
      </c>
      <c r="F8" s="67" t="str">
        <f>'Field data and Waste 1'!F8</f>
        <v>High Trees 5</v>
      </c>
      <c r="G8" s="67" t="str">
        <f>'Field data and Waste 1'!G8</f>
        <v>High Trees 6</v>
      </c>
      <c r="H8" s="67" t="str">
        <f>'Field data and Waste 1'!H8</f>
        <v>High Trees 8</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f>'Field data and Waste 1'!C9</f>
        <v>0</v>
      </c>
      <c r="D9" s="67">
        <f>'Field data and Waste 1'!D9</f>
        <v>0</v>
      </c>
      <c r="E9" s="67">
        <f>'Field data and Waste 1'!E9</f>
        <v>0</v>
      </c>
      <c r="F9" s="67">
        <f>'Field data and Waste 1'!F9</f>
        <v>0</v>
      </c>
      <c r="G9" s="67">
        <f>'Field data and Waste 1'!G9</f>
        <v>0</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7</v>
      </c>
      <c r="D10" s="67">
        <f>'Field data and Waste 1'!D10</f>
        <v>7.1</v>
      </c>
      <c r="E10" s="67">
        <f>'Field data and Waste 1'!E10</f>
        <v>7.1</v>
      </c>
      <c r="F10" s="67">
        <f>'Field data and Waste 1'!F10</f>
        <v>6.9</v>
      </c>
      <c r="G10" s="67">
        <f>'Field data and Waste 1'!G10</f>
        <v>6.5</v>
      </c>
      <c r="H10" s="67">
        <f>'Field data and Waste 1'!H10</f>
        <v>6.5</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3</v>
      </c>
      <c r="D11" s="67">
        <f>'Field data and Waste 1'!D11</f>
        <v>3</v>
      </c>
      <c r="E11" s="67">
        <f>'Field data and Waste 1'!E11</f>
        <v>3</v>
      </c>
      <c r="F11" s="67">
        <f>'Field data and Waste 1'!F11</f>
        <v>3</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4</v>
      </c>
      <c r="D12" s="67">
        <f>'Field data and Waste 1'!D12</f>
        <v>5</v>
      </c>
      <c r="E12" s="67">
        <f>'Field data and Waste 1'!E12</f>
        <v>5</v>
      </c>
      <c r="F12" s="67">
        <f>'Field data and Waste 1'!F12</f>
        <v>5</v>
      </c>
      <c r="G12" s="67">
        <f>'Field data and Waste 1'!G12</f>
        <v>5</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3</v>
      </c>
      <c r="D13" s="67">
        <f>'Field data and Waste 1'!D13</f>
        <v>3</v>
      </c>
      <c r="E13" s="67">
        <f>'Field data and Waste 1'!E13</f>
        <v>3</v>
      </c>
      <c r="F13" s="67">
        <f>'Field data and Waste 1'!F13</f>
        <v>3</v>
      </c>
      <c r="G13" s="67">
        <f>'Field data and Waste 1'!G13</f>
        <v>3</v>
      </c>
      <c r="H13" s="67">
        <f>'Field data and Waste 1'!H13</f>
        <v>2</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54.4</v>
      </c>
      <c r="D17" s="39">
        <f t="shared" si="0"/>
        <v>54.4</v>
      </c>
      <c r="E17" s="39">
        <f t="shared" si="0"/>
        <v>54.4</v>
      </c>
      <c r="F17" s="39">
        <f t="shared" si="0"/>
        <v>54.4</v>
      </c>
      <c r="G17" s="39">
        <f t="shared" si="0"/>
        <v>54.4</v>
      </c>
      <c r="H17" s="39">
        <f t="shared" si="0"/>
        <v>54.4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39.071630400000004</v>
      </c>
      <c r="D18" s="24">
        <f>$D32</f>
        <v>39.071630400000004</v>
      </c>
      <c r="E18" s="24">
        <f>$D33</f>
        <v>39.071630400000004</v>
      </c>
      <c r="F18" s="24">
        <f>$D34</f>
        <v>39.071630400000004</v>
      </c>
      <c r="G18" s="24">
        <f>$D35</f>
        <v>39.071630400000004</v>
      </c>
      <c r="H18" s="24">
        <f>$D36</f>
        <v>104.1910144</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-15.328369599999995</v>
      </c>
      <c r="D19" s="24">
        <f t="shared" ref="D19:V19" si="1">D18-D17</f>
        <v>-15.328369599999995</v>
      </c>
      <c r="E19" s="24">
        <f t="shared" si="1"/>
        <v>-15.328369599999995</v>
      </c>
      <c r="F19" s="24">
        <f t="shared" si="1"/>
        <v>-15.328369599999995</v>
      </c>
      <c r="G19" s="24">
        <f t="shared" si="1"/>
        <v>-15.328369599999995</v>
      </c>
      <c r="H19" s="24">
        <f t="shared" si="1"/>
        <v>49.791014400000002</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INCREASE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192</v>
      </c>
      <c r="D21" s="39">
        <f t="shared" si="2"/>
        <v>192</v>
      </c>
      <c r="E21" s="39">
        <f t="shared" si="2"/>
        <v>192</v>
      </c>
      <c r="F21" s="39">
        <f t="shared" si="2"/>
        <v>192</v>
      </c>
      <c r="G21" s="39">
        <f t="shared" si="2"/>
        <v>192</v>
      </c>
      <c r="H21" s="39">
        <f t="shared" si="2"/>
        <v>192</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8.2353315000000009</v>
      </c>
      <c r="D22" s="24">
        <f>$E32</f>
        <v>8.2353315000000009</v>
      </c>
      <c r="E22" s="24">
        <f>$E33</f>
        <v>8.2353315000000009</v>
      </c>
      <c r="F22" s="24">
        <f>$E34</f>
        <v>8.2353315000000009</v>
      </c>
      <c r="G22" s="24">
        <f>$E35</f>
        <v>8.2353315000000009</v>
      </c>
      <c r="H22" s="24">
        <f>$E36</f>
        <v>21.960884000000004</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-183.7646685</v>
      </c>
      <c r="D23" s="24">
        <f t="shared" ref="D23:V23" si="3">D22-D21</f>
        <v>-183.7646685</v>
      </c>
      <c r="E23" s="24">
        <f t="shared" si="3"/>
        <v>-183.7646685</v>
      </c>
      <c r="F23" s="24">
        <f t="shared" si="3"/>
        <v>-183.7646685</v>
      </c>
      <c r="G23" s="24">
        <f t="shared" si="3"/>
        <v>-183.7646685</v>
      </c>
      <c r="H23" s="24">
        <f t="shared" si="3"/>
        <v>-170.03911600000001</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20.9</v>
      </c>
      <c r="C28" s="23">
        <v>0.745</v>
      </c>
      <c r="D28" s="23">
        <v>0.13600000000000001</v>
      </c>
      <c r="E28" s="23">
        <v>5.45E-2</v>
      </c>
      <c r="F28" s="23">
        <v>1200</v>
      </c>
      <c r="G28" s="23">
        <v>10.5</v>
      </c>
      <c r="H28" s="23">
        <v>121</v>
      </c>
      <c r="I28" s="23">
        <v>24.8</v>
      </c>
      <c r="J28" s="23">
        <v>0.11</v>
      </c>
      <c r="K28" s="30">
        <v>0.24</v>
      </c>
      <c r="L28" s="23">
        <v>16.600000000000001</v>
      </c>
      <c r="M28" s="23">
        <v>15.4</v>
      </c>
      <c r="N28" s="23">
        <v>3220</v>
      </c>
      <c r="O28" s="23">
        <v>461000</v>
      </c>
      <c r="P28" s="23"/>
      <c r="Q28" s="23">
        <v>1540</v>
      </c>
      <c r="R28" s="23"/>
      <c r="S28" s="23">
        <v>19</v>
      </c>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High Trees 1</v>
      </c>
      <c r="B31" s="23">
        <v>60</v>
      </c>
      <c r="C31" s="2">
        <f>IF(C$27="%w/w SAR",((C$28*10)*$B31),IF(C$27="%w/w DM",(((C$28*10)*($B$28/100))*$B31),IF(C$27="kg/t SAR",(C$28*$B31),IF(C$27="kg/t DM",((C$28*($B$28/100))*$B31),IF(C$27="mg/kg SAR",((C$28*0.001)*$B31),IF(C$27="mg/kg DM",(((C$28*0.001)*($B$28/100))*$B31),0))))))</f>
        <v>93.423000000000002</v>
      </c>
      <c r="D31" s="2">
        <f>(IF(D$27="%w/w SAR",((D$28*10)*$B31),IF(D$27="%w/w DM",(((D$28*10)*($B$28/100))*$B31),IF(D$27="kg/t SAR",(D$28*$B31),IF(D$27="kg/t DM",((D$28*($B$28/100))*$B31),IF(D$27="mg/kg SAR",((D$28*0.001)*$B31),IF(D$27="mg/kg DM",(((D$28*0.001)*($B$28/100))*$B31),"0")))))))*2.291</f>
        <v>39.071630400000004</v>
      </c>
      <c r="E31" s="2">
        <f>(IF(E$27="%w/w SAR",((E$28*10)*$B31),IF(E$27="%w/w DM",(((E$28*10)*($B$28/100))*$B31),IF(E$27="kg/t SAR",(E$28*$B31),IF(E$27="kg/t DM",((E$28*($B$28/100))*$B31),IF(E$27="mg/kg SAR",((E$28*0.001)*$B31),IF(E$27="mg/kg DM",(((E$28*0.001)*($B$28/100))*$B31),"0")))))))*1.205</f>
        <v>8.2353315000000009</v>
      </c>
      <c r="F31" s="2">
        <f>(IF(F$27="%w/w SAR",((F$28*10)*$B31),IF(F$27="%w/w DM",(((F$28*10)*($B$28/100))*$B31),IF(F$27="kg/t SAR",(F$28*$B31),IF(F$27="kg/t DM",((F$28*($B$28/100))*$B31),IF(F$27="mg/kg SAR",((F$28*0.001)*$B31),IF(F$27="mg/kg DM",(((F$28*0.001)*($B$28/100))*$B31),"0")))))))*1.658</f>
        <v>24.949583999999994</v>
      </c>
      <c r="G31" s="2">
        <f t="shared" ref="G31:P46" si="5">IF(G$27="%w/w SAR",((G$28*10)*$B31),IF(G$27="%w/w DM",(((G$28*10)*($B$28/100))*$B31),IF(G$27="kg/t SAR",(G$28*$B31),IF(G$27="kg/t DM",((G$28*($B$28/100))*$B31),IF(G$27="mg/kg SAR",((G$28*0.001)*$B31),IF(G$27="mg/kg DM",(((G$28*0.001)*($B$28/100))*$B31),0))))))</f>
        <v>0.13166999999999998</v>
      </c>
      <c r="H31" s="2">
        <f t="shared" si="5"/>
        <v>1.5173399999999999</v>
      </c>
      <c r="I31" s="2">
        <f t="shared" si="5"/>
        <v>0.31099200000000005</v>
      </c>
      <c r="J31" s="2">
        <f t="shared" si="5"/>
        <v>1.3793999999999998E-3</v>
      </c>
      <c r="K31" s="2">
        <f t="shared" si="5"/>
        <v>3.0095999999999999E-3</v>
      </c>
      <c r="L31" s="2">
        <f t="shared" si="5"/>
        <v>0.20816400000000002</v>
      </c>
      <c r="M31" s="2">
        <f t="shared" si="5"/>
        <v>0.19311599999999998</v>
      </c>
      <c r="N31" s="2">
        <f t="shared" si="5"/>
        <v>40.378799999999998</v>
      </c>
      <c r="O31" s="2">
        <f t="shared" si="5"/>
        <v>5780.94</v>
      </c>
      <c r="P31" s="2">
        <f t="shared" si="5"/>
        <v>0</v>
      </c>
      <c r="Q31" s="2">
        <f>(IF(Q$27="%w/w SAR",((Q$28*10)*$B31),IF(Q$27="%w/w DM",(((Q$28*10)*($B$28/100))*$B31),IF(Q$27="kg/t SAR",(Q$28*$B31),IF(Q$27="kg/t DM",((Q$28*($B$28/100))*$B31),IF(Q$27="mg/kg SAR",((Q$28*0.001)*$B31),IF(Q$27="mg/kg DM",(((Q$28*0.001)*($B$28/100))*$B31),0)))))))*2.5</f>
        <v>48.278999999999996</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0.23825999999999997</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High Trees 2</v>
      </c>
      <c r="B32" s="23">
        <v>60</v>
      </c>
      <c r="C32" s="2">
        <f t="shared" ref="C32:C50" si="6">IF(C$27="%w/w SAR",((C$28*10)*$B32),IF(C$27="%w/w DM",(((C$28*10)*($B$28/100))*$B32),IF(C$27="kg/t SAR",(C$28*$B32),IF(C$27="kg/t DM",((C$28*($B$28/100))*$B32),IF(C$27="mg/kg SAR",((C$28*0.001)*$B32),IF(C$27="mg/kg DM",(((C$28*0.001)*($B$28/100))*$B32),0))))))</f>
        <v>93.423000000000002</v>
      </c>
      <c r="D32" s="2">
        <f t="shared" ref="D32:D50" si="7">(IF(D$27="%w/w SAR",((D$28*10)*$B32),IF(D$27="%w/w DM",(((D$28*10)*($B$28/100))*$B32),IF(D$27="kg/t SAR",(D$28*$B32),IF(D$27="kg/t DM",((D$28*($B$28/100))*$B32),IF(D$27="mg/kg SAR",((D$28*0.001)*$B32),IF(D$27="mg/kg DM",(((D$28*0.001)*($B$28/100))*$B32),"0")))))))*2.291</f>
        <v>39.071630400000004</v>
      </c>
      <c r="E32" s="2">
        <f t="shared" ref="E32:E50" si="8">(IF(E$27="%w/w SAR",((E$28*10)*$B32),IF(E$27="%w/w DM",(((E$28*10)*($B$28/100))*$B32),IF(E$27="kg/t SAR",(E$28*$B32),IF(E$27="kg/t DM",((E$28*($B$28/100))*$B32),IF(E$27="mg/kg SAR",((E$28*0.001)*$B32),IF(E$27="mg/kg DM",(((E$28*0.001)*($B$28/100))*$B32),"0")))))))*1.205</f>
        <v>8.2353315000000009</v>
      </c>
      <c r="F32" s="2">
        <f t="shared" ref="F32:F50" si="9">(IF(F$27="%w/w SAR",((F$28*10)*$B32),IF(F$27="%w/w DM",(((F$28*10)*($B$28/100))*$B32),IF(F$27="kg/t SAR",(F$28*$B32),IF(F$27="kg/t DM",((F$28*($B$28/100))*$B32),IF(F$27="mg/kg SAR",((F$28*0.001)*$B32),IF(F$27="mg/kg DM",(((F$28*0.001)*($B$28/100))*$B32),"0")))))))*1.658</f>
        <v>24.949583999999994</v>
      </c>
      <c r="G32" s="2">
        <f t="shared" si="5"/>
        <v>0.13166999999999998</v>
      </c>
      <c r="H32" s="2">
        <f t="shared" si="5"/>
        <v>1.5173399999999999</v>
      </c>
      <c r="I32" s="2">
        <f t="shared" si="5"/>
        <v>0.31099200000000005</v>
      </c>
      <c r="J32" s="2">
        <f t="shared" si="5"/>
        <v>1.3793999999999998E-3</v>
      </c>
      <c r="K32" s="2">
        <f t="shared" si="5"/>
        <v>3.0095999999999999E-3</v>
      </c>
      <c r="L32" s="2">
        <f t="shared" si="5"/>
        <v>0.20816400000000002</v>
      </c>
      <c r="M32" s="2">
        <f t="shared" si="5"/>
        <v>0.19311599999999998</v>
      </c>
      <c r="N32" s="2">
        <f t="shared" si="5"/>
        <v>40.378799999999998</v>
      </c>
      <c r="O32" s="2">
        <f t="shared" si="5"/>
        <v>5780.94</v>
      </c>
      <c r="P32" s="2">
        <f t="shared" si="5"/>
        <v>0</v>
      </c>
      <c r="Q32" s="2">
        <f t="shared" ref="Q32:Q50" si="10">(IF(Q$27="%w/w SAR",((Q$28*10)*$B32),IF(Q$27="%w/w DM",(((Q$28*10)*($B$28/100))*$B32),IF(Q$27="kg/t SAR",(Q$28*$B32),IF(Q$27="kg/t DM",((Q$28*($B$28/100))*$B32),IF(Q$27="mg/kg SAR",((Q$28*0.001)*$B32),IF(Q$27="mg/kg DM",(((Q$28*0.001)*($B$28/100))*$B32),0)))))))*2.5</f>
        <v>48.278999999999996</v>
      </c>
      <c r="R32" s="2">
        <f t="shared" ref="R32:U50" si="11">IF(R$27="%w/w SAR",((R$28*10)*$B32),IF(R$27="%w/w DM",(((R$28*10)*($B$28/100))*$B32),IF(R$27="kg/t SAR",(R$28*$B32),IF(R$27="kg/t DM",((R$28*($B$28/100))*$B32),IF(R$27="mg/kg SAR",((R$28*0.001)*$B32),IF(R$27="mg/kg DM",(((R$28*0.001)*($B$28/100))*$B32),0))))))</f>
        <v>0</v>
      </c>
      <c r="S32" s="2">
        <f t="shared" si="11"/>
        <v>0.23825999999999997</v>
      </c>
      <c r="T32" s="2">
        <f t="shared" si="11"/>
        <v>0</v>
      </c>
      <c r="U32" s="2">
        <f t="shared" si="11"/>
        <v>0</v>
      </c>
      <c r="AB32" s="66"/>
      <c r="AC32" s="66"/>
      <c r="AD32" s="66"/>
      <c r="AE32" s="66"/>
      <c r="AF32" s="66"/>
      <c r="AG32" s="66"/>
      <c r="AH32" s="66"/>
      <c r="AI32" s="66"/>
    </row>
    <row r="33" spans="1:35" s="83" customFormat="1" x14ac:dyDescent="0.25">
      <c r="A33" s="21" t="str">
        <f>E8</f>
        <v>High Trees 4</v>
      </c>
      <c r="B33" s="23">
        <v>60</v>
      </c>
      <c r="C33" s="2">
        <f t="shared" si="6"/>
        <v>93.423000000000002</v>
      </c>
      <c r="D33" s="2">
        <f t="shared" si="7"/>
        <v>39.071630400000004</v>
      </c>
      <c r="E33" s="2">
        <f t="shared" si="8"/>
        <v>8.2353315000000009</v>
      </c>
      <c r="F33" s="2">
        <f t="shared" si="9"/>
        <v>24.949583999999994</v>
      </c>
      <c r="G33" s="2">
        <f t="shared" si="5"/>
        <v>0.13166999999999998</v>
      </c>
      <c r="H33" s="2">
        <f t="shared" si="5"/>
        <v>1.5173399999999999</v>
      </c>
      <c r="I33" s="2">
        <f t="shared" si="5"/>
        <v>0.31099200000000005</v>
      </c>
      <c r="J33" s="2">
        <f t="shared" si="5"/>
        <v>1.3793999999999998E-3</v>
      </c>
      <c r="K33" s="2">
        <f t="shared" si="5"/>
        <v>3.0095999999999999E-3</v>
      </c>
      <c r="L33" s="2">
        <f t="shared" si="5"/>
        <v>0.20816400000000002</v>
      </c>
      <c r="M33" s="2">
        <f t="shared" si="5"/>
        <v>0.19311599999999998</v>
      </c>
      <c r="N33" s="2">
        <f t="shared" si="5"/>
        <v>40.378799999999998</v>
      </c>
      <c r="O33" s="2">
        <f t="shared" si="5"/>
        <v>5780.94</v>
      </c>
      <c r="P33" s="2">
        <f t="shared" si="5"/>
        <v>0</v>
      </c>
      <c r="Q33" s="2">
        <f t="shared" si="10"/>
        <v>48.278999999999996</v>
      </c>
      <c r="R33" s="2">
        <f t="shared" si="11"/>
        <v>0</v>
      </c>
      <c r="S33" s="2">
        <f t="shared" si="11"/>
        <v>0.23825999999999997</v>
      </c>
      <c r="T33" s="2">
        <f t="shared" si="11"/>
        <v>0</v>
      </c>
      <c r="U33" s="2">
        <f t="shared" si="11"/>
        <v>0</v>
      </c>
      <c r="AB33" s="66"/>
      <c r="AC33" s="66"/>
      <c r="AD33" s="66"/>
      <c r="AE33" s="66"/>
      <c r="AF33" s="66"/>
      <c r="AG33" s="66"/>
      <c r="AH33" s="66"/>
      <c r="AI33" s="66"/>
    </row>
    <row r="34" spans="1:35" s="83" customFormat="1" x14ac:dyDescent="0.25">
      <c r="A34" s="21" t="str">
        <f>F8</f>
        <v>High Trees 5</v>
      </c>
      <c r="B34" s="23">
        <v>60</v>
      </c>
      <c r="C34" s="2">
        <f t="shared" si="6"/>
        <v>93.423000000000002</v>
      </c>
      <c r="D34" s="2">
        <f t="shared" si="7"/>
        <v>39.071630400000004</v>
      </c>
      <c r="E34" s="2">
        <f t="shared" si="8"/>
        <v>8.2353315000000009</v>
      </c>
      <c r="F34" s="2">
        <f t="shared" si="9"/>
        <v>24.949583999999994</v>
      </c>
      <c r="G34" s="2">
        <f t="shared" si="5"/>
        <v>0.13166999999999998</v>
      </c>
      <c r="H34" s="2">
        <f t="shared" si="5"/>
        <v>1.5173399999999999</v>
      </c>
      <c r="I34" s="2">
        <f t="shared" si="5"/>
        <v>0.31099200000000005</v>
      </c>
      <c r="J34" s="2">
        <f t="shared" si="5"/>
        <v>1.3793999999999998E-3</v>
      </c>
      <c r="K34" s="2">
        <f t="shared" si="5"/>
        <v>3.0095999999999999E-3</v>
      </c>
      <c r="L34" s="2">
        <f t="shared" si="5"/>
        <v>0.20816400000000002</v>
      </c>
      <c r="M34" s="2">
        <f t="shared" si="5"/>
        <v>0.19311599999999998</v>
      </c>
      <c r="N34" s="2">
        <f t="shared" si="5"/>
        <v>40.378799999999998</v>
      </c>
      <c r="O34" s="2">
        <f t="shared" si="5"/>
        <v>5780.94</v>
      </c>
      <c r="P34" s="2">
        <f t="shared" si="5"/>
        <v>0</v>
      </c>
      <c r="Q34" s="2">
        <f t="shared" si="10"/>
        <v>48.278999999999996</v>
      </c>
      <c r="R34" s="2">
        <f t="shared" si="11"/>
        <v>0</v>
      </c>
      <c r="S34" s="2">
        <f t="shared" si="11"/>
        <v>0.23825999999999997</v>
      </c>
      <c r="T34" s="2">
        <f t="shared" si="11"/>
        <v>0</v>
      </c>
      <c r="U34" s="2">
        <f t="shared" si="11"/>
        <v>0</v>
      </c>
      <c r="AB34" s="66"/>
      <c r="AC34" s="66"/>
      <c r="AD34" s="66"/>
      <c r="AE34" s="66"/>
      <c r="AF34" s="66"/>
      <c r="AG34" s="66"/>
      <c r="AH34" s="66"/>
      <c r="AI34" s="66"/>
    </row>
    <row r="35" spans="1:35" s="83" customFormat="1" x14ac:dyDescent="0.25">
      <c r="A35" s="21" t="str">
        <f>G8</f>
        <v>High Trees 6</v>
      </c>
      <c r="B35" s="23">
        <v>60</v>
      </c>
      <c r="C35" s="2">
        <f t="shared" si="6"/>
        <v>93.423000000000002</v>
      </c>
      <c r="D35" s="2">
        <f t="shared" si="7"/>
        <v>39.071630400000004</v>
      </c>
      <c r="E35" s="2">
        <f t="shared" si="8"/>
        <v>8.2353315000000009</v>
      </c>
      <c r="F35" s="2">
        <f t="shared" si="9"/>
        <v>24.949583999999994</v>
      </c>
      <c r="G35" s="2">
        <f t="shared" si="5"/>
        <v>0.13166999999999998</v>
      </c>
      <c r="H35" s="2">
        <f t="shared" si="5"/>
        <v>1.5173399999999999</v>
      </c>
      <c r="I35" s="2">
        <f t="shared" si="5"/>
        <v>0.31099200000000005</v>
      </c>
      <c r="J35" s="2">
        <f t="shared" si="5"/>
        <v>1.3793999999999998E-3</v>
      </c>
      <c r="K35" s="2">
        <f t="shared" si="5"/>
        <v>3.0095999999999999E-3</v>
      </c>
      <c r="L35" s="2">
        <f t="shared" si="5"/>
        <v>0.20816400000000002</v>
      </c>
      <c r="M35" s="2">
        <f t="shared" si="5"/>
        <v>0.19311599999999998</v>
      </c>
      <c r="N35" s="2">
        <f t="shared" si="5"/>
        <v>40.378799999999998</v>
      </c>
      <c r="O35" s="2">
        <f t="shared" si="5"/>
        <v>5780.94</v>
      </c>
      <c r="P35" s="2">
        <f t="shared" si="5"/>
        <v>0</v>
      </c>
      <c r="Q35" s="2">
        <f t="shared" si="10"/>
        <v>48.278999999999996</v>
      </c>
      <c r="R35" s="2">
        <f t="shared" si="11"/>
        <v>0</v>
      </c>
      <c r="S35" s="2">
        <f t="shared" si="11"/>
        <v>0.23825999999999997</v>
      </c>
      <c r="T35" s="2">
        <f t="shared" si="11"/>
        <v>0</v>
      </c>
      <c r="U35" s="2">
        <f t="shared" si="11"/>
        <v>0</v>
      </c>
      <c r="AB35" s="66"/>
      <c r="AC35" s="66"/>
      <c r="AD35" s="66"/>
      <c r="AE35" s="66"/>
      <c r="AF35" s="66"/>
      <c r="AG35" s="66"/>
      <c r="AH35" s="66"/>
      <c r="AI35" s="66"/>
    </row>
    <row r="36" spans="1:35" s="83" customFormat="1" x14ac:dyDescent="0.25">
      <c r="A36" s="21" t="str">
        <f>H8</f>
        <v>High Trees 8</v>
      </c>
      <c r="B36" s="23">
        <v>160</v>
      </c>
      <c r="C36" s="2">
        <f t="shared" si="6"/>
        <v>249.12800000000001</v>
      </c>
      <c r="D36" s="2">
        <f t="shared" si="7"/>
        <v>104.1910144</v>
      </c>
      <c r="E36" s="2">
        <f t="shared" si="8"/>
        <v>21.960884000000004</v>
      </c>
      <c r="F36" s="2">
        <f t="shared" si="9"/>
        <v>66.532223999999985</v>
      </c>
      <c r="G36" s="2">
        <f t="shared" si="5"/>
        <v>0.35111999999999999</v>
      </c>
      <c r="H36" s="2">
        <f t="shared" si="5"/>
        <v>4.0462400000000001</v>
      </c>
      <c r="I36" s="2">
        <f t="shared" si="5"/>
        <v>0.82931200000000005</v>
      </c>
      <c r="J36" s="2">
        <f t="shared" si="5"/>
        <v>3.6783999999999996E-3</v>
      </c>
      <c r="K36" s="2">
        <f t="shared" si="5"/>
        <v>8.0256000000000008E-3</v>
      </c>
      <c r="L36" s="2">
        <f t="shared" si="5"/>
        <v>0.55510400000000004</v>
      </c>
      <c r="M36" s="2">
        <f t="shared" si="5"/>
        <v>0.51497599999999999</v>
      </c>
      <c r="N36" s="2">
        <f t="shared" si="5"/>
        <v>107.6768</v>
      </c>
      <c r="O36" s="2">
        <f t="shared" si="5"/>
        <v>15415.839999999998</v>
      </c>
      <c r="P36" s="2">
        <f t="shared" si="5"/>
        <v>0</v>
      </c>
      <c r="Q36" s="2">
        <f t="shared" si="10"/>
        <v>128.744</v>
      </c>
      <c r="R36" s="2">
        <f t="shared" si="11"/>
        <v>0</v>
      </c>
      <c r="S36" s="2">
        <f t="shared" si="11"/>
        <v>0.63535999999999992</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High Trees 1</v>
      </c>
      <c r="C57" s="16" t="str">
        <f t="shared" ref="C57:U57" si="13">D8</f>
        <v>High Trees 2</v>
      </c>
      <c r="D57" s="16" t="str">
        <f t="shared" si="13"/>
        <v>High Trees 4</v>
      </c>
      <c r="E57" s="16" t="str">
        <f t="shared" si="13"/>
        <v>High Trees 5</v>
      </c>
      <c r="F57" s="16" t="str">
        <f t="shared" si="13"/>
        <v>High Trees 6</v>
      </c>
      <c r="G57" s="16" t="str">
        <f t="shared" si="13"/>
        <v>High Trees 8</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e">
        <f>I16&amp;" I "&amp;(VLOOKUP(I14,Table245[],6,FALSE))</f>
        <v>#N/A</v>
      </c>
      <c r="I58" s="21" t="e">
        <f>J16&amp;" I "&amp;(VLOOKUP(J14,Table245[],6,FALSE))</f>
        <v>#N/A</v>
      </c>
      <c r="J58" s="21" t="e">
        <f>K16&amp;" I "&amp;(VLOOKUP(K14,Table245[],6,FALSE))</f>
        <v>#N/A</v>
      </c>
      <c r="K58" s="21" t="e">
        <f>L16&amp;" I "&amp;(VLOOKUP(L14,Table245[],6,FALSE))</f>
        <v>#N/A</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t="e">
        <f>VLOOKUP(I$14,Table245[],5,FALSE)</f>
        <v>#N/A</v>
      </c>
      <c r="I59" s="93" t="e">
        <f>VLOOKUP(J$14,Table245[],5,FALSE)</f>
        <v>#N/A</v>
      </c>
      <c r="J59" s="93" t="e">
        <f>VLOOKUP(K$14,Table245[],5,FALSE)</f>
        <v>#N/A</v>
      </c>
      <c r="K59" s="93" t="e">
        <f>VLOOKUP(L$14,Table245[],5,FALSE)</f>
        <v>#N/A</v>
      </c>
      <c r="L59" s="93" t="e">
        <f>VLOOKUP(M$14,Table245[],5,FALSE)</f>
        <v>#N/A</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7</v>
      </c>
      <c r="C60" s="93">
        <f t="shared" ref="C60:U60" si="14">D10</f>
        <v>7.1</v>
      </c>
      <c r="D60" s="93">
        <f t="shared" si="14"/>
        <v>7.1</v>
      </c>
      <c r="E60" s="93">
        <f t="shared" si="14"/>
        <v>6.9</v>
      </c>
      <c r="F60" s="93">
        <f t="shared" si="14"/>
        <v>6.5</v>
      </c>
      <c r="G60" s="93">
        <f t="shared" si="14"/>
        <v>6.5</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60</v>
      </c>
      <c r="C62" s="94">
        <f>B32</f>
        <v>60</v>
      </c>
      <c r="D62" s="94">
        <f>B33</f>
        <v>60</v>
      </c>
      <c r="E62" s="94">
        <f>B34</f>
        <v>60</v>
      </c>
      <c r="F62" s="94">
        <f>B35</f>
        <v>60</v>
      </c>
      <c r="G62" s="94">
        <f>B36</f>
        <v>160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-5.3999999999999968</v>
      </c>
      <c r="D64" s="94">
        <f t="shared" si="17"/>
        <v>-5.3999999999999968</v>
      </c>
      <c r="E64" s="94">
        <f t="shared" si="17"/>
        <v>-4.2000000000000011</v>
      </c>
      <c r="F64" s="94">
        <f t="shared" si="17"/>
        <v>-1.7999999999999989</v>
      </c>
      <c r="G64" s="94">
        <f t="shared" si="17"/>
        <v>-1.7999999999999989</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79" priority="30" operator="equal">
      <formula>"DECREASE"</formula>
    </cfRule>
    <cfRule type="cellIs" dxfId="278" priority="31" operator="equal">
      <formula>"INCREASE"</formula>
    </cfRule>
  </conditionalFormatting>
  <conditionalFormatting sqref="B62:U65 B31:B50">
    <cfRule type="cellIs" dxfId="277" priority="29" operator="greaterThan">
      <formula>$B$51</formula>
    </cfRule>
  </conditionalFormatting>
  <conditionalFormatting sqref="C31:C50">
    <cfRule type="cellIs" dxfId="276" priority="28" operator="greaterThan">
      <formula>$C$51</formula>
    </cfRule>
  </conditionalFormatting>
  <conditionalFormatting sqref="C18:V18">
    <cfRule type="cellIs" dxfId="275" priority="27" operator="equal">
      <formula>0</formula>
    </cfRule>
  </conditionalFormatting>
  <conditionalFormatting sqref="C17:V17">
    <cfRule type="cellIs" dxfId="274" priority="26" operator="equal">
      <formula>0</formula>
    </cfRule>
  </conditionalFormatting>
  <conditionalFormatting sqref="C19:V19">
    <cfRule type="cellIs" dxfId="273" priority="25" operator="equal">
      <formula>0</formula>
    </cfRule>
  </conditionalFormatting>
  <conditionalFormatting sqref="G31:G50">
    <cfRule type="cellIs" dxfId="272" priority="24" operator="greaterThan">
      <formula>$G$51</formula>
    </cfRule>
  </conditionalFormatting>
  <conditionalFormatting sqref="H31:H50">
    <cfRule type="cellIs" dxfId="271" priority="23" operator="greaterThan">
      <formula>$H$51</formula>
    </cfRule>
  </conditionalFormatting>
  <conditionalFormatting sqref="I31:I50">
    <cfRule type="cellIs" dxfId="270" priority="22" operator="greaterThan">
      <formula>$I$51</formula>
    </cfRule>
  </conditionalFormatting>
  <conditionalFormatting sqref="K31:K50">
    <cfRule type="cellIs" dxfId="269" priority="21" operator="greaterThan">
      <formula>$K$51</formula>
    </cfRule>
  </conditionalFormatting>
  <conditionalFormatting sqref="L31:L50">
    <cfRule type="cellIs" dxfId="268" priority="20" operator="greaterThan">
      <formula>$L$51</formula>
    </cfRule>
  </conditionalFormatting>
  <conditionalFormatting sqref="M31:M50">
    <cfRule type="cellIs" dxfId="267" priority="19" operator="greaterThan">
      <formula>$M$51</formula>
    </cfRule>
  </conditionalFormatting>
  <conditionalFormatting sqref="P31:P50">
    <cfRule type="cellIs" dxfId="266" priority="18" operator="greaterThan">
      <formula>$P$51</formula>
    </cfRule>
  </conditionalFormatting>
  <conditionalFormatting sqref="R31:R50">
    <cfRule type="cellIs" dxfId="265" priority="17" operator="greaterThan">
      <formula>$R$51</formula>
    </cfRule>
  </conditionalFormatting>
  <conditionalFormatting sqref="S31:S50">
    <cfRule type="cellIs" dxfId="264" priority="16" operator="greaterThan">
      <formula>$S$51</formula>
    </cfRule>
  </conditionalFormatting>
  <conditionalFormatting sqref="T31:T50">
    <cfRule type="cellIs" dxfId="263" priority="15" operator="greaterThan">
      <formula>$T$51</formula>
    </cfRule>
  </conditionalFormatting>
  <conditionalFormatting sqref="U31:U50">
    <cfRule type="cellIs" dxfId="262" priority="14" operator="greaterThan">
      <formula>$U$51</formula>
    </cfRule>
  </conditionalFormatting>
  <conditionalFormatting sqref="C22:V22">
    <cfRule type="cellIs" dxfId="261" priority="13" operator="equal">
      <formula>0</formula>
    </cfRule>
  </conditionalFormatting>
  <conditionalFormatting sqref="C24:V24">
    <cfRule type="cellIs" dxfId="260" priority="11" operator="equal">
      <formula>"DECREASE"</formula>
    </cfRule>
    <cfRule type="cellIs" dxfId="259" priority="12" operator="equal">
      <formula>"INCREASE"</formula>
    </cfRule>
  </conditionalFormatting>
  <conditionalFormatting sqref="C23:V23">
    <cfRule type="cellIs" dxfId="258" priority="10" operator="equal">
      <formula>0</formula>
    </cfRule>
  </conditionalFormatting>
  <conditionalFormatting sqref="I1">
    <cfRule type="cellIs" dxfId="257" priority="9" operator="lessThan">
      <formula>5</formula>
    </cfRule>
  </conditionalFormatting>
  <conditionalFormatting sqref="C21:V21">
    <cfRule type="cellIs" dxfId="256" priority="6" operator="equal">
      <formula>0</formula>
    </cfRule>
  </conditionalFormatting>
  <conditionalFormatting sqref="B65:U65">
    <cfRule type="cellIs" dxfId="255" priority="4" operator="equal">
      <formula>"UNDER"</formula>
    </cfRule>
    <cfRule type="cellIs" dxfId="254" priority="5" operator="equal">
      <formula>"OVER"</formula>
    </cfRule>
  </conditionalFormatting>
  <conditionalFormatting sqref="I2">
    <cfRule type="cellIs" dxfId="253" priority="3" operator="greaterThan">
      <formula>5000.1</formula>
    </cfRule>
  </conditionalFormatting>
  <conditionalFormatting sqref="I3">
    <cfRule type="cellIs" dxfId="252" priority="2" operator="greaterThan">
      <formula>4.1</formula>
    </cfRule>
  </conditionalFormatting>
  <conditionalFormatting sqref="J31:J50">
    <cfRule type="cellIs" dxfId="25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B32" sqref="B32:B36"/>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PAN-011642</v>
      </c>
      <c r="D1" s="129"/>
      <c r="E1" s="37" t="s">
        <v>45</v>
      </c>
      <c r="F1" s="46">
        <f>'Field data and Waste 1'!F1</f>
        <v>34.4</v>
      </c>
      <c r="G1" s="108" t="s">
        <v>43</v>
      </c>
      <c r="H1" s="109"/>
      <c r="I1" s="35">
        <v>6.8</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EPR/GP3792SK</v>
      </c>
      <c r="D2" s="131"/>
      <c r="E2" s="37" t="s">
        <v>106</v>
      </c>
      <c r="F2" s="103" t="s">
        <v>163</v>
      </c>
      <c r="G2" s="110" t="s">
        <v>107</v>
      </c>
      <c r="H2" s="111"/>
      <c r="I2" s="35"/>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ByProduct Recovery Ltd</v>
      </c>
      <c r="D3" s="131"/>
      <c r="E3" s="37" t="s">
        <v>105</v>
      </c>
      <c r="F3" s="45" t="s">
        <v>101</v>
      </c>
      <c r="G3" s="108" t="s">
        <v>108</v>
      </c>
      <c r="H3" s="109"/>
      <c r="I3" s="35"/>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Llwyn y Brain, Pontsticill, Merthyr Tydfil, Mid Glamorgan, CF48 2TU</v>
      </c>
      <c r="D4" s="129"/>
      <c r="E4" s="38" t="s">
        <v>1</v>
      </c>
      <c r="F4" s="103" t="s">
        <v>166</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t="str">
        <f>'Field data and Waste 1'!C8</f>
        <v>High Trees 1</v>
      </c>
      <c r="D8" s="67" t="str">
        <f>'Field data and Waste 1'!D8</f>
        <v>High Trees 2</v>
      </c>
      <c r="E8" s="67" t="str">
        <f>'Field data and Waste 1'!E8</f>
        <v>High Trees 4</v>
      </c>
      <c r="F8" s="67" t="str">
        <f>'Field data and Waste 1'!F8</f>
        <v>High Trees 5</v>
      </c>
      <c r="G8" s="67" t="str">
        <f>'Field data and Waste 1'!G8</f>
        <v>High Trees 6</v>
      </c>
      <c r="H8" s="67" t="str">
        <f>'Field data and Waste 1'!H8</f>
        <v>High Trees 8</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f>'Field data and Waste 1'!C9</f>
        <v>0</v>
      </c>
      <c r="D9" s="67">
        <f>'Field data and Waste 1'!D9</f>
        <v>0</v>
      </c>
      <c r="E9" s="67">
        <f>'Field data and Waste 1'!E9</f>
        <v>0</v>
      </c>
      <c r="F9" s="67">
        <f>'Field data and Waste 1'!F9</f>
        <v>0</v>
      </c>
      <c r="G9" s="67">
        <f>'Field data and Waste 1'!G9</f>
        <v>0</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7</v>
      </c>
      <c r="D10" s="67">
        <f>'Field data and Waste 1'!D10</f>
        <v>7.1</v>
      </c>
      <c r="E10" s="67">
        <f>'Field data and Waste 1'!E10</f>
        <v>7.1</v>
      </c>
      <c r="F10" s="67">
        <f>'Field data and Waste 1'!F10</f>
        <v>6.9</v>
      </c>
      <c r="G10" s="67">
        <f>'Field data and Waste 1'!G10</f>
        <v>6.5</v>
      </c>
      <c r="H10" s="67">
        <f>'Field data and Waste 1'!H10</f>
        <v>6.5</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3</v>
      </c>
      <c r="D11" s="67">
        <f>'Field data and Waste 1'!D11</f>
        <v>3</v>
      </c>
      <c r="E11" s="67">
        <f>'Field data and Waste 1'!E11</f>
        <v>3</v>
      </c>
      <c r="F11" s="67">
        <f>'Field data and Waste 1'!F11</f>
        <v>3</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4</v>
      </c>
      <c r="D12" s="67">
        <f>'Field data and Waste 1'!D12</f>
        <v>5</v>
      </c>
      <c r="E12" s="67">
        <f>'Field data and Waste 1'!E12</f>
        <v>5</v>
      </c>
      <c r="F12" s="67">
        <f>'Field data and Waste 1'!F12</f>
        <v>5</v>
      </c>
      <c r="G12" s="67">
        <f>'Field data and Waste 1'!G12</f>
        <v>5</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3</v>
      </c>
      <c r="D13" s="67">
        <f>'Field data and Waste 1'!D13</f>
        <v>3</v>
      </c>
      <c r="E13" s="67">
        <f>'Field data and Waste 1'!E13</f>
        <v>3</v>
      </c>
      <c r="F13" s="67">
        <f>'Field data and Waste 1'!F13</f>
        <v>3</v>
      </c>
      <c r="G13" s="67">
        <f>'Field data and Waste 1'!G13</f>
        <v>3</v>
      </c>
      <c r="H13" s="67">
        <f>'Field data and Waste 1'!H13</f>
        <v>2</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54.4</v>
      </c>
      <c r="D17" s="39">
        <f t="shared" si="0"/>
        <v>54.4</v>
      </c>
      <c r="E17" s="39">
        <f t="shared" si="0"/>
        <v>54.4</v>
      </c>
      <c r="F17" s="39">
        <f t="shared" si="0"/>
        <v>54.4</v>
      </c>
      <c r="G17" s="39">
        <f t="shared" si="0"/>
        <v>54.4</v>
      </c>
      <c r="H17" s="39">
        <f t="shared" si="0"/>
        <v>54.4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40.262034</v>
      </c>
      <c r="D18" s="24">
        <f>$D32</f>
        <v>40.262034</v>
      </c>
      <c r="E18" s="24">
        <f>$D33</f>
        <v>40.262034</v>
      </c>
      <c r="F18" s="24">
        <f>$D34</f>
        <v>40.262034</v>
      </c>
      <c r="G18" s="24">
        <f>$D35</f>
        <v>40.262034</v>
      </c>
      <c r="H18" s="24">
        <f>$D36</f>
        <v>40.262034</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-14.137965999999999</v>
      </c>
      <c r="D19" s="24">
        <f t="shared" ref="D19:V19" si="1">D18-D17</f>
        <v>-14.137965999999999</v>
      </c>
      <c r="E19" s="24">
        <f t="shared" si="1"/>
        <v>-14.137965999999999</v>
      </c>
      <c r="F19" s="24">
        <f t="shared" si="1"/>
        <v>-14.137965999999999</v>
      </c>
      <c r="G19" s="24">
        <f t="shared" si="1"/>
        <v>-14.137965999999999</v>
      </c>
      <c r="H19" s="24">
        <f t="shared" si="1"/>
        <v>-14.137965999999999</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192</v>
      </c>
      <c r="D21" s="39">
        <f t="shared" si="2"/>
        <v>192</v>
      </c>
      <c r="E21" s="39">
        <f t="shared" si="2"/>
        <v>192</v>
      </c>
      <c r="F21" s="39">
        <f t="shared" si="2"/>
        <v>192</v>
      </c>
      <c r="G21" s="39">
        <f t="shared" si="2"/>
        <v>192</v>
      </c>
      <c r="H21" s="39">
        <f t="shared" si="2"/>
        <v>192</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6.5720700000000001</v>
      </c>
      <c r="D22" s="24">
        <f>$E32</f>
        <v>6.5720700000000001</v>
      </c>
      <c r="E22" s="24">
        <f>$E33</f>
        <v>6.5720700000000001</v>
      </c>
      <c r="F22" s="24">
        <f>$E34</f>
        <v>6.5720700000000001</v>
      </c>
      <c r="G22" s="24">
        <f>$E35</f>
        <v>6.5720700000000001</v>
      </c>
      <c r="H22" s="24">
        <f>$E36</f>
        <v>6.5720700000000001</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-185.42793</v>
      </c>
      <c r="D23" s="24">
        <f t="shared" ref="D23:V23" si="3">D22-D21</f>
        <v>-185.42793</v>
      </c>
      <c r="E23" s="24">
        <f t="shared" si="3"/>
        <v>-185.42793</v>
      </c>
      <c r="F23" s="24">
        <f t="shared" si="3"/>
        <v>-185.42793</v>
      </c>
      <c r="G23" s="24">
        <f t="shared" si="3"/>
        <v>-185.42793</v>
      </c>
      <c r="H23" s="24">
        <f t="shared" si="3"/>
        <v>-185.42793</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30.3</v>
      </c>
      <c r="C28" s="23">
        <v>0.98299999999999998</v>
      </c>
      <c r="D28" s="23">
        <v>0.11600000000000001</v>
      </c>
      <c r="E28" s="23">
        <v>3.5999999999999997E-2</v>
      </c>
      <c r="F28" s="23">
        <v>820</v>
      </c>
      <c r="G28" s="23">
        <v>13</v>
      </c>
      <c r="H28" s="23">
        <v>579</v>
      </c>
      <c r="I28" s="23">
        <v>31.8</v>
      </c>
      <c r="J28" s="23">
        <v>2.2200000000000002</v>
      </c>
      <c r="K28" s="30">
        <v>0.17</v>
      </c>
      <c r="L28" s="23">
        <v>24.3</v>
      </c>
      <c r="M28" s="23">
        <v>19.3</v>
      </c>
      <c r="N28" s="23">
        <v>3350</v>
      </c>
      <c r="O28" s="23">
        <v>549000</v>
      </c>
      <c r="P28" s="23"/>
      <c r="Q28" s="23">
        <v>2930</v>
      </c>
      <c r="R28" s="23"/>
      <c r="S28" s="23">
        <v>46.3</v>
      </c>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High Trees 1</v>
      </c>
      <c r="B31" s="23">
        <v>50</v>
      </c>
      <c r="C31" s="2">
        <f>IF(C$27="%w/w SAR",((C$28*10)*$B31),IF(C$27="%w/w DM",(((C$28*10)*($B$28/100))*$B31),IF(C$27="kg/t SAR",(C$28*$B31),IF(C$27="kg/t DM",((C$28*($B$28/100))*$B31),IF(C$27="mg/kg SAR",((C$28*0.001)*$B31),IF(C$27="mg/kg DM",(((C$28*0.001)*($B$28/100))*$B31),0))))))</f>
        <v>148.92449999999999</v>
      </c>
      <c r="D31" s="2">
        <f>(IF(D$27="%w/w SAR",((D$28*10)*$B31),IF(D$27="%w/w DM",(((D$28*10)*($B$28/100))*$B31),IF(D$27="kg/t SAR",(D$28*$B31),IF(D$27="kg/t DM",((D$28*($B$28/100))*$B31),IF(D$27="mg/kg SAR",((D$28*0.001)*$B31),IF(D$27="mg/kg DM",(((D$28*0.001)*($B$28/100))*$B31),"0")))))))*2.291</f>
        <v>40.262034</v>
      </c>
      <c r="E31" s="2">
        <f>(IF(E$27="%w/w SAR",((E$28*10)*$B31),IF(E$27="%w/w DM",(((E$28*10)*($B$28/100))*$B31),IF(E$27="kg/t SAR",(E$28*$B31),IF(E$27="kg/t DM",((E$28*($B$28/100))*$B31),IF(E$27="mg/kg SAR",((E$28*0.001)*$B31),IF(E$27="mg/kg DM",(((E$28*0.001)*($B$28/100))*$B31),"0")))))))*1.205</f>
        <v>6.5720700000000001</v>
      </c>
      <c r="F31" s="2">
        <f>(IF(F$27="%w/w SAR",((F$28*10)*$B31),IF(F$27="%w/w DM",(((F$28*10)*($B$28/100))*$B31),IF(F$27="kg/t SAR",(F$28*$B31),IF(F$27="kg/t DM",((F$28*($B$28/100))*$B31),IF(F$27="mg/kg SAR",((F$28*0.001)*$B31),IF(F$27="mg/kg DM",(((F$28*0.001)*($B$28/100))*$B31),"0")))))))*1.658</f>
        <v>20.597334</v>
      </c>
      <c r="G31" s="2">
        <f t="shared" ref="G31:P46" si="5">IF(G$27="%w/w SAR",((G$28*10)*$B31),IF(G$27="%w/w DM",(((G$28*10)*($B$28/100))*$B31),IF(G$27="kg/t SAR",(G$28*$B31),IF(G$27="kg/t DM",((G$28*($B$28/100))*$B31),IF(G$27="mg/kg SAR",((G$28*0.001)*$B31),IF(G$27="mg/kg DM",(((G$28*0.001)*($B$28/100))*$B31),0))))))</f>
        <v>0.19695000000000004</v>
      </c>
      <c r="H31" s="2">
        <f t="shared" si="5"/>
        <v>8.7718499999999988</v>
      </c>
      <c r="I31" s="2">
        <f t="shared" si="5"/>
        <v>0.48177000000000003</v>
      </c>
      <c r="J31" s="2">
        <f t="shared" si="5"/>
        <v>3.3633000000000003E-2</v>
      </c>
      <c r="K31" s="2">
        <f t="shared" si="5"/>
        <v>2.5755000000000001E-3</v>
      </c>
      <c r="L31" s="2">
        <f t="shared" si="5"/>
        <v>0.368145</v>
      </c>
      <c r="M31" s="2">
        <f t="shared" si="5"/>
        <v>0.29239500000000002</v>
      </c>
      <c r="N31" s="2">
        <f t="shared" si="5"/>
        <v>50.752499999999998</v>
      </c>
      <c r="O31" s="2">
        <f t="shared" si="5"/>
        <v>8317.35</v>
      </c>
      <c r="P31" s="2">
        <f t="shared" si="5"/>
        <v>0</v>
      </c>
      <c r="Q31" s="2">
        <f>(IF(Q$27="%w/w SAR",((Q$28*10)*$B31),IF(Q$27="%w/w DM",(((Q$28*10)*($B$28/100))*$B31),IF(Q$27="kg/t SAR",(Q$28*$B31),IF(Q$27="kg/t DM",((Q$28*($B$28/100))*$B31),IF(Q$27="mg/kg SAR",((Q$28*0.001)*$B31),IF(Q$27="mg/kg DM",(((Q$28*0.001)*($B$28/100))*$B31),0)))))))*2.5</f>
        <v>110.97375000000001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0.70144499999999999</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High Trees 2</v>
      </c>
      <c r="B32" s="23">
        <v>50</v>
      </c>
      <c r="C32" s="2">
        <f t="shared" ref="C32:C50" si="6">IF(C$27="%w/w SAR",((C$28*10)*$B32),IF(C$27="%w/w DM",(((C$28*10)*($B$28/100))*$B32),IF(C$27="kg/t SAR",(C$28*$B32),IF(C$27="kg/t DM",((C$28*($B$28/100))*$B32),IF(C$27="mg/kg SAR",((C$28*0.001)*$B32),IF(C$27="mg/kg DM",(((C$28*0.001)*($B$28/100))*$B32),0))))))</f>
        <v>148.92449999999999</v>
      </c>
      <c r="D32" s="2">
        <f t="shared" ref="D32:D50" si="7">(IF(D$27="%w/w SAR",((D$28*10)*$B32),IF(D$27="%w/w DM",(((D$28*10)*($B$28/100))*$B32),IF(D$27="kg/t SAR",(D$28*$B32),IF(D$27="kg/t DM",((D$28*($B$28/100))*$B32),IF(D$27="mg/kg SAR",((D$28*0.001)*$B32),IF(D$27="mg/kg DM",(((D$28*0.001)*($B$28/100))*$B32),"0")))))))*2.291</f>
        <v>40.262034</v>
      </c>
      <c r="E32" s="2">
        <f t="shared" ref="E32:E50" si="8">(IF(E$27="%w/w SAR",((E$28*10)*$B32),IF(E$27="%w/w DM",(((E$28*10)*($B$28/100))*$B32),IF(E$27="kg/t SAR",(E$28*$B32),IF(E$27="kg/t DM",((E$28*($B$28/100))*$B32),IF(E$27="mg/kg SAR",((E$28*0.001)*$B32),IF(E$27="mg/kg DM",(((E$28*0.001)*($B$28/100))*$B32),"0")))))))*1.205</f>
        <v>6.5720700000000001</v>
      </c>
      <c r="F32" s="2">
        <f t="shared" ref="F32:F50" si="9">(IF(F$27="%w/w SAR",((F$28*10)*$B32),IF(F$27="%w/w DM",(((F$28*10)*($B$28/100))*$B32),IF(F$27="kg/t SAR",(F$28*$B32),IF(F$27="kg/t DM",((F$28*($B$28/100))*$B32),IF(F$27="mg/kg SAR",((F$28*0.001)*$B32),IF(F$27="mg/kg DM",(((F$28*0.001)*($B$28/100))*$B32),"0")))))))*1.658</f>
        <v>20.597334</v>
      </c>
      <c r="G32" s="2">
        <f t="shared" si="5"/>
        <v>0.19695000000000004</v>
      </c>
      <c r="H32" s="2">
        <f t="shared" si="5"/>
        <v>8.7718499999999988</v>
      </c>
      <c r="I32" s="2">
        <f t="shared" si="5"/>
        <v>0.48177000000000003</v>
      </c>
      <c r="J32" s="2">
        <f t="shared" si="5"/>
        <v>3.3633000000000003E-2</v>
      </c>
      <c r="K32" s="2">
        <f t="shared" si="5"/>
        <v>2.5755000000000001E-3</v>
      </c>
      <c r="L32" s="2">
        <f t="shared" si="5"/>
        <v>0.368145</v>
      </c>
      <c r="M32" s="2">
        <f t="shared" si="5"/>
        <v>0.29239500000000002</v>
      </c>
      <c r="N32" s="2">
        <f t="shared" si="5"/>
        <v>50.752499999999998</v>
      </c>
      <c r="O32" s="2">
        <f t="shared" si="5"/>
        <v>8317.35</v>
      </c>
      <c r="P32" s="2">
        <f t="shared" si="5"/>
        <v>0</v>
      </c>
      <c r="Q32" s="2">
        <f t="shared" ref="Q32:Q50" si="10">(IF(Q$27="%w/w SAR",((Q$28*10)*$B32),IF(Q$27="%w/w DM",(((Q$28*10)*($B$28/100))*$B32),IF(Q$27="kg/t SAR",(Q$28*$B32),IF(Q$27="kg/t DM",((Q$28*($B$28/100))*$B32),IF(Q$27="mg/kg SAR",((Q$28*0.001)*$B32),IF(Q$27="mg/kg DM",(((Q$28*0.001)*($B$28/100))*$B32),0)))))))*2.5</f>
        <v>110.97375000000001</v>
      </c>
      <c r="R32" s="2">
        <f t="shared" ref="R32:U50" si="11">IF(R$27="%w/w SAR",((R$28*10)*$B32),IF(R$27="%w/w DM",(((R$28*10)*($B$28/100))*$B32),IF(R$27="kg/t SAR",(R$28*$B32),IF(R$27="kg/t DM",((R$28*($B$28/100))*$B32),IF(R$27="mg/kg SAR",((R$28*0.001)*$B32),IF(R$27="mg/kg DM",(((R$28*0.001)*($B$28/100))*$B32),0))))))</f>
        <v>0</v>
      </c>
      <c r="S32" s="2">
        <f t="shared" si="11"/>
        <v>0.70144499999999999</v>
      </c>
      <c r="T32" s="2">
        <f t="shared" si="11"/>
        <v>0</v>
      </c>
      <c r="U32" s="2">
        <f t="shared" si="11"/>
        <v>0</v>
      </c>
      <c r="AB32" s="66"/>
      <c r="AC32" s="66"/>
      <c r="AD32" s="66"/>
      <c r="AE32" s="66"/>
      <c r="AF32" s="66"/>
      <c r="AG32" s="66"/>
      <c r="AH32" s="66"/>
      <c r="AI32" s="66"/>
    </row>
    <row r="33" spans="1:35" s="83" customFormat="1" x14ac:dyDescent="0.25">
      <c r="A33" s="21" t="str">
        <f>E8</f>
        <v>High Trees 4</v>
      </c>
      <c r="B33" s="23">
        <v>50</v>
      </c>
      <c r="C33" s="2">
        <f t="shared" si="6"/>
        <v>148.92449999999999</v>
      </c>
      <c r="D33" s="2">
        <f t="shared" si="7"/>
        <v>40.262034</v>
      </c>
      <c r="E33" s="2">
        <f t="shared" si="8"/>
        <v>6.5720700000000001</v>
      </c>
      <c r="F33" s="2">
        <f t="shared" si="9"/>
        <v>20.597334</v>
      </c>
      <c r="G33" s="2">
        <f t="shared" si="5"/>
        <v>0.19695000000000004</v>
      </c>
      <c r="H33" s="2">
        <f t="shared" si="5"/>
        <v>8.7718499999999988</v>
      </c>
      <c r="I33" s="2">
        <f t="shared" si="5"/>
        <v>0.48177000000000003</v>
      </c>
      <c r="J33" s="2">
        <f t="shared" si="5"/>
        <v>3.3633000000000003E-2</v>
      </c>
      <c r="K33" s="2">
        <f t="shared" si="5"/>
        <v>2.5755000000000001E-3</v>
      </c>
      <c r="L33" s="2">
        <f t="shared" si="5"/>
        <v>0.368145</v>
      </c>
      <c r="M33" s="2">
        <f t="shared" si="5"/>
        <v>0.29239500000000002</v>
      </c>
      <c r="N33" s="2">
        <f t="shared" si="5"/>
        <v>50.752499999999998</v>
      </c>
      <c r="O33" s="2">
        <f t="shared" si="5"/>
        <v>8317.35</v>
      </c>
      <c r="P33" s="2">
        <f t="shared" si="5"/>
        <v>0</v>
      </c>
      <c r="Q33" s="2">
        <f t="shared" si="10"/>
        <v>110.97375000000001</v>
      </c>
      <c r="R33" s="2">
        <f t="shared" si="11"/>
        <v>0</v>
      </c>
      <c r="S33" s="2">
        <f t="shared" si="11"/>
        <v>0.70144499999999999</v>
      </c>
      <c r="T33" s="2">
        <f t="shared" si="11"/>
        <v>0</v>
      </c>
      <c r="U33" s="2">
        <f t="shared" si="11"/>
        <v>0</v>
      </c>
      <c r="AB33" s="66"/>
      <c r="AC33" s="66"/>
      <c r="AD33" s="66"/>
      <c r="AE33" s="66"/>
      <c r="AF33" s="66"/>
      <c r="AG33" s="66"/>
      <c r="AH33" s="66"/>
      <c r="AI33" s="66"/>
    </row>
    <row r="34" spans="1:35" s="83" customFormat="1" x14ac:dyDescent="0.25">
      <c r="A34" s="21" t="str">
        <f>F8</f>
        <v>High Trees 5</v>
      </c>
      <c r="B34" s="23">
        <v>50</v>
      </c>
      <c r="C34" s="2">
        <f t="shared" si="6"/>
        <v>148.92449999999999</v>
      </c>
      <c r="D34" s="2">
        <f t="shared" si="7"/>
        <v>40.262034</v>
      </c>
      <c r="E34" s="2">
        <f t="shared" si="8"/>
        <v>6.5720700000000001</v>
      </c>
      <c r="F34" s="2">
        <f t="shared" si="9"/>
        <v>20.597334</v>
      </c>
      <c r="G34" s="2">
        <f t="shared" si="5"/>
        <v>0.19695000000000004</v>
      </c>
      <c r="H34" s="2">
        <f t="shared" si="5"/>
        <v>8.7718499999999988</v>
      </c>
      <c r="I34" s="2">
        <f t="shared" si="5"/>
        <v>0.48177000000000003</v>
      </c>
      <c r="J34" s="2">
        <f t="shared" si="5"/>
        <v>3.3633000000000003E-2</v>
      </c>
      <c r="K34" s="2">
        <f t="shared" si="5"/>
        <v>2.5755000000000001E-3</v>
      </c>
      <c r="L34" s="2">
        <f t="shared" si="5"/>
        <v>0.368145</v>
      </c>
      <c r="M34" s="2">
        <f t="shared" si="5"/>
        <v>0.29239500000000002</v>
      </c>
      <c r="N34" s="2">
        <f t="shared" si="5"/>
        <v>50.752499999999998</v>
      </c>
      <c r="O34" s="2">
        <f t="shared" si="5"/>
        <v>8317.35</v>
      </c>
      <c r="P34" s="2">
        <f t="shared" si="5"/>
        <v>0</v>
      </c>
      <c r="Q34" s="2">
        <f t="shared" si="10"/>
        <v>110.97375000000001</v>
      </c>
      <c r="R34" s="2">
        <f t="shared" si="11"/>
        <v>0</v>
      </c>
      <c r="S34" s="2">
        <f t="shared" si="11"/>
        <v>0.70144499999999999</v>
      </c>
      <c r="T34" s="2">
        <f t="shared" si="11"/>
        <v>0</v>
      </c>
      <c r="U34" s="2">
        <f t="shared" si="11"/>
        <v>0</v>
      </c>
      <c r="AB34" s="66"/>
      <c r="AC34" s="66"/>
      <c r="AD34" s="66"/>
      <c r="AE34" s="66"/>
      <c r="AF34" s="66"/>
      <c r="AG34" s="66"/>
      <c r="AH34" s="66"/>
      <c r="AI34" s="66"/>
    </row>
    <row r="35" spans="1:35" s="83" customFormat="1" x14ac:dyDescent="0.25">
      <c r="A35" s="21" t="str">
        <f>G8</f>
        <v>High Trees 6</v>
      </c>
      <c r="B35" s="23">
        <v>50</v>
      </c>
      <c r="C35" s="2">
        <f t="shared" si="6"/>
        <v>148.92449999999999</v>
      </c>
      <c r="D35" s="2">
        <f t="shared" si="7"/>
        <v>40.262034</v>
      </c>
      <c r="E35" s="2">
        <f t="shared" si="8"/>
        <v>6.5720700000000001</v>
      </c>
      <c r="F35" s="2">
        <f t="shared" si="9"/>
        <v>20.597334</v>
      </c>
      <c r="G35" s="2">
        <f t="shared" si="5"/>
        <v>0.19695000000000004</v>
      </c>
      <c r="H35" s="2">
        <f t="shared" si="5"/>
        <v>8.7718499999999988</v>
      </c>
      <c r="I35" s="2">
        <f t="shared" si="5"/>
        <v>0.48177000000000003</v>
      </c>
      <c r="J35" s="2">
        <f t="shared" si="5"/>
        <v>3.3633000000000003E-2</v>
      </c>
      <c r="K35" s="2">
        <f t="shared" si="5"/>
        <v>2.5755000000000001E-3</v>
      </c>
      <c r="L35" s="2">
        <f t="shared" si="5"/>
        <v>0.368145</v>
      </c>
      <c r="M35" s="2">
        <f t="shared" si="5"/>
        <v>0.29239500000000002</v>
      </c>
      <c r="N35" s="2">
        <f t="shared" si="5"/>
        <v>50.752499999999998</v>
      </c>
      <c r="O35" s="2">
        <f t="shared" si="5"/>
        <v>8317.35</v>
      </c>
      <c r="P35" s="2">
        <f t="shared" si="5"/>
        <v>0</v>
      </c>
      <c r="Q35" s="2">
        <f t="shared" si="10"/>
        <v>110.97375000000001</v>
      </c>
      <c r="R35" s="2">
        <f t="shared" si="11"/>
        <v>0</v>
      </c>
      <c r="S35" s="2">
        <f t="shared" si="11"/>
        <v>0.70144499999999999</v>
      </c>
      <c r="T35" s="2">
        <f t="shared" si="11"/>
        <v>0</v>
      </c>
      <c r="U35" s="2">
        <f t="shared" si="11"/>
        <v>0</v>
      </c>
      <c r="AB35" s="66"/>
      <c r="AC35" s="66"/>
      <c r="AD35" s="66"/>
      <c r="AE35" s="66"/>
      <c r="AF35" s="66"/>
      <c r="AG35" s="66"/>
      <c r="AH35" s="66"/>
      <c r="AI35" s="66"/>
    </row>
    <row r="36" spans="1:35" s="83" customFormat="1" x14ac:dyDescent="0.25">
      <c r="A36" s="21" t="str">
        <f>H8</f>
        <v>High Trees 8</v>
      </c>
      <c r="B36" s="23">
        <v>50</v>
      </c>
      <c r="C36" s="2">
        <f t="shared" si="6"/>
        <v>148.92449999999999</v>
      </c>
      <c r="D36" s="2">
        <f t="shared" si="7"/>
        <v>40.262034</v>
      </c>
      <c r="E36" s="2">
        <f t="shared" si="8"/>
        <v>6.5720700000000001</v>
      </c>
      <c r="F36" s="2">
        <f t="shared" si="9"/>
        <v>20.597334</v>
      </c>
      <c r="G36" s="2">
        <f t="shared" si="5"/>
        <v>0.19695000000000004</v>
      </c>
      <c r="H36" s="2">
        <f t="shared" si="5"/>
        <v>8.7718499999999988</v>
      </c>
      <c r="I36" s="2">
        <f t="shared" si="5"/>
        <v>0.48177000000000003</v>
      </c>
      <c r="J36" s="2">
        <f t="shared" si="5"/>
        <v>3.3633000000000003E-2</v>
      </c>
      <c r="K36" s="2">
        <f t="shared" si="5"/>
        <v>2.5755000000000001E-3</v>
      </c>
      <c r="L36" s="2">
        <f t="shared" si="5"/>
        <v>0.368145</v>
      </c>
      <c r="M36" s="2">
        <f t="shared" si="5"/>
        <v>0.29239500000000002</v>
      </c>
      <c r="N36" s="2">
        <f t="shared" si="5"/>
        <v>50.752499999999998</v>
      </c>
      <c r="O36" s="2">
        <f t="shared" si="5"/>
        <v>8317.35</v>
      </c>
      <c r="P36" s="2">
        <f t="shared" si="5"/>
        <v>0</v>
      </c>
      <c r="Q36" s="2">
        <f t="shared" si="10"/>
        <v>110.97375000000001</v>
      </c>
      <c r="R36" s="2">
        <f t="shared" si="11"/>
        <v>0</v>
      </c>
      <c r="S36" s="2">
        <f t="shared" si="11"/>
        <v>0.70144499999999999</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High Trees 1</v>
      </c>
      <c r="C57" s="16" t="str">
        <f t="shared" ref="C57:U57" si="13">D8</f>
        <v>High Trees 2</v>
      </c>
      <c r="D57" s="16" t="str">
        <f t="shared" si="13"/>
        <v>High Trees 4</v>
      </c>
      <c r="E57" s="16" t="str">
        <f t="shared" si="13"/>
        <v>High Trees 5</v>
      </c>
      <c r="F57" s="16" t="str">
        <f t="shared" si="13"/>
        <v>High Trees 6</v>
      </c>
      <c r="G57" s="16" t="str">
        <f t="shared" si="13"/>
        <v>High Trees 8</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e">
        <f>I16&amp;" I "&amp;(VLOOKUP(I14,Table245811[],6,FALSE))</f>
        <v>#N/A</v>
      </c>
      <c r="I58" s="21" t="e">
        <f>J16&amp;" I "&amp;(VLOOKUP(J14,Table245811[],6,FALSE))</f>
        <v>#N/A</v>
      </c>
      <c r="J58" s="21" t="e">
        <f>K16&amp;" I "&amp;(VLOOKUP(K14,Table245811[],6,FALSE))</f>
        <v>#N/A</v>
      </c>
      <c r="K58" s="21" t="e">
        <f>L16&amp;" I "&amp;(VLOOKUP(L14,Table245811[],6,FALSE))</f>
        <v>#N/A</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t="e">
        <f>VLOOKUP(I$14,Table245811[],5,FALSE)</f>
        <v>#N/A</v>
      </c>
      <c r="I59" s="93" t="e">
        <f>VLOOKUP(J$14,Table245811[],5,FALSE)</f>
        <v>#N/A</v>
      </c>
      <c r="J59" s="93" t="e">
        <f>VLOOKUP(K$14,Table245811[],5,FALSE)</f>
        <v>#N/A</v>
      </c>
      <c r="K59" s="93" t="e">
        <f>VLOOKUP(L$14,Table245811[],5,FALSE)</f>
        <v>#N/A</v>
      </c>
      <c r="L59" s="93" t="e">
        <f>VLOOKUP(M$14,Table245811[],5,FALSE)</f>
        <v>#N/A</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7</v>
      </c>
      <c r="C60" s="93">
        <f t="shared" ref="C60:U60" si="14">D10</f>
        <v>7.1</v>
      </c>
      <c r="D60" s="93">
        <f t="shared" si="14"/>
        <v>7.1</v>
      </c>
      <c r="E60" s="93">
        <f t="shared" si="14"/>
        <v>6.9</v>
      </c>
      <c r="F60" s="93">
        <f t="shared" si="14"/>
        <v>6.5</v>
      </c>
      <c r="G60" s="93">
        <f t="shared" si="14"/>
        <v>6.5</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50</v>
      </c>
      <c r="C62" s="94">
        <f>B32</f>
        <v>50</v>
      </c>
      <c r="D62" s="94">
        <f>B33</f>
        <v>50</v>
      </c>
      <c r="E62" s="94">
        <f>B34</f>
        <v>50</v>
      </c>
      <c r="F62" s="94">
        <f>B35</f>
        <v>50</v>
      </c>
      <c r="G62" s="94">
        <f>B36</f>
        <v>50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-5.3999999999999968</v>
      </c>
      <c r="D64" s="94">
        <f t="shared" si="17"/>
        <v>-5.3999999999999968</v>
      </c>
      <c r="E64" s="94">
        <f t="shared" si="17"/>
        <v>-4.2000000000000011</v>
      </c>
      <c r="F64" s="94">
        <f t="shared" si="17"/>
        <v>-1.7999999999999989</v>
      </c>
      <c r="G64" s="94">
        <f t="shared" si="17"/>
        <v>-1.7999999999999989</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39" priority="30" operator="equal">
      <formula>"DECREASE"</formula>
    </cfRule>
    <cfRule type="cellIs" dxfId="238" priority="31" operator="equal">
      <formula>"INCREASE"</formula>
    </cfRule>
  </conditionalFormatting>
  <conditionalFormatting sqref="B62:U65 B31:B50">
    <cfRule type="cellIs" dxfId="237" priority="29" operator="greaterThan">
      <formula>$B$51</formula>
    </cfRule>
  </conditionalFormatting>
  <conditionalFormatting sqref="C31:C50">
    <cfRule type="cellIs" dxfId="236" priority="28" operator="greaterThan">
      <formula>$C$51</formula>
    </cfRule>
  </conditionalFormatting>
  <conditionalFormatting sqref="C18:V18">
    <cfRule type="cellIs" dxfId="235" priority="27" operator="equal">
      <formula>0</formula>
    </cfRule>
  </conditionalFormatting>
  <conditionalFormatting sqref="C17:V17">
    <cfRule type="cellIs" dxfId="234" priority="26" operator="equal">
      <formula>0</formula>
    </cfRule>
  </conditionalFormatting>
  <conditionalFormatting sqref="C19:V19">
    <cfRule type="cellIs" dxfId="233" priority="25" operator="equal">
      <formula>0</formula>
    </cfRule>
  </conditionalFormatting>
  <conditionalFormatting sqref="G31:G50">
    <cfRule type="cellIs" dxfId="232" priority="24" operator="greaterThan">
      <formula>$G$51</formula>
    </cfRule>
  </conditionalFormatting>
  <conditionalFormatting sqref="H31:H50">
    <cfRule type="cellIs" dxfId="231" priority="23" operator="greaterThan">
      <formula>$H$51</formula>
    </cfRule>
  </conditionalFormatting>
  <conditionalFormatting sqref="I31:I50">
    <cfRule type="cellIs" dxfId="230" priority="22" operator="greaterThan">
      <formula>$I$51</formula>
    </cfRule>
  </conditionalFormatting>
  <conditionalFormatting sqref="K31:K50">
    <cfRule type="cellIs" dxfId="229" priority="21" operator="greaterThan">
      <formula>$K$51</formula>
    </cfRule>
  </conditionalFormatting>
  <conditionalFormatting sqref="L31:L50">
    <cfRule type="cellIs" dxfId="228" priority="20" operator="greaterThan">
      <formula>$L$51</formula>
    </cfRule>
  </conditionalFormatting>
  <conditionalFormatting sqref="M31:M50">
    <cfRule type="cellIs" dxfId="227" priority="19" operator="greaterThan">
      <formula>$M$51</formula>
    </cfRule>
  </conditionalFormatting>
  <conditionalFormatting sqref="P31:P50">
    <cfRule type="cellIs" dxfId="226" priority="18" operator="greaterThan">
      <formula>$P$51</formula>
    </cfRule>
  </conditionalFormatting>
  <conditionalFormatting sqref="R31:R50">
    <cfRule type="cellIs" dxfId="225" priority="17" operator="greaterThan">
      <formula>$R$51</formula>
    </cfRule>
  </conditionalFormatting>
  <conditionalFormatting sqref="S31:S50">
    <cfRule type="cellIs" dxfId="224" priority="16" operator="greaterThan">
      <formula>$S$51</formula>
    </cfRule>
  </conditionalFormatting>
  <conditionalFormatting sqref="T31:T50">
    <cfRule type="cellIs" dxfId="223" priority="15" operator="greaterThan">
      <formula>$T$51</formula>
    </cfRule>
  </conditionalFormatting>
  <conditionalFormatting sqref="U31:U50">
    <cfRule type="cellIs" dxfId="222" priority="14" operator="greaterThan">
      <formula>$U$51</formula>
    </cfRule>
  </conditionalFormatting>
  <conditionalFormatting sqref="C22:V22">
    <cfRule type="cellIs" dxfId="221" priority="13" operator="equal">
      <formula>0</formula>
    </cfRule>
  </conditionalFormatting>
  <conditionalFormatting sqref="C24:V24">
    <cfRule type="cellIs" dxfId="220" priority="11" operator="equal">
      <formula>"DECREASE"</formula>
    </cfRule>
    <cfRule type="cellIs" dxfId="219" priority="12" operator="equal">
      <formula>"INCREASE"</formula>
    </cfRule>
  </conditionalFormatting>
  <conditionalFormatting sqref="C23:V23">
    <cfRule type="cellIs" dxfId="218" priority="10" operator="equal">
      <formula>0</formula>
    </cfRule>
  </conditionalFormatting>
  <conditionalFormatting sqref="I1">
    <cfRule type="cellIs" dxfId="217" priority="9" operator="lessThan">
      <formula>5</formula>
    </cfRule>
  </conditionalFormatting>
  <conditionalFormatting sqref="C21:V21">
    <cfRule type="cellIs" dxfId="216" priority="6" operator="equal">
      <formula>0</formula>
    </cfRule>
  </conditionalFormatting>
  <conditionalFormatting sqref="B65:U65">
    <cfRule type="cellIs" dxfId="215" priority="4" operator="equal">
      <formula>"UNDER"</formula>
    </cfRule>
    <cfRule type="cellIs" dxfId="214" priority="5" operator="equal">
      <formula>"OVER"</formula>
    </cfRule>
  </conditionalFormatting>
  <conditionalFormatting sqref="I2">
    <cfRule type="cellIs" dxfId="213" priority="3" operator="greaterThan">
      <formula>5000.1</formula>
    </cfRule>
  </conditionalFormatting>
  <conditionalFormatting sqref="I3">
    <cfRule type="cellIs" dxfId="212" priority="2" operator="greaterThan">
      <formula>4.1</formula>
    </cfRule>
  </conditionalFormatting>
  <conditionalFormatting sqref="J31:J50">
    <cfRule type="cellIs" dxfId="21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I5" sqref="I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PAN-011642</v>
      </c>
      <c r="D1" s="129"/>
      <c r="E1" s="37" t="s">
        <v>45</v>
      </c>
      <c r="F1" s="46">
        <f>'Field data and Waste 1'!F1</f>
        <v>34.4</v>
      </c>
      <c r="G1" s="108" t="s">
        <v>43</v>
      </c>
      <c r="H1" s="109"/>
      <c r="I1" s="35">
        <v>5.3</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EPR/GP3792SK</v>
      </c>
      <c r="D2" s="131"/>
      <c r="E2" s="37" t="s">
        <v>106</v>
      </c>
      <c r="F2" s="103" t="s">
        <v>163</v>
      </c>
      <c r="G2" s="110" t="s">
        <v>107</v>
      </c>
      <c r="H2" s="111"/>
      <c r="I2" s="35"/>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ByProduct Recovery Ltd</v>
      </c>
      <c r="D3" s="131"/>
      <c r="E3" s="37" t="s">
        <v>105</v>
      </c>
      <c r="F3" s="45" t="s">
        <v>77</v>
      </c>
      <c r="G3" s="108" t="s">
        <v>108</v>
      </c>
      <c r="H3" s="109"/>
      <c r="I3" s="35"/>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Llwyn y Brain, Pontsticill, Merthyr Tydfil, Mid Glamorgan, CF48 2TU</v>
      </c>
      <c r="D4" s="129"/>
      <c r="E4" s="38" t="s">
        <v>1</v>
      </c>
      <c r="F4" s="103" t="s">
        <v>166</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t="str">
        <f>'Field data and Waste 1'!C8</f>
        <v>High Trees 1</v>
      </c>
      <c r="D8" s="67" t="str">
        <f>'Field data and Waste 1'!D8</f>
        <v>High Trees 2</v>
      </c>
      <c r="E8" s="67" t="str">
        <f>'Field data and Waste 1'!E8</f>
        <v>High Trees 4</v>
      </c>
      <c r="F8" s="67" t="str">
        <f>'Field data and Waste 1'!F8</f>
        <v>High Trees 5</v>
      </c>
      <c r="G8" s="67" t="str">
        <f>'Field data and Waste 1'!G8</f>
        <v>High Trees 6</v>
      </c>
      <c r="H8" s="67" t="str">
        <f>'Field data and Waste 1'!H8</f>
        <v>High Trees 8</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f>'Field data and Waste 1'!C9</f>
        <v>0</v>
      </c>
      <c r="D9" s="67">
        <f>'Field data and Waste 1'!D9</f>
        <v>0</v>
      </c>
      <c r="E9" s="67">
        <f>'Field data and Waste 1'!E9</f>
        <v>0</v>
      </c>
      <c r="F9" s="67">
        <f>'Field data and Waste 1'!F9</f>
        <v>0</v>
      </c>
      <c r="G9" s="67">
        <f>'Field data and Waste 1'!G9</f>
        <v>0</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7</v>
      </c>
      <c r="D10" s="67">
        <f>'Field data and Waste 1'!D10</f>
        <v>7.1</v>
      </c>
      <c r="E10" s="67">
        <f>'Field data and Waste 1'!E10</f>
        <v>7.1</v>
      </c>
      <c r="F10" s="67">
        <f>'Field data and Waste 1'!F10</f>
        <v>6.9</v>
      </c>
      <c r="G10" s="67">
        <f>'Field data and Waste 1'!G10</f>
        <v>6.5</v>
      </c>
      <c r="H10" s="67">
        <f>'Field data and Waste 1'!H10</f>
        <v>6.5</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3</v>
      </c>
      <c r="D11" s="67">
        <f>'Field data and Waste 1'!D11</f>
        <v>3</v>
      </c>
      <c r="E11" s="67">
        <f>'Field data and Waste 1'!E11</f>
        <v>3</v>
      </c>
      <c r="F11" s="67">
        <f>'Field data and Waste 1'!F11</f>
        <v>3</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4</v>
      </c>
      <c r="D12" s="67">
        <f>'Field data and Waste 1'!D12</f>
        <v>5</v>
      </c>
      <c r="E12" s="67">
        <f>'Field data and Waste 1'!E12</f>
        <v>5</v>
      </c>
      <c r="F12" s="67">
        <f>'Field data and Waste 1'!F12</f>
        <v>5</v>
      </c>
      <c r="G12" s="67">
        <f>'Field data and Waste 1'!G12</f>
        <v>5</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3</v>
      </c>
      <c r="D13" s="67">
        <f>'Field data and Waste 1'!D13</f>
        <v>3</v>
      </c>
      <c r="E13" s="67">
        <f>'Field data and Waste 1'!E13</f>
        <v>3</v>
      </c>
      <c r="F13" s="67">
        <f>'Field data and Waste 1'!F13</f>
        <v>3</v>
      </c>
      <c r="G13" s="67">
        <f>'Field data and Waste 1'!G13</f>
        <v>3</v>
      </c>
      <c r="H13" s="67">
        <f>'Field data and Waste 1'!H13</f>
        <v>2</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54.4</v>
      </c>
      <c r="D17" s="39">
        <f t="shared" si="0"/>
        <v>54.4</v>
      </c>
      <c r="E17" s="39">
        <f t="shared" si="0"/>
        <v>54.4</v>
      </c>
      <c r="F17" s="39">
        <f t="shared" si="0"/>
        <v>54.4</v>
      </c>
      <c r="G17" s="39">
        <f t="shared" si="0"/>
        <v>54.4</v>
      </c>
      <c r="H17" s="39">
        <f t="shared" si="0"/>
        <v>54.4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11.824767400000001</v>
      </c>
      <c r="D18" s="24">
        <f>$D32</f>
        <v>11.824767400000001</v>
      </c>
      <c r="E18" s="24">
        <f>$D33</f>
        <v>11.824767400000001</v>
      </c>
      <c r="F18" s="24">
        <f>$D34</f>
        <v>11.824767400000001</v>
      </c>
      <c r="G18" s="24">
        <f>$D35</f>
        <v>11.824767400000001</v>
      </c>
      <c r="H18" s="24">
        <f>$D36</f>
        <v>11.824767400000001</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-42.5752326</v>
      </c>
      <c r="D19" s="24">
        <f t="shared" ref="D19:V19" si="1">D18-D17</f>
        <v>-42.5752326</v>
      </c>
      <c r="E19" s="24">
        <f t="shared" si="1"/>
        <v>-42.5752326</v>
      </c>
      <c r="F19" s="24">
        <f t="shared" si="1"/>
        <v>-42.5752326</v>
      </c>
      <c r="G19" s="24">
        <f t="shared" si="1"/>
        <v>-42.5752326</v>
      </c>
      <c r="H19" s="24">
        <f t="shared" si="1"/>
        <v>-42.5752326</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192</v>
      </c>
      <c r="D21" s="39">
        <f t="shared" si="2"/>
        <v>192</v>
      </c>
      <c r="E21" s="39">
        <f t="shared" si="2"/>
        <v>192</v>
      </c>
      <c r="F21" s="39">
        <f t="shared" si="2"/>
        <v>192</v>
      </c>
      <c r="G21" s="39">
        <f t="shared" si="2"/>
        <v>192</v>
      </c>
      <c r="H21" s="39">
        <f t="shared" si="2"/>
        <v>192</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3.4412389999999999</v>
      </c>
      <c r="D22" s="24">
        <f>$E32</f>
        <v>3.4412389999999999</v>
      </c>
      <c r="E22" s="24">
        <f>$E33</f>
        <v>3.4412389999999999</v>
      </c>
      <c r="F22" s="24">
        <f>$E34</f>
        <v>3.4412389999999999</v>
      </c>
      <c r="G22" s="24">
        <f>$E35</f>
        <v>3.4412389999999999</v>
      </c>
      <c r="H22" s="24">
        <f>$E36</f>
        <v>3.4412389999999999</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-188.558761</v>
      </c>
      <c r="D23" s="24">
        <f t="shared" ref="D23:V23" si="3">D22-D21</f>
        <v>-188.558761</v>
      </c>
      <c r="E23" s="24">
        <f t="shared" si="3"/>
        <v>-188.558761</v>
      </c>
      <c r="F23" s="24">
        <f t="shared" si="3"/>
        <v>-188.558761</v>
      </c>
      <c r="G23" s="24">
        <f t="shared" si="3"/>
        <v>-188.558761</v>
      </c>
      <c r="H23" s="24">
        <f t="shared" si="3"/>
        <v>-188.558761</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2.62</v>
      </c>
      <c r="C28" s="23">
        <v>0.90900000000000003</v>
      </c>
      <c r="D28" s="23">
        <v>7.8799999999999995E-2</v>
      </c>
      <c r="E28" s="23">
        <v>4.36E-2</v>
      </c>
      <c r="F28" s="23">
        <v>647</v>
      </c>
      <c r="G28" s="23">
        <v>13.3</v>
      </c>
      <c r="H28" s="23">
        <v>137</v>
      </c>
      <c r="I28" s="23">
        <v>24.2</v>
      </c>
      <c r="J28" s="23">
        <v>0.36</v>
      </c>
      <c r="K28" s="30">
        <v>0.77</v>
      </c>
      <c r="L28" s="23">
        <v>5.0999999999999996</v>
      </c>
      <c r="M28" s="23">
        <v>11.5</v>
      </c>
      <c r="N28" s="23">
        <v>3330</v>
      </c>
      <c r="O28" s="23">
        <v>416000</v>
      </c>
      <c r="P28" s="23"/>
      <c r="Q28" s="23">
        <v>9080</v>
      </c>
      <c r="R28" s="23"/>
      <c r="S28" s="23">
        <v>33.6</v>
      </c>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High Trees 1</v>
      </c>
      <c r="B31" s="23">
        <v>250</v>
      </c>
      <c r="C31" s="2">
        <f>IF(C$27="%w/w SAR",((C$28*10)*$B31),IF(C$27="%w/w DM",(((C$28*10)*($B$28/100))*$B31),IF(C$27="kg/t SAR",(C$28*$B31),IF(C$27="kg/t DM",((C$28*($B$28/100))*$B31),IF(C$27="mg/kg SAR",((C$28*0.001)*$B31),IF(C$27="mg/kg DM",(((C$28*0.001)*($B$28/100))*$B31),0))))))</f>
        <v>59.539500000000004</v>
      </c>
      <c r="D31" s="2">
        <f>(IF(D$27="%w/w SAR",((D$28*10)*$B31),IF(D$27="%w/w DM",(((D$28*10)*($B$28/100))*$B31),IF(D$27="kg/t SAR",(D$28*$B31),IF(D$27="kg/t DM",((D$28*($B$28/100))*$B31),IF(D$27="mg/kg SAR",((D$28*0.001)*$B31),IF(D$27="mg/kg DM",(((D$28*0.001)*($B$28/100))*$B31),"0")))))))*2.291</f>
        <v>11.824767400000001</v>
      </c>
      <c r="E31" s="2">
        <f>(IF(E$27="%w/w SAR",((E$28*10)*$B31),IF(E$27="%w/w DM",(((E$28*10)*($B$28/100))*$B31),IF(E$27="kg/t SAR",(E$28*$B31),IF(E$27="kg/t DM",((E$28*($B$28/100))*$B31),IF(E$27="mg/kg SAR",((E$28*0.001)*$B31),IF(E$27="mg/kg DM",(((E$28*0.001)*($B$28/100))*$B31),"0")))))))*1.205</f>
        <v>3.4412389999999999</v>
      </c>
      <c r="F31" s="2">
        <f>(IF(F$27="%w/w SAR",((F$28*10)*$B31),IF(F$27="%w/w DM",(((F$28*10)*($B$28/100))*$B31),IF(F$27="kg/t SAR",(F$28*$B31),IF(F$27="kg/t DM",((F$28*($B$28/100))*$B31),IF(F$27="mg/kg SAR",((F$28*0.001)*$B31),IF(F$27="mg/kg DM",(((F$28*0.001)*($B$28/100))*$B31),"0")))))))*1.658</f>
        <v>7.0263553000000005</v>
      </c>
      <c r="G31" s="2">
        <f t="shared" ref="G31:P46" si="5">IF(G$27="%w/w SAR",((G$28*10)*$B31),IF(G$27="%w/w DM",(((G$28*10)*($B$28/100))*$B31),IF(G$27="kg/t SAR",(G$28*$B31),IF(G$27="kg/t DM",((G$28*($B$28/100))*$B31),IF(G$27="mg/kg SAR",((G$28*0.001)*$B31),IF(G$27="mg/kg DM",(((G$28*0.001)*($B$28/100))*$B31),0))))))</f>
        <v>8.7115000000000012E-2</v>
      </c>
      <c r="H31" s="2">
        <f t="shared" si="5"/>
        <v>0.89735000000000009</v>
      </c>
      <c r="I31" s="2">
        <f t="shared" si="5"/>
        <v>0.15851000000000001</v>
      </c>
      <c r="J31" s="2">
        <f t="shared" si="5"/>
        <v>2.3579999999999999E-3</v>
      </c>
      <c r="K31" s="2">
        <f t="shared" si="5"/>
        <v>5.0435000000000011E-3</v>
      </c>
      <c r="L31" s="2">
        <f t="shared" si="5"/>
        <v>3.3404999999999997E-2</v>
      </c>
      <c r="M31" s="2">
        <f t="shared" si="5"/>
        <v>7.5325000000000003E-2</v>
      </c>
      <c r="N31" s="2">
        <f t="shared" si="5"/>
        <v>21.811500000000002</v>
      </c>
      <c r="O31" s="2">
        <f t="shared" si="5"/>
        <v>2724.8</v>
      </c>
      <c r="P31" s="2">
        <f t="shared" si="5"/>
        <v>0</v>
      </c>
      <c r="Q31" s="2">
        <f>(IF(Q$27="%w/w SAR",((Q$28*10)*$B31),IF(Q$27="%w/w DM",(((Q$28*10)*($B$28/100))*$B31),IF(Q$27="kg/t SAR",(Q$28*$B31),IF(Q$27="kg/t DM",((Q$28*($B$28/100))*$B31),IF(Q$27="mg/kg SAR",((Q$28*0.001)*$B31),IF(Q$27="mg/kg DM",(((Q$28*0.001)*($B$28/100))*$B31),0)))))))*2.5</f>
        <v>148.685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0.22008000000000005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High Trees 2</v>
      </c>
      <c r="B32" s="23">
        <v>250</v>
      </c>
      <c r="C32" s="2">
        <f t="shared" ref="C32:C50" si="6">IF(C$27="%w/w SAR",((C$28*10)*$B32),IF(C$27="%w/w DM",(((C$28*10)*($B$28/100))*$B32),IF(C$27="kg/t SAR",(C$28*$B32),IF(C$27="kg/t DM",((C$28*($B$28/100))*$B32),IF(C$27="mg/kg SAR",((C$28*0.001)*$B32),IF(C$27="mg/kg DM",(((C$28*0.001)*($B$28/100))*$B32),0))))))</f>
        <v>59.539500000000004</v>
      </c>
      <c r="D32" s="2">
        <f t="shared" ref="D32:D50" si="7">(IF(D$27="%w/w SAR",((D$28*10)*$B32),IF(D$27="%w/w DM",(((D$28*10)*($B$28/100))*$B32),IF(D$27="kg/t SAR",(D$28*$B32),IF(D$27="kg/t DM",((D$28*($B$28/100))*$B32),IF(D$27="mg/kg SAR",((D$28*0.001)*$B32),IF(D$27="mg/kg DM",(((D$28*0.001)*($B$28/100))*$B32),"0")))))))*2.291</f>
        <v>11.824767400000001</v>
      </c>
      <c r="E32" s="2">
        <f t="shared" ref="E32:E50" si="8">(IF(E$27="%w/w SAR",((E$28*10)*$B32),IF(E$27="%w/w DM",(((E$28*10)*($B$28/100))*$B32),IF(E$27="kg/t SAR",(E$28*$B32),IF(E$27="kg/t DM",((E$28*($B$28/100))*$B32),IF(E$27="mg/kg SAR",((E$28*0.001)*$B32),IF(E$27="mg/kg DM",(((E$28*0.001)*($B$28/100))*$B32),"0")))))))*1.205</f>
        <v>3.4412389999999999</v>
      </c>
      <c r="F32" s="2">
        <f t="shared" ref="F32:F50" si="9">(IF(F$27="%w/w SAR",((F$28*10)*$B32),IF(F$27="%w/w DM",(((F$28*10)*($B$28/100))*$B32),IF(F$27="kg/t SAR",(F$28*$B32),IF(F$27="kg/t DM",((F$28*($B$28/100))*$B32),IF(F$27="mg/kg SAR",((F$28*0.001)*$B32),IF(F$27="mg/kg DM",(((F$28*0.001)*($B$28/100))*$B32),"0")))))))*1.658</f>
        <v>7.0263553000000005</v>
      </c>
      <c r="G32" s="2">
        <f t="shared" si="5"/>
        <v>8.7115000000000012E-2</v>
      </c>
      <c r="H32" s="2">
        <f t="shared" si="5"/>
        <v>0.89735000000000009</v>
      </c>
      <c r="I32" s="2">
        <f t="shared" si="5"/>
        <v>0.15851000000000001</v>
      </c>
      <c r="J32" s="2">
        <f t="shared" si="5"/>
        <v>2.3579999999999999E-3</v>
      </c>
      <c r="K32" s="2">
        <f t="shared" si="5"/>
        <v>5.0435000000000011E-3</v>
      </c>
      <c r="L32" s="2">
        <f t="shared" si="5"/>
        <v>3.3404999999999997E-2</v>
      </c>
      <c r="M32" s="2">
        <f t="shared" si="5"/>
        <v>7.5325000000000003E-2</v>
      </c>
      <c r="N32" s="2">
        <f t="shared" si="5"/>
        <v>21.811500000000002</v>
      </c>
      <c r="O32" s="2">
        <f t="shared" si="5"/>
        <v>2724.8</v>
      </c>
      <c r="P32" s="2">
        <f t="shared" si="5"/>
        <v>0</v>
      </c>
      <c r="Q32" s="2">
        <f t="shared" ref="Q32:Q50" si="10">(IF(Q$27="%w/w SAR",((Q$28*10)*$B32),IF(Q$27="%w/w DM",(((Q$28*10)*($B$28/100))*$B32),IF(Q$27="kg/t SAR",(Q$28*$B32),IF(Q$27="kg/t DM",((Q$28*($B$28/100))*$B32),IF(Q$27="mg/kg SAR",((Q$28*0.001)*$B32),IF(Q$27="mg/kg DM",(((Q$28*0.001)*($B$28/100))*$B32),0)))))))*2.5</f>
        <v>148.685</v>
      </c>
      <c r="R32" s="2">
        <f t="shared" ref="R32:U50" si="11">IF(R$27="%w/w SAR",((R$28*10)*$B32),IF(R$27="%w/w DM",(((R$28*10)*($B$28/100))*$B32),IF(R$27="kg/t SAR",(R$28*$B32),IF(R$27="kg/t DM",((R$28*($B$28/100))*$B32),IF(R$27="mg/kg SAR",((R$28*0.001)*$B32),IF(R$27="mg/kg DM",(((R$28*0.001)*($B$28/100))*$B32),0))))))</f>
        <v>0</v>
      </c>
      <c r="S32" s="2">
        <f t="shared" si="11"/>
        <v>0.22008000000000005</v>
      </c>
      <c r="T32" s="2">
        <f t="shared" si="11"/>
        <v>0</v>
      </c>
      <c r="U32" s="2">
        <f t="shared" si="11"/>
        <v>0</v>
      </c>
      <c r="AB32" s="66"/>
      <c r="AC32" s="66"/>
      <c r="AD32" s="66"/>
      <c r="AE32" s="66"/>
      <c r="AF32" s="66"/>
      <c r="AG32" s="66"/>
      <c r="AH32" s="66"/>
      <c r="AI32" s="66"/>
    </row>
    <row r="33" spans="1:35" s="83" customFormat="1" x14ac:dyDescent="0.25">
      <c r="A33" s="21" t="str">
        <f>E8</f>
        <v>High Trees 4</v>
      </c>
      <c r="B33" s="23">
        <v>250</v>
      </c>
      <c r="C33" s="2">
        <f t="shared" si="6"/>
        <v>59.539500000000004</v>
      </c>
      <c r="D33" s="2">
        <f t="shared" si="7"/>
        <v>11.824767400000001</v>
      </c>
      <c r="E33" s="2">
        <f t="shared" si="8"/>
        <v>3.4412389999999999</v>
      </c>
      <c r="F33" s="2">
        <f t="shared" si="9"/>
        <v>7.0263553000000005</v>
      </c>
      <c r="G33" s="2">
        <f t="shared" si="5"/>
        <v>8.7115000000000012E-2</v>
      </c>
      <c r="H33" s="2">
        <f t="shared" si="5"/>
        <v>0.89735000000000009</v>
      </c>
      <c r="I33" s="2">
        <f t="shared" si="5"/>
        <v>0.15851000000000001</v>
      </c>
      <c r="J33" s="2">
        <f t="shared" si="5"/>
        <v>2.3579999999999999E-3</v>
      </c>
      <c r="K33" s="2">
        <f t="shared" si="5"/>
        <v>5.0435000000000011E-3</v>
      </c>
      <c r="L33" s="2">
        <f t="shared" si="5"/>
        <v>3.3404999999999997E-2</v>
      </c>
      <c r="M33" s="2">
        <f t="shared" si="5"/>
        <v>7.5325000000000003E-2</v>
      </c>
      <c r="N33" s="2">
        <f t="shared" si="5"/>
        <v>21.811500000000002</v>
      </c>
      <c r="O33" s="2">
        <f t="shared" si="5"/>
        <v>2724.8</v>
      </c>
      <c r="P33" s="2">
        <f t="shared" si="5"/>
        <v>0</v>
      </c>
      <c r="Q33" s="2">
        <f t="shared" si="10"/>
        <v>148.685</v>
      </c>
      <c r="R33" s="2">
        <f t="shared" si="11"/>
        <v>0</v>
      </c>
      <c r="S33" s="2">
        <f t="shared" si="11"/>
        <v>0.22008000000000005</v>
      </c>
      <c r="T33" s="2">
        <f t="shared" si="11"/>
        <v>0</v>
      </c>
      <c r="U33" s="2">
        <f t="shared" si="11"/>
        <v>0</v>
      </c>
      <c r="AB33" s="66"/>
      <c r="AC33" s="66"/>
      <c r="AD33" s="66"/>
      <c r="AE33" s="66"/>
      <c r="AF33" s="66"/>
      <c r="AG33" s="66"/>
      <c r="AH33" s="66"/>
      <c r="AI33" s="66"/>
    </row>
    <row r="34" spans="1:35" s="83" customFormat="1" x14ac:dyDescent="0.25">
      <c r="A34" s="21" t="str">
        <f>F8</f>
        <v>High Trees 5</v>
      </c>
      <c r="B34" s="23">
        <v>250</v>
      </c>
      <c r="C34" s="2">
        <f t="shared" si="6"/>
        <v>59.539500000000004</v>
      </c>
      <c r="D34" s="2">
        <f t="shared" si="7"/>
        <v>11.824767400000001</v>
      </c>
      <c r="E34" s="2">
        <f t="shared" si="8"/>
        <v>3.4412389999999999</v>
      </c>
      <c r="F34" s="2">
        <f t="shared" si="9"/>
        <v>7.0263553000000005</v>
      </c>
      <c r="G34" s="2">
        <f t="shared" si="5"/>
        <v>8.7115000000000012E-2</v>
      </c>
      <c r="H34" s="2">
        <f t="shared" si="5"/>
        <v>0.89735000000000009</v>
      </c>
      <c r="I34" s="2">
        <f t="shared" si="5"/>
        <v>0.15851000000000001</v>
      </c>
      <c r="J34" s="2">
        <f t="shared" si="5"/>
        <v>2.3579999999999999E-3</v>
      </c>
      <c r="K34" s="2">
        <f t="shared" si="5"/>
        <v>5.0435000000000011E-3</v>
      </c>
      <c r="L34" s="2">
        <f t="shared" si="5"/>
        <v>3.3404999999999997E-2</v>
      </c>
      <c r="M34" s="2">
        <f t="shared" si="5"/>
        <v>7.5325000000000003E-2</v>
      </c>
      <c r="N34" s="2">
        <f t="shared" si="5"/>
        <v>21.811500000000002</v>
      </c>
      <c r="O34" s="2">
        <f t="shared" si="5"/>
        <v>2724.8</v>
      </c>
      <c r="P34" s="2">
        <f t="shared" si="5"/>
        <v>0</v>
      </c>
      <c r="Q34" s="2">
        <f t="shared" si="10"/>
        <v>148.685</v>
      </c>
      <c r="R34" s="2">
        <f t="shared" si="11"/>
        <v>0</v>
      </c>
      <c r="S34" s="2">
        <f t="shared" si="11"/>
        <v>0.22008000000000005</v>
      </c>
      <c r="T34" s="2">
        <f t="shared" si="11"/>
        <v>0</v>
      </c>
      <c r="U34" s="2">
        <f t="shared" si="11"/>
        <v>0</v>
      </c>
      <c r="AB34" s="66"/>
      <c r="AC34" s="66"/>
      <c r="AD34" s="66"/>
      <c r="AE34" s="66"/>
      <c r="AF34" s="66"/>
      <c r="AG34" s="66"/>
      <c r="AH34" s="66"/>
      <c r="AI34" s="66"/>
    </row>
    <row r="35" spans="1:35" s="83" customFormat="1" x14ac:dyDescent="0.25">
      <c r="A35" s="21" t="str">
        <f>G8</f>
        <v>High Trees 6</v>
      </c>
      <c r="B35" s="23">
        <v>250</v>
      </c>
      <c r="C35" s="2">
        <f t="shared" si="6"/>
        <v>59.539500000000004</v>
      </c>
      <c r="D35" s="2">
        <f t="shared" si="7"/>
        <v>11.824767400000001</v>
      </c>
      <c r="E35" s="2">
        <f t="shared" si="8"/>
        <v>3.4412389999999999</v>
      </c>
      <c r="F35" s="2">
        <f t="shared" si="9"/>
        <v>7.0263553000000005</v>
      </c>
      <c r="G35" s="2">
        <f t="shared" si="5"/>
        <v>8.7115000000000012E-2</v>
      </c>
      <c r="H35" s="2">
        <f t="shared" si="5"/>
        <v>0.89735000000000009</v>
      </c>
      <c r="I35" s="2">
        <f t="shared" si="5"/>
        <v>0.15851000000000001</v>
      </c>
      <c r="J35" s="2">
        <f t="shared" si="5"/>
        <v>2.3579999999999999E-3</v>
      </c>
      <c r="K35" s="2">
        <f t="shared" si="5"/>
        <v>5.0435000000000011E-3</v>
      </c>
      <c r="L35" s="2">
        <f t="shared" si="5"/>
        <v>3.3404999999999997E-2</v>
      </c>
      <c r="M35" s="2">
        <f t="shared" si="5"/>
        <v>7.5325000000000003E-2</v>
      </c>
      <c r="N35" s="2">
        <f t="shared" si="5"/>
        <v>21.811500000000002</v>
      </c>
      <c r="O35" s="2">
        <f t="shared" si="5"/>
        <v>2724.8</v>
      </c>
      <c r="P35" s="2">
        <f t="shared" si="5"/>
        <v>0</v>
      </c>
      <c r="Q35" s="2">
        <f t="shared" si="10"/>
        <v>148.685</v>
      </c>
      <c r="R35" s="2">
        <f t="shared" si="11"/>
        <v>0</v>
      </c>
      <c r="S35" s="2">
        <f t="shared" si="11"/>
        <v>0.22008000000000005</v>
      </c>
      <c r="T35" s="2">
        <f t="shared" si="11"/>
        <v>0</v>
      </c>
      <c r="U35" s="2">
        <f t="shared" si="11"/>
        <v>0</v>
      </c>
      <c r="AB35" s="66"/>
      <c r="AC35" s="66"/>
      <c r="AD35" s="66"/>
      <c r="AE35" s="66"/>
      <c r="AF35" s="66"/>
      <c r="AG35" s="66"/>
      <c r="AH35" s="66"/>
      <c r="AI35" s="66"/>
    </row>
    <row r="36" spans="1:35" s="83" customFormat="1" x14ac:dyDescent="0.25">
      <c r="A36" s="21" t="str">
        <f>H8</f>
        <v>High Trees 8</v>
      </c>
      <c r="B36" s="23">
        <v>250</v>
      </c>
      <c r="C36" s="2">
        <f t="shared" si="6"/>
        <v>59.539500000000004</v>
      </c>
      <c r="D36" s="2">
        <f t="shared" si="7"/>
        <v>11.824767400000001</v>
      </c>
      <c r="E36" s="2">
        <f t="shared" si="8"/>
        <v>3.4412389999999999</v>
      </c>
      <c r="F36" s="2">
        <f t="shared" si="9"/>
        <v>7.0263553000000005</v>
      </c>
      <c r="G36" s="2">
        <f t="shared" si="5"/>
        <v>8.7115000000000012E-2</v>
      </c>
      <c r="H36" s="2">
        <f t="shared" si="5"/>
        <v>0.89735000000000009</v>
      </c>
      <c r="I36" s="2">
        <f t="shared" si="5"/>
        <v>0.15851000000000001</v>
      </c>
      <c r="J36" s="2">
        <f t="shared" si="5"/>
        <v>2.3579999999999999E-3</v>
      </c>
      <c r="K36" s="2">
        <f t="shared" si="5"/>
        <v>5.0435000000000011E-3</v>
      </c>
      <c r="L36" s="2">
        <f t="shared" si="5"/>
        <v>3.3404999999999997E-2</v>
      </c>
      <c r="M36" s="2">
        <f t="shared" si="5"/>
        <v>7.5325000000000003E-2</v>
      </c>
      <c r="N36" s="2">
        <f t="shared" si="5"/>
        <v>21.811500000000002</v>
      </c>
      <c r="O36" s="2">
        <f t="shared" si="5"/>
        <v>2724.8</v>
      </c>
      <c r="P36" s="2">
        <f t="shared" si="5"/>
        <v>0</v>
      </c>
      <c r="Q36" s="2">
        <f t="shared" si="10"/>
        <v>148.685</v>
      </c>
      <c r="R36" s="2">
        <f t="shared" si="11"/>
        <v>0</v>
      </c>
      <c r="S36" s="2">
        <f t="shared" si="11"/>
        <v>0.22008000000000005</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High Trees 1</v>
      </c>
      <c r="C57" s="16" t="str">
        <f t="shared" ref="C57:U57" si="13">D8</f>
        <v>High Trees 2</v>
      </c>
      <c r="D57" s="16" t="str">
        <f t="shared" si="13"/>
        <v>High Trees 4</v>
      </c>
      <c r="E57" s="16" t="str">
        <f t="shared" si="13"/>
        <v>High Trees 5</v>
      </c>
      <c r="F57" s="16" t="str">
        <f t="shared" si="13"/>
        <v>High Trees 6</v>
      </c>
      <c r="G57" s="16" t="str">
        <f t="shared" si="13"/>
        <v>High Trees 8</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e">
        <f>I16&amp;" I "&amp;(VLOOKUP(I14,Table24581112[],6,FALSE))</f>
        <v>#N/A</v>
      </c>
      <c r="I58" s="21" t="e">
        <f>J16&amp;" I "&amp;(VLOOKUP(J14,Table24581112[],6,FALSE))</f>
        <v>#N/A</v>
      </c>
      <c r="J58" s="21" t="e">
        <f>K16&amp;" I "&amp;(VLOOKUP(K14,Table24581112[],6,FALSE))</f>
        <v>#N/A</v>
      </c>
      <c r="K58" s="21" t="e">
        <f>L16&amp;" I "&amp;(VLOOKUP(L14,Table24581112[],6,FALSE))</f>
        <v>#N/A</v>
      </c>
      <c r="L58" s="21" t="e">
        <f>M16&amp;" I "&amp;(VLOOKUP(M14,Table24581112[],6,FALSE))</f>
        <v>#N/A</v>
      </c>
      <c r="M58" s="21" t="e">
        <f>N16&amp;" I "&amp;(VLOOKUP(N14,Table24581112[],6,FALSE))</f>
        <v>#N/A</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t="e">
        <f>VLOOKUP(I$14,Table24581112[],5,FALSE)</f>
        <v>#N/A</v>
      </c>
      <c r="I59" s="93" t="e">
        <f>VLOOKUP(J$14,Table24581112[],5,FALSE)</f>
        <v>#N/A</v>
      </c>
      <c r="J59" s="93" t="e">
        <f>VLOOKUP(K$14,Table24581112[],5,FALSE)</f>
        <v>#N/A</v>
      </c>
      <c r="K59" s="93" t="e">
        <f>VLOOKUP(L$14,Table24581112[],5,FALSE)</f>
        <v>#N/A</v>
      </c>
      <c r="L59" s="93" t="e">
        <f>VLOOKUP(M$14,Table24581112[],5,FALSE)</f>
        <v>#N/A</v>
      </c>
      <c r="M59" s="93" t="e">
        <f>VLOOKUP(N$14,Table24581112[],5,FALSE)</f>
        <v>#N/A</v>
      </c>
      <c r="N59" s="93" t="e">
        <f>VLOOKUP(O$14,Table24581112[],5,FALSE)</f>
        <v>#N/A</v>
      </c>
      <c r="O59" s="93" t="e">
        <f>VLOOKUP(P$14,Table24581112[],5,FALSE)</f>
        <v>#N/A</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7</v>
      </c>
      <c r="C60" s="93">
        <f t="shared" ref="C60:U60" si="14">D10</f>
        <v>7.1</v>
      </c>
      <c r="D60" s="93">
        <f t="shared" si="14"/>
        <v>7.1</v>
      </c>
      <c r="E60" s="93">
        <f t="shared" si="14"/>
        <v>6.9</v>
      </c>
      <c r="F60" s="93">
        <f t="shared" si="14"/>
        <v>6.5</v>
      </c>
      <c r="G60" s="93">
        <f t="shared" si="14"/>
        <v>6.5</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-5.3999999999999968</v>
      </c>
      <c r="D64" s="94">
        <f t="shared" si="17"/>
        <v>-5.3999999999999968</v>
      </c>
      <c r="E64" s="94">
        <f t="shared" si="17"/>
        <v>-4.2000000000000011</v>
      </c>
      <c r="F64" s="94">
        <f t="shared" si="17"/>
        <v>-1.7999999999999989</v>
      </c>
      <c r="G64" s="94">
        <f t="shared" si="17"/>
        <v>-1.7999999999999989</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99" priority="30" operator="equal">
      <formula>"DECREASE"</formula>
    </cfRule>
    <cfRule type="cellIs" dxfId="198" priority="31" operator="equal">
      <formula>"INCREASE"</formula>
    </cfRule>
  </conditionalFormatting>
  <conditionalFormatting sqref="B62:U65 B31:B50">
    <cfRule type="cellIs" dxfId="197" priority="29" operator="greaterThan">
      <formula>$B$51</formula>
    </cfRule>
  </conditionalFormatting>
  <conditionalFormatting sqref="C31:C50">
    <cfRule type="cellIs" dxfId="196" priority="28" operator="greaterThan">
      <formula>$C$51</formula>
    </cfRule>
  </conditionalFormatting>
  <conditionalFormatting sqref="C18:V18">
    <cfRule type="cellIs" dxfId="195" priority="27" operator="equal">
      <formula>0</formula>
    </cfRule>
  </conditionalFormatting>
  <conditionalFormatting sqref="C17:V17">
    <cfRule type="cellIs" dxfId="194" priority="26" operator="equal">
      <formula>0</formula>
    </cfRule>
  </conditionalFormatting>
  <conditionalFormatting sqref="C19:V19">
    <cfRule type="cellIs" dxfId="193" priority="25" operator="equal">
      <formula>0</formula>
    </cfRule>
  </conditionalFormatting>
  <conditionalFormatting sqref="G31:G50">
    <cfRule type="cellIs" dxfId="192" priority="24" operator="greaterThan">
      <formula>$G$51</formula>
    </cfRule>
  </conditionalFormatting>
  <conditionalFormatting sqref="H31:H50">
    <cfRule type="cellIs" dxfId="191" priority="23" operator="greaterThan">
      <formula>$H$51</formula>
    </cfRule>
  </conditionalFormatting>
  <conditionalFormatting sqref="I31:I50">
    <cfRule type="cellIs" dxfId="190" priority="22" operator="greaterThan">
      <formula>$I$51</formula>
    </cfRule>
  </conditionalFormatting>
  <conditionalFormatting sqref="K31:K50">
    <cfRule type="cellIs" dxfId="189" priority="21" operator="greaterThan">
      <formula>$K$51</formula>
    </cfRule>
  </conditionalFormatting>
  <conditionalFormatting sqref="L31:L50">
    <cfRule type="cellIs" dxfId="188" priority="20" operator="greaterThan">
      <formula>$L$51</formula>
    </cfRule>
  </conditionalFormatting>
  <conditionalFormatting sqref="M31:M50">
    <cfRule type="cellIs" dxfId="187" priority="19" operator="greaterThan">
      <formula>$M$51</formula>
    </cfRule>
  </conditionalFormatting>
  <conditionalFormatting sqref="P31:P50">
    <cfRule type="cellIs" dxfId="186" priority="18" operator="greaterThan">
      <formula>$P$51</formula>
    </cfRule>
  </conditionalFormatting>
  <conditionalFormatting sqref="R31:R50">
    <cfRule type="cellIs" dxfId="185" priority="17" operator="greaterThan">
      <formula>$R$51</formula>
    </cfRule>
  </conditionalFormatting>
  <conditionalFormatting sqref="S31:S50">
    <cfRule type="cellIs" dxfId="184" priority="16" operator="greaterThan">
      <formula>$S$51</formula>
    </cfRule>
  </conditionalFormatting>
  <conditionalFormatting sqref="T31:T50">
    <cfRule type="cellIs" dxfId="183" priority="15" operator="greaterThan">
      <formula>$T$51</formula>
    </cfRule>
  </conditionalFormatting>
  <conditionalFormatting sqref="U31:U50">
    <cfRule type="cellIs" dxfId="182" priority="14" operator="greaterThan">
      <formula>$U$51</formula>
    </cfRule>
  </conditionalFormatting>
  <conditionalFormatting sqref="C22:V22">
    <cfRule type="cellIs" dxfId="181" priority="13" operator="equal">
      <formula>0</formula>
    </cfRule>
  </conditionalFormatting>
  <conditionalFormatting sqref="C24:V24">
    <cfRule type="cellIs" dxfId="180" priority="11" operator="equal">
      <formula>"DECREASE"</formula>
    </cfRule>
    <cfRule type="cellIs" dxfId="179" priority="12" operator="equal">
      <formula>"INCREASE"</formula>
    </cfRule>
  </conditionalFormatting>
  <conditionalFormatting sqref="C23:V23">
    <cfRule type="cellIs" dxfId="178" priority="10" operator="equal">
      <formula>0</formula>
    </cfRule>
  </conditionalFormatting>
  <conditionalFormatting sqref="I1">
    <cfRule type="cellIs" dxfId="177" priority="9" operator="lessThan">
      <formula>5</formula>
    </cfRule>
  </conditionalFormatting>
  <conditionalFormatting sqref="C21:V21">
    <cfRule type="cellIs" dxfId="176" priority="6" operator="equal">
      <formula>0</formula>
    </cfRule>
  </conditionalFormatting>
  <conditionalFormatting sqref="B65:U65">
    <cfRule type="cellIs" dxfId="175" priority="4" operator="equal">
      <formula>"UNDER"</formula>
    </cfRule>
    <cfRule type="cellIs" dxfId="174" priority="5" operator="equal">
      <formula>"OVER"</formula>
    </cfRule>
  </conditionalFormatting>
  <conditionalFormatting sqref="I2">
    <cfRule type="cellIs" dxfId="173" priority="3" operator="greaterThan">
      <formula>5000.1</formula>
    </cfRule>
  </conditionalFormatting>
  <conditionalFormatting sqref="I3">
    <cfRule type="cellIs" dxfId="172" priority="2" operator="greaterThan">
      <formula>4.1</formula>
    </cfRule>
  </conditionalFormatting>
  <conditionalFormatting sqref="J31:J50">
    <cfRule type="cellIs" dxfId="171"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F2" sqref="F2:F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20" t="s">
        <v>41</v>
      </c>
      <c r="B1" s="120"/>
      <c r="C1" s="128" t="str">
        <f>'Field data and Waste 1'!C1:D1</f>
        <v>PAN-011642</v>
      </c>
      <c r="D1" s="129"/>
      <c r="E1" s="37" t="s">
        <v>45</v>
      </c>
      <c r="F1" s="46">
        <f>'Field data and Waste 1'!F1</f>
        <v>34.4</v>
      </c>
      <c r="G1" s="108" t="s">
        <v>43</v>
      </c>
      <c r="H1" s="109"/>
      <c r="I1" s="35">
        <v>6.4</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EPR/GP3792SK</v>
      </c>
      <c r="D2" s="131"/>
      <c r="E2" s="37" t="s">
        <v>106</v>
      </c>
      <c r="F2" s="103" t="s">
        <v>163</v>
      </c>
      <c r="G2" s="110" t="s">
        <v>107</v>
      </c>
      <c r="H2" s="111"/>
      <c r="I2" s="35"/>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ByProduct Recovery Ltd</v>
      </c>
      <c r="D3" s="131"/>
      <c r="E3" s="37" t="s">
        <v>105</v>
      </c>
      <c r="F3" s="45" t="s">
        <v>101</v>
      </c>
      <c r="G3" s="108" t="s">
        <v>108</v>
      </c>
      <c r="H3" s="109"/>
      <c r="I3" s="35"/>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Llwyn y Brain, Pontsticill, Merthyr Tydfil, Mid Glamorgan, CF48 2TU</v>
      </c>
      <c r="D4" s="129"/>
      <c r="E4" s="38" t="s">
        <v>1</v>
      </c>
      <c r="F4" s="103" t="s">
        <v>167</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t="str">
        <f>'Field data and Waste 1'!C8</f>
        <v>High Trees 1</v>
      </c>
      <c r="D8" s="67" t="str">
        <f>'Field data and Waste 1'!D8</f>
        <v>High Trees 2</v>
      </c>
      <c r="E8" s="67" t="str">
        <f>'Field data and Waste 1'!E8</f>
        <v>High Trees 4</v>
      </c>
      <c r="F8" s="67" t="str">
        <f>'Field data and Waste 1'!F8</f>
        <v>High Trees 5</v>
      </c>
      <c r="G8" s="67" t="str">
        <f>'Field data and Waste 1'!G8</f>
        <v>High Trees 6</v>
      </c>
      <c r="H8" s="67" t="str">
        <f>'Field data and Waste 1'!H8</f>
        <v>High Trees 8</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f>'Field data and Waste 1'!C9</f>
        <v>0</v>
      </c>
      <c r="D9" s="67">
        <f>'Field data and Waste 1'!D9</f>
        <v>0</v>
      </c>
      <c r="E9" s="67">
        <f>'Field data and Waste 1'!E9</f>
        <v>0</v>
      </c>
      <c r="F9" s="67">
        <f>'Field data and Waste 1'!F9</f>
        <v>0</v>
      </c>
      <c r="G9" s="67">
        <f>'Field data and Waste 1'!G9</f>
        <v>0</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7</v>
      </c>
      <c r="D10" s="67">
        <f>'Field data and Waste 1'!D10</f>
        <v>7.1</v>
      </c>
      <c r="E10" s="67">
        <f>'Field data and Waste 1'!E10</f>
        <v>7.1</v>
      </c>
      <c r="F10" s="67">
        <f>'Field data and Waste 1'!F10</f>
        <v>6.9</v>
      </c>
      <c r="G10" s="67">
        <f>'Field data and Waste 1'!G10</f>
        <v>6.5</v>
      </c>
      <c r="H10" s="67">
        <f>'Field data and Waste 1'!H10</f>
        <v>6.5</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3</v>
      </c>
      <c r="D11" s="67">
        <f>'Field data and Waste 1'!D11</f>
        <v>3</v>
      </c>
      <c r="E11" s="67">
        <f>'Field data and Waste 1'!E11</f>
        <v>3</v>
      </c>
      <c r="F11" s="67">
        <f>'Field data and Waste 1'!F11</f>
        <v>3</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4</v>
      </c>
      <c r="D12" s="67">
        <f>'Field data and Waste 1'!D12</f>
        <v>5</v>
      </c>
      <c r="E12" s="67">
        <f>'Field data and Waste 1'!E12</f>
        <v>5</v>
      </c>
      <c r="F12" s="67">
        <f>'Field data and Waste 1'!F12</f>
        <v>5</v>
      </c>
      <c r="G12" s="67">
        <f>'Field data and Waste 1'!G12</f>
        <v>5</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3</v>
      </c>
      <c r="D13" s="67">
        <f>'Field data and Waste 1'!D13</f>
        <v>3</v>
      </c>
      <c r="E13" s="67">
        <f>'Field data and Waste 1'!E13</f>
        <v>3</v>
      </c>
      <c r="F13" s="67">
        <f>'Field data and Waste 1'!F13</f>
        <v>3</v>
      </c>
      <c r="G13" s="67">
        <f>'Field data and Waste 1'!G13</f>
        <v>3</v>
      </c>
      <c r="H13" s="67">
        <f>'Field data and Waste 1'!H13</f>
        <v>2</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54.4</v>
      </c>
      <c r="D17" s="39">
        <f t="shared" si="0"/>
        <v>54.4</v>
      </c>
      <c r="E17" s="39">
        <f t="shared" si="0"/>
        <v>54.4</v>
      </c>
      <c r="F17" s="39">
        <f t="shared" si="0"/>
        <v>54.4</v>
      </c>
      <c r="G17" s="39">
        <f t="shared" si="0"/>
        <v>54.4</v>
      </c>
      <c r="H17" s="39">
        <f t="shared" si="0"/>
        <v>54.4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39.063841000000004</v>
      </c>
      <c r="D18" s="24">
        <f>$D32</f>
        <v>39.063841000000004</v>
      </c>
      <c r="E18" s="24">
        <f>$D33</f>
        <v>39.063841000000004</v>
      </c>
      <c r="F18" s="24">
        <f>$D34</f>
        <v>39.063841000000004</v>
      </c>
      <c r="G18" s="24">
        <f>$D35</f>
        <v>39.063841000000004</v>
      </c>
      <c r="H18" s="24">
        <f>$D36</f>
        <v>90.045463999999996</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-15.336158999999995</v>
      </c>
      <c r="D19" s="24">
        <f t="shared" ref="D19:V19" si="1">D18-D17</f>
        <v>-15.336158999999995</v>
      </c>
      <c r="E19" s="24">
        <f t="shared" si="1"/>
        <v>-15.336158999999995</v>
      </c>
      <c r="F19" s="24">
        <f t="shared" si="1"/>
        <v>-15.336158999999995</v>
      </c>
      <c r="G19" s="24">
        <f t="shared" si="1"/>
        <v>-15.336158999999995</v>
      </c>
      <c r="H19" s="24">
        <f t="shared" si="1"/>
        <v>35.645463999999997</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INCREASE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192</v>
      </c>
      <c r="D21" s="39">
        <f t="shared" si="2"/>
        <v>192</v>
      </c>
      <c r="E21" s="39">
        <f t="shared" si="2"/>
        <v>192</v>
      </c>
      <c r="F21" s="39">
        <f t="shared" si="2"/>
        <v>192</v>
      </c>
      <c r="G21" s="39">
        <f t="shared" si="2"/>
        <v>192</v>
      </c>
      <c r="H21" s="39">
        <f t="shared" si="2"/>
        <v>192</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4.8344600000000009</v>
      </c>
      <c r="D22" s="24">
        <f>$E32</f>
        <v>4.8344600000000009</v>
      </c>
      <c r="E22" s="24">
        <f>$E33</f>
        <v>4.8344600000000009</v>
      </c>
      <c r="F22" s="24">
        <f>$E34</f>
        <v>4.8344600000000009</v>
      </c>
      <c r="G22" s="24">
        <f>$E35</f>
        <v>4.8344600000000009</v>
      </c>
      <c r="H22" s="24">
        <f>$E36</f>
        <v>11.143840000000003</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-187.16553999999999</v>
      </c>
      <c r="D23" s="24">
        <f t="shared" ref="D23:V23" si="3">D22-D21</f>
        <v>-187.16553999999999</v>
      </c>
      <c r="E23" s="24">
        <f t="shared" si="3"/>
        <v>-187.16553999999999</v>
      </c>
      <c r="F23" s="24">
        <f t="shared" si="3"/>
        <v>-187.16553999999999</v>
      </c>
      <c r="G23" s="24">
        <f t="shared" si="3"/>
        <v>-187.16553999999999</v>
      </c>
      <c r="H23" s="24">
        <f t="shared" si="3"/>
        <v>-180.85615999999999</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17</v>
      </c>
      <c r="C28" s="23">
        <v>1.08</v>
      </c>
      <c r="D28" s="23">
        <v>0.17</v>
      </c>
      <c r="E28" s="23">
        <v>0.04</v>
      </c>
      <c r="F28" s="23">
        <v>792</v>
      </c>
      <c r="G28" s="23">
        <v>45.099997999999999</v>
      </c>
      <c r="H28" s="23">
        <v>1.48</v>
      </c>
      <c r="I28" s="23">
        <v>0.76</v>
      </c>
      <c r="J28" s="23">
        <v>1.79</v>
      </c>
      <c r="K28" s="30">
        <v>0.12</v>
      </c>
      <c r="L28" s="23">
        <v>0.51</v>
      </c>
      <c r="M28" s="23">
        <v>0.4</v>
      </c>
      <c r="N28" s="23">
        <v>172000</v>
      </c>
      <c r="O28" s="23">
        <v>7590</v>
      </c>
      <c r="P28" s="23"/>
      <c r="Q28" s="23">
        <v>8300</v>
      </c>
      <c r="R28" s="23"/>
      <c r="S28" s="23">
        <v>1.8</v>
      </c>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High Trees 1</v>
      </c>
      <c r="B31" s="23">
        <v>59</v>
      </c>
      <c r="C31" s="2">
        <f>IF(C$27="%w/w SAR",((C$28*10)*$B31),IF(C$27="%w/w DM",(((C$28*10)*($B$28/100))*$B31),IF(C$27="kg/t SAR",(C$28*$B31),IF(C$27="kg/t DM",((C$28*($B$28/100))*$B31),IF(C$27="mg/kg SAR",((C$28*0.001)*$B31),IF(C$27="mg/kg DM",(((C$28*0.001)*($B$28/100))*$B31),0))))))</f>
        <v>108.32400000000001</v>
      </c>
      <c r="D31" s="2">
        <f>(IF(D$27="%w/w SAR",((D$28*10)*$B31),IF(D$27="%w/w DM",(((D$28*10)*($B$28/100))*$B31),IF(D$27="kg/t SAR",(D$28*$B31),IF(D$27="kg/t DM",((D$28*($B$28/100))*$B31),IF(D$27="mg/kg SAR",((D$28*0.001)*$B31),IF(D$27="mg/kg DM",(((D$28*0.001)*($B$28/100))*$B31),"0")))))))*2.291</f>
        <v>39.063841000000004</v>
      </c>
      <c r="E31" s="2">
        <f>(IF(E$27="%w/w SAR",((E$28*10)*$B31),IF(E$27="%w/w DM",(((E$28*10)*($B$28/100))*$B31),IF(E$27="kg/t SAR",(E$28*$B31),IF(E$27="kg/t DM",((E$28*($B$28/100))*$B31),IF(E$27="mg/kg SAR",((E$28*0.001)*$B31),IF(E$27="mg/kg DM",(((E$28*0.001)*($B$28/100))*$B31),"0")))))))*1.205</f>
        <v>4.8344600000000009</v>
      </c>
      <c r="F31" s="2">
        <f>(IF(F$27="%w/w SAR",((F$28*10)*$B31),IF(F$27="%w/w DM",(((F$28*10)*($B$28/100))*$B31),IF(F$27="kg/t SAR",(F$28*$B31),IF(F$27="kg/t DM",((F$28*($B$28/100))*$B31),IF(F$27="mg/kg SAR",((F$28*0.001)*$B31),IF(F$27="mg/kg DM",(((F$28*0.001)*($B$28/100))*$B31),"0")))))))*1.658</f>
        <v>13.17075408</v>
      </c>
      <c r="G31" s="2">
        <f t="shared" ref="G31:P46" si="5">IF(G$27="%w/w SAR",((G$28*10)*$B31),IF(G$27="%w/w DM",(((G$28*10)*($B$28/100))*$B31),IF(G$27="kg/t SAR",(G$28*$B31),IF(G$27="kg/t DM",((G$28*($B$28/100))*$B31),IF(G$27="mg/kg SAR",((G$28*0.001)*$B31),IF(G$27="mg/kg DM",(((G$28*0.001)*($B$28/100))*$B31),0))))))</f>
        <v>0.45235297994000007</v>
      </c>
      <c r="H31" s="2">
        <f t="shared" si="5"/>
        <v>1.4844399999999999E-2</v>
      </c>
      <c r="I31" s="2">
        <f t="shared" si="5"/>
        <v>7.6228000000000016E-3</v>
      </c>
      <c r="J31" s="2">
        <f t="shared" si="5"/>
        <v>1.7953700000000003E-2</v>
      </c>
      <c r="K31" s="2">
        <f t="shared" si="5"/>
        <v>1.2036E-3</v>
      </c>
      <c r="L31" s="2">
        <f t="shared" si="5"/>
        <v>5.1153000000000006E-3</v>
      </c>
      <c r="M31" s="2">
        <f t="shared" si="5"/>
        <v>4.0120000000000008E-3</v>
      </c>
      <c r="N31" s="2">
        <f t="shared" si="5"/>
        <v>1725.16</v>
      </c>
      <c r="O31" s="2">
        <f t="shared" si="5"/>
        <v>76.127700000000004</v>
      </c>
      <c r="P31" s="2">
        <f t="shared" si="5"/>
        <v>0</v>
      </c>
      <c r="Q31" s="2">
        <f>(IF(Q$27="%w/w SAR",((Q$28*10)*$B31),IF(Q$27="%w/w DM",(((Q$28*10)*($B$28/100))*$B31),IF(Q$27="kg/t SAR",(Q$28*$B31),IF(Q$27="kg/t DM",((Q$28*($B$28/100))*$B31),IF(Q$27="mg/kg SAR",((Q$28*0.001)*$B31),IF(Q$27="mg/kg DM",(((Q$28*0.001)*($B$28/100))*$B31),0)))))))*2.5</f>
        <v>208.12250000000003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1.8054000000000004E-2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High Trees 2</v>
      </c>
      <c r="B32" s="23">
        <v>59</v>
      </c>
      <c r="C32" s="2">
        <f t="shared" ref="C32:C50" si="6">IF(C$27="%w/w SAR",((C$28*10)*$B32),IF(C$27="%w/w DM",(((C$28*10)*($B$28/100))*$B32),IF(C$27="kg/t SAR",(C$28*$B32),IF(C$27="kg/t DM",((C$28*($B$28/100))*$B32),IF(C$27="mg/kg SAR",((C$28*0.001)*$B32),IF(C$27="mg/kg DM",(((C$28*0.001)*($B$28/100))*$B32),0))))))</f>
        <v>108.32400000000001</v>
      </c>
      <c r="D32" s="2">
        <f t="shared" ref="D32:D50" si="7">(IF(D$27="%w/w SAR",((D$28*10)*$B32),IF(D$27="%w/w DM",(((D$28*10)*($B$28/100))*$B32),IF(D$27="kg/t SAR",(D$28*$B32),IF(D$27="kg/t DM",((D$28*($B$28/100))*$B32),IF(D$27="mg/kg SAR",((D$28*0.001)*$B32),IF(D$27="mg/kg DM",(((D$28*0.001)*($B$28/100))*$B32),"0")))))))*2.291</f>
        <v>39.063841000000004</v>
      </c>
      <c r="E32" s="2">
        <f t="shared" ref="E32:E50" si="8">(IF(E$27="%w/w SAR",((E$28*10)*$B32),IF(E$27="%w/w DM",(((E$28*10)*($B$28/100))*$B32),IF(E$27="kg/t SAR",(E$28*$B32),IF(E$27="kg/t DM",((E$28*($B$28/100))*$B32),IF(E$27="mg/kg SAR",((E$28*0.001)*$B32),IF(E$27="mg/kg DM",(((E$28*0.001)*($B$28/100))*$B32),"0")))))))*1.205</f>
        <v>4.8344600000000009</v>
      </c>
      <c r="F32" s="2">
        <f t="shared" ref="F32:F50" si="9">(IF(F$27="%w/w SAR",((F$28*10)*$B32),IF(F$27="%w/w DM",(((F$28*10)*($B$28/100))*$B32),IF(F$27="kg/t SAR",(F$28*$B32),IF(F$27="kg/t DM",((F$28*($B$28/100))*$B32),IF(F$27="mg/kg SAR",((F$28*0.001)*$B32),IF(F$27="mg/kg DM",(((F$28*0.001)*($B$28/100))*$B32),"0")))))))*1.658</f>
        <v>13.17075408</v>
      </c>
      <c r="G32" s="2">
        <f t="shared" si="5"/>
        <v>0.45235297994000007</v>
      </c>
      <c r="H32" s="2">
        <f t="shared" si="5"/>
        <v>1.4844399999999999E-2</v>
      </c>
      <c r="I32" s="2">
        <f t="shared" si="5"/>
        <v>7.6228000000000016E-3</v>
      </c>
      <c r="J32" s="2">
        <f t="shared" si="5"/>
        <v>1.7953700000000003E-2</v>
      </c>
      <c r="K32" s="2">
        <f t="shared" si="5"/>
        <v>1.2036E-3</v>
      </c>
      <c r="L32" s="2">
        <f t="shared" si="5"/>
        <v>5.1153000000000006E-3</v>
      </c>
      <c r="M32" s="2">
        <f t="shared" si="5"/>
        <v>4.0120000000000008E-3</v>
      </c>
      <c r="N32" s="2">
        <f t="shared" si="5"/>
        <v>1725.16</v>
      </c>
      <c r="O32" s="2">
        <f t="shared" si="5"/>
        <v>76.127700000000004</v>
      </c>
      <c r="P32" s="2">
        <f t="shared" si="5"/>
        <v>0</v>
      </c>
      <c r="Q32" s="2">
        <f t="shared" ref="Q32:Q50" si="10">(IF(Q$27="%w/w SAR",((Q$28*10)*$B32),IF(Q$27="%w/w DM",(((Q$28*10)*($B$28/100))*$B32),IF(Q$27="kg/t SAR",(Q$28*$B32),IF(Q$27="kg/t DM",((Q$28*($B$28/100))*$B32),IF(Q$27="mg/kg SAR",((Q$28*0.001)*$B32),IF(Q$27="mg/kg DM",(((Q$28*0.001)*($B$28/100))*$B32),0)))))))*2.5</f>
        <v>208.12250000000003</v>
      </c>
      <c r="R32" s="2">
        <f t="shared" ref="R32:U50" si="11">IF(R$27="%w/w SAR",((R$28*10)*$B32),IF(R$27="%w/w DM",(((R$28*10)*($B$28/100))*$B32),IF(R$27="kg/t SAR",(R$28*$B32),IF(R$27="kg/t DM",((R$28*($B$28/100))*$B32),IF(R$27="mg/kg SAR",((R$28*0.001)*$B32),IF(R$27="mg/kg DM",(((R$28*0.001)*($B$28/100))*$B32),0))))))</f>
        <v>0</v>
      </c>
      <c r="S32" s="2">
        <f t="shared" si="11"/>
        <v>1.8054000000000004E-2</v>
      </c>
      <c r="T32" s="2">
        <f t="shared" si="11"/>
        <v>0</v>
      </c>
      <c r="U32" s="2">
        <f t="shared" si="11"/>
        <v>0</v>
      </c>
      <c r="AB32" s="66"/>
      <c r="AC32" s="66"/>
      <c r="AD32" s="66"/>
      <c r="AE32" s="66"/>
      <c r="AF32" s="66"/>
      <c r="AG32" s="66"/>
      <c r="AH32" s="66"/>
      <c r="AI32" s="66"/>
    </row>
    <row r="33" spans="1:35" s="83" customFormat="1" x14ac:dyDescent="0.25">
      <c r="A33" s="21" t="str">
        <f>E8</f>
        <v>High Trees 4</v>
      </c>
      <c r="B33" s="23">
        <v>59</v>
      </c>
      <c r="C33" s="2">
        <f t="shared" si="6"/>
        <v>108.32400000000001</v>
      </c>
      <c r="D33" s="2">
        <f t="shared" si="7"/>
        <v>39.063841000000004</v>
      </c>
      <c r="E33" s="2">
        <f t="shared" si="8"/>
        <v>4.8344600000000009</v>
      </c>
      <c r="F33" s="2">
        <f t="shared" si="9"/>
        <v>13.17075408</v>
      </c>
      <c r="G33" s="2">
        <f t="shared" si="5"/>
        <v>0.45235297994000007</v>
      </c>
      <c r="H33" s="2">
        <f t="shared" si="5"/>
        <v>1.4844399999999999E-2</v>
      </c>
      <c r="I33" s="2">
        <f t="shared" si="5"/>
        <v>7.6228000000000016E-3</v>
      </c>
      <c r="J33" s="2">
        <f t="shared" si="5"/>
        <v>1.7953700000000003E-2</v>
      </c>
      <c r="K33" s="2">
        <f t="shared" si="5"/>
        <v>1.2036E-3</v>
      </c>
      <c r="L33" s="2">
        <f t="shared" si="5"/>
        <v>5.1153000000000006E-3</v>
      </c>
      <c r="M33" s="2">
        <f t="shared" si="5"/>
        <v>4.0120000000000008E-3</v>
      </c>
      <c r="N33" s="2">
        <f t="shared" si="5"/>
        <v>1725.16</v>
      </c>
      <c r="O33" s="2">
        <f t="shared" si="5"/>
        <v>76.127700000000004</v>
      </c>
      <c r="P33" s="2">
        <f t="shared" si="5"/>
        <v>0</v>
      </c>
      <c r="Q33" s="2">
        <f t="shared" si="10"/>
        <v>208.12250000000003</v>
      </c>
      <c r="R33" s="2">
        <f t="shared" si="11"/>
        <v>0</v>
      </c>
      <c r="S33" s="2">
        <f t="shared" si="11"/>
        <v>1.8054000000000004E-2</v>
      </c>
      <c r="T33" s="2">
        <f t="shared" si="11"/>
        <v>0</v>
      </c>
      <c r="U33" s="2">
        <f t="shared" si="11"/>
        <v>0</v>
      </c>
      <c r="AB33" s="66"/>
      <c r="AC33" s="66"/>
      <c r="AD33" s="66"/>
      <c r="AE33" s="66"/>
      <c r="AF33" s="66"/>
      <c r="AG33" s="66"/>
      <c r="AH33" s="66"/>
      <c r="AI33" s="66"/>
    </row>
    <row r="34" spans="1:35" s="83" customFormat="1" x14ac:dyDescent="0.25">
      <c r="A34" s="21" t="str">
        <f>F8</f>
        <v>High Trees 5</v>
      </c>
      <c r="B34" s="23">
        <v>59</v>
      </c>
      <c r="C34" s="2">
        <f t="shared" si="6"/>
        <v>108.32400000000001</v>
      </c>
      <c r="D34" s="2">
        <f t="shared" si="7"/>
        <v>39.063841000000004</v>
      </c>
      <c r="E34" s="2">
        <f t="shared" si="8"/>
        <v>4.8344600000000009</v>
      </c>
      <c r="F34" s="2">
        <f t="shared" si="9"/>
        <v>13.17075408</v>
      </c>
      <c r="G34" s="2">
        <f t="shared" si="5"/>
        <v>0.45235297994000007</v>
      </c>
      <c r="H34" s="2">
        <f t="shared" si="5"/>
        <v>1.4844399999999999E-2</v>
      </c>
      <c r="I34" s="2">
        <f t="shared" si="5"/>
        <v>7.6228000000000016E-3</v>
      </c>
      <c r="J34" s="2">
        <f t="shared" si="5"/>
        <v>1.7953700000000003E-2</v>
      </c>
      <c r="K34" s="2">
        <f t="shared" si="5"/>
        <v>1.2036E-3</v>
      </c>
      <c r="L34" s="2">
        <f t="shared" si="5"/>
        <v>5.1153000000000006E-3</v>
      </c>
      <c r="M34" s="2">
        <f t="shared" si="5"/>
        <v>4.0120000000000008E-3</v>
      </c>
      <c r="N34" s="2">
        <f t="shared" si="5"/>
        <v>1725.16</v>
      </c>
      <c r="O34" s="2">
        <f t="shared" si="5"/>
        <v>76.127700000000004</v>
      </c>
      <c r="P34" s="2">
        <f t="shared" si="5"/>
        <v>0</v>
      </c>
      <c r="Q34" s="2">
        <f t="shared" si="10"/>
        <v>208.12250000000003</v>
      </c>
      <c r="R34" s="2">
        <f t="shared" si="11"/>
        <v>0</v>
      </c>
      <c r="S34" s="2">
        <f t="shared" si="11"/>
        <v>1.8054000000000004E-2</v>
      </c>
      <c r="T34" s="2">
        <f t="shared" si="11"/>
        <v>0</v>
      </c>
      <c r="U34" s="2">
        <f t="shared" si="11"/>
        <v>0</v>
      </c>
      <c r="AB34" s="66"/>
      <c r="AC34" s="66"/>
      <c r="AD34" s="66"/>
      <c r="AE34" s="66"/>
      <c r="AF34" s="66"/>
      <c r="AG34" s="66"/>
      <c r="AH34" s="66"/>
      <c r="AI34" s="66"/>
    </row>
    <row r="35" spans="1:35" s="83" customFormat="1" x14ac:dyDescent="0.25">
      <c r="A35" s="21" t="str">
        <f>G8</f>
        <v>High Trees 6</v>
      </c>
      <c r="B35" s="23">
        <v>59</v>
      </c>
      <c r="C35" s="2">
        <f t="shared" si="6"/>
        <v>108.32400000000001</v>
      </c>
      <c r="D35" s="2">
        <f t="shared" si="7"/>
        <v>39.063841000000004</v>
      </c>
      <c r="E35" s="2">
        <f t="shared" si="8"/>
        <v>4.8344600000000009</v>
      </c>
      <c r="F35" s="2">
        <f t="shared" si="9"/>
        <v>13.17075408</v>
      </c>
      <c r="G35" s="2">
        <f t="shared" si="5"/>
        <v>0.45235297994000007</v>
      </c>
      <c r="H35" s="2">
        <f t="shared" si="5"/>
        <v>1.4844399999999999E-2</v>
      </c>
      <c r="I35" s="2">
        <f t="shared" si="5"/>
        <v>7.6228000000000016E-3</v>
      </c>
      <c r="J35" s="2">
        <f t="shared" si="5"/>
        <v>1.7953700000000003E-2</v>
      </c>
      <c r="K35" s="2">
        <f t="shared" si="5"/>
        <v>1.2036E-3</v>
      </c>
      <c r="L35" s="2">
        <f t="shared" si="5"/>
        <v>5.1153000000000006E-3</v>
      </c>
      <c r="M35" s="2">
        <f t="shared" si="5"/>
        <v>4.0120000000000008E-3</v>
      </c>
      <c r="N35" s="2">
        <f t="shared" si="5"/>
        <v>1725.16</v>
      </c>
      <c r="O35" s="2">
        <f t="shared" si="5"/>
        <v>76.127700000000004</v>
      </c>
      <c r="P35" s="2">
        <f t="shared" si="5"/>
        <v>0</v>
      </c>
      <c r="Q35" s="2">
        <f t="shared" si="10"/>
        <v>208.12250000000003</v>
      </c>
      <c r="R35" s="2">
        <f t="shared" si="11"/>
        <v>0</v>
      </c>
      <c r="S35" s="2">
        <f t="shared" si="11"/>
        <v>1.8054000000000004E-2</v>
      </c>
      <c r="T35" s="2">
        <f t="shared" si="11"/>
        <v>0</v>
      </c>
      <c r="U35" s="2">
        <f t="shared" si="11"/>
        <v>0</v>
      </c>
      <c r="AB35" s="66"/>
      <c r="AC35" s="66"/>
      <c r="AD35" s="66"/>
      <c r="AE35" s="66"/>
      <c r="AF35" s="66"/>
      <c r="AG35" s="66"/>
      <c r="AH35" s="66"/>
      <c r="AI35" s="66"/>
    </row>
    <row r="36" spans="1:35" s="83" customFormat="1" x14ac:dyDescent="0.25">
      <c r="A36" s="21" t="str">
        <f>H8</f>
        <v>High Trees 8</v>
      </c>
      <c r="B36" s="23">
        <v>136</v>
      </c>
      <c r="C36" s="2">
        <f t="shared" si="6"/>
        <v>249.69600000000003</v>
      </c>
      <c r="D36" s="2">
        <f t="shared" si="7"/>
        <v>90.045463999999996</v>
      </c>
      <c r="E36" s="2">
        <f t="shared" si="8"/>
        <v>11.143840000000003</v>
      </c>
      <c r="F36" s="2">
        <f t="shared" si="9"/>
        <v>30.359704320000002</v>
      </c>
      <c r="G36" s="2">
        <f t="shared" si="5"/>
        <v>1.04271195376</v>
      </c>
      <c r="H36" s="2">
        <f t="shared" si="5"/>
        <v>3.4217600000000001E-2</v>
      </c>
      <c r="I36" s="2">
        <f t="shared" si="5"/>
        <v>1.7571200000000002E-2</v>
      </c>
      <c r="J36" s="2">
        <f t="shared" si="5"/>
        <v>4.1384800000000006E-2</v>
      </c>
      <c r="K36" s="2">
        <f t="shared" si="5"/>
        <v>2.7744000000000002E-3</v>
      </c>
      <c r="L36" s="2">
        <f t="shared" si="5"/>
        <v>1.1791200000000002E-2</v>
      </c>
      <c r="M36" s="2">
        <f t="shared" si="5"/>
        <v>9.248000000000001E-3</v>
      </c>
      <c r="N36" s="2">
        <f t="shared" si="5"/>
        <v>3976.6400000000003</v>
      </c>
      <c r="O36" s="2">
        <f t="shared" si="5"/>
        <v>175.48079999999999</v>
      </c>
      <c r="P36" s="2">
        <f t="shared" si="5"/>
        <v>0</v>
      </c>
      <c r="Q36" s="2">
        <f t="shared" si="10"/>
        <v>479.74000000000012</v>
      </c>
      <c r="R36" s="2">
        <f t="shared" si="11"/>
        <v>0</v>
      </c>
      <c r="S36" s="2">
        <f t="shared" si="11"/>
        <v>4.1616000000000007E-2</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High Trees 1</v>
      </c>
      <c r="C57" s="16" t="str">
        <f t="shared" ref="C57:U57" si="13">D8</f>
        <v>High Trees 2</v>
      </c>
      <c r="D57" s="16" t="str">
        <f t="shared" si="13"/>
        <v>High Trees 4</v>
      </c>
      <c r="E57" s="16" t="str">
        <f t="shared" si="13"/>
        <v>High Trees 5</v>
      </c>
      <c r="F57" s="16" t="str">
        <f t="shared" si="13"/>
        <v>High Trees 6</v>
      </c>
      <c r="G57" s="16" t="str">
        <f t="shared" si="13"/>
        <v>High Trees 8</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e">
        <f>I16&amp;" I "&amp;(VLOOKUP(I14,Table24581114[],6,FALSE))</f>
        <v>#N/A</v>
      </c>
      <c r="I58" s="21" t="e">
        <f>J16&amp;" I "&amp;(VLOOKUP(J14,Table24581114[],6,FALSE))</f>
        <v>#N/A</v>
      </c>
      <c r="J58" s="21" t="e">
        <f>K16&amp;" I "&amp;(VLOOKUP(K14,Table24581114[],6,FALSE))</f>
        <v>#N/A</v>
      </c>
      <c r="K58" s="21" t="e">
        <f>L16&amp;" I "&amp;(VLOOKUP(L14,Table24581114[],6,FALSE))</f>
        <v>#N/A</v>
      </c>
      <c r="L58" s="21" t="e">
        <f>M16&amp;" I "&amp;(VLOOKUP(M14,Table24581114[],6,FALSE))</f>
        <v>#N/A</v>
      </c>
      <c r="M58" s="21" t="e">
        <f>N16&amp;" I "&amp;(VLOOKUP(N14,Table24581114[],6,FALSE))</f>
        <v>#N/A</v>
      </c>
      <c r="N58" s="21" t="e">
        <f>O16&amp;" I "&amp;(VLOOKUP(O14,Table24581114[],6,FALSE))</f>
        <v>#N/A</v>
      </c>
      <c r="O58" s="21" t="e">
        <f>P16&amp;" I "&amp;(VLOOKUP(P14,Table24581114[],6,FALSE))</f>
        <v>#N/A</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6.2</v>
      </c>
      <c r="H59" s="93" t="e">
        <f>VLOOKUP(I$14,Table24581114[],5,FALSE)</f>
        <v>#N/A</v>
      </c>
      <c r="I59" s="93" t="e">
        <f>VLOOKUP(J$14,Table24581114[],5,FALSE)</f>
        <v>#N/A</v>
      </c>
      <c r="J59" s="93" t="e">
        <f>VLOOKUP(K$14,Table24581114[],5,FALSE)</f>
        <v>#N/A</v>
      </c>
      <c r="K59" s="93" t="e">
        <f>VLOOKUP(L$14,Table24581114[],5,FALSE)</f>
        <v>#N/A</v>
      </c>
      <c r="L59" s="93" t="e">
        <f>VLOOKUP(M$14,Table24581114[],5,FALSE)</f>
        <v>#N/A</v>
      </c>
      <c r="M59" s="93" t="e">
        <f>VLOOKUP(N$14,Table24581114[],5,FALSE)</f>
        <v>#N/A</v>
      </c>
      <c r="N59" s="93" t="e">
        <f>VLOOKUP(O$14,Table24581114[],5,FALSE)</f>
        <v>#N/A</v>
      </c>
      <c r="O59" s="93" t="e">
        <f>VLOOKUP(P$14,Table24581114[],5,FALSE)</f>
        <v>#N/A</v>
      </c>
      <c r="P59" s="93" t="e">
        <f>VLOOKUP(Q$14,Table24581114[],5,FALSE)</f>
        <v>#N/A</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idden="1" x14ac:dyDescent="0.2">
      <c r="A60" s="92" t="s">
        <v>4</v>
      </c>
      <c r="B60" s="93">
        <f>C10</f>
        <v>7</v>
      </c>
      <c r="C60" s="93">
        <f t="shared" ref="C60:U60" si="14">D10</f>
        <v>7.1</v>
      </c>
      <c r="D60" s="93">
        <f t="shared" si="14"/>
        <v>7.1</v>
      </c>
      <c r="E60" s="93">
        <f t="shared" si="14"/>
        <v>6.9</v>
      </c>
      <c r="F60" s="93">
        <f t="shared" si="14"/>
        <v>6.5</v>
      </c>
      <c r="G60" s="93">
        <f t="shared" si="14"/>
        <v>6.5</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59</v>
      </c>
      <c r="C62" s="94">
        <f>B32</f>
        <v>59</v>
      </c>
      <c r="D62" s="94">
        <f>B33</f>
        <v>59</v>
      </c>
      <c r="E62" s="94">
        <f>B34</f>
        <v>59</v>
      </c>
      <c r="F62" s="94">
        <f>B35</f>
        <v>59</v>
      </c>
      <c r="G62" s="94">
        <f>B36</f>
        <v>136</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-5.3999999999999968</v>
      </c>
      <c r="D64" s="94">
        <f t="shared" si="17"/>
        <v>-5.3999999999999968</v>
      </c>
      <c r="E64" s="94">
        <f t="shared" si="17"/>
        <v>-4.2000000000000011</v>
      </c>
      <c r="F64" s="94">
        <f t="shared" si="17"/>
        <v>-1.7999999999999989</v>
      </c>
      <c r="G64" s="94">
        <f t="shared" si="17"/>
        <v>-1.7999999999999989</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59" priority="30" operator="equal">
      <formula>"DECREASE"</formula>
    </cfRule>
    <cfRule type="cellIs" dxfId="158" priority="31" operator="equal">
      <formula>"INCREASE"</formula>
    </cfRule>
  </conditionalFormatting>
  <conditionalFormatting sqref="B62:U65 B31:B50">
    <cfRule type="cellIs" dxfId="157" priority="29" operator="greaterThan">
      <formula>$B$51</formula>
    </cfRule>
  </conditionalFormatting>
  <conditionalFormatting sqref="C31:C50">
    <cfRule type="cellIs" dxfId="156" priority="28" operator="greaterThan">
      <formula>$C$51</formula>
    </cfRule>
  </conditionalFormatting>
  <conditionalFormatting sqref="C18:V18">
    <cfRule type="cellIs" dxfId="155" priority="27" operator="equal">
      <formula>0</formula>
    </cfRule>
  </conditionalFormatting>
  <conditionalFormatting sqref="C17:V17">
    <cfRule type="cellIs" dxfId="154" priority="26" operator="equal">
      <formula>0</formula>
    </cfRule>
  </conditionalFormatting>
  <conditionalFormatting sqref="C19:V19">
    <cfRule type="cellIs" dxfId="153" priority="25" operator="equal">
      <formula>0</formula>
    </cfRule>
  </conditionalFormatting>
  <conditionalFormatting sqref="G31:G50">
    <cfRule type="cellIs" dxfId="152" priority="24" operator="greaterThan">
      <formula>$G$51</formula>
    </cfRule>
  </conditionalFormatting>
  <conditionalFormatting sqref="H31:H50">
    <cfRule type="cellIs" dxfId="151" priority="23" operator="greaterThan">
      <formula>$H$51</formula>
    </cfRule>
  </conditionalFormatting>
  <conditionalFormatting sqref="I31:I50">
    <cfRule type="cellIs" dxfId="150" priority="22" operator="greaterThan">
      <formula>$I$51</formula>
    </cfRule>
  </conditionalFormatting>
  <conditionalFormatting sqref="K31:K50">
    <cfRule type="cellIs" dxfId="149" priority="21" operator="greaterThan">
      <formula>$K$51</formula>
    </cfRule>
  </conditionalFormatting>
  <conditionalFormatting sqref="L31:L50">
    <cfRule type="cellIs" dxfId="148" priority="20" operator="greaterThan">
      <formula>$L$51</formula>
    </cfRule>
  </conditionalFormatting>
  <conditionalFormatting sqref="M31:M50">
    <cfRule type="cellIs" dxfId="147" priority="19" operator="greaterThan">
      <formula>$M$51</formula>
    </cfRule>
  </conditionalFormatting>
  <conditionalFormatting sqref="P31:P50">
    <cfRule type="cellIs" dxfId="146" priority="18" operator="greaterThan">
      <formula>$P$51</formula>
    </cfRule>
  </conditionalFormatting>
  <conditionalFormatting sqref="R31:R50">
    <cfRule type="cellIs" dxfId="145" priority="17" operator="greaterThan">
      <formula>$R$51</formula>
    </cfRule>
  </conditionalFormatting>
  <conditionalFormatting sqref="S31:S50">
    <cfRule type="cellIs" dxfId="144" priority="16" operator="greaterThan">
      <formula>$S$51</formula>
    </cfRule>
  </conditionalFormatting>
  <conditionalFormatting sqref="T31:T50">
    <cfRule type="cellIs" dxfId="143" priority="15" operator="greaterThan">
      <formula>$T$51</formula>
    </cfRule>
  </conditionalFormatting>
  <conditionalFormatting sqref="U31:U50">
    <cfRule type="cellIs" dxfId="142" priority="14" operator="greaterThan">
      <formula>$U$51</formula>
    </cfRule>
  </conditionalFormatting>
  <conditionalFormatting sqref="C22:V22">
    <cfRule type="cellIs" dxfId="141" priority="13" operator="equal">
      <formula>0</formula>
    </cfRule>
  </conditionalFormatting>
  <conditionalFormatting sqref="C24:V24">
    <cfRule type="cellIs" dxfId="140" priority="11" operator="equal">
      <formula>"DECREASE"</formula>
    </cfRule>
    <cfRule type="cellIs" dxfId="139" priority="12" operator="equal">
      <formula>"INCREASE"</formula>
    </cfRule>
  </conditionalFormatting>
  <conditionalFormatting sqref="C23:V23">
    <cfRule type="cellIs" dxfId="138" priority="10" operator="equal">
      <formula>0</formula>
    </cfRule>
  </conditionalFormatting>
  <conditionalFormatting sqref="I1">
    <cfRule type="cellIs" dxfId="137" priority="9" operator="lessThan">
      <formula>5</formula>
    </cfRule>
  </conditionalFormatting>
  <conditionalFormatting sqref="C21:V21">
    <cfRule type="cellIs" dxfId="136" priority="6" operator="equal">
      <formula>0</formula>
    </cfRule>
  </conditionalFormatting>
  <conditionalFormatting sqref="B65:U65">
    <cfRule type="cellIs" dxfId="135" priority="4" operator="equal">
      <formula>"UNDER"</formula>
    </cfRule>
    <cfRule type="cellIs" dxfId="134" priority="5" operator="equal">
      <formula>"OVER"</formula>
    </cfRule>
  </conditionalFormatting>
  <conditionalFormatting sqref="I2">
    <cfRule type="cellIs" dxfId="133" priority="3" operator="greaterThan">
      <formula>5000.1</formula>
    </cfRule>
  </conditionalFormatting>
  <conditionalFormatting sqref="I3">
    <cfRule type="cellIs" dxfId="132" priority="2" operator="greaterThan">
      <formula>4.1</formula>
    </cfRule>
  </conditionalFormatting>
  <conditionalFormatting sqref="J31:J50">
    <cfRule type="cellIs" dxfId="131" priority="1" operator="greaterThan">
      <formula>$J$51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F2" sqref="F2:F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PAN-011642</v>
      </c>
      <c r="D1" s="129"/>
      <c r="E1" s="37" t="s">
        <v>45</v>
      </c>
      <c r="F1" s="46">
        <f>'Field data and Waste 1'!F1</f>
        <v>34.4</v>
      </c>
      <c r="G1" s="108" t="s">
        <v>43</v>
      </c>
      <c r="H1" s="109"/>
      <c r="I1" s="35">
        <v>6.4</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EPR/GP3792SK</v>
      </c>
      <c r="D2" s="131"/>
      <c r="E2" s="37" t="s">
        <v>106</v>
      </c>
      <c r="F2" s="103" t="s">
        <v>163</v>
      </c>
      <c r="G2" s="110" t="s">
        <v>107</v>
      </c>
      <c r="H2" s="111"/>
      <c r="I2" s="35"/>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ByProduct Recovery Ltd</v>
      </c>
      <c r="D3" s="131"/>
      <c r="E3" s="37" t="s">
        <v>105</v>
      </c>
      <c r="F3" s="45" t="s">
        <v>77</v>
      </c>
      <c r="G3" s="108" t="s">
        <v>108</v>
      </c>
      <c r="H3" s="109"/>
      <c r="I3" s="35"/>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Llwyn y Brain, Pontsticill, Merthyr Tydfil, Mid Glamorgan, CF48 2TU</v>
      </c>
      <c r="D4" s="129"/>
      <c r="E4" s="38" t="s">
        <v>1</v>
      </c>
      <c r="F4" s="103" t="s">
        <v>167</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t="str">
        <f>'Field data and Waste 1'!C8</f>
        <v>High Trees 1</v>
      </c>
      <c r="D8" s="67" t="str">
        <f>'Field data and Waste 1'!D8</f>
        <v>High Trees 2</v>
      </c>
      <c r="E8" s="67" t="str">
        <f>'Field data and Waste 1'!E8</f>
        <v>High Trees 4</v>
      </c>
      <c r="F8" s="67" t="str">
        <f>'Field data and Waste 1'!F8</f>
        <v>High Trees 5</v>
      </c>
      <c r="G8" s="67" t="str">
        <f>'Field data and Waste 1'!G8</f>
        <v>High Trees 6</v>
      </c>
      <c r="H8" s="67" t="str">
        <f>'Field data and Waste 1'!H8</f>
        <v>High Trees 8</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f>'Field data and Waste 1'!C9</f>
        <v>0</v>
      </c>
      <c r="D9" s="67">
        <f>'Field data and Waste 1'!D9</f>
        <v>0</v>
      </c>
      <c r="E9" s="67">
        <f>'Field data and Waste 1'!E9</f>
        <v>0</v>
      </c>
      <c r="F9" s="67">
        <f>'Field data and Waste 1'!F9</f>
        <v>0</v>
      </c>
      <c r="G9" s="67">
        <f>'Field data and Waste 1'!G9</f>
        <v>0</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7</v>
      </c>
      <c r="D10" s="67">
        <f>'Field data and Waste 1'!D10</f>
        <v>7.1</v>
      </c>
      <c r="E10" s="67">
        <f>'Field data and Waste 1'!E10</f>
        <v>7.1</v>
      </c>
      <c r="F10" s="67">
        <f>'Field data and Waste 1'!F10</f>
        <v>6.9</v>
      </c>
      <c r="G10" s="67">
        <f>'Field data and Waste 1'!G10</f>
        <v>6.5</v>
      </c>
      <c r="H10" s="67">
        <f>'Field data and Waste 1'!H10</f>
        <v>6.5</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3</v>
      </c>
      <c r="D11" s="67">
        <f>'Field data and Waste 1'!D11</f>
        <v>3</v>
      </c>
      <c r="E11" s="67">
        <f>'Field data and Waste 1'!E11</f>
        <v>3</v>
      </c>
      <c r="F11" s="67">
        <f>'Field data and Waste 1'!F11</f>
        <v>3</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4</v>
      </c>
      <c r="D12" s="67">
        <f>'Field data and Waste 1'!D12</f>
        <v>5</v>
      </c>
      <c r="E12" s="67">
        <f>'Field data and Waste 1'!E12</f>
        <v>5</v>
      </c>
      <c r="F12" s="67">
        <f>'Field data and Waste 1'!F12</f>
        <v>5</v>
      </c>
      <c r="G12" s="67">
        <f>'Field data and Waste 1'!G12</f>
        <v>5</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3</v>
      </c>
      <c r="D13" s="67">
        <f>'Field data and Waste 1'!D13</f>
        <v>3</v>
      </c>
      <c r="E13" s="67">
        <f>'Field data and Waste 1'!E13</f>
        <v>3</v>
      </c>
      <c r="F13" s="67">
        <f>'Field data and Waste 1'!F13</f>
        <v>3</v>
      </c>
      <c r="G13" s="67">
        <f>'Field data and Waste 1'!G13</f>
        <v>3</v>
      </c>
      <c r="H13" s="67">
        <f>'Field data and Waste 1'!H13</f>
        <v>2</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54.4</v>
      </c>
      <c r="D17" s="39">
        <f t="shared" si="0"/>
        <v>54.4</v>
      </c>
      <c r="E17" s="39">
        <f t="shared" si="0"/>
        <v>54.4</v>
      </c>
      <c r="F17" s="39">
        <f t="shared" si="0"/>
        <v>54.4</v>
      </c>
      <c r="G17" s="39">
        <f t="shared" si="0"/>
        <v>54.4</v>
      </c>
      <c r="H17" s="39">
        <f t="shared" si="0"/>
        <v>54.4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31.028731250000007</v>
      </c>
      <c r="D18" s="24">
        <f>$D32</f>
        <v>31.028731250000007</v>
      </c>
      <c r="E18" s="24">
        <f>$D33</f>
        <v>31.028731250000007</v>
      </c>
      <c r="F18" s="24">
        <f>$D34</f>
        <v>31.028731250000007</v>
      </c>
      <c r="G18" s="24">
        <f>$D35</f>
        <v>31.028731250000007</v>
      </c>
      <c r="H18" s="24">
        <f>$D36</f>
        <v>31.028731250000007</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-23.371268749999992</v>
      </c>
      <c r="D19" s="24">
        <f t="shared" ref="D19:V19" si="1">D18-D17</f>
        <v>-23.371268749999992</v>
      </c>
      <c r="E19" s="24">
        <f t="shared" si="1"/>
        <v>-23.371268749999992</v>
      </c>
      <c r="F19" s="24">
        <f t="shared" si="1"/>
        <v>-23.371268749999992</v>
      </c>
      <c r="G19" s="24">
        <f t="shared" si="1"/>
        <v>-23.371268749999992</v>
      </c>
      <c r="H19" s="24">
        <f t="shared" si="1"/>
        <v>-23.371268749999992</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192</v>
      </c>
      <c r="D21" s="39">
        <f t="shared" si="2"/>
        <v>192</v>
      </c>
      <c r="E21" s="39">
        <f t="shared" si="2"/>
        <v>192</v>
      </c>
      <c r="F21" s="39">
        <f t="shared" si="2"/>
        <v>192</v>
      </c>
      <c r="G21" s="39">
        <f t="shared" si="2"/>
        <v>192</v>
      </c>
      <c r="H21" s="39">
        <f t="shared" si="2"/>
        <v>192</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96.927187500000002</v>
      </c>
      <c r="D22" s="24">
        <f>$E32</f>
        <v>96.927187500000002</v>
      </c>
      <c r="E22" s="24">
        <f>$E33</f>
        <v>96.927187500000002</v>
      </c>
      <c r="F22" s="24">
        <f>$E34</f>
        <v>96.927187500000002</v>
      </c>
      <c r="G22" s="24">
        <f>$E35</f>
        <v>96.927187500000002</v>
      </c>
      <c r="H22" s="24">
        <f>$E36</f>
        <v>96.927187500000002</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-95.072812499999998</v>
      </c>
      <c r="D23" s="24">
        <f t="shared" ref="D23:V23" si="3">D22-D21</f>
        <v>-95.072812499999998</v>
      </c>
      <c r="E23" s="24">
        <f t="shared" si="3"/>
        <v>-95.072812499999998</v>
      </c>
      <c r="F23" s="24">
        <f t="shared" si="3"/>
        <v>-95.072812499999998</v>
      </c>
      <c r="G23" s="24">
        <f t="shared" si="3"/>
        <v>-95.072812499999998</v>
      </c>
      <c r="H23" s="24">
        <f t="shared" si="3"/>
        <v>-95.072812499999998</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2.75</v>
      </c>
      <c r="C28" s="23">
        <v>1.27</v>
      </c>
      <c r="D28" s="23">
        <v>0.19700000000000001</v>
      </c>
      <c r="E28" s="23">
        <v>1.17</v>
      </c>
      <c r="F28" s="23">
        <v>374</v>
      </c>
      <c r="G28" s="23">
        <v>4.25</v>
      </c>
      <c r="H28" s="23">
        <v>12.3</v>
      </c>
      <c r="I28" s="23">
        <v>4.76</v>
      </c>
      <c r="J28" s="23">
        <v>0.34</v>
      </c>
      <c r="K28" s="30">
        <v>0.74</v>
      </c>
      <c r="L28" s="23">
        <v>3.15</v>
      </c>
      <c r="M28" s="23">
        <v>2.4900000000000002</v>
      </c>
      <c r="N28" s="23">
        <v>346</v>
      </c>
      <c r="O28" s="23">
        <v>1280</v>
      </c>
      <c r="P28" s="23"/>
      <c r="Q28" s="23">
        <v>5010</v>
      </c>
      <c r="R28" s="23"/>
      <c r="S28" s="23">
        <v>11</v>
      </c>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High Trees 1</v>
      </c>
      <c r="B31" s="23">
        <v>250</v>
      </c>
      <c r="C31" s="2">
        <f>IF(C$27="%w/w SAR",((C$28*10)*$B31),IF(C$27="%w/w DM",(((C$28*10)*($B$28/100))*$B31),IF(C$27="kg/t SAR",(C$28*$B31),IF(C$27="kg/t DM",((C$28*($B$28/100))*$B31),IF(C$27="mg/kg SAR",((C$28*0.001)*$B31),IF(C$27="mg/kg DM",(((C$28*0.001)*($B$28/100))*$B31),0))))))</f>
        <v>87.3125</v>
      </c>
      <c r="D31" s="2">
        <f>(IF(D$27="%w/w SAR",((D$28*10)*$B31),IF(D$27="%w/w DM",(((D$28*10)*($B$28/100))*$B31),IF(D$27="kg/t SAR",(D$28*$B31),IF(D$27="kg/t DM",((D$28*($B$28/100))*$B31),IF(D$27="mg/kg SAR",((D$28*0.001)*$B31),IF(D$27="mg/kg DM",(((D$28*0.001)*($B$28/100))*$B31),"0")))))))*2.291</f>
        <v>31.028731250000007</v>
      </c>
      <c r="E31" s="2">
        <f>(IF(E$27="%w/w SAR",((E$28*10)*$B31),IF(E$27="%w/w DM",(((E$28*10)*($B$28/100))*$B31),IF(E$27="kg/t SAR",(E$28*$B31),IF(E$27="kg/t DM",((E$28*($B$28/100))*$B31),IF(E$27="mg/kg SAR",((E$28*0.001)*$B31),IF(E$27="mg/kg DM",(((E$28*0.001)*($B$28/100))*$B31),"0")))))))*1.205</f>
        <v>96.927187500000002</v>
      </c>
      <c r="F31" s="2">
        <f>(IF(F$27="%w/w SAR",((F$28*10)*$B31),IF(F$27="%w/w DM",(((F$28*10)*($B$28/100))*$B31),IF(F$27="kg/t SAR",(F$28*$B31),IF(F$27="kg/t DM",((F$28*($B$28/100))*$B31),IF(F$27="mg/kg SAR",((F$28*0.001)*$B31),IF(F$27="mg/kg DM",(((F$28*0.001)*($B$28/100))*$B31),"0")))))))*1.658</f>
        <v>4.2631325000000002</v>
      </c>
      <c r="G31" s="2">
        <f t="shared" ref="G31:P46" si="5">IF(G$27="%w/w SAR",((G$28*10)*$B31),IF(G$27="%w/w DM",(((G$28*10)*($B$28/100))*$B31),IF(G$27="kg/t SAR",(G$28*$B31),IF(G$27="kg/t DM",((G$28*($B$28/100))*$B31),IF(G$27="mg/kg SAR",((G$28*0.001)*$B31),IF(G$27="mg/kg DM",(((G$28*0.001)*($B$28/100))*$B31),0))))))</f>
        <v>2.9218750000000002E-2</v>
      </c>
      <c r="H31" s="2">
        <f t="shared" si="5"/>
        <v>8.4562499999999999E-2</v>
      </c>
      <c r="I31" s="2">
        <f t="shared" si="5"/>
        <v>3.2724999999999997E-2</v>
      </c>
      <c r="J31" s="2">
        <f t="shared" si="5"/>
        <v>2.3375000000000002E-3</v>
      </c>
      <c r="K31" s="2">
        <f t="shared" si="5"/>
        <v>5.0875E-3</v>
      </c>
      <c r="L31" s="2">
        <f t="shared" si="5"/>
        <v>2.1656250000000002E-2</v>
      </c>
      <c r="M31" s="2">
        <f t="shared" si="5"/>
        <v>1.7118750000000002E-2</v>
      </c>
      <c r="N31" s="2">
        <f t="shared" si="5"/>
        <v>2.3787500000000001</v>
      </c>
      <c r="O31" s="2">
        <f t="shared" si="5"/>
        <v>8.8000000000000007</v>
      </c>
      <c r="P31" s="2">
        <f t="shared" si="5"/>
        <v>0</v>
      </c>
      <c r="Q31" s="2">
        <f>(IF(Q$27="%w/w SAR",((Q$28*10)*$B31),IF(Q$27="%w/w DM",(((Q$28*10)*($B$28/100))*$B31),IF(Q$27="kg/t SAR",(Q$28*$B31),IF(Q$27="kg/t DM",((Q$28*($B$28/100))*$B31),IF(Q$27="mg/kg SAR",((Q$28*0.001)*$B31),IF(Q$27="mg/kg DM",(((Q$28*0.001)*($B$28/100))*$B31),0)))))))*2.5</f>
        <v>86.109375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7.5624999999999998E-2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High Trees 2</v>
      </c>
      <c r="B32" s="23">
        <v>250</v>
      </c>
      <c r="C32" s="2">
        <f t="shared" ref="C32:C50" si="6">IF(C$27="%w/w SAR",((C$28*10)*$B32),IF(C$27="%w/w DM",(((C$28*10)*($B$28/100))*$B32),IF(C$27="kg/t SAR",(C$28*$B32),IF(C$27="kg/t DM",((C$28*($B$28/100))*$B32),IF(C$27="mg/kg SAR",((C$28*0.001)*$B32),IF(C$27="mg/kg DM",(((C$28*0.001)*($B$28/100))*$B32),0))))))</f>
        <v>87.3125</v>
      </c>
      <c r="D32" s="2">
        <f t="shared" ref="D32:D50" si="7">(IF(D$27="%w/w SAR",((D$28*10)*$B32),IF(D$27="%w/w DM",(((D$28*10)*($B$28/100))*$B32),IF(D$27="kg/t SAR",(D$28*$B32),IF(D$27="kg/t DM",((D$28*($B$28/100))*$B32),IF(D$27="mg/kg SAR",((D$28*0.001)*$B32),IF(D$27="mg/kg DM",(((D$28*0.001)*($B$28/100))*$B32),"0")))))))*2.291</f>
        <v>31.028731250000007</v>
      </c>
      <c r="E32" s="2">
        <f t="shared" ref="E32:E50" si="8">(IF(E$27="%w/w SAR",((E$28*10)*$B32),IF(E$27="%w/w DM",(((E$28*10)*($B$28/100))*$B32),IF(E$27="kg/t SAR",(E$28*$B32),IF(E$27="kg/t DM",((E$28*($B$28/100))*$B32),IF(E$27="mg/kg SAR",((E$28*0.001)*$B32),IF(E$27="mg/kg DM",(((E$28*0.001)*($B$28/100))*$B32),"0")))))))*1.205</f>
        <v>96.927187500000002</v>
      </c>
      <c r="F32" s="2">
        <f t="shared" ref="F32:F50" si="9">(IF(F$27="%w/w SAR",((F$28*10)*$B32),IF(F$27="%w/w DM",(((F$28*10)*($B$28/100))*$B32),IF(F$27="kg/t SAR",(F$28*$B32),IF(F$27="kg/t DM",((F$28*($B$28/100))*$B32),IF(F$27="mg/kg SAR",((F$28*0.001)*$B32),IF(F$27="mg/kg DM",(((F$28*0.001)*($B$28/100))*$B32),"0")))))))*1.658</f>
        <v>4.2631325000000002</v>
      </c>
      <c r="G32" s="2">
        <f t="shared" si="5"/>
        <v>2.9218750000000002E-2</v>
      </c>
      <c r="H32" s="2">
        <f t="shared" si="5"/>
        <v>8.4562499999999999E-2</v>
      </c>
      <c r="I32" s="2">
        <f t="shared" si="5"/>
        <v>3.2724999999999997E-2</v>
      </c>
      <c r="J32" s="2">
        <f t="shared" si="5"/>
        <v>2.3375000000000002E-3</v>
      </c>
      <c r="K32" s="2">
        <f t="shared" si="5"/>
        <v>5.0875E-3</v>
      </c>
      <c r="L32" s="2">
        <f t="shared" si="5"/>
        <v>2.1656250000000002E-2</v>
      </c>
      <c r="M32" s="2">
        <f t="shared" si="5"/>
        <v>1.7118750000000002E-2</v>
      </c>
      <c r="N32" s="2">
        <f t="shared" si="5"/>
        <v>2.3787500000000001</v>
      </c>
      <c r="O32" s="2">
        <f t="shared" si="5"/>
        <v>8.8000000000000007</v>
      </c>
      <c r="P32" s="2">
        <f t="shared" si="5"/>
        <v>0</v>
      </c>
      <c r="Q32" s="2">
        <f t="shared" ref="Q32:Q50" si="10">(IF(Q$27="%w/w SAR",((Q$28*10)*$B32),IF(Q$27="%w/w DM",(((Q$28*10)*($B$28/100))*$B32),IF(Q$27="kg/t SAR",(Q$28*$B32),IF(Q$27="kg/t DM",((Q$28*($B$28/100))*$B32),IF(Q$27="mg/kg SAR",((Q$28*0.001)*$B32),IF(Q$27="mg/kg DM",(((Q$28*0.001)*($B$28/100))*$B32),0)))))))*2.5</f>
        <v>86.109375</v>
      </c>
      <c r="R32" s="2">
        <f t="shared" ref="R32:U50" si="11">IF(R$27="%w/w SAR",((R$28*10)*$B32),IF(R$27="%w/w DM",(((R$28*10)*($B$28/100))*$B32),IF(R$27="kg/t SAR",(R$28*$B32),IF(R$27="kg/t DM",((R$28*($B$28/100))*$B32),IF(R$27="mg/kg SAR",((R$28*0.001)*$B32),IF(R$27="mg/kg DM",(((R$28*0.001)*($B$28/100))*$B32),0))))))</f>
        <v>0</v>
      </c>
      <c r="S32" s="2">
        <f t="shared" si="11"/>
        <v>7.5624999999999998E-2</v>
      </c>
      <c r="T32" s="2">
        <f t="shared" si="11"/>
        <v>0</v>
      </c>
      <c r="U32" s="2">
        <f t="shared" si="11"/>
        <v>0</v>
      </c>
      <c r="AB32" s="66"/>
      <c r="AC32" s="66"/>
      <c r="AD32" s="66"/>
      <c r="AE32" s="66"/>
      <c r="AF32" s="66"/>
      <c r="AG32" s="66"/>
      <c r="AH32" s="66"/>
      <c r="AI32" s="66"/>
    </row>
    <row r="33" spans="1:35" s="83" customFormat="1" x14ac:dyDescent="0.25">
      <c r="A33" s="21" t="str">
        <f>E8</f>
        <v>High Trees 4</v>
      </c>
      <c r="B33" s="23">
        <v>250</v>
      </c>
      <c r="C33" s="2">
        <f t="shared" si="6"/>
        <v>87.3125</v>
      </c>
      <c r="D33" s="2">
        <f t="shared" si="7"/>
        <v>31.028731250000007</v>
      </c>
      <c r="E33" s="2">
        <f t="shared" si="8"/>
        <v>96.927187500000002</v>
      </c>
      <c r="F33" s="2">
        <f t="shared" si="9"/>
        <v>4.2631325000000002</v>
      </c>
      <c r="G33" s="2">
        <f t="shared" si="5"/>
        <v>2.9218750000000002E-2</v>
      </c>
      <c r="H33" s="2">
        <f t="shared" si="5"/>
        <v>8.4562499999999999E-2</v>
      </c>
      <c r="I33" s="2">
        <f t="shared" si="5"/>
        <v>3.2724999999999997E-2</v>
      </c>
      <c r="J33" s="2">
        <f t="shared" si="5"/>
        <v>2.3375000000000002E-3</v>
      </c>
      <c r="K33" s="2">
        <f t="shared" si="5"/>
        <v>5.0875E-3</v>
      </c>
      <c r="L33" s="2">
        <f t="shared" si="5"/>
        <v>2.1656250000000002E-2</v>
      </c>
      <c r="M33" s="2">
        <f t="shared" si="5"/>
        <v>1.7118750000000002E-2</v>
      </c>
      <c r="N33" s="2">
        <f t="shared" si="5"/>
        <v>2.3787500000000001</v>
      </c>
      <c r="O33" s="2">
        <f t="shared" si="5"/>
        <v>8.8000000000000007</v>
      </c>
      <c r="P33" s="2">
        <f t="shared" si="5"/>
        <v>0</v>
      </c>
      <c r="Q33" s="2">
        <f t="shared" si="10"/>
        <v>86.109375</v>
      </c>
      <c r="R33" s="2">
        <f t="shared" si="11"/>
        <v>0</v>
      </c>
      <c r="S33" s="2">
        <f t="shared" si="11"/>
        <v>7.5624999999999998E-2</v>
      </c>
      <c r="T33" s="2">
        <f t="shared" si="11"/>
        <v>0</v>
      </c>
      <c r="U33" s="2">
        <f t="shared" si="11"/>
        <v>0</v>
      </c>
      <c r="AB33" s="66"/>
      <c r="AC33" s="66"/>
      <c r="AD33" s="66"/>
      <c r="AE33" s="66"/>
      <c r="AF33" s="66"/>
      <c r="AG33" s="66"/>
      <c r="AH33" s="66"/>
      <c r="AI33" s="66"/>
    </row>
    <row r="34" spans="1:35" s="83" customFormat="1" x14ac:dyDescent="0.25">
      <c r="A34" s="21" t="str">
        <f>F8</f>
        <v>High Trees 5</v>
      </c>
      <c r="B34" s="23">
        <v>250</v>
      </c>
      <c r="C34" s="2">
        <f t="shared" si="6"/>
        <v>87.3125</v>
      </c>
      <c r="D34" s="2">
        <f t="shared" si="7"/>
        <v>31.028731250000007</v>
      </c>
      <c r="E34" s="2">
        <f t="shared" si="8"/>
        <v>96.927187500000002</v>
      </c>
      <c r="F34" s="2">
        <f t="shared" si="9"/>
        <v>4.2631325000000002</v>
      </c>
      <c r="G34" s="2">
        <f t="shared" si="5"/>
        <v>2.9218750000000002E-2</v>
      </c>
      <c r="H34" s="2">
        <f t="shared" si="5"/>
        <v>8.4562499999999999E-2</v>
      </c>
      <c r="I34" s="2">
        <f t="shared" si="5"/>
        <v>3.2724999999999997E-2</v>
      </c>
      <c r="J34" s="2">
        <f t="shared" si="5"/>
        <v>2.3375000000000002E-3</v>
      </c>
      <c r="K34" s="2">
        <f t="shared" si="5"/>
        <v>5.0875E-3</v>
      </c>
      <c r="L34" s="2">
        <f t="shared" si="5"/>
        <v>2.1656250000000002E-2</v>
      </c>
      <c r="M34" s="2">
        <f t="shared" si="5"/>
        <v>1.7118750000000002E-2</v>
      </c>
      <c r="N34" s="2">
        <f t="shared" si="5"/>
        <v>2.3787500000000001</v>
      </c>
      <c r="O34" s="2">
        <f t="shared" si="5"/>
        <v>8.8000000000000007</v>
      </c>
      <c r="P34" s="2">
        <f t="shared" si="5"/>
        <v>0</v>
      </c>
      <c r="Q34" s="2">
        <f t="shared" si="10"/>
        <v>86.109375</v>
      </c>
      <c r="R34" s="2">
        <f t="shared" si="11"/>
        <v>0</v>
      </c>
      <c r="S34" s="2">
        <f t="shared" si="11"/>
        <v>7.5624999999999998E-2</v>
      </c>
      <c r="T34" s="2">
        <f t="shared" si="11"/>
        <v>0</v>
      </c>
      <c r="U34" s="2">
        <f t="shared" si="11"/>
        <v>0</v>
      </c>
      <c r="AB34" s="66"/>
      <c r="AC34" s="66"/>
      <c r="AD34" s="66"/>
      <c r="AE34" s="66"/>
      <c r="AF34" s="66"/>
      <c r="AG34" s="66"/>
      <c r="AH34" s="66"/>
      <c r="AI34" s="66"/>
    </row>
    <row r="35" spans="1:35" s="83" customFormat="1" x14ac:dyDescent="0.25">
      <c r="A35" s="21" t="str">
        <f>G8</f>
        <v>High Trees 6</v>
      </c>
      <c r="B35" s="23">
        <v>250</v>
      </c>
      <c r="C35" s="2">
        <f t="shared" si="6"/>
        <v>87.3125</v>
      </c>
      <c r="D35" s="2">
        <f t="shared" si="7"/>
        <v>31.028731250000007</v>
      </c>
      <c r="E35" s="2">
        <f t="shared" si="8"/>
        <v>96.927187500000002</v>
      </c>
      <c r="F35" s="2">
        <f t="shared" si="9"/>
        <v>4.2631325000000002</v>
      </c>
      <c r="G35" s="2">
        <f t="shared" si="5"/>
        <v>2.9218750000000002E-2</v>
      </c>
      <c r="H35" s="2">
        <f t="shared" si="5"/>
        <v>8.4562499999999999E-2</v>
      </c>
      <c r="I35" s="2">
        <f t="shared" si="5"/>
        <v>3.2724999999999997E-2</v>
      </c>
      <c r="J35" s="2">
        <f t="shared" si="5"/>
        <v>2.3375000000000002E-3</v>
      </c>
      <c r="K35" s="2">
        <f t="shared" si="5"/>
        <v>5.0875E-3</v>
      </c>
      <c r="L35" s="2">
        <f t="shared" si="5"/>
        <v>2.1656250000000002E-2</v>
      </c>
      <c r="M35" s="2">
        <f t="shared" si="5"/>
        <v>1.7118750000000002E-2</v>
      </c>
      <c r="N35" s="2">
        <f t="shared" si="5"/>
        <v>2.3787500000000001</v>
      </c>
      <c r="O35" s="2">
        <f t="shared" si="5"/>
        <v>8.8000000000000007</v>
      </c>
      <c r="P35" s="2">
        <f t="shared" si="5"/>
        <v>0</v>
      </c>
      <c r="Q35" s="2">
        <f t="shared" si="10"/>
        <v>86.109375</v>
      </c>
      <c r="R35" s="2">
        <f t="shared" si="11"/>
        <v>0</v>
      </c>
      <c r="S35" s="2">
        <f t="shared" si="11"/>
        <v>7.5624999999999998E-2</v>
      </c>
      <c r="T35" s="2">
        <f t="shared" si="11"/>
        <v>0</v>
      </c>
      <c r="U35" s="2">
        <f t="shared" si="11"/>
        <v>0</v>
      </c>
      <c r="AB35" s="66"/>
      <c r="AC35" s="66"/>
      <c r="AD35" s="66"/>
      <c r="AE35" s="66"/>
      <c r="AF35" s="66"/>
      <c r="AG35" s="66"/>
      <c r="AH35" s="66"/>
      <c r="AI35" s="66"/>
    </row>
    <row r="36" spans="1:35" s="83" customFormat="1" x14ac:dyDescent="0.25">
      <c r="A36" s="21" t="str">
        <f>H8</f>
        <v>High Trees 8</v>
      </c>
      <c r="B36" s="23">
        <v>250</v>
      </c>
      <c r="C36" s="2">
        <f t="shared" si="6"/>
        <v>87.3125</v>
      </c>
      <c r="D36" s="2">
        <f t="shared" si="7"/>
        <v>31.028731250000007</v>
      </c>
      <c r="E36" s="2">
        <f t="shared" si="8"/>
        <v>96.927187500000002</v>
      </c>
      <c r="F36" s="2">
        <f t="shared" si="9"/>
        <v>4.2631325000000002</v>
      </c>
      <c r="G36" s="2">
        <f t="shared" si="5"/>
        <v>2.9218750000000002E-2</v>
      </c>
      <c r="H36" s="2">
        <f t="shared" si="5"/>
        <v>8.4562499999999999E-2</v>
      </c>
      <c r="I36" s="2">
        <f t="shared" si="5"/>
        <v>3.2724999999999997E-2</v>
      </c>
      <c r="J36" s="2">
        <f t="shared" si="5"/>
        <v>2.3375000000000002E-3</v>
      </c>
      <c r="K36" s="2">
        <f t="shared" si="5"/>
        <v>5.0875E-3</v>
      </c>
      <c r="L36" s="2">
        <f t="shared" si="5"/>
        <v>2.1656250000000002E-2</v>
      </c>
      <c r="M36" s="2">
        <f t="shared" si="5"/>
        <v>1.7118750000000002E-2</v>
      </c>
      <c r="N36" s="2">
        <f t="shared" si="5"/>
        <v>2.3787500000000001</v>
      </c>
      <c r="O36" s="2">
        <f t="shared" si="5"/>
        <v>8.8000000000000007</v>
      </c>
      <c r="P36" s="2">
        <f t="shared" si="5"/>
        <v>0</v>
      </c>
      <c r="Q36" s="2">
        <f t="shared" si="10"/>
        <v>86.109375</v>
      </c>
      <c r="R36" s="2">
        <f t="shared" si="11"/>
        <v>0</v>
      </c>
      <c r="S36" s="2">
        <f t="shared" si="11"/>
        <v>7.5624999999999998E-2</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High Trees 1</v>
      </c>
      <c r="C57" s="16" t="str">
        <f t="shared" ref="C57:U57" si="13">D8</f>
        <v>High Trees 2</v>
      </c>
      <c r="D57" s="16" t="str">
        <f t="shared" si="13"/>
        <v>High Trees 4</v>
      </c>
      <c r="E57" s="16" t="str">
        <f t="shared" si="13"/>
        <v>High Trees 5</v>
      </c>
      <c r="F57" s="16" t="str">
        <f t="shared" si="13"/>
        <v>High Trees 6</v>
      </c>
      <c r="G57" s="16" t="str">
        <f t="shared" si="13"/>
        <v>High Trees 8</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"&amp;(VLOOKUP(C14,Table245810[],6,FALSE))</f>
        <v>Medium/Clay I Grass</v>
      </c>
      <c r="C58" s="44"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e">
        <f>I16&amp;" I "&amp;(VLOOKUP(I14,Table245810[],6,FALSE))</f>
        <v>#N/A</v>
      </c>
      <c r="I58" s="21" t="e">
        <f>J16&amp;" I "&amp;(VLOOKUP(J14,Table245810[],6,FALSE))</f>
        <v>#N/A</v>
      </c>
      <c r="J58" s="21" t="e">
        <f>K16&amp;" I "&amp;(VLOOKUP(K14,Table245810[],6,FALSE))</f>
        <v>#N/A</v>
      </c>
      <c r="K58" s="21" t="e">
        <f>L16&amp;" I "&amp;(VLOOKUP(L14,Table245810[],6,FALSE))</f>
        <v>#N/A</v>
      </c>
      <c r="L58" s="21" t="e">
        <f>M16&amp;" I "&amp;(VLOOKUP(M14,Table245810[],6,FALSE))</f>
        <v>#N/A</v>
      </c>
      <c r="M58" s="21" t="e">
        <f>N16&amp;" I "&amp;(VLOOKUP(N14,Table245810[],6,FALSE))</f>
        <v>#N/A</v>
      </c>
      <c r="N58" s="21" t="e">
        <f>O16&amp;" I "&amp;(VLOOKUP(O14,Table245810[],6,FALSE))</f>
        <v>#N/A</v>
      </c>
      <c r="O58" s="21" t="e">
        <f>P16&amp;" I "&amp;(VLOOKUP(P14,Table245810[],6,FALSE))</f>
        <v>#N/A</v>
      </c>
      <c r="P58" s="21" t="e">
        <f>Q16&amp;" I "&amp;(VLOOKUP(Q14,Table245810[],6,FALSE))</f>
        <v>#N/A</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92" t="s">
        <v>130</v>
      </c>
      <c r="B59" s="93">
        <f>VLOOKUP(C$14,Table245810[],5,FALSE)</f>
        <v>6.2</v>
      </c>
      <c r="C59" s="93">
        <f>VLOOKUP(D$14,Table245810[],5,FALSE)</f>
        <v>6.2</v>
      </c>
      <c r="D59" s="93">
        <f>VLOOKUP(E$14,Table245810[],5,FALSE)</f>
        <v>6.2</v>
      </c>
      <c r="E59" s="93">
        <f>VLOOKUP(F$14,Table245810[],5,FALSE)</f>
        <v>6.2</v>
      </c>
      <c r="F59" s="93">
        <f>VLOOKUP(G$14,Table245810[],5,FALSE)</f>
        <v>6.2</v>
      </c>
      <c r="G59" s="93">
        <f>VLOOKUP(H$14,Table245810[],5,FALSE)</f>
        <v>6.2</v>
      </c>
      <c r="H59" s="93" t="e">
        <f>VLOOKUP(I$14,Table245810[],5,FALSE)</f>
        <v>#N/A</v>
      </c>
      <c r="I59" s="93" t="e">
        <f>VLOOKUP(J$14,Table245810[],5,FALSE)</f>
        <v>#N/A</v>
      </c>
      <c r="J59" s="93" t="e">
        <f>VLOOKUP(K$14,Table245810[],5,FALSE)</f>
        <v>#N/A</v>
      </c>
      <c r="K59" s="93" t="e">
        <f>VLOOKUP(L$14,Table245810[],5,FALSE)</f>
        <v>#N/A</v>
      </c>
      <c r="L59" s="93" t="e">
        <f>VLOOKUP(M$14,Table245810[],5,FALSE)</f>
        <v>#N/A</v>
      </c>
      <c r="M59" s="93" t="e">
        <f>VLOOKUP(N$14,Table245810[],5,FALSE)</f>
        <v>#N/A</v>
      </c>
      <c r="N59" s="93" t="e">
        <f>VLOOKUP(O$14,Table245810[],5,FALSE)</f>
        <v>#N/A</v>
      </c>
      <c r="O59" s="93" t="e">
        <f>VLOOKUP(P$14,Table245810[],5,FALSE)</f>
        <v>#N/A</v>
      </c>
      <c r="P59" s="93" t="e">
        <f>VLOOKUP(Q$14,Table245810[],5,FALSE)</f>
        <v>#N/A</v>
      </c>
      <c r="Q59" s="93" t="e">
        <f>VLOOKUP(R$14,Table245810[],5,FALSE)</f>
        <v>#N/A</v>
      </c>
      <c r="R59" s="93" t="e">
        <f>VLOOKUP(S$14,Table245810[],5,FALSE)</f>
        <v>#N/A</v>
      </c>
      <c r="S59" s="93" t="e">
        <f>VLOOKUP(T$14,Table245810[],5,FALSE)</f>
        <v>#N/A</v>
      </c>
      <c r="T59" s="93" t="e">
        <f>VLOOKUP(U$14,Table245810[],5,FALSE)</f>
        <v>#N/A</v>
      </c>
      <c r="U59" s="93" t="e">
        <f>VLOOKUP(V$14,Table245810[],5,FALSE)</f>
        <v>#N/A</v>
      </c>
    </row>
    <row r="60" spans="1:35" s="27" customFormat="1" hidden="1" x14ac:dyDescent="0.2">
      <c r="A60" s="92" t="s">
        <v>4</v>
      </c>
      <c r="B60" s="93">
        <f>C10</f>
        <v>7</v>
      </c>
      <c r="C60" s="93">
        <f t="shared" ref="C60:U60" si="14">D10</f>
        <v>7.1</v>
      </c>
      <c r="D60" s="93">
        <f t="shared" si="14"/>
        <v>7.1</v>
      </c>
      <c r="E60" s="93">
        <f t="shared" si="14"/>
        <v>6.9</v>
      </c>
      <c r="F60" s="93">
        <f t="shared" si="14"/>
        <v>6.5</v>
      </c>
      <c r="G60" s="93">
        <f t="shared" si="14"/>
        <v>6.5</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-5.3999999999999968</v>
      </c>
      <c r="D64" s="94">
        <f t="shared" si="17"/>
        <v>-5.3999999999999968</v>
      </c>
      <c r="E64" s="94">
        <f t="shared" si="17"/>
        <v>-4.2000000000000011</v>
      </c>
      <c r="F64" s="94">
        <f t="shared" si="17"/>
        <v>-1.7999999999999989</v>
      </c>
      <c r="G64" s="94">
        <f t="shared" si="17"/>
        <v>-1.7999999999999989</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9" priority="30" operator="equal">
      <formula>"DECREASE"</formula>
    </cfRule>
    <cfRule type="cellIs" dxfId="118" priority="31" operator="equal">
      <formula>"INCREASE"</formula>
    </cfRule>
  </conditionalFormatting>
  <conditionalFormatting sqref="B62:U65 B31:B50">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sqref="A1:B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PAN-011642</v>
      </c>
      <c r="D1" s="129"/>
      <c r="E1" s="37" t="s">
        <v>45</v>
      </c>
      <c r="F1" s="46">
        <f>'Field data and Waste 1'!F1</f>
        <v>34.4</v>
      </c>
      <c r="G1" s="108" t="s">
        <v>43</v>
      </c>
      <c r="H1" s="109"/>
      <c r="I1" s="35">
        <v>6.5</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EPR/GP3792SK</v>
      </c>
      <c r="D2" s="131"/>
      <c r="E2" s="37" t="s">
        <v>106</v>
      </c>
      <c r="F2" s="103" t="s">
        <v>163</v>
      </c>
      <c r="G2" s="110" t="s">
        <v>107</v>
      </c>
      <c r="H2" s="111"/>
      <c r="I2" s="35"/>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ByProduct Recovery Ltd</v>
      </c>
      <c r="D3" s="131"/>
      <c r="E3" s="37" t="s">
        <v>105</v>
      </c>
      <c r="F3" s="45" t="s">
        <v>77</v>
      </c>
      <c r="G3" s="108" t="s">
        <v>108</v>
      </c>
      <c r="H3" s="109"/>
      <c r="I3" s="35"/>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Llwyn y Brain, Pontsticill, Merthyr Tydfil, Mid Glamorgan, CF48 2TU</v>
      </c>
      <c r="D4" s="129"/>
      <c r="E4" s="38" t="s">
        <v>1</v>
      </c>
      <c r="F4" s="103" t="s">
        <v>168</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t="str">
        <f>'Field data and Waste 1'!C8</f>
        <v>High Trees 1</v>
      </c>
      <c r="D8" s="67" t="str">
        <f>'Field data and Waste 1'!D8</f>
        <v>High Trees 2</v>
      </c>
      <c r="E8" s="67" t="str">
        <f>'Field data and Waste 1'!E8</f>
        <v>High Trees 4</v>
      </c>
      <c r="F8" s="67" t="str">
        <f>'Field data and Waste 1'!F8</f>
        <v>High Trees 5</v>
      </c>
      <c r="G8" s="67" t="str">
        <f>'Field data and Waste 1'!G8</f>
        <v>High Trees 6</v>
      </c>
      <c r="H8" s="67" t="str">
        <f>'Field data and Waste 1'!H8</f>
        <v>High Trees 8</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f>'Field data and Waste 1'!C9</f>
        <v>0</v>
      </c>
      <c r="D9" s="67">
        <f>'Field data and Waste 1'!D9</f>
        <v>0</v>
      </c>
      <c r="E9" s="67">
        <f>'Field data and Waste 1'!E9</f>
        <v>0</v>
      </c>
      <c r="F9" s="67">
        <f>'Field data and Waste 1'!F9</f>
        <v>0</v>
      </c>
      <c r="G9" s="67">
        <f>'Field data and Waste 1'!G9</f>
        <v>0</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7</v>
      </c>
      <c r="D10" s="67">
        <f>'Field data and Waste 1'!D10</f>
        <v>7.1</v>
      </c>
      <c r="E10" s="67">
        <f>'Field data and Waste 1'!E10</f>
        <v>7.1</v>
      </c>
      <c r="F10" s="67">
        <f>'Field data and Waste 1'!F10</f>
        <v>6.9</v>
      </c>
      <c r="G10" s="67">
        <f>'Field data and Waste 1'!G10</f>
        <v>6.5</v>
      </c>
      <c r="H10" s="67">
        <f>'Field data and Waste 1'!H10</f>
        <v>6.5</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3</v>
      </c>
      <c r="D11" s="67">
        <f>'Field data and Waste 1'!D11</f>
        <v>3</v>
      </c>
      <c r="E11" s="67">
        <f>'Field data and Waste 1'!E11</f>
        <v>3</v>
      </c>
      <c r="F11" s="67">
        <f>'Field data and Waste 1'!F11</f>
        <v>3</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4</v>
      </c>
      <c r="D12" s="67">
        <f>'Field data and Waste 1'!D12</f>
        <v>5</v>
      </c>
      <c r="E12" s="67">
        <f>'Field data and Waste 1'!E12</f>
        <v>5</v>
      </c>
      <c r="F12" s="67">
        <f>'Field data and Waste 1'!F12</f>
        <v>5</v>
      </c>
      <c r="G12" s="67">
        <f>'Field data and Waste 1'!G12</f>
        <v>5</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3</v>
      </c>
      <c r="D13" s="67">
        <f>'Field data and Waste 1'!D13</f>
        <v>3</v>
      </c>
      <c r="E13" s="67">
        <f>'Field data and Waste 1'!E13</f>
        <v>3</v>
      </c>
      <c r="F13" s="67">
        <f>'Field data and Waste 1'!F13</f>
        <v>3</v>
      </c>
      <c r="G13" s="67">
        <f>'Field data and Waste 1'!G13</f>
        <v>3</v>
      </c>
      <c r="H13" s="67">
        <f>'Field data and Waste 1'!H13</f>
        <v>2</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54.4</v>
      </c>
      <c r="D17" s="39">
        <f t="shared" si="0"/>
        <v>54.4</v>
      </c>
      <c r="E17" s="39">
        <f t="shared" si="0"/>
        <v>54.4</v>
      </c>
      <c r="F17" s="39">
        <f t="shared" si="0"/>
        <v>54.4</v>
      </c>
      <c r="G17" s="39">
        <f t="shared" si="0"/>
        <v>54.4</v>
      </c>
      <c r="H17" s="39">
        <f t="shared" si="0"/>
        <v>54.4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21.643077000000002</v>
      </c>
      <c r="D18" s="24">
        <f>$D32</f>
        <v>21.643077000000002</v>
      </c>
      <c r="E18" s="24">
        <f>$D33</f>
        <v>21.643077000000002</v>
      </c>
      <c r="F18" s="24">
        <f>$D34</f>
        <v>21.643077000000002</v>
      </c>
      <c r="G18" s="24">
        <f>$D35</f>
        <v>21.643077000000002</v>
      </c>
      <c r="H18" s="24">
        <f>$D36</f>
        <v>21.643077000000002</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-32.756923</v>
      </c>
      <c r="D19" s="24">
        <f t="shared" ref="D19:V19" si="1">D18-D17</f>
        <v>-32.756923</v>
      </c>
      <c r="E19" s="24">
        <f t="shared" si="1"/>
        <v>-32.756923</v>
      </c>
      <c r="F19" s="24">
        <f t="shared" si="1"/>
        <v>-32.756923</v>
      </c>
      <c r="G19" s="24">
        <f t="shared" si="1"/>
        <v>-32.756923</v>
      </c>
      <c r="H19" s="24">
        <f t="shared" si="1"/>
        <v>-32.756923</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192</v>
      </c>
      <c r="D21" s="39">
        <f t="shared" si="2"/>
        <v>192</v>
      </c>
      <c r="E21" s="39">
        <f t="shared" si="2"/>
        <v>192</v>
      </c>
      <c r="F21" s="39">
        <f t="shared" si="2"/>
        <v>192</v>
      </c>
      <c r="G21" s="39">
        <f t="shared" si="2"/>
        <v>192</v>
      </c>
      <c r="H21" s="39">
        <f t="shared" si="2"/>
        <v>192</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0.93447749999999996</v>
      </c>
      <c r="D22" s="24">
        <f>$E32</f>
        <v>0.93447749999999996</v>
      </c>
      <c r="E22" s="24">
        <f>$E33</f>
        <v>0.93447749999999996</v>
      </c>
      <c r="F22" s="24">
        <f>$E34</f>
        <v>0.93447749999999996</v>
      </c>
      <c r="G22" s="24">
        <f>$E35</f>
        <v>0.93447749999999996</v>
      </c>
      <c r="H22" s="24">
        <f>$E36</f>
        <v>0.93447749999999996</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-191.06552249999999</v>
      </c>
      <c r="D23" s="24">
        <f t="shared" ref="D23:V23" si="3">D22-D21</f>
        <v>-191.06552249999999</v>
      </c>
      <c r="E23" s="24">
        <f t="shared" si="3"/>
        <v>-191.06552249999999</v>
      </c>
      <c r="F23" s="24">
        <f t="shared" si="3"/>
        <v>-191.06552249999999</v>
      </c>
      <c r="G23" s="24">
        <f t="shared" si="3"/>
        <v>-191.06552249999999</v>
      </c>
      <c r="H23" s="24">
        <f t="shared" si="3"/>
        <v>-191.06552249999999</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2.82</v>
      </c>
      <c r="C28" s="23">
        <v>1.39</v>
      </c>
      <c r="D28" s="23">
        <v>0.13400000000000001</v>
      </c>
      <c r="E28" s="23">
        <v>1.0999999999999999E-2</v>
      </c>
      <c r="F28" s="23">
        <v>485</v>
      </c>
      <c r="G28" s="23">
        <v>29.3</v>
      </c>
      <c r="H28" s="23">
        <v>50.2</v>
      </c>
      <c r="I28" s="23">
        <v>4.6100000000000003</v>
      </c>
      <c r="J28" s="23">
        <v>0.44</v>
      </c>
      <c r="K28" s="30">
        <v>0.71</v>
      </c>
      <c r="L28" s="23">
        <v>3.05</v>
      </c>
      <c r="M28" s="23">
        <v>4.3</v>
      </c>
      <c r="N28" s="23">
        <v>177000</v>
      </c>
      <c r="O28" s="23">
        <v>5030</v>
      </c>
      <c r="P28" s="23"/>
      <c r="Q28" s="23">
        <v>8130</v>
      </c>
      <c r="R28" s="23"/>
      <c r="S28" s="23">
        <v>46.1</v>
      </c>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High Trees 1</v>
      </c>
      <c r="B31" s="23">
        <v>250</v>
      </c>
      <c r="C31" s="2">
        <f>IF(C$27="%w/w SAR",((C$28*10)*$B31),IF(C$27="%w/w DM",(((C$28*10)*($B$28/100))*$B31),IF(C$27="kg/t SAR",(C$28*$B31),IF(C$27="kg/t DM",((C$28*($B$28/100))*$B31),IF(C$27="mg/kg SAR",((C$28*0.001)*$B31),IF(C$27="mg/kg DM",(((C$28*0.001)*($B$28/100))*$B31),0))))))</f>
        <v>97.99499999999999</v>
      </c>
      <c r="D31" s="2">
        <f>(IF(D$27="%w/w SAR",((D$28*10)*$B31),IF(D$27="%w/w DM",(((D$28*10)*($B$28/100))*$B31),IF(D$27="kg/t SAR",(D$28*$B31),IF(D$27="kg/t DM",((D$28*($B$28/100))*$B31),IF(D$27="mg/kg SAR",((D$28*0.001)*$B31),IF(D$27="mg/kg DM",(((D$28*0.001)*($B$28/100))*$B31),"0")))))))*2.291</f>
        <v>21.643077000000002</v>
      </c>
      <c r="E31" s="2">
        <f>(IF(E$27="%w/w SAR",((E$28*10)*$B31),IF(E$27="%w/w DM",(((E$28*10)*($B$28/100))*$B31),IF(E$27="kg/t SAR",(E$28*$B31),IF(E$27="kg/t DM",((E$28*($B$28/100))*$B31),IF(E$27="mg/kg SAR",((E$28*0.001)*$B31),IF(E$27="mg/kg DM",(((E$28*0.001)*($B$28/100))*$B31),"0")))))))*1.205</f>
        <v>0.93447749999999996</v>
      </c>
      <c r="F31" s="2">
        <f>(IF(F$27="%w/w SAR",((F$28*10)*$B31),IF(F$27="%w/w DM",(((F$28*10)*($B$28/100))*$B31),IF(F$27="kg/t SAR",(F$28*$B31),IF(F$27="kg/t DM",((F$28*($B$28/100))*$B31),IF(F$27="mg/kg SAR",((F$28*0.001)*$B31),IF(F$27="mg/kg DM",(((F$28*0.001)*($B$28/100))*$B31),"0")))))))*1.658</f>
        <v>5.6691164999999994</v>
      </c>
      <c r="G31" s="2">
        <f t="shared" ref="G31:P46" si="5">IF(G$27="%w/w SAR",((G$28*10)*$B31),IF(G$27="%w/w DM",(((G$28*10)*($B$28/100))*$B31),IF(G$27="kg/t SAR",(G$28*$B31),IF(G$27="kg/t DM",((G$28*($B$28/100))*$B31),IF(G$27="mg/kg SAR",((G$28*0.001)*$B31),IF(G$27="mg/kg DM",(((G$28*0.001)*($B$28/100))*$B31),0))))))</f>
        <v>0.206565</v>
      </c>
      <c r="H31" s="2">
        <f t="shared" si="5"/>
        <v>0.35391</v>
      </c>
      <c r="I31" s="2">
        <f t="shared" si="5"/>
        <v>3.2500500000000002E-2</v>
      </c>
      <c r="J31" s="2">
        <f t="shared" si="5"/>
        <v>3.1020000000000002E-3</v>
      </c>
      <c r="K31" s="2">
        <f t="shared" si="5"/>
        <v>5.0054999999999995E-3</v>
      </c>
      <c r="L31" s="2">
        <f t="shared" si="5"/>
        <v>2.1502499999999997E-2</v>
      </c>
      <c r="M31" s="2">
        <f t="shared" si="5"/>
        <v>3.0315000000000002E-2</v>
      </c>
      <c r="N31" s="2">
        <f t="shared" si="5"/>
        <v>1247.8499999999999</v>
      </c>
      <c r="O31" s="2">
        <f t="shared" si="5"/>
        <v>35.461500000000001</v>
      </c>
      <c r="P31" s="2">
        <f t="shared" si="5"/>
        <v>0</v>
      </c>
      <c r="Q31" s="2">
        <f>(IF(Q$27="%w/w SAR",((Q$28*10)*$B31),IF(Q$27="%w/w DM",(((Q$28*10)*($B$28/100))*$B31),IF(Q$27="kg/t SAR",(Q$28*$B31),IF(Q$27="kg/t DM",((Q$28*($B$28/100))*$B31),IF(Q$27="mg/kg SAR",((Q$28*0.001)*$B31),IF(Q$27="mg/kg DM",(((Q$28*0.001)*($B$28/100))*$B31),0)))))))*2.5</f>
        <v>143.29125000000002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0.32500499999999999</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High Trees 2</v>
      </c>
      <c r="B32" s="23">
        <v>250</v>
      </c>
      <c r="C32" s="2">
        <f t="shared" ref="C32:C50" si="6">IF(C$27="%w/w SAR",((C$28*10)*$B32),IF(C$27="%w/w DM",(((C$28*10)*($B$28/100))*$B32),IF(C$27="kg/t SAR",(C$28*$B32),IF(C$27="kg/t DM",((C$28*($B$28/100))*$B32),IF(C$27="mg/kg SAR",((C$28*0.001)*$B32),IF(C$27="mg/kg DM",(((C$28*0.001)*($B$28/100))*$B32),0))))))</f>
        <v>97.99499999999999</v>
      </c>
      <c r="D32" s="2">
        <f t="shared" ref="D32:D50" si="7">(IF(D$27="%w/w SAR",((D$28*10)*$B32),IF(D$27="%w/w DM",(((D$28*10)*($B$28/100))*$B32),IF(D$27="kg/t SAR",(D$28*$B32),IF(D$27="kg/t DM",((D$28*($B$28/100))*$B32),IF(D$27="mg/kg SAR",((D$28*0.001)*$B32),IF(D$27="mg/kg DM",(((D$28*0.001)*($B$28/100))*$B32),"0")))))))*2.291</f>
        <v>21.643077000000002</v>
      </c>
      <c r="E32" s="2">
        <f t="shared" ref="E32:E50" si="8">(IF(E$27="%w/w SAR",((E$28*10)*$B32),IF(E$27="%w/w DM",(((E$28*10)*($B$28/100))*$B32),IF(E$27="kg/t SAR",(E$28*$B32),IF(E$27="kg/t DM",((E$28*($B$28/100))*$B32),IF(E$27="mg/kg SAR",((E$28*0.001)*$B32),IF(E$27="mg/kg DM",(((E$28*0.001)*($B$28/100))*$B32),"0")))))))*1.205</f>
        <v>0.93447749999999996</v>
      </c>
      <c r="F32" s="2">
        <f t="shared" ref="F32:F50" si="9">(IF(F$27="%w/w SAR",((F$28*10)*$B32),IF(F$27="%w/w DM",(((F$28*10)*($B$28/100))*$B32),IF(F$27="kg/t SAR",(F$28*$B32),IF(F$27="kg/t DM",((F$28*($B$28/100))*$B32),IF(F$27="mg/kg SAR",((F$28*0.001)*$B32),IF(F$27="mg/kg DM",(((F$28*0.001)*($B$28/100))*$B32),"0")))))))*1.658</f>
        <v>5.6691164999999994</v>
      </c>
      <c r="G32" s="2">
        <f t="shared" si="5"/>
        <v>0.206565</v>
      </c>
      <c r="H32" s="2">
        <f t="shared" si="5"/>
        <v>0.35391</v>
      </c>
      <c r="I32" s="2">
        <f t="shared" si="5"/>
        <v>3.2500500000000002E-2</v>
      </c>
      <c r="J32" s="2">
        <f t="shared" si="5"/>
        <v>3.1020000000000002E-3</v>
      </c>
      <c r="K32" s="2">
        <f t="shared" si="5"/>
        <v>5.0054999999999995E-3</v>
      </c>
      <c r="L32" s="2">
        <f t="shared" si="5"/>
        <v>2.1502499999999997E-2</v>
      </c>
      <c r="M32" s="2">
        <f t="shared" si="5"/>
        <v>3.0315000000000002E-2</v>
      </c>
      <c r="N32" s="2">
        <f t="shared" si="5"/>
        <v>1247.8499999999999</v>
      </c>
      <c r="O32" s="2">
        <f t="shared" si="5"/>
        <v>35.461500000000001</v>
      </c>
      <c r="P32" s="2">
        <f t="shared" si="5"/>
        <v>0</v>
      </c>
      <c r="Q32" s="2">
        <f t="shared" ref="Q32:Q50" si="10">(IF(Q$27="%w/w SAR",((Q$28*10)*$B32),IF(Q$27="%w/w DM",(((Q$28*10)*($B$28/100))*$B32),IF(Q$27="kg/t SAR",(Q$28*$B32),IF(Q$27="kg/t DM",((Q$28*($B$28/100))*$B32),IF(Q$27="mg/kg SAR",((Q$28*0.001)*$B32),IF(Q$27="mg/kg DM",(((Q$28*0.001)*($B$28/100))*$B32),0)))))))*2.5</f>
        <v>143.29125000000002</v>
      </c>
      <c r="R32" s="2">
        <f t="shared" ref="R32:U50" si="11">IF(R$27="%w/w SAR",((R$28*10)*$B32),IF(R$27="%w/w DM",(((R$28*10)*($B$28/100))*$B32),IF(R$27="kg/t SAR",(R$28*$B32),IF(R$27="kg/t DM",((R$28*($B$28/100))*$B32),IF(R$27="mg/kg SAR",((R$28*0.001)*$B32),IF(R$27="mg/kg DM",(((R$28*0.001)*($B$28/100))*$B32),0))))))</f>
        <v>0</v>
      </c>
      <c r="S32" s="2">
        <f t="shared" si="11"/>
        <v>0.32500499999999999</v>
      </c>
      <c r="T32" s="2">
        <f t="shared" si="11"/>
        <v>0</v>
      </c>
      <c r="U32" s="2">
        <f t="shared" si="11"/>
        <v>0</v>
      </c>
      <c r="AB32" s="66"/>
      <c r="AC32" s="66"/>
      <c r="AD32" s="66"/>
      <c r="AE32" s="66"/>
      <c r="AF32" s="66"/>
      <c r="AG32" s="66"/>
      <c r="AH32" s="66"/>
      <c r="AI32" s="66"/>
    </row>
    <row r="33" spans="1:35" s="83" customFormat="1" x14ac:dyDescent="0.25">
      <c r="A33" s="21" t="str">
        <f>E8</f>
        <v>High Trees 4</v>
      </c>
      <c r="B33" s="23">
        <v>250</v>
      </c>
      <c r="C33" s="2">
        <f t="shared" si="6"/>
        <v>97.99499999999999</v>
      </c>
      <c r="D33" s="2">
        <f t="shared" si="7"/>
        <v>21.643077000000002</v>
      </c>
      <c r="E33" s="2">
        <f t="shared" si="8"/>
        <v>0.93447749999999996</v>
      </c>
      <c r="F33" s="2">
        <f t="shared" si="9"/>
        <v>5.6691164999999994</v>
      </c>
      <c r="G33" s="2">
        <f t="shared" si="5"/>
        <v>0.206565</v>
      </c>
      <c r="H33" s="2">
        <f t="shared" si="5"/>
        <v>0.35391</v>
      </c>
      <c r="I33" s="2">
        <f t="shared" si="5"/>
        <v>3.2500500000000002E-2</v>
      </c>
      <c r="J33" s="2">
        <f t="shared" si="5"/>
        <v>3.1020000000000002E-3</v>
      </c>
      <c r="K33" s="2">
        <f t="shared" si="5"/>
        <v>5.0054999999999995E-3</v>
      </c>
      <c r="L33" s="2">
        <f t="shared" si="5"/>
        <v>2.1502499999999997E-2</v>
      </c>
      <c r="M33" s="2">
        <f t="shared" si="5"/>
        <v>3.0315000000000002E-2</v>
      </c>
      <c r="N33" s="2">
        <f t="shared" si="5"/>
        <v>1247.8499999999999</v>
      </c>
      <c r="O33" s="2">
        <f t="shared" si="5"/>
        <v>35.461500000000001</v>
      </c>
      <c r="P33" s="2">
        <f t="shared" si="5"/>
        <v>0</v>
      </c>
      <c r="Q33" s="2">
        <f t="shared" si="10"/>
        <v>143.29125000000002</v>
      </c>
      <c r="R33" s="2">
        <f t="shared" si="11"/>
        <v>0</v>
      </c>
      <c r="S33" s="2">
        <f t="shared" si="11"/>
        <v>0.32500499999999999</v>
      </c>
      <c r="T33" s="2">
        <f t="shared" si="11"/>
        <v>0</v>
      </c>
      <c r="U33" s="2">
        <f t="shared" si="11"/>
        <v>0</v>
      </c>
      <c r="AB33" s="66"/>
      <c r="AC33" s="66"/>
      <c r="AD33" s="66"/>
      <c r="AE33" s="66"/>
      <c r="AF33" s="66"/>
      <c r="AG33" s="66"/>
      <c r="AH33" s="66"/>
      <c r="AI33" s="66"/>
    </row>
    <row r="34" spans="1:35" s="83" customFormat="1" x14ac:dyDescent="0.25">
      <c r="A34" s="21" t="str">
        <f>F8</f>
        <v>High Trees 5</v>
      </c>
      <c r="B34" s="23">
        <v>250</v>
      </c>
      <c r="C34" s="2">
        <f t="shared" si="6"/>
        <v>97.99499999999999</v>
      </c>
      <c r="D34" s="2">
        <f t="shared" si="7"/>
        <v>21.643077000000002</v>
      </c>
      <c r="E34" s="2">
        <f t="shared" si="8"/>
        <v>0.93447749999999996</v>
      </c>
      <c r="F34" s="2">
        <f t="shared" si="9"/>
        <v>5.6691164999999994</v>
      </c>
      <c r="G34" s="2">
        <f t="shared" si="5"/>
        <v>0.206565</v>
      </c>
      <c r="H34" s="2">
        <f t="shared" si="5"/>
        <v>0.35391</v>
      </c>
      <c r="I34" s="2">
        <f t="shared" si="5"/>
        <v>3.2500500000000002E-2</v>
      </c>
      <c r="J34" s="2">
        <f t="shared" si="5"/>
        <v>3.1020000000000002E-3</v>
      </c>
      <c r="K34" s="2">
        <f t="shared" si="5"/>
        <v>5.0054999999999995E-3</v>
      </c>
      <c r="L34" s="2">
        <f t="shared" si="5"/>
        <v>2.1502499999999997E-2</v>
      </c>
      <c r="M34" s="2">
        <f t="shared" si="5"/>
        <v>3.0315000000000002E-2</v>
      </c>
      <c r="N34" s="2">
        <f t="shared" si="5"/>
        <v>1247.8499999999999</v>
      </c>
      <c r="O34" s="2">
        <f t="shared" si="5"/>
        <v>35.461500000000001</v>
      </c>
      <c r="P34" s="2">
        <f t="shared" si="5"/>
        <v>0</v>
      </c>
      <c r="Q34" s="2">
        <f t="shared" si="10"/>
        <v>143.29125000000002</v>
      </c>
      <c r="R34" s="2">
        <f t="shared" si="11"/>
        <v>0</v>
      </c>
      <c r="S34" s="2">
        <f t="shared" si="11"/>
        <v>0.32500499999999999</v>
      </c>
      <c r="T34" s="2">
        <f t="shared" si="11"/>
        <v>0</v>
      </c>
      <c r="U34" s="2">
        <f t="shared" si="11"/>
        <v>0</v>
      </c>
      <c r="AB34" s="66"/>
      <c r="AC34" s="66"/>
      <c r="AD34" s="66"/>
      <c r="AE34" s="66"/>
      <c r="AF34" s="66"/>
      <c r="AG34" s="66"/>
      <c r="AH34" s="66"/>
      <c r="AI34" s="66"/>
    </row>
    <row r="35" spans="1:35" s="83" customFormat="1" x14ac:dyDescent="0.25">
      <c r="A35" s="21" t="str">
        <f>G8</f>
        <v>High Trees 6</v>
      </c>
      <c r="B35" s="23">
        <v>250</v>
      </c>
      <c r="C35" s="2">
        <f t="shared" si="6"/>
        <v>97.99499999999999</v>
      </c>
      <c r="D35" s="2">
        <f t="shared" si="7"/>
        <v>21.643077000000002</v>
      </c>
      <c r="E35" s="2">
        <f t="shared" si="8"/>
        <v>0.93447749999999996</v>
      </c>
      <c r="F35" s="2">
        <f t="shared" si="9"/>
        <v>5.6691164999999994</v>
      </c>
      <c r="G35" s="2">
        <f t="shared" si="5"/>
        <v>0.206565</v>
      </c>
      <c r="H35" s="2">
        <f t="shared" si="5"/>
        <v>0.35391</v>
      </c>
      <c r="I35" s="2">
        <f t="shared" si="5"/>
        <v>3.2500500000000002E-2</v>
      </c>
      <c r="J35" s="2">
        <f t="shared" si="5"/>
        <v>3.1020000000000002E-3</v>
      </c>
      <c r="K35" s="2">
        <f t="shared" si="5"/>
        <v>5.0054999999999995E-3</v>
      </c>
      <c r="L35" s="2">
        <f t="shared" si="5"/>
        <v>2.1502499999999997E-2</v>
      </c>
      <c r="M35" s="2">
        <f t="shared" si="5"/>
        <v>3.0315000000000002E-2</v>
      </c>
      <c r="N35" s="2">
        <f t="shared" si="5"/>
        <v>1247.8499999999999</v>
      </c>
      <c r="O35" s="2">
        <f t="shared" si="5"/>
        <v>35.461500000000001</v>
      </c>
      <c r="P35" s="2">
        <f t="shared" si="5"/>
        <v>0</v>
      </c>
      <c r="Q35" s="2">
        <f t="shared" si="10"/>
        <v>143.29125000000002</v>
      </c>
      <c r="R35" s="2">
        <f t="shared" si="11"/>
        <v>0</v>
      </c>
      <c r="S35" s="2">
        <f t="shared" si="11"/>
        <v>0.32500499999999999</v>
      </c>
      <c r="T35" s="2">
        <f t="shared" si="11"/>
        <v>0</v>
      </c>
      <c r="U35" s="2">
        <f t="shared" si="11"/>
        <v>0</v>
      </c>
      <c r="AB35" s="66"/>
      <c r="AC35" s="66"/>
      <c r="AD35" s="66"/>
      <c r="AE35" s="66"/>
      <c r="AF35" s="66"/>
      <c r="AG35" s="66"/>
      <c r="AH35" s="66"/>
      <c r="AI35" s="66"/>
    </row>
    <row r="36" spans="1:35" s="83" customFormat="1" x14ac:dyDescent="0.25">
      <c r="A36" s="21" t="str">
        <f>H8</f>
        <v>High Trees 8</v>
      </c>
      <c r="B36" s="23">
        <v>250</v>
      </c>
      <c r="C36" s="2">
        <f t="shared" si="6"/>
        <v>97.99499999999999</v>
      </c>
      <c r="D36" s="2">
        <f t="shared" si="7"/>
        <v>21.643077000000002</v>
      </c>
      <c r="E36" s="2">
        <f t="shared" si="8"/>
        <v>0.93447749999999996</v>
      </c>
      <c r="F36" s="2">
        <f t="shared" si="9"/>
        <v>5.6691164999999994</v>
      </c>
      <c r="G36" s="2">
        <f t="shared" si="5"/>
        <v>0.206565</v>
      </c>
      <c r="H36" s="2">
        <f t="shared" si="5"/>
        <v>0.35391</v>
      </c>
      <c r="I36" s="2">
        <f t="shared" si="5"/>
        <v>3.2500500000000002E-2</v>
      </c>
      <c r="J36" s="2">
        <f t="shared" si="5"/>
        <v>3.1020000000000002E-3</v>
      </c>
      <c r="K36" s="2">
        <f t="shared" si="5"/>
        <v>5.0054999999999995E-3</v>
      </c>
      <c r="L36" s="2">
        <f t="shared" si="5"/>
        <v>2.1502499999999997E-2</v>
      </c>
      <c r="M36" s="2">
        <f t="shared" si="5"/>
        <v>3.0315000000000002E-2</v>
      </c>
      <c r="N36" s="2">
        <f t="shared" si="5"/>
        <v>1247.8499999999999</v>
      </c>
      <c r="O36" s="2">
        <f t="shared" si="5"/>
        <v>35.461500000000001</v>
      </c>
      <c r="P36" s="2">
        <f t="shared" si="5"/>
        <v>0</v>
      </c>
      <c r="Q36" s="2">
        <f t="shared" si="10"/>
        <v>143.29125000000002</v>
      </c>
      <c r="R36" s="2">
        <f t="shared" si="11"/>
        <v>0</v>
      </c>
      <c r="S36" s="2">
        <f t="shared" si="11"/>
        <v>0.32500499999999999</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High Trees 1</v>
      </c>
      <c r="C57" s="16" t="str">
        <f t="shared" ref="C57:U57" si="13">D8</f>
        <v>High Trees 2</v>
      </c>
      <c r="D57" s="16" t="str">
        <f t="shared" si="13"/>
        <v>High Trees 4</v>
      </c>
      <c r="E57" s="16" t="str">
        <f t="shared" si="13"/>
        <v>High Trees 5</v>
      </c>
      <c r="F57" s="16" t="str">
        <f t="shared" si="13"/>
        <v>High Trees 6</v>
      </c>
      <c r="G57" s="16" t="str">
        <f t="shared" si="13"/>
        <v>High Trees 8</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"&amp;(VLOOKUP(C14,Table2458[],6,FALSE))</f>
        <v>Medium/Clay I Grass</v>
      </c>
      <c r="C58" s="44" t="str">
        <f>D16&amp;" I "&amp;(VLOOKUP(D14,Table2458[],6,FALSE))</f>
        <v>Medium/Clay I Grass</v>
      </c>
      <c r="D58" s="21" t="str">
        <f>E16&amp;" I "&amp;(VLOOKUP(E14,Table2458[],6,FALSE))</f>
        <v>Medium/Clay I Grass</v>
      </c>
      <c r="E58" s="21" t="str">
        <f>F16&amp;" I "&amp;(VLOOKUP(F14,Table2458[],6,FALSE))</f>
        <v>Medium/Clay I Grass</v>
      </c>
      <c r="F58" s="21" t="str">
        <f>G16&amp;" I "&amp;(VLOOKUP(G14,Table2458[],6,FALSE))</f>
        <v>Medium/Clay I Grass</v>
      </c>
      <c r="G58" s="21" t="str">
        <f>H16&amp;" I "&amp;(VLOOKUP(H14,Table2458[],6,FALSE))</f>
        <v>Medium/Clay I Grass</v>
      </c>
      <c r="H58" s="21" t="e">
        <f>I16&amp;" I "&amp;(VLOOKUP(I14,Table2458[],6,FALSE))</f>
        <v>#N/A</v>
      </c>
      <c r="I58" s="21" t="e">
        <f>J16&amp;" I "&amp;(VLOOKUP(J14,Table2458[],6,FALSE))</f>
        <v>#N/A</v>
      </c>
      <c r="J58" s="21" t="e">
        <f>K16&amp;" I "&amp;(VLOOKUP(K14,Table2458[],6,FALSE))</f>
        <v>#N/A</v>
      </c>
      <c r="K58" s="21" t="e">
        <f>L16&amp;" I "&amp;(VLOOKUP(L14,Table2458[],6,FALSE))</f>
        <v>#N/A</v>
      </c>
      <c r="L58" s="21" t="e">
        <f>M16&amp;" I "&amp;(VLOOKUP(M14,Table2458[],6,FALSE))</f>
        <v>#N/A</v>
      </c>
      <c r="M58" s="21" t="e">
        <f>N16&amp;" I "&amp;(VLOOKUP(N14,Table2458[],6,FALSE))</f>
        <v>#N/A</v>
      </c>
      <c r="N58" s="21" t="e">
        <f>O16&amp;" I "&amp;(VLOOKUP(O14,Table2458[],6,FALSE))</f>
        <v>#N/A</v>
      </c>
      <c r="O58" s="21" t="e">
        <f>P16&amp;" I "&amp;(VLOOKUP(P14,Table2458[],6,FALSE))</f>
        <v>#N/A</v>
      </c>
      <c r="P58" s="21" t="e">
        <f>Q16&amp;" I "&amp;(VLOOKUP(Q14,Table2458[],6,FALSE))</f>
        <v>#N/A</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92" t="s">
        <v>130</v>
      </c>
      <c r="B59" s="93">
        <f>VLOOKUP(C$14,Table2458[],5,FALSE)</f>
        <v>6.2</v>
      </c>
      <c r="C59" s="93">
        <f>VLOOKUP(D$14,Table2458[],5,FALSE)</f>
        <v>6.2</v>
      </c>
      <c r="D59" s="93">
        <f>VLOOKUP(E$14,Table2458[],5,FALSE)</f>
        <v>6.2</v>
      </c>
      <c r="E59" s="93">
        <f>VLOOKUP(F$14,Table2458[],5,FALSE)</f>
        <v>6.2</v>
      </c>
      <c r="F59" s="93">
        <f>VLOOKUP(G$14,Table2458[],5,FALSE)</f>
        <v>6.2</v>
      </c>
      <c r="G59" s="93">
        <f>VLOOKUP(H$14,Table2458[],5,FALSE)</f>
        <v>6.2</v>
      </c>
      <c r="H59" s="93" t="e">
        <f>VLOOKUP(I$14,Table2458[],5,FALSE)</f>
        <v>#N/A</v>
      </c>
      <c r="I59" s="93" t="e">
        <f>VLOOKUP(J$14,Table2458[],5,FALSE)</f>
        <v>#N/A</v>
      </c>
      <c r="J59" s="93" t="e">
        <f>VLOOKUP(K$14,Table2458[],5,FALSE)</f>
        <v>#N/A</v>
      </c>
      <c r="K59" s="93" t="e">
        <f>VLOOKUP(L$14,Table2458[],5,FALSE)</f>
        <v>#N/A</v>
      </c>
      <c r="L59" s="93" t="e">
        <f>VLOOKUP(M$14,Table2458[],5,FALSE)</f>
        <v>#N/A</v>
      </c>
      <c r="M59" s="93" t="e">
        <f>VLOOKUP(N$14,Table2458[],5,FALSE)</f>
        <v>#N/A</v>
      </c>
      <c r="N59" s="93" t="e">
        <f>VLOOKUP(O$14,Table2458[],5,FALSE)</f>
        <v>#N/A</v>
      </c>
      <c r="O59" s="93" t="e">
        <f>VLOOKUP(P$14,Table2458[],5,FALSE)</f>
        <v>#N/A</v>
      </c>
      <c r="P59" s="93" t="e">
        <f>VLOOKUP(Q$14,Table2458[],5,FALSE)</f>
        <v>#N/A</v>
      </c>
      <c r="Q59" s="93" t="e">
        <f>VLOOKUP(R$14,Table2458[],5,FALSE)</f>
        <v>#N/A</v>
      </c>
      <c r="R59" s="93" t="e">
        <f>VLOOKUP(S$14,Table2458[],5,FALSE)</f>
        <v>#N/A</v>
      </c>
      <c r="S59" s="93" t="e">
        <f>VLOOKUP(T$14,Table2458[],5,FALSE)</f>
        <v>#N/A</v>
      </c>
      <c r="T59" s="93" t="e">
        <f>VLOOKUP(U$14,Table2458[],5,FALSE)</f>
        <v>#N/A</v>
      </c>
      <c r="U59" s="93" t="e">
        <f>VLOOKUP(V$14,Table2458[],5,FALSE)</f>
        <v>#N/A</v>
      </c>
    </row>
    <row r="60" spans="1:35" s="27" customFormat="1" hidden="1" x14ac:dyDescent="0.2">
      <c r="A60" s="92" t="s">
        <v>4</v>
      </c>
      <c r="B60" s="93">
        <f>C10</f>
        <v>7</v>
      </c>
      <c r="C60" s="93">
        <f t="shared" ref="C60:U60" si="14">D10</f>
        <v>7.1</v>
      </c>
      <c r="D60" s="93">
        <f t="shared" si="14"/>
        <v>7.1</v>
      </c>
      <c r="E60" s="93">
        <f t="shared" si="14"/>
        <v>6.9</v>
      </c>
      <c r="F60" s="93">
        <f t="shared" si="14"/>
        <v>6.5</v>
      </c>
      <c r="G60" s="93">
        <f t="shared" si="14"/>
        <v>6.5</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-5.3999999999999968</v>
      </c>
      <c r="D64" s="94">
        <f t="shared" si="17"/>
        <v>-5.3999999999999968</v>
      </c>
      <c r="E64" s="94">
        <f t="shared" si="17"/>
        <v>-4.2000000000000011</v>
      </c>
      <c r="F64" s="94">
        <f t="shared" si="17"/>
        <v>-1.7999999999999989</v>
      </c>
      <c r="G64" s="94">
        <f t="shared" si="17"/>
        <v>-1.7999999999999989</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tabSelected="1" topLeftCell="L19" zoomScale="90" zoomScaleNormal="90" workbookViewId="0">
      <selection activeCell="S27" sqref="S27:S28"/>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PAN-011642</v>
      </c>
      <c r="D1" s="129"/>
      <c r="E1" s="37" t="s">
        <v>45</v>
      </c>
      <c r="F1" s="46">
        <f>'Field data and Waste 1'!F1</f>
        <v>34.4</v>
      </c>
      <c r="G1" s="108" t="s">
        <v>43</v>
      </c>
      <c r="H1" s="109"/>
      <c r="I1" s="35">
        <v>8.1</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EPR/GP3792SK</v>
      </c>
      <c r="D2" s="131"/>
      <c r="E2" s="37" t="s">
        <v>106</v>
      </c>
      <c r="F2" s="103" t="s">
        <v>163</v>
      </c>
      <c r="G2" s="110" t="s">
        <v>107</v>
      </c>
      <c r="H2" s="111"/>
      <c r="I2" s="35"/>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ByProduct Recovery Ltd</v>
      </c>
      <c r="D3" s="131"/>
      <c r="E3" s="37" t="s">
        <v>105</v>
      </c>
      <c r="F3" s="45" t="s">
        <v>77</v>
      </c>
      <c r="G3" s="108" t="s">
        <v>108</v>
      </c>
      <c r="H3" s="109"/>
      <c r="I3" s="35"/>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Llwyn y Brain, Pontsticill, Merthyr Tydfil, Mid Glamorgan, CF48 2TU</v>
      </c>
      <c r="D4" s="129"/>
      <c r="E4" s="38" t="s">
        <v>1</v>
      </c>
      <c r="F4" s="103" t="s">
        <v>169</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t="str">
        <f>'Field data and Waste 1'!C8</f>
        <v>High Trees 1</v>
      </c>
      <c r="D8" s="67" t="str">
        <f>'Field data and Waste 1'!D8</f>
        <v>High Trees 2</v>
      </c>
      <c r="E8" s="67" t="str">
        <f>'Field data and Waste 1'!E8</f>
        <v>High Trees 4</v>
      </c>
      <c r="F8" s="67" t="str">
        <f>'Field data and Waste 1'!F8</f>
        <v>High Trees 5</v>
      </c>
      <c r="G8" s="67" t="str">
        <f>'Field data and Waste 1'!G8</f>
        <v>High Trees 6</v>
      </c>
      <c r="H8" s="67" t="str">
        <f>'Field data and Waste 1'!H8</f>
        <v>High Trees 8</v>
      </c>
      <c r="I8" s="67">
        <f>'Field data and Waste 1'!I8</f>
        <v>0</v>
      </c>
      <c r="J8" s="67">
        <f>'Field data and Waste 1'!J8</f>
        <v>0</v>
      </c>
      <c r="K8" s="67">
        <f>'Field data and Waste 1'!K8</f>
        <v>0</v>
      </c>
      <c r="L8" s="67">
        <f>'Field data and Waste 1'!L8</f>
        <v>0</v>
      </c>
      <c r="M8" s="67">
        <f>'Field data and Waste 1'!M8</f>
        <v>0</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f>'Field data and Waste 1'!C9</f>
        <v>0</v>
      </c>
      <c r="D9" s="67">
        <f>'Field data and Waste 1'!D9</f>
        <v>0</v>
      </c>
      <c r="E9" s="67">
        <f>'Field data and Waste 1'!E9</f>
        <v>0</v>
      </c>
      <c r="F9" s="67">
        <f>'Field data and Waste 1'!F9</f>
        <v>0</v>
      </c>
      <c r="G9" s="67">
        <f>'Field data and Waste 1'!G9</f>
        <v>0</v>
      </c>
      <c r="H9" s="67">
        <f>'Field data and Waste 1'!H9</f>
        <v>0</v>
      </c>
      <c r="I9" s="67">
        <f>'Field data and Waste 1'!I9</f>
        <v>0</v>
      </c>
      <c r="J9" s="67">
        <f>'Field data and Waste 1'!J9</f>
        <v>0</v>
      </c>
      <c r="K9" s="67">
        <f>'Field data and Waste 1'!K9</f>
        <v>0</v>
      </c>
      <c r="L9" s="67">
        <f>'Field data and Waste 1'!L9</f>
        <v>0</v>
      </c>
      <c r="M9" s="67">
        <f>'Field data and Waste 1'!M9</f>
        <v>0</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7</v>
      </c>
      <c r="D10" s="67">
        <f>'Field data and Waste 1'!D10</f>
        <v>7.1</v>
      </c>
      <c r="E10" s="67">
        <f>'Field data and Waste 1'!E10</f>
        <v>7.1</v>
      </c>
      <c r="F10" s="67">
        <f>'Field data and Waste 1'!F10</f>
        <v>6.9</v>
      </c>
      <c r="G10" s="67">
        <f>'Field data and Waste 1'!G10</f>
        <v>6.5</v>
      </c>
      <c r="H10" s="67">
        <f>'Field data and Waste 1'!H10</f>
        <v>6.5</v>
      </c>
      <c r="I10" s="67">
        <f>'Field data and Waste 1'!I10</f>
        <v>0</v>
      </c>
      <c r="J10" s="67">
        <f>'Field data and Waste 1'!J10</f>
        <v>0</v>
      </c>
      <c r="K10" s="67">
        <f>'Field data and Waste 1'!K10</f>
        <v>0</v>
      </c>
      <c r="L10" s="67">
        <f>'Field data and Waste 1'!L10</f>
        <v>0</v>
      </c>
      <c r="M10" s="67">
        <f>'Field data and Waste 1'!M10</f>
        <v>0</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3</v>
      </c>
      <c r="D11" s="67">
        <f>'Field data and Waste 1'!D11</f>
        <v>3</v>
      </c>
      <c r="E11" s="67">
        <f>'Field data and Waste 1'!E11</f>
        <v>3</v>
      </c>
      <c r="F11" s="67">
        <f>'Field data and Waste 1'!F11</f>
        <v>3</v>
      </c>
      <c r="G11" s="67">
        <f>'Field data and Waste 1'!G11</f>
        <v>3</v>
      </c>
      <c r="H11" s="67">
        <f>'Field data and Waste 1'!H11</f>
        <v>0</v>
      </c>
      <c r="I11" s="67">
        <f>'Field data and Waste 1'!I11</f>
        <v>0</v>
      </c>
      <c r="J11" s="67">
        <f>'Field data and Waste 1'!J11</f>
        <v>0</v>
      </c>
      <c r="K11" s="67">
        <f>'Field data and Waste 1'!K11</f>
        <v>0</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4</v>
      </c>
      <c r="D12" s="67">
        <f>'Field data and Waste 1'!D12</f>
        <v>5</v>
      </c>
      <c r="E12" s="67">
        <f>'Field data and Waste 1'!E12</f>
        <v>5</v>
      </c>
      <c r="F12" s="67">
        <f>'Field data and Waste 1'!F12</f>
        <v>5</v>
      </c>
      <c r="G12" s="67">
        <f>'Field data and Waste 1'!G12</f>
        <v>5</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3</v>
      </c>
      <c r="D13" s="67">
        <f>'Field data and Waste 1'!D13</f>
        <v>3</v>
      </c>
      <c r="E13" s="67">
        <f>'Field data and Waste 1'!E13</f>
        <v>3</v>
      </c>
      <c r="F13" s="67">
        <f>'Field data and Waste 1'!F13</f>
        <v>3</v>
      </c>
      <c r="G13" s="67">
        <f>'Field data and Waste 1'!G13</f>
        <v>3</v>
      </c>
      <c r="H13" s="67">
        <f>'Field data and Waste 1'!H13</f>
        <v>2</v>
      </c>
      <c r="I13" s="67">
        <f>'Field data and Waste 1'!I13</f>
        <v>0</v>
      </c>
      <c r="J13" s="67">
        <f>'Field data and Waste 1'!J13</f>
        <v>0</v>
      </c>
      <c r="K13" s="67">
        <f>'Field data and Waste 1'!K13</f>
        <v>0</v>
      </c>
      <c r="L13" s="67">
        <f>'Field data and Waste 1'!L13</f>
        <v>0</v>
      </c>
      <c r="M13" s="67">
        <f>'Field data and Waste 1'!M13</f>
        <v>0</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f>'Field data and Waste 1'!I14</f>
        <v>0</v>
      </c>
      <c r="J14" s="73">
        <f>'Field data and Waste 1'!J14</f>
        <v>0</v>
      </c>
      <c r="K14" s="73">
        <f>'Field data and Waste 1'!K14</f>
        <v>0</v>
      </c>
      <c r="L14" s="73">
        <f>'Field data and Waste 1'!L14</f>
        <v>0</v>
      </c>
      <c r="M14" s="73">
        <f>'Field data and Waste 1'!M14</f>
        <v>0</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0</v>
      </c>
      <c r="J15" s="67">
        <f>'Field data and Waste 1'!J15</f>
        <v>0</v>
      </c>
      <c r="K15" s="67">
        <f>'Field data and Waste 1'!K15</f>
        <v>0</v>
      </c>
      <c r="L15" s="67">
        <f>'Field data and Waste 1'!L15</f>
        <v>0</v>
      </c>
      <c r="M15" s="67">
        <f>'Field data and Waste 1'!M15</f>
        <v>0</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f>'Field data and Waste 1'!I16</f>
        <v>0</v>
      </c>
      <c r="J16" s="74">
        <f>'Field data and Waste 1'!J16</f>
        <v>0</v>
      </c>
      <c r="K16" s="74">
        <f>'Field data and Waste 1'!K16</f>
        <v>0</v>
      </c>
      <c r="L16" s="74">
        <f>'Field data and Waste 1'!L16</f>
        <v>0</v>
      </c>
      <c r="M16" s="74">
        <f>'Field data and Waste 1'!M16</f>
        <v>0</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f t="shared" ref="C17:V17" si="0">(VLOOKUP(C$14,$AI2:$AK24,2,FALSE))*C$15</f>
        <v>54.4</v>
      </c>
      <c r="D17" s="39">
        <f t="shared" si="0"/>
        <v>54.4</v>
      </c>
      <c r="E17" s="39">
        <f t="shared" si="0"/>
        <v>54.4</v>
      </c>
      <c r="F17" s="39">
        <f t="shared" si="0"/>
        <v>54.4</v>
      </c>
      <c r="G17" s="39">
        <f t="shared" si="0"/>
        <v>54.4</v>
      </c>
      <c r="H17" s="39">
        <f t="shared" si="0"/>
        <v>54.4</v>
      </c>
      <c r="I17" s="39" t="e">
        <f t="shared" si="0"/>
        <v>#N/A</v>
      </c>
      <c r="J17" s="39" t="e">
        <f t="shared" si="0"/>
        <v>#N/A</v>
      </c>
      <c r="K17" s="39" t="e">
        <f t="shared" si="0"/>
        <v>#N/A</v>
      </c>
      <c r="L17" s="39" t="e">
        <f t="shared" si="0"/>
        <v>#N/A</v>
      </c>
      <c r="M17" s="39" t="e">
        <f t="shared" si="0"/>
        <v>#N/A</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35.819784999999996</v>
      </c>
      <c r="D18" s="24">
        <f>$D32</f>
        <v>35.819784999999996</v>
      </c>
      <c r="E18" s="24">
        <f>$D33</f>
        <v>35.819784999999996</v>
      </c>
      <c r="F18" s="24">
        <f>$D34</f>
        <v>35.819784999999996</v>
      </c>
      <c r="G18" s="24">
        <f>$D35</f>
        <v>35.819784999999996</v>
      </c>
      <c r="H18" s="24">
        <f>$D36</f>
        <v>35.819784999999996</v>
      </c>
      <c r="I18" s="24">
        <f>$D37</f>
        <v>0</v>
      </c>
      <c r="J18" s="24">
        <f>$D38</f>
        <v>0</v>
      </c>
      <c r="K18" s="24">
        <f>$D39</f>
        <v>0</v>
      </c>
      <c r="L18" s="24">
        <f>$D40</f>
        <v>0</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f>C18-C17</f>
        <v>-18.580215000000003</v>
      </c>
      <c r="D19" s="24">
        <f t="shared" ref="D19:V19" si="1">D18-D17</f>
        <v>-18.580215000000003</v>
      </c>
      <c r="E19" s="24">
        <f t="shared" si="1"/>
        <v>-18.580215000000003</v>
      </c>
      <c r="F19" s="24">
        <f t="shared" si="1"/>
        <v>-18.580215000000003</v>
      </c>
      <c r="G19" s="24">
        <f t="shared" si="1"/>
        <v>-18.580215000000003</v>
      </c>
      <c r="H19" s="24">
        <f t="shared" si="1"/>
        <v>-18.580215000000003</v>
      </c>
      <c r="I19" s="24" t="e">
        <f t="shared" si="1"/>
        <v>#N/A</v>
      </c>
      <c r="J19" s="24" t="e">
        <f t="shared" si="1"/>
        <v>#N/A</v>
      </c>
      <c r="K19" s="24" t="e">
        <f t="shared" si="1"/>
        <v>#N/A</v>
      </c>
      <c r="L19" s="24" t="e">
        <f t="shared" si="1"/>
        <v>#N/A</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
      </c>
      <c r="J20" s="33" t="str">
        <f>IF($B38="","",IF(J$19&gt;=0,"INCREASE","DECREASE"))</f>
        <v/>
      </c>
      <c r="K20" s="33" t="str">
        <f>IF($B39="","",IF(K$19&gt;=0,"INCREASE","DECREASE"))</f>
        <v/>
      </c>
      <c r="L20" s="33" t="str">
        <f>IF($B40="","",IF(L$19&gt;=0,"INCREASE","DECREASE"))</f>
        <v/>
      </c>
      <c r="M20" s="33" t="str">
        <f>IF($B41="","",IF(M$19&gt;=0,"INCREASE","DECREASE"))</f>
        <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f t="shared" ref="C21:V21" si="2">(VLOOKUP(C$14,$AI2:$AK24,3,FALSE))*C$15</f>
        <v>192</v>
      </c>
      <c r="D21" s="39">
        <f t="shared" si="2"/>
        <v>192</v>
      </c>
      <c r="E21" s="39">
        <f t="shared" si="2"/>
        <v>192</v>
      </c>
      <c r="F21" s="39">
        <f t="shared" si="2"/>
        <v>192</v>
      </c>
      <c r="G21" s="39">
        <f t="shared" si="2"/>
        <v>192</v>
      </c>
      <c r="H21" s="39">
        <f t="shared" si="2"/>
        <v>192</v>
      </c>
      <c r="I21" s="39" t="e">
        <f t="shared" si="2"/>
        <v>#N/A</v>
      </c>
      <c r="J21" s="39" t="e">
        <f t="shared" si="2"/>
        <v>#N/A</v>
      </c>
      <c r="K21" s="39" t="e">
        <f t="shared" si="2"/>
        <v>#N/A</v>
      </c>
      <c r="L21" s="39" t="e">
        <f t="shared" si="2"/>
        <v>#N/A</v>
      </c>
      <c r="M21" s="39" t="e">
        <f t="shared" si="2"/>
        <v>#N/A</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91.965599999999995</v>
      </c>
      <c r="D22" s="24">
        <f>$E32</f>
        <v>91.965599999999995</v>
      </c>
      <c r="E22" s="24">
        <f>$E33</f>
        <v>91.965599999999995</v>
      </c>
      <c r="F22" s="24">
        <f>$E34</f>
        <v>91.965599999999995</v>
      </c>
      <c r="G22" s="24">
        <f>$E35</f>
        <v>91.965599999999995</v>
      </c>
      <c r="H22" s="24">
        <f>$E36</f>
        <v>91.965599999999995</v>
      </c>
      <c r="I22" s="24">
        <f>$E37</f>
        <v>0</v>
      </c>
      <c r="J22" s="24">
        <f>$E38</f>
        <v>0</v>
      </c>
      <c r="K22" s="24">
        <f>$E39</f>
        <v>0</v>
      </c>
      <c r="L22" s="24">
        <f>$E40</f>
        <v>0</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f>C22-C21</f>
        <v>-100.03440000000001</v>
      </c>
      <c r="D23" s="24">
        <f t="shared" ref="D23:V23" si="3">D22-D21</f>
        <v>-100.03440000000001</v>
      </c>
      <c r="E23" s="24">
        <f t="shared" si="3"/>
        <v>-100.03440000000001</v>
      </c>
      <c r="F23" s="24">
        <f t="shared" si="3"/>
        <v>-100.03440000000001</v>
      </c>
      <c r="G23" s="24">
        <f t="shared" si="3"/>
        <v>-100.03440000000001</v>
      </c>
      <c r="H23" s="24">
        <f t="shared" si="3"/>
        <v>-100.03440000000001</v>
      </c>
      <c r="I23" s="24" t="e">
        <f t="shared" si="3"/>
        <v>#N/A</v>
      </c>
      <c r="J23" s="24" t="e">
        <f t="shared" si="3"/>
        <v>#N/A</v>
      </c>
      <c r="K23" s="24" t="e">
        <f t="shared" si="3"/>
        <v>#N/A</v>
      </c>
      <c r="L23" s="24" t="e">
        <f t="shared" si="3"/>
        <v>#N/A</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e">
        <f t="shared" si="4"/>
        <v>#N/A</v>
      </c>
      <c r="J24" s="33" t="e">
        <f t="shared" si="4"/>
        <v>#N/A</v>
      </c>
      <c r="K24" s="33" t="e">
        <f t="shared" si="4"/>
        <v>#N/A</v>
      </c>
      <c r="L24" s="33" t="e">
        <f t="shared" si="4"/>
        <v>#N/A</v>
      </c>
      <c r="M24" s="33" t="e">
        <f t="shared" si="4"/>
        <v>#N/A</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c r="Q27" s="101" t="s">
        <v>54</v>
      </c>
      <c r="R27" s="101"/>
      <c r="S27" s="101"/>
      <c r="T27" s="101"/>
      <c r="U27" s="101"/>
    </row>
    <row r="28" spans="1:40" s="64" customFormat="1" x14ac:dyDescent="0.25">
      <c r="A28" s="82"/>
      <c r="B28" s="31">
        <v>2.4300000000000002</v>
      </c>
      <c r="C28" s="23">
        <v>0.37</v>
      </c>
      <c r="D28" s="23">
        <v>295</v>
      </c>
      <c r="E28" s="23">
        <v>1440</v>
      </c>
      <c r="F28" s="23">
        <v>51.1</v>
      </c>
      <c r="G28" s="23">
        <v>0.65</v>
      </c>
      <c r="H28" s="23">
        <v>3.28</v>
      </c>
      <c r="I28" s="23">
        <v>0.5</v>
      </c>
      <c r="J28" s="23">
        <v>0.01</v>
      </c>
      <c r="K28" s="30">
        <v>0.05</v>
      </c>
      <c r="L28" s="23">
        <v>0.62</v>
      </c>
      <c r="M28" s="23">
        <v>0.27</v>
      </c>
      <c r="N28" s="23"/>
      <c r="O28" s="23"/>
      <c r="P28" s="23"/>
      <c r="Q28" s="23">
        <v>262</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High Trees 1</v>
      </c>
      <c r="B31" s="23">
        <v>53</v>
      </c>
      <c r="C31" s="2">
        <f>IF(C$27="%w/w SAR",((C$28*10)*$B31),IF(C$27="%w/w DM",(((C$28*10)*($B$28/100))*$B31),IF(C$27="kg/t SAR",(C$28*$B31),IF(C$27="kg/t DM",((C$28*($B$28/100))*$B31),IF(C$27="mg/kg SAR",((C$28*0.001)*$B31),IF(C$27="mg/kg DM",(((C$28*0.001)*($B$28/100))*$B31),0))))))</f>
        <v>196.10000000000002</v>
      </c>
      <c r="D31" s="2">
        <f>(IF(D$27="%w/w SAR",((D$28*10)*$B31),IF(D$27="%w/w DM",(((D$28*10)*($B$28/100))*$B31),IF(D$27="kg/t SAR",(D$28*$B31),IF(D$27="kg/t DM",((D$28*($B$28/100))*$B31),IF(D$27="mg/kg SAR",((D$28*0.001)*$B31),IF(D$27="mg/kg DM",(((D$28*0.001)*($B$28/100))*$B31),"0")))))))*2.291</f>
        <v>35.819784999999996</v>
      </c>
      <c r="E31" s="2">
        <f>(IF(E$27="%w/w SAR",((E$28*10)*$B31),IF(E$27="%w/w DM",(((E$28*10)*($B$28/100))*$B31),IF(E$27="kg/t SAR",(E$28*$B31),IF(E$27="kg/t DM",((E$28*($B$28/100))*$B31),IF(E$27="mg/kg SAR",((E$28*0.001)*$B31),IF(E$27="mg/kg DM",(((E$28*0.001)*($B$28/100))*$B31),"0")))))))*1.205</f>
        <v>91.965599999999995</v>
      </c>
      <c r="F31" s="2">
        <f>(IF(F$27="%w/w SAR",((F$28*10)*$B31),IF(F$27="%w/w DM",(((F$28*10)*($B$28/100))*$B31),IF(F$27="kg/t SAR",(F$28*$B31),IF(F$27="kg/t DM",((F$28*($B$28/100))*$B31),IF(F$27="mg/kg SAR",((F$28*0.001)*$B31),IF(F$27="mg/kg DM",(((F$28*0.001)*($B$28/100))*$B31),"0")))))))*1.658</f>
        <v>4.4903613999999994</v>
      </c>
      <c r="G31" s="2">
        <f t="shared" ref="G31:P46" si="5">IF(G$27="%w/w SAR",((G$28*10)*$B31),IF(G$27="%w/w DM",(((G$28*10)*($B$28/100))*$B31),IF(G$27="kg/t SAR",(G$28*$B31),IF(G$27="kg/t DM",((G$28*($B$28/100))*$B31),IF(G$27="mg/kg SAR",((G$28*0.001)*$B31),IF(G$27="mg/kg DM",(((G$28*0.001)*($B$28/100))*$B31),0))))))</f>
        <v>3.4450000000000001E-2</v>
      </c>
      <c r="H31" s="2">
        <f t="shared" si="5"/>
        <v>0.17383999999999999</v>
      </c>
      <c r="I31" s="2">
        <f t="shared" si="5"/>
        <v>2.6499999999999999E-2</v>
      </c>
      <c r="J31" s="2">
        <f t="shared" si="5"/>
        <v>5.3000000000000009E-4</v>
      </c>
      <c r="K31" s="2">
        <f t="shared" si="5"/>
        <v>2.65E-3</v>
      </c>
      <c r="L31" s="2">
        <f t="shared" si="5"/>
        <v>3.286E-2</v>
      </c>
      <c r="M31" s="2">
        <f t="shared" si="5"/>
        <v>1.431E-2</v>
      </c>
      <c r="N31" s="2">
        <f t="shared" si="5"/>
        <v>0</v>
      </c>
      <c r="O31" s="2">
        <f t="shared" si="5"/>
        <v>0</v>
      </c>
      <c r="P31" s="2">
        <f t="shared" si="5"/>
        <v>0</v>
      </c>
      <c r="Q31" s="2">
        <f>(IF(Q$27="%w/w SAR",((Q$28*10)*$B31),IF(Q$27="%w/w DM",(((Q$28*10)*($B$28/100))*$B31),IF(Q$27="kg/t SAR",(Q$28*$B31),IF(Q$27="kg/t DM",((Q$28*($B$28/100))*$B31),IF(Q$27="mg/kg SAR",((Q$28*0.001)*$B31),IF(Q$27="mg/kg DM",(((Q$28*0.001)*($B$28/100))*$B31),0)))))))*2.5</f>
        <v>34.715000000000003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High Trees 2</v>
      </c>
      <c r="B32" s="23">
        <v>53</v>
      </c>
      <c r="C32" s="2">
        <f t="shared" ref="C32:C50" si="6">IF(C$27="%w/w SAR",((C$28*10)*$B32),IF(C$27="%w/w DM",(((C$28*10)*($B$28/100))*$B32),IF(C$27="kg/t SAR",(C$28*$B32),IF(C$27="kg/t DM",((C$28*($B$28/100))*$B32),IF(C$27="mg/kg SAR",((C$28*0.001)*$B32),IF(C$27="mg/kg DM",(((C$28*0.001)*($B$28/100))*$B32),0))))))</f>
        <v>196.10000000000002</v>
      </c>
      <c r="D32" s="2">
        <f t="shared" ref="D32:D50" si="7">(IF(D$27="%w/w SAR",((D$28*10)*$B32),IF(D$27="%w/w DM",(((D$28*10)*($B$28/100))*$B32),IF(D$27="kg/t SAR",(D$28*$B32),IF(D$27="kg/t DM",((D$28*($B$28/100))*$B32),IF(D$27="mg/kg SAR",((D$28*0.001)*$B32),IF(D$27="mg/kg DM",(((D$28*0.001)*($B$28/100))*$B32),"0")))))))*2.291</f>
        <v>35.819784999999996</v>
      </c>
      <c r="E32" s="2">
        <f t="shared" ref="E32:E50" si="8">(IF(E$27="%w/w SAR",((E$28*10)*$B32),IF(E$27="%w/w DM",(((E$28*10)*($B$28/100))*$B32),IF(E$27="kg/t SAR",(E$28*$B32),IF(E$27="kg/t DM",((E$28*($B$28/100))*$B32),IF(E$27="mg/kg SAR",((E$28*0.001)*$B32),IF(E$27="mg/kg DM",(((E$28*0.001)*($B$28/100))*$B32),"0")))))))*1.205</f>
        <v>91.965599999999995</v>
      </c>
      <c r="F32" s="2">
        <f t="shared" ref="F32:F50" si="9">(IF(F$27="%w/w SAR",((F$28*10)*$B32),IF(F$27="%w/w DM",(((F$28*10)*($B$28/100))*$B32),IF(F$27="kg/t SAR",(F$28*$B32),IF(F$27="kg/t DM",((F$28*($B$28/100))*$B32),IF(F$27="mg/kg SAR",((F$28*0.001)*$B32),IF(F$27="mg/kg DM",(((F$28*0.001)*($B$28/100))*$B32),"0")))))))*1.658</f>
        <v>4.4903613999999994</v>
      </c>
      <c r="G32" s="2">
        <f t="shared" si="5"/>
        <v>3.4450000000000001E-2</v>
      </c>
      <c r="H32" s="2">
        <f t="shared" si="5"/>
        <v>0.17383999999999999</v>
      </c>
      <c r="I32" s="2">
        <f t="shared" si="5"/>
        <v>2.6499999999999999E-2</v>
      </c>
      <c r="J32" s="2">
        <f t="shared" si="5"/>
        <v>5.3000000000000009E-4</v>
      </c>
      <c r="K32" s="2">
        <f t="shared" si="5"/>
        <v>2.65E-3</v>
      </c>
      <c r="L32" s="2">
        <f t="shared" si="5"/>
        <v>3.286E-2</v>
      </c>
      <c r="M32" s="2">
        <f t="shared" si="5"/>
        <v>1.431E-2</v>
      </c>
      <c r="N32" s="2">
        <f t="shared" si="5"/>
        <v>0</v>
      </c>
      <c r="O32" s="2">
        <f t="shared" si="5"/>
        <v>0</v>
      </c>
      <c r="P32" s="2">
        <f t="shared" si="5"/>
        <v>0</v>
      </c>
      <c r="Q32" s="2">
        <f t="shared" ref="Q32:Q50" si="10">(IF(Q$27="%w/w SAR",((Q$28*10)*$B32),IF(Q$27="%w/w DM",(((Q$28*10)*($B$28/100))*$B32),IF(Q$27="kg/t SAR",(Q$28*$B32),IF(Q$27="kg/t DM",((Q$28*($B$28/100))*$B32),IF(Q$27="mg/kg SAR",((Q$28*0.001)*$B32),IF(Q$27="mg/kg DM",(((Q$28*0.001)*($B$28/100))*$B32),0)))))))*2.5</f>
        <v>34.715000000000003</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High Trees 4</v>
      </c>
      <c r="B33" s="23">
        <v>53</v>
      </c>
      <c r="C33" s="2">
        <f t="shared" si="6"/>
        <v>196.10000000000002</v>
      </c>
      <c r="D33" s="2">
        <f t="shared" si="7"/>
        <v>35.819784999999996</v>
      </c>
      <c r="E33" s="2">
        <f t="shared" si="8"/>
        <v>91.965599999999995</v>
      </c>
      <c r="F33" s="2">
        <f t="shared" si="9"/>
        <v>4.4903613999999994</v>
      </c>
      <c r="G33" s="2">
        <f t="shared" si="5"/>
        <v>3.4450000000000001E-2</v>
      </c>
      <c r="H33" s="2">
        <f t="shared" si="5"/>
        <v>0.17383999999999999</v>
      </c>
      <c r="I33" s="2">
        <f t="shared" si="5"/>
        <v>2.6499999999999999E-2</v>
      </c>
      <c r="J33" s="2">
        <f t="shared" si="5"/>
        <v>5.3000000000000009E-4</v>
      </c>
      <c r="K33" s="2">
        <f t="shared" si="5"/>
        <v>2.65E-3</v>
      </c>
      <c r="L33" s="2">
        <f t="shared" si="5"/>
        <v>3.286E-2</v>
      </c>
      <c r="M33" s="2">
        <f t="shared" si="5"/>
        <v>1.431E-2</v>
      </c>
      <c r="N33" s="2">
        <f t="shared" si="5"/>
        <v>0</v>
      </c>
      <c r="O33" s="2">
        <f t="shared" si="5"/>
        <v>0</v>
      </c>
      <c r="P33" s="2">
        <f t="shared" si="5"/>
        <v>0</v>
      </c>
      <c r="Q33" s="2">
        <f t="shared" si="10"/>
        <v>34.715000000000003</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High Trees 5</v>
      </c>
      <c r="B34" s="23">
        <v>53</v>
      </c>
      <c r="C34" s="2">
        <f t="shared" si="6"/>
        <v>196.10000000000002</v>
      </c>
      <c r="D34" s="2">
        <f t="shared" si="7"/>
        <v>35.819784999999996</v>
      </c>
      <c r="E34" s="2">
        <f t="shared" si="8"/>
        <v>91.965599999999995</v>
      </c>
      <c r="F34" s="2">
        <f t="shared" si="9"/>
        <v>4.4903613999999994</v>
      </c>
      <c r="G34" s="2">
        <f t="shared" si="5"/>
        <v>3.4450000000000001E-2</v>
      </c>
      <c r="H34" s="2">
        <f t="shared" si="5"/>
        <v>0.17383999999999999</v>
      </c>
      <c r="I34" s="2">
        <f t="shared" si="5"/>
        <v>2.6499999999999999E-2</v>
      </c>
      <c r="J34" s="2">
        <f t="shared" si="5"/>
        <v>5.3000000000000009E-4</v>
      </c>
      <c r="K34" s="2">
        <f t="shared" si="5"/>
        <v>2.65E-3</v>
      </c>
      <c r="L34" s="2">
        <f t="shared" si="5"/>
        <v>3.286E-2</v>
      </c>
      <c r="M34" s="2">
        <f t="shared" si="5"/>
        <v>1.431E-2</v>
      </c>
      <c r="N34" s="2">
        <f t="shared" si="5"/>
        <v>0</v>
      </c>
      <c r="O34" s="2">
        <f t="shared" si="5"/>
        <v>0</v>
      </c>
      <c r="P34" s="2">
        <f t="shared" si="5"/>
        <v>0</v>
      </c>
      <c r="Q34" s="2">
        <f t="shared" si="10"/>
        <v>34.715000000000003</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High Trees 6</v>
      </c>
      <c r="B35" s="23">
        <v>53</v>
      </c>
      <c r="C35" s="2">
        <f t="shared" si="6"/>
        <v>196.10000000000002</v>
      </c>
      <c r="D35" s="2">
        <f t="shared" si="7"/>
        <v>35.819784999999996</v>
      </c>
      <c r="E35" s="2">
        <f t="shared" si="8"/>
        <v>91.965599999999995</v>
      </c>
      <c r="F35" s="2">
        <f t="shared" si="9"/>
        <v>4.4903613999999994</v>
      </c>
      <c r="G35" s="2">
        <f t="shared" si="5"/>
        <v>3.4450000000000001E-2</v>
      </c>
      <c r="H35" s="2">
        <f t="shared" si="5"/>
        <v>0.17383999999999999</v>
      </c>
      <c r="I35" s="2">
        <f t="shared" si="5"/>
        <v>2.6499999999999999E-2</v>
      </c>
      <c r="J35" s="2">
        <f t="shared" si="5"/>
        <v>5.3000000000000009E-4</v>
      </c>
      <c r="K35" s="2">
        <f t="shared" si="5"/>
        <v>2.65E-3</v>
      </c>
      <c r="L35" s="2">
        <f t="shared" si="5"/>
        <v>3.286E-2</v>
      </c>
      <c r="M35" s="2">
        <f t="shared" si="5"/>
        <v>1.431E-2</v>
      </c>
      <c r="N35" s="2">
        <f t="shared" si="5"/>
        <v>0</v>
      </c>
      <c r="O35" s="2">
        <f t="shared" si="5"/>
        <v>0</v>
      </c>
      <c r="P35" s="2">
        <f t="shared" si="5"/>
        <v>0</v>
      </c>
      <c r="Q35" s="2">
        <f t="shared" si="10"/>
        <v>34.715000000000003</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High Trees 8</v>
      </c>
      <c r="B36" s="23">
        <v>53</v>
      </c>
      <c r="C36" s="2">
        <f t="shared" si="6"/>
        <v>196.10000000000002</v>
      </c>
      <c r="D36" s="2">
        <f t="shared" si="7"/>
        <v>35.819784999999996</v>
      </c>
      <c r="E36" s="2">
        <f t="shared" si="8"/>
        <v>91.965599999999995</v>
      </c>
      <c r="F36" s="2">
        <f t="shared" si="9"/>
        <v>4.4903613999999994</v>
      </c>
      <c r="G36" s="2">
        <f t="shared" si="5"/>
        <v>3.4450000000000001E-2</v>
      </c>
      <c r="H36" s="2">
        <f t="shared" si="5"/>
        <v>0.17383999999999999</v>
      </c>
      <c r="I36" s="2">
        <f t="shared" si="5"/>
        <v>2.6499999999999999E-2</v>
      </c>
      <c r="J36" s="2">
        <f t="shared" si="5"/>
        <v>5.3000000000000009E-4</v>
      </c>
      <c r="K36" s="2">
        <f t="shared" si="5"/>
        <v>2.65E-3</v>
      </c>
      <c r="L36" s="2">
        <f t="shared" si="5"/>
        <v>3.286E-2</v>
      </c>
      <c r="M36" s="2">
        <f t="shared" si="5"/>
        <v>1.431E-2</v>
      </c>
      <c r="N36" s="2">
        <f t="shared" si="5"/>
        <v>0</v>
      </c>
      <c r="O36" s="2">
        <f t="shared" si="5"/>
        <v>0</v>
      </c>
      <c r="P36" s="2">
        <f t="shared" si="5"/>
        <v>0</v>
      </c>
      <c r="Q36" s="2">
        <f t="shared" si="10"/>
        <v>34.715000000000003</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0</v>
      </c>
      <c r="B37" s="23"/>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0</v>
      </c>
      <c r="B38" s="23"/>
      <c r="C38" s="2">
        <f t="shared" si="6"/>
        <v>0</v>
      </c>
      <c r="D38" s="2">
        <f t="shared" si="7"/>
        <v>0</v>
      </c>
      <c r="E38" s="2">
        <f t="shared" si="8"/>
        <v>0</v>
      </c>
      <c r="F38" s="2">
        <f t="shared" si="9"/>
        <v>0</v>
      </c>
      <c r="G38" s="2">
        <f t="shared" si="5"/>
        <v>0</v>
      </c>
      <c r="H38" s="2">
        <f t="shared" si="5"/>
        <v>0</v>
      </c>
      <c r="I38" s="2">
        <f t="shared" si="5"/>
        <v>0</v>
      </c>
      <c r="J38" s="2">
        <f t="shared" si="5"/>
        <v>0</v>
      </c>
      <c r="K38" s="2">
        <f t="shared" si="5"/>
        <v>0</v>
      </c>
      <c r="L38" s="2">
        <f t="shared" si="5"/>
        <v>0</v>
      </c>
      <c r="M38" s="2">
        <f t="shared" si="5"/>
        <v>0</v>
      </c>
      <c r="N38" s="2">
        <f t="shared" si="5"/>
        <v>0</v>
      </c>
      <c r="O38" s="2">
        <f t="shared" si="5"/>
        <v>0</v>
      </c>
      <c r="P38" s="2">
        <f t="shared" si="5"/>
        <v>0</v>
      </c>
      <c r="Q38" s="2">
        <f t="shared" si="10"/>
        <v>0</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0</v>
      </c>
      <c r="B39" s="23"/>
      <c r="C39" s="2">
        <f t="shared" si="6"/>
        <v>0</v>
      </c>
      <c r="D39" s="2">
        <f t="shared" si="7"/>
        <v>0</v>
      </c>
      <c r="E39" s="2">
        <f t="shared" si="8"/>
        <v>0</v>
      </c>
      <c r="F39" s="2">
        <f t="shared" si="9"/>
        <v>0</v>
      </c>
      <c r="G39" s="2">
        <f t="shared" si="5"/>
        <v>0</v>
      </c>
      <c r="H39" s="2">
        <f t="shared" si="5"/>
        <v>0</v>
      </c>
      <c r="I39" s="2">
        <f t="shared" si="5"/>
        <v>0</v>
      </c>
      <c r="J39" s="2">
        <f t="shared" si="5"/>
        <v>0</v>
      </c>
      <c r="K39" s="2">
        <f t="shared" si="5"/>
        <v>0</v>
      </c>
      <c r="L39" s="2">
        <f t="shared" si="5"/>
        <v>0</v>
      </c>
      <c r="M39" s="2">
        <f t="shared" si="5"/>
        <v>0</v>
      </c>
      <c r="N39" s="2">
        <f t="shared" si="5"/>
        <v>0</v>
      </c>
      <c r="O39" s="2">
        <f t="shared" si="5"/>
        <v>0</v>
      </c>
      <c r="P39" s="2">
        <f t="shared" si="5"/>
        <v>0</v>
      </c>
      <c r="Q39" s="2">
        <f t="shared" si="10"/>
        <v>0</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0</v>
      </c>
      <c r="B40" s="23"/>
      <c r="C40" s="2">
        <f t="shared" si="6"/>
        <v>0</v>
      </c>
      <c r="D40" s="2">
        <f t="shared" si="7"/>
        <v>0</v>
      </c>
      <c r="E40" s="2">
        <f t="shared" si="8"/>
        <v>0</v>
      </c>
      <c r="F40" s="2">
        <f t="shared" si="9"/>
        <v>0</v>
      </c>
      <c r="G40" s="2">
        <f t="shared" si="5"/>
        <v>0</v>
      </c>
      <c r="H40" s="2">
        <f t="shared" si="5"/>
        <v>0</v>
      </c>
      <c r="I40" s="2">
        <f t="shared" si="5"/>
        <v>0</v>
      </c>
      <c r="J40" s="2">
        <f t="shared" si="5"/>
        <v>0</v>
      </c>
      <c r="K40" s="2">
        <f t="shared" si="5"/>
        <v>0</v>
      </c>
      <c r="L40" s="2">
        <f t="shared" si="5"/>
        <v>0</v>
      </c>
      <c r="M40" s="2">
        <f t="shared" si="5"/>
        <v>0</v>
      </c>
      <c r="N40" s="2">
        <f t="shared" si="5"/>
        <v>0</v>
      </c>
      <c r="O40" s="2">
        <f t="shared" si="5"/>
        <v>0</v>
      </c>
      <c r="P40" s="2">
        <f t="shared" si="5"/>
        <v>0</v>
      </c>
      <c r="Q40" s="2">
        <f t="shared" si="10"/>
        <v>0</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High Trees 1</v>
      </c>
      <c r="C57" s="16" t="str">
        <f t="shared" ref="C57:U57" si="13">D8</f>
        <v>High Trees 2</v>
      </c>
      <c r="D57" s="16" t="str">
        <f t="shared" si="13"/>
        <v>High Trees 4</v>
      </c>
      <c r="E57" s="16" t="str">
        <f t="shared" si="13"/>
        <v>High Trees 5</v>
      </c>
      <c r="F57" s="16" t="str">
        <f t="shared" si="13"/>
        <v>High Trees 6</v>
      </c>
      <c r="G57" s="16" t="str">
        <f t="shared" si="13"/>
        <v>High Trees 8</v>
      </c>
      <c r="H57" s="16">
        <f t="shared" si="13"/>
        <v>0</v>
      </c>
      <c r="I57" s="16">
        <f t="shared" si="13"/>
        <v>0</v>
      </c>
      <c r="J57" s="16">
        <f t="shared" si="13"/>
        <v>0</v>
      </c>
      <c r="K57" s="16">
        <f t="shared" si="13"/>
        <v>0</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"&amp;(VLOOKUP(C14,Table24581113[],6,FALSE))</f>
        <v>Medium/Clay I Grass</v>
      </c>
      <c r="C58" s="44" t="str">
        <f>D16&amp;" I "&amp;(VLOOKUP(D14,Table24581113[],6,FALSE))</f>
        <v>Medium/Clay I Grass</v>
      </c>
      <c r="D58" s="21" t="str">
        <f>E16&amp;" I "&amp;(VLOOKUP(E14,Table24581113[],6,FALSE))</f>
        <v>Medium/Clay I Grass</v>
      </c>
      <c r="E58" s="21" t="str">
        <f>F16&amp;" I "&amp;(VLOOKUP(F14,Table24581113[],6,FALSE))</f>
        <v>Medium/Clay I Grass</v>
      </c>
      <c r="F58" s="21" t="str">
        <f>G16&amp;" I "&amp;(VLOOKUP(G14,Table24581113[],6,FALSE))</f>
        <v>Medium/Clay I Grass</v>
      </c>
      <c r="G58" s="21" t="str">
        <f>H16&amp;" I "&amp;(VLOOKUP(H14,Table24581113[],6,FALSE))</f>
        <v>Medium/Clay I Grass</v>
      </c>
      <c r="H58" s="21" t="e">
        <f>I16&amp;" I "&amp;(VLOOKUP(I14,Table24581113[],6,FALSE))</f>
        <v>#N/A</v>
      </c>
      <c r="I58" s="21" t="e">
        <f>J16&amp;" I "&amp;(VLOOKUP(J14,Table24581113[],6,FALSE))</f>
        <v>#N/A</v>
      </c>
      <c r="J58" s="21" t="e">
        <f>K16&amp;" I "&amp;(VLOOKUP(K14,Table24581113[],6,FALSE))</f>
        <v>#N/A</v>
      </c>
      <c r="K58" s="21" t="e">
        <f>L16&amp;" I "&amp;(VLOOKUP(L14,Table24581113[],6,FALSE))</f>
        <v>#N/A</v>
      </c>
      <c r="L58" s="21" t="e">
        <f>M16&amp;" I "&amp;(VLOOKUP(M14,Table24581113[],6,FALSE))</f>
        <v>#N/A</v>
      </c>
      <c r="M58" s="21" t="e">
        <f>N16&amp;" I "&amp;(VLOOKUP(N14,Table24581113[],6,FALSE))</f>
        <v>#N/A</v>
      </c>
      <c r="N58" s="21" t="e">
        <f>O16&amp;" I "&amp;(VLOOKUP(O14,Table24581113[],6,FALSE))</f>
        <v>#N/A</v>
      </c>
      <c r="O58" s="21" t="e">
        <f>P16&amp;" I "&amp;(VLOOKUP(P14,Table24581113[],6,FALSE))</f>
        <v>#N/A</v>
      </c>
      <c r="P58" s="21" t="e">
        <f>Q16&amp;" I "&amp;(VLOOKUP(Q14,Table24581113[],6,FALSE))</f>
        <v>#N/A</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92" t="s">
        <v>130</v>
      </c>
      <c r="B59" s="93">
        <f>VLOOKUP(C$14,Table24581113[],5,FALSE)</f>
        <v>6.2</v>
      </c>
      <c r="C59" s="93">
        <f>VLOOKUP(D$14,Table24581113[],5,FALSE)</f>
        <v>6.2</v>
      </c>
      <c r="D59" s="93">
        <f>VLOOKUP(E$14,Table24581113[],5,FALSE)</f>
        <v>6.2</v>
      </c>
      <c r="E59" s="93">
        <f>VLOOKUP(F$14,Table24581113[],5,FALSE)</f>
        <v>6.2</v>
      </c>
      <c r="F59" s="93">
        <f>VLOOKUP(G$14,Table24581113[],5,FALSE)</f>
        <v>6.2</v>
      </c>
      <c r="G59" s="93">
        <f>VLOOKUP(H$14,Table24581113[],5,FALSE)</f>
        <v>6.2</v>
      </c>
      <c r="H59" s="93" t="e">
        <f>VLOOKUP(I$14,Table24581113[],5,FALSE)</f>
        <v>#N/A</v>
      </c>
      <c r="I59" s="93" t="e">
        <f>VLOOKUP(J$14,Table24581113[],5,FALSE)</f>
        <v>#N/A</v>
      </c>
      <c r="J59" s="93" t="e">
        <f>VLOOKUP(K$14,Table24581113[],5,FALSE)</f>
        <v>#N/A</v>
      </c>
      <c r="K59" s="93" t="e">
        <f>VLOOKUP(L$14,Table24581113[],5,FALSE)</f>
        <v>#N/A</v>
      </c>
      <c r="L59" s="93" t="e">
        <f>VLOOKUP(M$14,Table24581113[],5,FALSE)</f>
        <v>#N/A</v>
      </c>
      <c r="M59" s="93" t="e">
        <f>VLOOKUP(N$14,Table24581113[],5,FALSE)</f>
        <v>#N/A</v>
      </c>
      <c r="N59" s="93" t="e">
        <f>VLOOKUP(O$14,Table24581113[],5,FALSE)</f>
        <v>#N/A</v>
      </c>
      <c r="O59" s="93" t="e">
        <f>VLOOKUP(P$14,Table24581113[],5,FALSE)</f>
        <v>#N/A</v>
      </c>
      <c r="P59" s="93" t="e">
        <f>VLOOKUP(Q$14,Table24581113[],5,FALSE)</f>
        <v>#N/A</v>
      </c>
      <c r="Q59" s="93" t="e">
        <f>VLOOKUP(R$14,Table24581113[],5,FALSE)</f>
        <v>#N/A</v>
      </c>
      <c r="R59" s="93" t="e">
        <f>VLOOKUP(S$14,Table24581113[],5,FALSE)</f>
        <v>#N/A</v>
      </c>
      <c r="S59" s="93" t="e">
        <f>VLOOKUP(T$14,Table24581113[],5,FALSE)</f>
        <v>#N/A</v>
      </c>
      <c r="T59" s="93" t="e">
        <f>VLOOKUP(U$14,Table24581113[],5,FALSE)</f>
        <v>#N/A</v>
      </c>
      <c r="U59" s="93" t="e">
        <f>VLOOKUP(V$14,Table24581113[],5,FALSE)</f>
        <v>#N/A</v>
      </c>
    </row>
    <row r="60" spans="1:35" s="27" customFormat="1" hidden="1" x14ac:dyDescent="0.2">
      <c r="A60" s="92" t="s">
        <v>4</v>
      </c>
      <c r="B60" s="93">
        <f>C10</f>
        <v>7</v>
      </c>
      <c r="C60" s="93">
        <f t="shared" ref="C60:U60" si="14">D10</f>
        <v>7.1</v>
      </c>
      <c r="D60" s="93">
        <f t="shared" si="14"/>
        <v>7.1</v>
      </c>
      <c r="E60" s="93">
        <f t="shared" si="14"/>
        <v>6.9</v>
      </c>
      <c r="F60" s="93">
        <f t="shared" si="14"/>
        <v>6.5</v>
      </c>
      <c r="G60" s="93">
        <f t="shared" si="14"/>
        <v>6.5</v>
      </c>
      <c r="H60" s="93">
        <f t="shared" si="14"/>
        <v>0</v>
      </c>
      <c r="I60" s="93">
        <f t="shared" si="14"/>
        <v>0</v>
      </c>
      <c r="J60" s="93">
        <f t="shared" si="14"/>
        <v>0</v>
      </c>
      <c r="K60" s="93">
        <f t="shared" si="14"/>
        <v>0</v>
      </c>
      <c r="L60" s="93">
        <f t="shared" si="14"/>
        <v>0</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t="e">
        <f t="shared" si="15"/>
        <v>#N/A</v>
      </c>
      <c r="I61" s="93" t="e">
        <f t="shared" si="15"/>
        <v>#N/A</v>
      </c>
      <c r="J61" s="93" t="e">
        <f t="shared" si="15"/>
        <v>#N/A</v>
      </c>
      <c r="K61" s="93" t="e">
        <f t="shared" si="15"/>
        <v>#N/A</v>
      </c>
      <c r="L61" s="93" t="e">
        <f t="shared" si="15"/>
        <v>#N/A</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53</v>
      </c>
      <c r="C62" s="94">
        <f>B32</f>
        <v>53</v>
      </c>
      <c r="D62" s="94">
        <f>B33</f>
        <v>53</v>
      </c>
      <c r="E62" s="94">
        <f>B34</f>
        <v>53</v>
      </c>
      <c r="F62" s="94">
        <f>B35</f>
        <v>53</v>
      </c>
      <c r="G62" s="94">
        <f>B36</f>
        <v>53</v>
      </c>
      <c r="H62" s="94">
        <f>B37</f>
        <v>0</v>
      </c>
      <c r="I62" s="94">
        <f>B38</f>
        <v>0</v>
      </c>
      <c r="J62" s="94">
        <f>B39</f>
        <v>0</v>
      </c>
      <c r="K62" s="94">
        <f>B40</f>
        <v>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-5.3999999999999968</v>
      </c>
      <c r="D64" s="94">
        <f t="shared" si="17"/>
        <v>-5.3999999999999968</v>
      </c>
      <c r="E64" s="94">
        <f t="shared" si="17"/>
        <v>-4.2000000000000011</v>
      </c>
      <c r="F64" s="94">
        <f t="shared" si="17"/>
        <v>-1.7999999999999989</v>
      </c>
      <c r="G64" s="94">
        <f t="shared" si="17"/>
        <v>-1.7999999999999989</v>
      </c>
      <c r="H64" s="94" t="e">
        <f t="shared" si="17"/>
        <v>#N/A</v>
      </c>
      <c r="I64" s="94" t="e">
        <f t="shared" si="17"/>
        <v>#N/A</v>
      </c>
      <c r="J64" s="94" t="e">
        <f t="shared" si="17"/>
        <v>#N/A</v>
      </c>
      <c r="K64" s="94" t="e">
        <f t="shared" si="17"/>
        <v>#N/A</v>
      </c>
      <c r="L64" s="94" t="e">
        <f t="shared" si="17"/>
        <v>#N/A</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OVER</v>
      </c>
      <c r="H65" s="95" t="e">
        <f t="shared" si="18"/>
        <v>#N/A</v>
      </c>
      <c r="I65" s="95" t="e">
        <f t="shared" si="18"/>
        <v>#N/A</v>
      </c>
      <c r="J65" s="95" t="e">
        <f t="shared" si="18"/>
        <v>#N/A</v>
      </c>
      <c r="K65" s="95" t="e">
        <f t="shared" si="18"/>
        <v>#N/A</v>
      </c>
      <c r="L65" s="95" t="e">
        <f t="shared" si="18"/>
        <v>#N/A</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510" ma:contentTypeDescription="Permitting &amp; Compliance Excel Document" ma:contentTypeScope="" ma:versionID="9b1f5cd6d7e0748bc06d4c78957b7fbf">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d1d914207809f73528a7320d211d4d6"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2020-10-05T23:00:00+00:00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57CACB91-01FE-48C0-A8F4-05391578658D}"/>
</file>

<file path=customXml/itemProps2.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45AA1F6A-F974-4905-9ABB-182F77867A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Field data and Waste 1</vt:lpstr>
      <vt:lpstr>Waste 2</vt:lpstr>
      <vt:lpstr>Waste 3</vt:lpstr>
      <vt:lpstr>Waste 4</vt:lpstr>
      <vt:lpstr>Waste 5</vt:lpstr>
      <vt:lpstr>Waste 6</vt:lpstr>
      <vt:lpstr>Waste 7</vt:lpstr>
      <vt:lpstr>Waste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2020-10-06T08:14:25Z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23948837-c794-4059-a69e-688ab29d8ff7</vt:lpwstr>
  </property>
  <property fmtid="{D5CDD505-2E9C-101B-9397-08002B2CF9AE}" pid="4" name="_dlc_DocId">
    <vt:lpwstr>REGU-415-1610105</vt:lpwstr>
  </property>
  <property fmtid="{D5CDD505-2E9C-101B-9397-08002B2CF9AE}" pid="5" name="_dlc_DocIdUrl">
    <vt:lpwstr>https://cyfoethnaturiolcymru.sharepoint.com/teams/Regulatory/Permitting/_layouts/15/DocIdRedir.aspx?ID=REGU-415-1610105, REGU-415-1610105</vt:lpwstr>
  </property>
</Properties>
</file>