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2063\"/>
    </mc:Choice>
  </mc:AlternateContent>
  <xr:revisionPtr revIDLastSave="0" documentId="13_ncr:1_{D67E372D-57CD-459C-B65D-582B73A86C9E}" xr6:coauthVersionLast="44" xr6:coauthVersionMax="44" xr10:uidLastSave="{00000000-0000-0000-0000-000000000000}"/>
  <bookViews>
    <workbookView xWindow="-120" yWindow="-120" windowWidth="29040" windowHeight="15840" tabRatio="870" activeTab="9"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 i="29" l="1"/>
  <c r="C15" i="22" l="1"/>
  <c r="C15" i="23"/>
  <c r="U62" i="30" l="1"/>
  <c r="T62" i="30"/>
  <c r="S62" i="30"/>
  <c r="R62" i="30"/>
  <c r="Q62" i="30"/>
  <c r="P62" i="30"/>
  <c r="O62" i="30"/>
  <c r="N62" i="30"/>
  <c r="M62" i="30"/>
  <c r="L62" i="30"/>
  <c r="K62" i="30"/>
  <c r="J62" i="30"/>
  <c r="I62" i="30"/>
  <c r="H62" i="30"/>
  <c r="G62" i="30"/>
  <c r="F62" i="30"/>
  <c r="E62" i="30"/>
  <c r="D62" i="30"/>
  <c r="C62" i="30"/>
  <c r="B62" i="30"/>
  <c r="G55" i="30"/>
  <c r="E55" i="30"/>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T31" i="30"/>
  <c r="S31" i="30"/>
  <c r="R31" i="30"/>
  <c r="Q31" i="30"/>
  <c r="P31" i="30"/>
  <c r="O31" i="30"/>
  <c r="N31" i="30"/>
  <c r="M31" i="30"/>
  <c r="L31" i="30"/>
  <c r="K31" i="30"/>
  <c r="J31" i="30"/>
  <c r="I31" i="30"/>
  <c r="H31" i="30"/>
  <c r="G31" i="30"/>
  <c r="F31" i="30"/>
  <c r="E31" i="30"/>
  <c r="C22" i="30" s="1"/>
  <c r="D31" i="30"/>
  <c r="C18" i="30" s="1"/>
  <c r="C31" i="30"/>
  <c r="V24" i="30"/>
  <c r="U24" i="30"/>
  <c r="T24" i="30"/>
  <c r="S24" i="30"/>
  <c r="R24" i="30"/>
  <c r="Q24" i="30"/>
  <c r="P24" i="30"/>
  <c r="O24" i="30"/>
  <c r="N24" i="30"/>
  <c r="M24" i="30"/>
  <c r="L24" i="30"/>
  <c r="K24" i="30"/>
  <c r="J24" i="30"/>
  <c r="I24" i="30"/>
  <c r="V22" i="30"/>
  <c r="U22" i="30"/>
  <c r="S22" i="30"/>
  <c r="Q22" i="30"/>
  <c r="N22" i="30"/>
  <c r="M22" i="30"/>
  <c r="I22" i="30"/>
  <c r="E22" i="30"/>
  <c r="V20" i="30"/>
  <c r="U20" i="30"/>
  <c r="T20" i="30"/>
  <c r="S20" i="30"/>
  <c r="R20" i="30"/>
  <c r="Q20" i="30"/>
  <c r="P20" i="30"/>
  <c r="O20" i="30"/>
  <c r="N20" i="30"/>
  <c r="M20" i="30"/>
  <c r="L20" i="30"/>
  <c r="K20" i="30"/>
  <c r="J20" i="30"/>
  <c r="I20" i="30"/>
  <c r="V18" i="30"/>
  <c r="T18" i="30"/>
  <c r="R18" i="30"/>
  <c r="Q18" i="30"/>
  <c r="P18" i="30"/>
  <c r="N18" i="30"/>
  <c r="L18" i="30"/>
  <c r="I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59" i="30" s="1"/>
  <c r="U14" i="30"/>
  <c r="T59" i="30" s="1"/>
  <c r="T14" i="30"/>
  <c r="S59" i="30" s="1"/>
  <c r="S14" i="30"/>
  <c r="R59" i="30" s="1"/>
  <c r="R14" i="30"/>
  <c r="Q59" i="30" s="1"/>
  <c r="Q14" i="30"/>
  <c r="P14" i="30"/>
  <c r="O14" i="30"/>
  <c r="O21" i="30" s="1"/>
  <c r="N14" i="30"/>
  <c r="M59" i="30" s="1"/>
  <c r="M14" i="30"/>
  <c r="L59" i="30" s="1"/>
  <c r="L14" i="30"/>
  <c r="K59" i="30" s="1"/>
  <c r="K14" i="30"/>
  <c r="J59" i="30" s="1"/>
  <c r="J14" i="30"/>
  <c r="I59" i="30" s="1"/>
  <c r="I14" i="30"/>
  <c r="H59" i="30" s="1"/>
  <c r="H14" i="30"/>
  <c r="G14" i="30"/>
  <c r="F14" i="30"/>
  <c r="E59" i="30" s="1"/>
  <c r="E14" i="30"/>
  <c r="D59" i="30" s="1"/>
  <c r="D14" i="30"/>
  <c r="C59" i="30" s="1"/>
  <c r="C14" i="30"/>
  <c r="B59" i="30" s="1"/>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c r="U63" i="29" s="1"/>
  <c r="D55" i="29"/>
  <c r="U50" i="29"/>
  <c r="T50" i="29"/>
  <c r="S50" i="29"/>
  <c r="R50" i="29"/>
  <c r="Q50" i="29"/>
  <c r="P50" i="29"/>
  <c r="O50" i="29"/>
  <c r="N50" i="29"/>
  <c r="M50" i="29"/>
  <c r="L50" i="29"/>
  <c r="K50" i="29"/>
  <c r="J50" i="29"/>
  <c r="I50" i="29"/>
  <c r="H50" i="29"/>
  <c r="G50" i="29"/>
  <c r="F50" i="29"/>
  <c r="E50" i="29"/>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C45" i="29"/>
  <c r="U44" i="29"/>
  <c r="T44" i="29"/>
  <c r="S44" i="29"/>
  <c r="R44" i="29"/>
  <c r="Q44" i="29"/>
  <c r="P44" i="29"/>
  <c r="O44" i="29"/>
  <c r="N44" i="29"/>
  <c r="M44" i="29"/>
  <c r="L44" i="29"/>
  <c r="K44" i="29"/>
  <c r="J44" i="29"/>
  <c r="I44" i="29"/>
  <c r="H44" i="29"/>
  <c r="G44" i="29"/>
  <c r="F44" i="29"/>
  <c r="E44" i="29"/>
  <c r="D44" i="29"/>
  <c r="P18" i="29" s="1"/>
  <c r="C44" i="29"/>
  <c r="U43" i="29"/>
  <c r="T43" i="29"/>
  <c r="S43" i="29"/>
  <c r="R43" i="29"/>
  <c r="Q43" i="29"/>
  <c r="P43" i="29"/>
  <c r="O43" i="29"/>
  <c r="N43" i="29"/>
  <c r="M43" i="29"/>
  <c r="L43" i="29"/>
  <c r="K43" i="29"/>
  <c r="J43" i="29"/>
  <c r="I43" i="29"/>
  <c r="H43" i="29"/>
  <c r="G43" i="29"/>
  <c r="F43" i="29"/>
  <c r="E43" i="29"/>
  <c r="D43" i="29"/>
  <c r="C43" i="29"/>
  <c r="U42" i="29"/>
  <c r="T42" i="29"/>
  <c r="S42" i="29"/>
  <c r="R42" i="29"/>
  <c r="Q42" i="29"/>
  <c r="P42" i="29"/>
  <c r="O42" i="29"/>
  <c r="N42" i="29"/>
  <c r="M42" i="29"/>
  <c r="L42" i="29"/>
  <c r="K42" i="29"/>
  <c r="J42" i="29"/>
  <c r="I42" i="29"/>
  <c r="H42" i="29"/>
  <c r="G42" i="29"/>
  <c r="F42" i="29"/>
  <c r="E42" i="29"/>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D39" i="29"/>
  <c r="C39" i="29"/>
  <c r="U38" i="29"/>
  <c r="T38" i="29"/>
  <c r="S38" i="29"/>
  <c r="R38" i="29"/>
  <c r="Q38" i="29"/>
  <c r="P38" i="29"/>
  <c r="O38" i="29"/>
  <c r="N38" i="29"/>
  <c r="M38" i="29"/>
  <c r="L38" i="29"/>
  <c r="K38" i="29"/>
  <c r="J38" i="29"/>
  <c r="I38" i="29"/>
  <c r="H38" i="29"/>
  <c r="G38" i="29"/>
  <c r="F38" i="29"/>
  <c r="E38" i="29"/>
  <c r="J22" i="29" s="1"/>
  <c r="D38" i="29"/>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D36" i="29"/>
  <c r="H18" i="29" s="1"/>
  <c r="C36" i="29"/>
  <c r="U35" i="29"/>
  <c r="T35" i="29"/>
  <c r="S35" i="29"/>
  <c r="R35" i="29"/>
  <c r="Q35" i="29"/>
  <c r="P35" i="29"/>
  <c r="O35" i="29"/>
  <c r="N35" i="29"/>
  <c r="M35" i="29"/>
  <c r="L35" i="29"/>
  <c r="K35" i="29"/>
  <c r="J35" i="29"/>
  <c r="I35" i="29"/>
  <c r="H35" i="29"/>
  <c r="G35" i="29"/>
  <c r="F35" i="29"/>
  <c r="E35" i="29"/>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T31" i="29"/>
  <c r="S31" i="29"/>
  <c r="R31" i="29"/>
  <c r="Q31" i="29"/>
  <c r="P31" i="29"/>
  <c r="O31" i="29"/>
  <c r="N31" i="29"/>
  <c r="M31" i="29"/>
  <c r="L31" i="29"/>
  <c r="K31" i="29"/>
  <c r="J31" i="29"/>
  <c r="I31" i="29"/>
  <c r="H31" i="29"/>
  <c r="G31" i="29"/>
  <c r="F31" i="29"/>
  <c r="E31" i="29"/>
  <c r="C22" i="29" s="1"/>
  <c r="D31" i="29"/>
  <c r="C18" i="29" s="1"/>
  <c r="C31" i="29"/>
  <c r="V24" i="29"/>
  <c r="U24" i="29"/>
  <c r="T24" i="29"/>
  <c r="S24" i="29"/>
  <c r="R24" i="29"/>
  <c r="Q24" i="29"/>
  <c r="P24" i="29"/>
  <c r="O24" i="29"/>
  <c r="N24" i="29"/>
  <c r="M24" i="29"/>
  <c r="L24" i="29"/>
  <c r="K24" i="29"/>
  <c r="J24" i="29"/>
  <c r="I24" i="29"/>
  <c r="V22" i="29"/>
  <c r="T22" i="29"/>
  <c r="S22" i="29"/>
  <c r="R22" i="29"/>
  <c r="P22" i="29"/>
  <c r="O22" i="29"/>
  <c r="N22" i="29"/>
  <c r="L22" i="29"/>
  <c r="K22" i="29"/>
  <c r="H22" i="29"/>
  <c r="G22" i="29"/>
  <c r="V20" i="29"/>
  <c r="U20" i="29"/>
  <c r="T20" i="29"/>
  <c r="S20" i="29"/>
  <c r="R20" i="29"/>
  <c r="Q20" i="29"/>
  <c r="P20" i="29"/>
  <c r="O20" i="29"/>
  <c r="N20" i="29"/>
  <c r="M20" i="29"/>
  <c r="L20" i="29"/>
  <c r="K20" i="29"/>
  <c r="J20" i="29"/>
  <c r="I20" i="29"/>
  <c r="V18" i="29"/>
  <c r="U18" i="29"/>
  <c r="T18" i="29"/>
  <c r="S18" i="29"/>
  <c r="R18" i="29"/>
  <c r="Q18" i="29"/>
  <c r="O18" i="29"/>
  <c r="N18" i="29"/>
  <c r="M18" i="29"/>
  <c r="L18" i="29"/>
  <c r="K18" i="29"/>
  <c r="J18" i="29"/>
  <c r="I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59" i="29" s="1"/>
  <c r="U14" i="29"/>
  <c r="T59" i="29" s="1"/>
  <c r="T14" i="29"/>
  <c r="S59" i="29" s="1"/>
  <c r="S14" i="29"/>
  <c r="R59" i="29" s="1"/>
  <c r="R14" i="29"/>
  <c r="Q59" i="29" s="1"/>
  <c r="Q14" i="29"/>
  <c r="Q21" i="29" s="1"/>
  <c r="P14" i="29"/>
  <c r="O14" i="29"/>
  <c r="N14" i="29"/>
  <c r="M59" i="29" s="1"/>
  <c r="M14" i="29"/>
  <c r="L59" i="29" s="1"/>
  <c r="L14" i="29"/>
  <c r="K59" i="29" s="1"/>
  <c r="K14" i="29"/>
  <c r="J59" i="29" s="1"/>
  <c r="J14" i="29"/>
  <c r="I59" i="29" s="1"/>
  <c r="I14" i="29"/>
  <c r="I21" i="29" s="1"/>
  <c r="H14" i="29"/>
  <c r="G14" i="29"/>
  <c r="F14" i="29"/>
  <c r="E59" i="29" s="1"/>
  <c r="E14" i="29"/>
  <c r="D59" i="29" s="1"/>
  <c r="D14" i="29"/>
  <c r="C59" i="29" s="1"/>
  <c r="C14" i="29"/>
  <c r="B59" i="29" s="1"/>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C38" i="28"/>
  <c r="U37" i="28"/>
  <c r="T37" i="28"/>
  <c r="S37" i="28"/>
  <c r="R37" i="28"/>
  <c r="Q37" i="28"/>
  <c r="P37" i="28"/>
  <c r="O37" i="28"/>
  <c r="N37" i="28"/>
  <c r="M37" i="28"/>
  <c r="L37" i="28"/>
  <c r="K37" i="28"/>
  <c r="J37" i="28"/>
  <c r="I37" i="28"/>
  <c r="H37" i="28"/>
  <c r="G37" i="28"/>
  <c r="F37" i="28"/>
  <c r="E37" i="28"/>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2" i="28"/>
  <c r="O22" i="28"/>
  <c r="N22" i="28"/>
  <c r="I22" i="28"/>
  <c r="F22" i="28"/>
  <c r="V20" i="28"/>
  <c r="U20" i="28"/>
  <c r="T20" i="28"/>
  <c r="S20" i="28"/>
  <c r="R20" i="28"/>
  <c r="Q20" i="28"/>
  <c r="P20" i="28"/>
  <c r="O20" i="28"/>
  <c r="N20" i="28"/>
  <c r="M20" i="28"/>
  <c r="L20" i="28"/>
  <c r="K20" i="28"/>
  <c r="J20" i="28"/>
  <c r="I20" i="28"/>
  <c r="V18" i="28"/>
  <c r="R18" i="28"/>
  <c r="Q18" i="28"/>
  <c r="J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59" i="28" s="1"/>
  <c r="U14" i="28"/>
  <c r="T59" i="28" s="1"/>
  <c r="T14" i="28"/>
  <c r="S59" i="28" s="1"/>
  <c r="S14" i="28"/>
  <c r="R59" i="28" s="1"/>
  <c r="R14" i="28"/>
  <c r="Q59" i="28" s="1"/>
  <c r="Q14" i="28"/>
  <c r="P14" i="28"/>
  <c r="O14" i="28"/>
  <c r="N59" i="28" s="1"/>
  <c r="N14" i="28"/>
  <c r="M59" i="28" s="1"/>
  <c r="M14" i="28"/>
  <c r="L59" i="28" s="1"/>
  <c r="L14" i="28"/>
  <c r="K59" i="28" s="1"/>
  <c r="K14" i="28"/>
  <c r="J59" i="28" s="1"/>
  <c r="J14" i="28"/>
  <c r="I59" i="28" s="1"/>
  <c r="I14" i="28"/>
  <c r="H14" i="28"/>
  <c r="G14" i="28"/>
  <c r="F59" i="28" s="1"/>
  <c r="F14" i="28"/>
  <c r="E59" i="28" s="1"/>
  <c r="E14" i="28"/>
  <c r="D59" i="28" s="1"/>
  <c r="D14" i="28"/>
  <c r="C59" i="28" s="1"/>
  <c r="C14" i="28"/>
  <c r="B59" i="28" s="1"/>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D50" i="27"/>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D42" i="27"/>
  <c r="C42" i="27"/>
  <c r="U41" i="27"/>
  <c r="T41" i="27"/>
  <c r="S41" i="27"/>
  <c r="R41" i="27"/>
  <c r="Q41" i="27"/>
  <c r="P41" i="27"/>
  <c r="O41" i="27"/>
  <c r="N41" i="27"/>
  <c r="M41" i="27"/>
  <c r="L41" i="27"/>
  <c r="K41" i="27"/>
  <c r="J41" i="27"/>
  <c r="I41" i="27"/>
  <c r="H41" i="27"/>
  <c r="G41" i="27"/>
  <c r="F41" i="27"/>
  <c r="E41" i="27"/>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N24" i="27"/>
  <c r="M24" i="27"/>
  <c r="L24" i="27"/>
  <c r="K24" i="27"/>
  <c r="J24" i="27"/>
  <c r="I24" i="27"/>
  <c r="V22" i="27"/>
  <c r="S22" i="27"/>
  <c r="O22" i="27"/>
  <c r="N22" i="27"/>
  <c r="M22" i="27"/>
  <c r="I22" i="27"/>
  <c r="G22" i="27"/>
  <c r="V20" i="27"/>
  <c r="U20" i="27"/>
  <c r="T20" i="27"/>
  <c r="S20" i="27"/>
  <c r="R20" i="27"/>
  <c r="Q20" i="27"/>
  <c r="P20" i="27"/>
  <c r="O20" i="27"/>
  <c r="N20" i="27"/>
  <c r="M20" i="27"/>
  <c r="L20" i="27"/>
  <c r="K20" i="27"/>
  <c r="J20" i="27"/>
  <c r="I20" i="27"/>
  <c r="V18" i="27"/>
  <c r="T18" i="27"/>
  <c r="S18" i="27"/>
  <c r="R18" i="27"/>
  <c r="Q18" i="27"/>
  <c r="O18" i="27"/>
  <c r="N18" i="27"/>
  <c r="L18" i="27"/>
  <c r="K18" i="27"/>
  <c r="J18" i="27"/>
  <c r="I18" i="27"/>
  <c r="F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3" i="26"/>
  <c r="N63" i="26"/>
  <c r="M63" i="26"/>
  <c r="U62" i="26"/>
  <c r="T62" i="26"/>
  <c r="S62" i="26"/>
  <c r="R62" i="26"/>
  <c r="Q62" i="26"/>
  <c r="P62" i="26"/>
  <c r="O62" i="26"/>
  <c r="N62" i="26"/>
  <c r="M62" i="26"/>
  <c r="L62" i="26"/>
  <c r="K62" i="26"/>
  <c r="J62" i="26"/>
  <c r="I62" i="26"/>
  <c r="H62" i="26"/>
  <c r="G62" i="26"/>
  <c r="F62" i="26"/>
  <c r="F63" i="26" s="1"/>
  <c r="E62" i="26"/>
  <c r="E63" i="26" s="1"/>
  <c r="D62" i="26"/>
  <c r="C62" i="26"/>
  <c r="B62" i="26"/>
  <c r="G55" i="26"/>
  <c r="E55" i="26"/>
  <c r="T63" i="26" s="1"/>
  <c r="D55" i="26"/>
  <c r="U50" i="26"/>
  <c r="T50" i="26"/>
  <c r="S50" i="26"/>
  <c r="R50" i="26"/>
  <c r="Q50" i="26"/>
  <c r="P50" i="26"/>
  <c r="O50" i="26"/>
  <c r="N50" i="26"/>
  <c r="M50" i="26"/>
  <c r="L50" i="26"/>
  <c r="K50" i="26"/>
  <c r="J50" i="26"/>
  <c r="I50" i="26"/>
  <c r="H50" i="26"/>
  <c r="G50" i="26"/>
  <c r="F50" i="26"/>
  <c r="E50" i="26"/>
  <c r="D50" i="26"/>
  <c r="C50" i="26"/>
  <c r="U49" i="26"/>
  <c r="T49" i="26"/>
  <c r="S49" i="26"/>
  <c r="R49" i="26"/>
  <c r="Q49" i="26"/>
  <c r="P49" i="26"/>
  <c r="O49" i="26"/>
  <c r="N49" i="26"/>
  <c r="M49" i="26"/>
  <c r="L49" i="26"/>
  <c r="K49" i="26"/>
  <c r="J49" i="26"/>
  <c r="I49" i="26"/>
  <c r="H49" i="26"/>
  <c r="G49" i="26"/>
  <c r="F49" i="26"/>
  <c r="E49" i="26"/>
  <c r="D49" i="26"/>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C45" i="26"/>
  <c r="U44" i="26"/>
  <c r="T44" i="26"/>
  <c r="S44" i="26"/>
  <c r="R44" i="26"/>
  <c r="Q44" i="26"/>
  <c r="P44" i="26"/>
  <c r="O44" i="26"/>
  <c r="N44" i="26"/>
  <c r="M44" i="26"/>
  <c r="L44" i="26"/>
  <c r="K44" i="26"/>
  <c r="J44" i="26"/>
  <c r="I44" i="26"/>
  <c r="H44" i="26"/>
  <c r="G44" i="26"/>
  <c r="F44" i="26"/>
  <c r="E44" i="26"/>
  <c r="P22" i="26" s="1"/>
  <c r="D44" i="26"/>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D42" i="26"/>
  <c r="C42" i="26"/>
  <c r="U41" i="26"/>
  <c r="T41" i="26"/>
  <c r="S41" i="26"/>
  <c r="R41" i="26"/>
  <c r="Q41" i="26"/>
  <c r="P41" i="26"/>
  <c r="O41" i="26"/>
  <c r="N41" i="26"/>
  <c r="M41" i="26"/>
  <c r="L41" i="26"/>
  <c r="K41" i="26"/>
  <c r="J41" i="26"/>
  <c r="I41" i="26"/>
  <c r="H41" i="26"/>
  <c r="G41" i="26"/>
  <c r="F41" i="26"/>
  <c r="E41" i="26"/>
  <c r="D41" i="26"/>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T31" i="26"/>
  <c r="S31" i="26"/>
  <c r="R31" i="26"/>
  <c r="Q31" i="26"/>
  <c r="P31" i="26"/>
  <c r="O31" i="26"/>
  <c r="N31" i="26"/>
  <c r="M31" i="26"/>
  <c r="L31" i="26"/>
  <c r="K31" i="26"/>
  <c r="J31" i="26"/>
  <c r="I31" i="26"/>
  <c r="H31" i="26"/>
  <c r="G31" i="26"/>
  <c r="F31" i="26"/>
  <c r="E31" i="26"/>
  <c r="C22" i="26" s="1"/>
  <c r="D31" i="26"/>
  <c r="C18" i="26" s="1"/>
  <c r="C31" i="26"/>
  <c r="V24" i="26"/>
  <c r="U24" i="26"/>
  <c r="T24" i="26"/>
  <c r="S24" i="26"/>
  <c r="R24" i="26"/>
  <c r="Q24" i="26"/>
  <c r="P24" i="26"/>
  <c r="O24" i="26"/>
  <c r="N24" i="26"/>
  <c r="M24" i="26"/>
  <c r="L24" i="26"/>
  <c r="K24" i="26"/>
  <c r="J24" i="26"/>
  <c r="I24" i="26"/>
  <c r="V22" i="26"/>
  <c r="U22" i="26"/>
  <c r="S22" i="26"/>
  <c r="Q22" i="26"/>
  <c r="N22" i="26"/>
  <c r="M22" i="26"/>
  <c r="K22" i="26"/>
  <c r="I22" i="26"/>
  <c r="V20" i="26"/>
  <c r="U20" i="26"/>
  <c r="T20" i="26"/>
  <c r="S20" i="26"/>
  <c r="R20" i="26"/>
  <c r="Q20" i="26"/>
  <c r="P20" i="26"/>
  <c r="O20" i="26"/>
  <c r="N20" i="26"/>
  <c r="M20" i="26"/>
  <c r="L20" i="26"/>
  <c r="K20" i="26"/>
  <c r="J20" i="26"/>
  <c r="I20" i="26"/>
  <c r="V18" i="26"/>
  <c r="U18" i="26"/>
  <c r="T18" i="26"/>
  <c r="Q18" i="26"/>
  <c r="P18" i="26"/>
  <c r="O18" i="26"/>
  <c r="N18" i="26"/>
  <c r="M18" i="26"/>
  <c r="L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59" i="26" s="1"/>
  <c r="U14" i="26"/>
  <c r="T59" i="26" s="1"/>
  <c r="T14" i="26"/>
  <c r="S59" i="26" s="1"/>
  <c r="S14" i="26"/>
  <c r="R59" i="26" s="1"/>
  <c r="R14" i="26"/>
  <c r="Q58" i="26" s="1"/>
  <c r="Q61" i="26" s="1"/>
  <c r="Q14" i="26"/>
  <c r="P59" i="26" s="1"/>
  <c r="P14" i="26"/>
  <c r="O14" i="26"/>
  <c r="N14" i="26"/>
  <c r="M59" i="26" s="1"/>
  <c r="M14" i="26"/>
  <c r="L59" i="26" s="1"/>
  <c r="L14" i="26"/>
  <c r="K59" i="26" s="1"/>
  <c r="K14" i="26"/>
  <c r="J59" i="26" s="1"/>
  <c r="J14" i="26"/>
  <c r="I58" i="26" s="1"/>
  <c r="I61" i="26" s="1"/>
  <c r="I14" i="26"/>
  <c r="H59" i="26" s="1"/>
  <c r="H14" i="26"/>
  <c r="G14" i="26"/>
  <c r="F14" i="26"/>
  <c r="E59" i="26" s="1"/>
  <c r="E14" i="26"/>
  <c r="D59" i="26" s="1"/>
  <c r="D14" i="26"/>
  <c r="C59" i="26" s="1"/>
  <c r="C14" i="26"/>
  <c r="B59" i="26" s="1"/>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N63" i="24"/>
  <c r="U62" i="24"/>
  <c r="T62" i="24"/>
  <c r="S62" i="24"/>
  <c r="R62" i="24"/>
  <c r="Q62" i="24"/>
  <c r="P62" i="24"/>
  <c r="O62" i="24"/>
  <c r="N62" i="24"/>
  <c r="M62" i="24"/>
  <c r="L62" i="24"/>
  <c r="K62" i="24"/>
  <c r="J62" i="24"/>
  <c r="I62" i="24"/>
  <c r="H62" i="24"/>
  <c r="G62" i="24"/>
  <c r="F62" i="24"/>
  <c r="F63" i="24" s="1"/>
  <c r="E62" i="24"/>
  <c r="D62" i="24"/>
  <c r="C62" i="24"/>
  <c r="B62" i="24"/>
  <c r="G55" i="24"/>
  <c r="E55" i="24"/>
  <c r="U63"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C48" i="24"/>
  <c r="U47" i="24"/>
  <c r="T47" i="24"/>
  <c r="S47" i="24"/>
  <c r="R47" i="24"/>
  <c r="Q47" i="24"/>
  <c r="P47" i="24"/>
  <c r="O47" i="24"/>
  <c r="N47" i="24"/>
  <c r="M47" i="24"/>
  <c r="L47" i="24"/>
  <c r="K47" i="24"/>
  <c r="J47" i="24"/>
  <c r="I47" i="24"/>
  <c r="H47" i="24"/>
  <c r="G47" i="24"/>
  <c r="F47" i="24"/>
  <c r="E47" i="24"/>
  <c r="S22" i="24" s="1"/>
  <c r="D47" i="24"/>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C40" i="24"/>
  <c r="U39" i="24"/>
  <c r="T39" i="24"/>
  <c r="S39" i="24"/>
  <c r="R39" i="24"/>
  <c r="Q39" i="24"/>
  <c r="P39" i="24"/>
  <c r="O39" i="24"/>
  <c r="N39" i="24"/>
  <c r="M39" i="24"/>
  <c r="L39" i="24"/>
  <c r="K39" i="24"/>
  <c r="J39" i="24"/>
  <c r="I39" i="24"/>
  <c r="H39" i="24"/>
  <c r="G39" i="24"/>
  <c r="F39" i="24"/>
  <c r="E39" i="24"/>
  <c r="K22" i="24" s="1"/>
  <c r="D39" i="24"/>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T31" i="24"/>
  <c r="S31" i="24"/>
  <c r="R31" i="24"/>
  <c r="Q31" i="24"/>
  <c r="P31" i="24"/>
  <c r="O31" i="24"/>
  <c r="N31" i="24"/>
  <c r="M31" i="24"/>
  <c r="L31" i="24"/>
  <c r="K31" i="24"/>
  <c r="J31" i="24"/>
  <c r="I31" i="24"/>
  <c r="H31" i="24"/>
  <c r="G31" i="24"/>
  <c r="F31" i="24"/>
  <c r="E31" i="24"/>
  <c r="C22" i="24" s="1"/>
  <c r="D31" i="24"/>
  <c r="C18" i="24" s="1"/>
  <c r="C31" i="24"/>
  <c r="V24" i="24"/>
  <c r="U24" i="24"/>
  <c r="T24" i="24"/>
  <c r="S24" i="24"/>
  <c r="R24" i="24"/>
  <c r="Q24" i="24"/>
  <c r="P24" i="24"/>
  <c r="O24" i="24"/>
  <c r="N24" i="24"/>
  <c r="M24" i="24"/>
  <c r="L24" i="24"/>
  <c r="K24" i="24"/>
  <c r="J24" i="24"/>
  <c r="I24" i="24"/>
  <c r="U22" i="24"/>
  <c r="Q22" i="24"/>
  <c r="M22" i="24"/>
  <c r="I22" i="24"/>
  <c r="G22" i="24"/>
  <c r="E22" i="24"/>
  <c r="V20" i="24"/>
  <c r="U20" i="24"/>
  <c r="T20" i="24"/>
  <c r="S20" i="24"/>
  <c r="R20" i="24"/>
  <c r="Q20" i="24"/>
  <c r="P20" i="24"/>
  <c r="O20" i="24"/>
  <c r="N20" i="24"/>
  <c r="M20" i="24"/>
  <c r="L20" i="24"/>
  <c r="K20" i="24"/>
  <c r="J20" i="24"/>
  <c r="I20" i="24"/>
  <c r="U18" i="24"/>
  <c r="T18" i="24"/>
  <c r="S18" i="24"/>
  <c r="P18" i="24"/>
  <c r="O18" i="24"/>
  <c r="M18" i="24"/>
  <c r="L18" i="24"/>
  <c r="K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59" i="24" s="1"/>
  <c r="U14" i="24"/>
  <c r="T59" i="24" s="1"/>
  <c r="T14" i="24"/>
  <c r="S59" i="24" s="1"/>
  <c r="S14" i="24"/>
  <c r="R59" i="24" s="1"/>
  <c r="R14" i="24"/>
  <c r="Q59" i="24" s="1"/>
  <c r="Q14" i="24"/>
  <c r="P14" i="24"/>
  <c r="O14" i="24"/>
  <c r="N14" i="24"/>
  <c r="M59" i="24" s="1"/>
  <c r="M14" i="24"/>
  <c r="L59" i="24" s="1"/>
  <c r="L14" i="24"/>
  <c r="K59" i="24" s="1"/>
  <c r="K14" i="24"/>
  <c r="J59" i="24" s="1"/>
  <c r="J14" i="24"/>
  <c r="I59" i="24" s="1"/>
  <c r="I14" i="24"/>
  <c r="H14" i="24"/>
  <c r="G14" i="24"/>
  <c r="F14" i="24"/>
  <c r="E59" i="24" s="1"/>
  <c r="E14" i="24"/>
  <c r="D59" i="24" s="1"/>
  <c r="D14" i="24"/>
  <c r="C59" i="24" s="1"/>
  <c r="C14" i="24"/>
  <c r="B59" i="24" s="1"/>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D49" i="23"/>
  <c r="U18" i="23" s="1"/>
  <c r="C49" i="23"/>
  <c r="U48" i="23"/>
  <c r="T48" i="23"/>
  <c r="S48" i="23"/>
  <c r="R48" i="23"/>
  <c r="Q48" i="23"/>
  <c r="P48" i="23"/>
  <c r="O48" i="23"/>
  <c r="N48" i="23"/>
  <c r="M48" i="23"/>
  <c r="L48" i="23"/>
  <c r="K48" i="23"/>
  <c r="J48" i="23"/>
  <c r="I48" i="23"/>
  <c r="H48" i="23"/>
  <c r="G48" i="23"/>
  <c r="F48" i="23"/>
  <c r="E48" i="23"/>
  <c r="T22" i="23" s="1"/>
  <c r="D48" i="23"/>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C46" i="23"/>
  <c r="U45" i="23"/>
  <c r="T45" i="23"/>
  <c r="S45" i="23"/>
  <c r="R45" i="23"/>
  <c r="Q45" i="23"/>
  <c r="P45" i="23"/>
  <c r="O45" i="23"/>
  <c r="N45" i="23"/>
  <c r="M45" i="23"/>
  <c r="L45" i="23"/>
  <c r="K45" i="23"/>
  <c r="J45" i="23"/>
  <c r="I45" i="23"/>
  <c r="H45" i="23"/>
  <c r="G45" i="23"/>
  <c r="F45" i="23"/>
  <c r="E45" i="23"/>
  <c r="D45" i="23"/>
  <c r="Q18" i="23" s="1"/>
  <c r="C45" i="23"/>
  <c r="U44" i="23"/>
  <c r="T44" i="23"/>
  <c r="S44" i="23"/>
  <c r="R44" i="23"/>
  <c r="Q44" i="23"/>
  <c r="P44" i="23"/>
  <c r="O44" i="23"/>
  <c r="N44" i="23"/>
  <c r="M44" i="23"/>
  <c r="L44" i="23"/>
  <c r="K44" i="23"/>
  <c r="J44" i="23"/>
  <c r="I44" i="23"/>
  <c r="H44" i="23"/>
  <c r="G44" i="23"/>
  <c r="F44" i="23"/>
  <c r="E44" i="23"/>
  <c r="P22" i="23" s="1"/>
  <c r="D44" i="23"/>
  <c r="C44" i="23"/>
  <c r="U43" i="23"/>
  <c r="T43" i="23"/>
  <c r="S43" i="23"/>
  <c r="R43" i="23"/>
  <c r="Q43" i="23"/>
  <c r="P43" i="23"/>
  <c r="O43" i="23"/>
  <c r="N43" i="23"/>
  <c r="M43" i="23"/>
  <c r="L43" i="23"/>
  <c r="K43" i="23"/>
  <c r="J43" i="23"/>
  <c r="I43" i="23"/>
  <c r="H43" i="23"/>
  <c r="G43" i="23"/>
  <c r="F43" i="23"/>
  <c r="E43" i="23"/>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T31" i="23"/>
  <c r="S31" i="23"/>
  <c r="R31" i="23"/>
  <c r="Q31" i="23"/>
  <c r="P31" i="23"/>
  <c r="O31" i="23"/>
  <c r="N31" i="23"/>
  <c r="M31" i="23"/>
  <c r="L31" i="23"/>
  <c r="K31" i="23"/>
  <c r="J31" i="23"/>
  <c r="I31" i="23"/>
  <c r="H31" i="23"/>
  <c r="G31" i="23"/>
  <c r="F31" i="23"/>
  <c r="E31" i="23"/>
  <c r="C22" i="23" s="1"/>
  <c r="D31" i="23"/>
  <c r="C18" i="23" s="1"/>
  <c r="C31" i="23"/>
  <c r="V24" i="23"/>
  <c r="U24" i="23"/>
  <c r="T24" i="23"/>
  <c r="S24" i="23"/>
  <c r="R24" i="23"/>
  <c r="Q24" i="23"/>
  <c r="P24" i="23"/>
  <c r="O24" i="23"/>
  <c r="N24" i="23"/>
  <c r="M24" i="23"/>
  <c r="L24" i="23"/>
  <c r="K24" i="23"/>
  <c r="J24" i="23"/>
  <c r="I24" i="23"/>
  <c r="U22" i="23"/>
  <c r="S22" i="23"/>
  <c r="Q22" i="23"/>
  <c r="O22" i="23"/>
  <c r="M22" i="23"/>
  <c r="I22" i="23"/>
  <c r="E22" i="23"/>
  <c r="V20" i="23"/>
  <c r="U20" i="23"/>
  <c r="T20" i="23"/>
  <c r="S20" i="23"/>
  <c r="R20" i="23"/>
  <c r="Q20" i="23"/>
  <c r="P20" i="23"/>
  <c r="O20" i="23"/>
  <c r="N20" i="23"/>
  <c r="M20" i="23"/>
  <c r="L20" i="23"/>
  <c r="K20" i="23"/>
  <c r="J20" i="23"/>
  <c r="I20" i="23"/>
  <c r="T18" i="23"/>
  <c r="S18" i="23"/>
  <c r="R18" i="23"/>
  <c r="P18" i="23"/>
  <c r="L18" i="23"/>
  <c r="K18" i="23"/>
  <c r="J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59" i="23" s="1"/>
  <c r="U14" i="23"/>
  <c r="T59" i="23" s="1"/>
  <c r="T14" i="23"/>
  <c r="S59" i="23" s="1"/>
  <c r="S14" i="23"/>
  <c r="R59" i="23" s="1"/>
  <c r="R14" i="23"/>
  <c r="Q59" i="23" s="1"/>
  <c r="Q14" i="23"/>
  <c r="P59" i="23" s="1"/>
  <c r="P14" i="23"/>
  <c r="O14" i="23"/>
  <c r="O21" i="23" s="1"/>
  <c r="O23" i="23" s="1"/>
  <c r="N14" i="23"/>
  <c r="M59" i="23" s="1"/>
  <c r="M14" i="23"/>
  <c r="L59" i="23" s="1"/>
  <c r="L14" i="23"/>
  <c r="K59" i="23" s="1"/>
  <c r="K14" i="23"/>
  <c r="J59" i="23" s="1"/>
  <c r="J14" i="23"/>
  <c r="I59" i="23" s="1"/>
  <c r="I14" i="23"/>
  <c r="H59" i="23" s="1"/>
  <c r="H14" i="23"/>
  <c r="G14" i="23"/>
  <c r="G21" i="23" s="1"/>
  <c r="F14" i="23"/>
  <c r="E59" i="23" s="1"/>
  <c r="E14" i="23"/>
  <c r="D59" i="23" s="1"/>
  <c r="D14" i="23"/>
  <c r="C59" i="23" s="1"/>
  <c r="C14" i="23"/>
  <c r="B59" i="23" s="1"/>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D49" i="22"/>
  <c r="C49" i="22"/>
  <c r="U48" i="22"/>
  <c r="T48" i="22"/>
  <c r="S48" i="22"/>
  <c r="R48" i="22"/>
  <c r="Q48" i="22"/>
  <c r="P48" i="22"/>
  <c r="O48" i="22"/>
  <c r="N48" i="22"/>
  <c r="M48" i="22"/>
  <c r="L48" i="22"/>
  <c r="K48" i="22"/>
  <c r="J48" i="22"/>
  <c r="I48" i="22"/>
  <c r="H48" i="22"/>
  <c r="G48" i="22"/>
  <c r="F48" i="22"/>
  <c r="E48" i="22"/>
  <c r="T22" i="22" s="1"/>
  <c r="D48" i="22"/>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T31" i="22"/>
  <c r="S31" i="22"/>
  <c r="R31" i="22"/>
  <c r="Q31" i="22"/>
  <c r="P31" i="22"/>
  <c r="O31" i="22"/>
  <c r="N31" i="22"/>
  <c r="M31" i="22"/>
  <c r="L31" i="22"/>
  <c r="K31" i="22"/>
  <c r="J31" i="22"/>
  <c r="I31" i="22"/>
  <c r="H31" i="22"/>
  <c r="G31" i="22"/>
  <c r="F31" i="22"/>
  <c r="E31" i="22"/>
  <c r="D31" i="22"/>
  <c r="C31" i="22"/>
  <c r="U22" i="22"/>
  <c r="Q22" i="22"/>
  <c r="M22" i="22"/>
  <c r="I22" i="22"/>
  <c r="F22" i="22"/>
  <c r="V20" i="22"/>
  <c r="U20" i="22"/>
  <c r="T20" i="22"/>
  <c r="S20" i="22"/>
  <c r="R20" i="22"/>
  <c r="Q20" i="22"/>
  <c r="P20" i="22"/>
  <c r="O20" i="22"/>
  <c r="N20" i="22"/>
  <c r="M20" i="22"/>
  <c r="L20" i="22"/>
  <c r="K20" i="22"/>
  <c r="J20" i="22"/>
  <c r="I20" i="22"/>
  <c r="U18" i="22"/>
  <c r="T18" i="22"/>
  <c r="O18" i="22"/>
  <c r="L18" i="22"/>
  <c r="G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59" i="22" s="1"/>
  <c r="U14" i="22"/>
  <c r="T59" i="22" s="1"/>
  <c r="T14" i="22"/>
  <c r="S59" i="22" s="1"/>
  <c r="S14" i="22"/>
  <c r="R59" i="22" s="1"/>
  <c r="R14" i="22"/>
  <c r="Q59" i="22" s="1"/>
  <c r="Q14" i="22"/>
  <c r="P59" i="22" s="1"/>
  <c r="P14" i="22"/>
  <c r="O59" i="22" s="1"/>
  <c r="O14" i="22"/>
  <c r="N14" i="22"/>
  <c r="M59" i="22" s="1"/>
  <c r="M14" i="22"/>
  <c r="L59" i="22" s="1"/>
  <c r="L14" i="22"/>
  <c r="K59" i="22" s="1"/>
  <c r="K14" i="22"/>
  <c r="J59" i="22" s="1"/>
  <c r="J14" i="22"/>
  <c r="I59" i="22" s="1"/>
  <c r="I14" i="22"/>
  <c r="H59" i="22" s="1"/>
  <c r="H14" i="22"/>
  <c r="G59" i="22" s="1"/>
  <c r="G14" i="22"/>
  <c r="F14" i="22"/>
  <c r="E59" i="22" s="1"/>
  <c r="E14" i="22"/>
  <c r="D59" i="22" s="1"/>
  <c r="D14" i="22"/>
  <c r="C59" i="22" s="1"/>
  <c r="C14" i="22"/>
  <c r="B59" i="22" s="1"/>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F57" i="21" s="1"/>
  <c r="H8" i="21"/>
  <c r="A36" i="21" s="1"/>
  <c r="I8" i="21"/>
  <c r="H57" i="21" s="1"/>
  <c r="J8" i="21"/>
  <c r="I57" i="21" s="1"/>
  <c r="K8" i="21"/>
  <c r="A39" i="21" s="1"/>
  <c r="L8" i="21"/>
  <c r="A40" i="21" s="1"/>
  <c r="M8" i="21"/>
  <c r="L57" i="21" s="1"/>
  <c r="N8" i="2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F14" i="21"/>
  <c r="E59" i="21" s="1"/>
  <c r="G14" i="21"/>
  <c r="F59" i="21" s="1"/>
  <c r="H14" i="21"/>
  <c r="I14" i="21"/>
  <c r="J14" i="21"/>
  <c r="I59" i="21" s="1"/>
  <c r="K14" i="21"/>
  <c r="J59" i="21" s="1"/>
  <c r="L14" i="21"/>
  <c r="K59" i="21" s="1"/>
  <c r="M14" i="21"/>
  <c r="N14" i="21"/>
  <c r="M59" i="21" s="1"/>
  <c r="O14" i="21"/>
  <c r="N59" i="21" s="1"/>
  <c r="P14" i="21"/>
  <c r="O59" i="21" s="1"/>
  <c r="Q14" i="21"/>
  <c r="P59" i="21" s="1"/>
  <c r="R14" i="21"/>
  <c r="Q59" i="21" s="1"/>
  <c r="S14" i="21"/>
  <c r="R59" i="21" s="1"/>
  <c r="T14" i="21"/>
  <c r="S59" i="21" s="1"/>
  <c r="U14" i="21"/>
  <c r="T59" i="21" s="1"/>
  <c r="V14" i="21"/>
  <c r="U59" i="21" s="1"/>
  <c r="D15" i="21"/>
  <c r="E15" i="21"/>
  <c r="F15" i="21"/>
  <c r="G15" i="21"/>
  <c r="H15" i="21"/>
  <c r="I15" i="21"/>
  <c r="J15" i="21"/>
  <c r="K15" i="21"/>
  <c r="L15" i="21"/>
  <c r="M15" i="21"/>
  <c r="N15" i="21"/>
  <c r="O15" i="21"/>
  <c r="P15" i="21"/>
  <c r="Q15" i="21"/>
  <c r="R15" i="21"/>
  <c r="S15" i="21"/>
  <c r="T15" i="21"/>
  <c r="U15" i="21"/>
  <c r="V15" i="21"/>
  <c r="D16" i="21"/>
  <c r="E16" i="21"/>
  <c r="D58" i="21" s="1"/>
  <c r="D61" i="21" s="1"/>
  <c r="F16" i="21"/>
  <c r="G16" i="21"/>
  <c r="F58" i="21" s="1"/>
  <c r="F61" i="21" s="1"/>
  <c r="H16" i="21"/>
  <c r="G58" i="21" s="1"/>
  <c r="G61" i="21" s="1"/>
  <c r="I16" i="21"/>
  <c r="J16" i="21"/>
  <c r="K16" i="21"/>
  <c r="L16" i="21"/>
  <c r="M16" i="21"/>
  <c r="L58" i="21" s="1"/>
  <c r="L61" i="21" s="1"/>
  <c r="N16" i="21"/>
  <c r="O16" i="2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N63" i="21"/>
  <c r="U62" i="21"/>
  <c r="T62" i="21"/>
  <c r="S62" i="21"/>
  <c r="R62" i="21"/>
  <c r="Q62" i="21"/>
  <c r="P62" i="21"/>
  <c r="O62" i="21"/>
  <c r="N62" i="21"/>
  <c r="M62" i="21"/>
  <c r="L62" i="21"/>
  <c r="K62" i="21"/>
  <c r="J62" i="21"/>
  <c r="I62" i="21"/>
  <c r="H62" i="21"/>
  <c r="G62" i="21"/>
  <c r="F62" i="21"/>
  <c r="F63" i="21" s="1"/>
  <c r="E62" i="21"/>
  <c r="D62" i="21"/>
  <c r="C62" i="21"/>
  <c r="B62" i="21"/>
  <c r="U60" i="21"/>
  <c r="P60" i="21"/>
  <c r="O60" i="21"/>
  <c r="H60" i="21"/>
  <c r="G60" i="21"/>
  <c r="L59" i="21"/>
  <c r="D59" i="21"/>
  <c r="N58" i="21"/>
  <c r="N61" i="21" s="1"/>
  <c r="U57" i="21"/>
  <c r="M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A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T20" i="21"/>
  <c r="S20" i="21"/>
  <c r="R20" i="21"/>
  <c r="Q20" i="21"/>
  <c r="P20" i="21"/>
  <c r="O20" i="21"/>
  <c r="N20" i="21"/>
  <c r="M20" i="21"/>
  <c r="L20" i="21"/>
  <c r="K20" i="21"/>
  <c r="J20" i="21"/>
  <c r="I20" i="21"/>
  <c r="V18" i="21"/>
  <c r="F17" i="21" l="1"/>
  <c r="C22" i="22"/>
  <c r="C18" i="22"/>
  <c r="G23" i="23"/>
  <c r="G24" i="23" s="1"/>
  <c r="H21" i="24"/>
  <c r="G21" i="30"/>
  <c r="L21" i="21"/>
  <c r="S58" i="21"/>
  <c r="S61" i="21" s="1"/>
  <c r="C58" i="21"/>
  <c r="C61" i="21" s="1"/>
  <c r="I17" i="21"/>
  <c r="T21" i="21"/>
  <c r="L17" i="21"/>
  <c r="G21" i="22"/>
  <c r="G23" i="22" s="1"/>
  <c r="G24" i="22" s="1"/>
  <c r="O21" i="22"/>
  <c r="D17" i="21"/>
  <c r="D19" i="21" s="1"/>
  <c r="D20" i="21" s="1"/>
  <c r="K58" i="21"/>
  <c r="K61" i="21" s="1"/>
  <c r="J21" i="24"/>
  <c r="R17" i="24"/>
  <c r="R19" i="24" s="1"/>
  <c r="I21" i="27"/>
  <c r="Q21" i="27"/>
  <c r="U21" i="21"/>
  <c r="U23" i="21" s="1"/>
  <c r="U24" i="21" s="1"/>
  <c r="T17" i="21"/>
  <c r="R58" i="21"/>
  <c r="R61" i="21" s="1"/>
  <c r="S21" i="21"/>
  <c r="S23" i="21" s="1"/>
  <c r="S24" i="21" s="1"/>
  <c r="S17" i="21"/>
  <c r="P21" i="24"/>
  <c r="O57" i="21"/>
  <c r="O21" i="21"/>
  <c r="O23" i="21" s="1"/>
  <c r="O24" i="21" s="1"/>
  <c r="A43" i="21"/>
  <c r="M21" i="21"/>
  <c r="J58" i="21"/>
  <c r="J61" i="21" s="1"/>
  <c r="K21" i="21"/>
  <c r="G21" i="21"/>
  <c r="E17" i="21"/>
  <c r="E19" i="21" s="1"/>
  <c r="E20" i="21" s="1"/>
  <c r="R21" i="22"/>
  <c r="R23" i="22" s="1"/>
  <c r="R24" i="22" s="1"/>
  <c r="G17" i="21"/>
  <c r="G19" i="21" s="1"/>
  <c r="G20" i="21" s="1"/>
  <c r="G21" i="26"/>
  <c r="G23" i="26" s="1"/>
  <c r="G24" i="26" s="1"/>
  <c r="O21" i="26"/>
  <c r="D58" i="29"/>
  <c r="D61" i="29" s="1"/>
  <c r="D64" i="29" s="1"/>
  <c r="J17" i="21"/>
  <c r="V17" i="23"/>
  <c r="H21" i="26"/>
  <c r="H23" i="26" s="1"/>
  <c r="H24" i="26" s="1"/>
  <c r="P21" i="26"/>
  <c r="P23" i="26" s="1"/>
  <c r="G21" i="27"/>
  <c r="G23" i="27" s="1"/>
  <c r="G24" i="27" s="1"/>
  <c r="O21" i="27"/>
  <c r="O23" i="27" s="1"/>
  <c r="D58" i="30"/>
  <c r="D61" i="30" s="1"/>
  <c r="L58" i="30"/>
  <c r="L61" i="30" s="1"/>
  <c r="L64" i="30" s="1"/>
  <c r="R58" i="23"/>
  <c r="R61" i="23" s="1"/>
  <c r="R64" i="23" s="1"/>
  <c r="H21" i="27"/>
  <c r="H23" i="27" s="1"/>
  <c r="H24" i="27" s="1"/>
  <c r="P21" i="27"/>
  <c r="H21" i="28"/>
  <c r="H23" i="28" s="1"/>
  <c r="H24" i="28" s="1"/>
  <c r="P21" i="28"/>
  <c r="G21" i="29"/>
  <c r="G23" i="29" s="1"/>
  <c r="G24" i="29" s="1"/>
  <c r="O17" i="21"/>
  <c r="R17" i="21"/>
  <c r="J58" i="22"/>
  <c r="J61" i="22" s="1"/>
  <c r="J58" i="26"/>
  <c r="J61" i="26" s="1"/>
  <c r="J21" i="23"/>
  <c r="J23" i="23" s="1"/>
  <c r="R17" i="23"/>
  <c r="R19" i="23" s="1"/>
  <c r="J58" i="27"/>
  <c r="J61" i="27" s="1"/>
  <c r="J64" i="27" s="1"/>
  <c r="R58" i="27"/>
  <c r="R61" i="27" s="1"/>
  <c r="R64" i="27" s="1"/>
  <c r="R58" i="28"/>
  <c r="R61" i="28" s="1"/>
  <c r="R64" i="28" s="1"/>
  <c r="H21" i="21"/>
  <c r="H23" i="21" s="1"/>
  <c r="H24" i="21" s="1"/>
  <c r="F58" i="22"/>
  <c r="F61" i="22" s="1"/>
  <c r="N58" i="22"/>
  <c r="N61" i="22" s="1"/>
  <c r="F58" i="23"/>
  <c r="F61" i="23" s="1"/>
  <c r="N58" i="23"/>
  <c r="N61" i="23" s="1"/>
  <c r="D17" i="27"/>
  <c r="D19" i="27" s="1"/>
  <c r="D20" i="27" s="1"/>
  <c r="L21" i="27"/>
  <c r="L23" i="27" s="1"/>
  <c r="T21" i="27"/>
  <c r="H57" i="29"/>
  <c r="J21" i="30"/>
  <c r="R21" i="30"/>
  <c r="R23" i="30" s="1"/>
  <c r="P58" i="21"/>
  <c r="P61" i="21" s="1"/>
  <c r="H58" i="21"/>
  <c r="H61" i="21" s="1"/>
  <c r="N59" i="23"/>
  <c r="N64" i="23" s="1"/>
  <c r="R58" i="26"/>
  <c r="R61" i="26" s="1"/>
  <c r="R64" i="26" s="1"/>
  <c r="R57" i="21"/>
  <c r="H58" i="22"/>
  <c r="H61" i="22" s="1"/>
  <c r="H64" i="22" s="1"/>
  <c r="P58" i="22"/>
  <c r="P61" i="22" s="1"/>
  <c r="P64" i="22" s="1"/>
  <c r="F59" i="22"/>
  <c r="K58" i="29"/>
  <c r="K61" i="29" s="1"/>
  <c r="K64" i="29" s="1"/>
  <c r="H21" i="30"/>
  <c r="H23" i="30" s="1"/>
  <c r="H24" i="30" s="1"/>
  <c r="P21" i="30"/>
  <c r="P23" i="30" s="1"/>
  <c r="F17" i="23"/>
  <c r="F19" i="23" s="1"/>
  <c r="F20" i="23" s="1"/>
  <c r="N17" i="23"/>
  <c r="I58" i="23"/>
  <c r="I61" i="23" s="1"/>
  <c r="I64" i="23" s="1"/>
  <c r="Q58" i="23"/>
  <c r="Q61" i="23" s="1"/>
  <c r="Q64" i="23" s="1"/>
  <c r="L58" i="29"/>
  <c r="L61" i="29" s="1"/>
  <c r="L64" i="29" s="1"/>
  <c r="T58" i="29"/>
  <c r="T61" i="29" s="1"/>
  <c r="I21" i="30"/>
  <c r="I23" i="30" s="1"/>
  <c r="Q21" i="30"/>
  <c r="Q23" i="30" s="1"/>
  <c r="E21" i="30"/>
  <c r="E23" i="30" s="1"/>
  <c r="E24" i="30" s="1"/>
  <c r="M21" i="30"/>
  <c r="M23" i="30" s="1"/>
  <c r="U21" i="30"/>
  <c r="U23" i="30" s="1"/>
  <c r="J58" i="28"/>
  <c r="J61" i="28" s="1"/>
  <c r="J64" i="28" s="1"/>
  <c r="R58" i="22"/>
  <c r="R61" i="22" s="1"/>
  <c r="R64" i="22" s="1"/>
  <c r="J58" i="23"/>
  <c r="J61" i="23" s="1"/>
  <c r="J58" i="24"/>
  <c r="J61" i="24" s="1"/>
  <c r="R58" i="24"/>
  <c r="R61" i="24" s="1"/>
  <c r="R64" i="24" s="1"/>
  <c r="F57" i="24"/>
  <c r="R21" i="26"/>
  <c r="T58" i="30"/>
  <c r="T61" i="30" s="1"/>
  <c r="T64" i="30" s="1"/>
  <c r="C58" i="23"/>
  <c r="C61" i="23" s="1"/>
  <c r="C64" i="23" s="1"/>
  <c r="K58" i="23"/>
  <c r="K61" i="23" s="1"/>
  <c r="K64" i="23" s="1"/>
  <c r="S58" i="23"/>
  <c r="S61" i="23" s="1"/>
  <c r="F58" i="26"/>
  <c r="F61" i="26" s="1"/>
  <c r="D58" i="27"/>
  <c r="D61" i="27" s="1"/>
  <c r="D64" i="27" s="1"/>
  <c r="L58" i="27"/>
  <c r="L61" i="27" s="1"/>
  <c r="L64" i="27" s="1"/>
  <c r="L65" i="27" s="1"/>
  <c r="T58" i="27"/>
  <c r="T61" i="27" s="1"/>
  <c r="T64" i="27" s="1"/>
  <c r="O21" i="29"/>
  <c r="J58" i="30"/>
  <c r="J61" i="30" s="1"/>
  <c r="J64" i="30" s="1"/>
  <c r="R58" i="30"/>
  <c r="R61" i="30" s="1"/>
  <c r="R64" i="30" s="1"/>
  <c r="P57" i="30"/>
  <c r="J57" i="21"/>
  <c r="H59" i="21"/>
  <c r="H64" i="21" s="1"/>
  <c r="Q21" i="22"/>
  <c r="Q23" i="22" s="1"/>
  <c r="Q24" i="22" s="1"/>
  <c r="I17" i="24"/>
  <c r="I19" i="24" s="1"/>
  <c r="Q17" i="24"/>
  <c r="Q19" i="24" s="1"/>
  <c r="J17" i="27"/>
  <c r="J19" i="27" s="1"/>
  <c r="R21" i="27"/>
  <c r="R23" i="27" s="1"/>
  <c r="O64" i="21"/>
  <c r="E58" i="27"/>
  <c r="E61" i="27" s="1"/>
  <c r="E64" i="27" s="1"/>
  <c r="M58" i="27"/>
  <c r="M61" i="27" s="1"/>
  <c r="M64" i="27" s="1"/>
  <c r="U58" i="27"/>
  <c r="U61" i="27" s="1"/>
  <c r="U64" i="27" s="1"/>
  <c r="U65" i="27" s="1"/>
  <c r="I58" i="29"/>
  <c r="I61" i="29" s="1"/>
  <c r="I64" i="29" s="1"/>
  <c r="Q58" i="29"/>
  <c r="Q61" i="29" s="1"/>
  <c r="Q64" i="29" s="1"/>
  <c r="F58" i="30"/>
  <c r="F61" i="30" s="1"/>
  <c r="N58" i="30"/>
  <c r="N61" i="30" s="1"/>
  <c r="P21" i="21"/>
  <c r="G59" i="21"/>
  <c r="G64" i="21" s="1"/>
  <c r="G58" i="22"/>
  <c r="G61" i="22" s="1"/>
  <c r="G64" i="22" s="1"/>
  <c r="O58" i="22"/>
  <c r="O61" i="22" s="1"/>
  <c r="O64" i="22" s="1"/>
  <c r="F59" i="23"/>
  <c r="F64" i="23" s="1"/>
  <c r="C58" i="24"/>
  <c r="C61" i="24" s="1"/>
  <c r="C64" i="24" s="1"/>
  <c r="K58" i="24"/>
  <c r="K61" i="24" s="1"/>
  <c r="K64" i="24" s="1"/>
  <c r="S58" i="24"/>
  <c r="S61" i="24" s="1"/>
  <c r="S64" i="24" s="1"/>
  <c r="N57" i="24"/>
  <c r="G58" i="26"/>
  <c r="G61" i="26" s="1"/>
  <c r="O58" i="26"/>
  <c r="O61" i="26" s="1"/>
  <c r="F58" i="27"/>
  <c r="F61" i="27" s="1"/>
  <c r="N58" i="27"/>
  <c r="N61" i="27" s="1"/>
  <c r="C58" i="28"/>
  <c r="C61" i="28" s="1"/>
  <c r="C64" i="28" s="1"/>
  <c r="K58" i="28"/>
  <c r="K61" i="28" s="1"/>
  <c r="K64" i="28" s="1"/>
  <c r="S58" i="28"/>
  <c r="S61" i="28" s="1"/>
  <c r="S64" i="28" s="1"/>
  <c r="J58" i="29"/>
  <c r="J61" i="29" s="1"/>
  <c r="J64" i="29" s="1"/>
  <c r="R58" i="29"/>
  <c r="R61" i="29" s="1"/>
  <c r="R64" i="29" s="1"/>
  <c r="P57" i="29"/>
  <c r="D21" i="30"/>
  <c r="D23" i="30" s="1"/>
  <c r="D24" i="30" s="1"/>
  <c r="L21" i="30"/>
  <c r="L23" i="30" s="1"/>
  <c r="T21" i="30"/>
  <c r="T23" i="30" s="1"/>
  <c r="G58" i="30"/>
  <c r="G61" i="30" s="1"/>
  <c r="O58" i="30"/>
  <c r="O61" i="30" s="1"/>
  <c r="Q57" i="30"/>
  <c r="E21" i="21"/>
  <c r="E23" i="21" s="1"/>
  <c r="E24" i="21" s="1"/>
  <c r="A36" i="22"/>
  <c r="G58" i="27"/>
  <c r="G61" i="27" s="1"/>
  <c r="T58" i="28"/>
  <c r="T61" i="28" s="1"/>
  <c r="C58" i="29"/>
  <c r="C61" i="29" s="1"/>
  <c r="C64" i="29" s="1"/>
  <c r="H58" i="30"/>
  <c r="H61" i="30" s="1"/>
  <c r="N59" i="30"/>
  <c r="K17" i="21"/>
  <c r="K19" i="21" s="1"/>
  <c r="Q57" i="21"/>
  <c r="B58" i="21"/>
  <c r="B61" i="21" s="1"/>
  <c r="B64" i="21" s="1"/>
  <c r="I58" i="22"/>
  <c r="I61" i="22" s="1"/>
  <c r="I64" i="22" s="1"/>
  <c r="Q58" i="22"/>
  <c r="Q61" i="22" s="1"/>
  <c r="Q64" i="22" s="1"/>
  <c r="I21" i="23"/>
  <c r="I23" i="23" s="1"/>
  <c r="Q21" i="23"/>
  <c r="Q23" i="23" s="1"/>
  <c r="D58" i="23"/>
  <c r="D61" i="23" s="1"/>
  <c r="D64" i="23" s="1"/>
  <c r="L58" i="23"/>
  <c r="L61" i="23" s="1"/>
  <c r="L64" i="23" s="1"/>
  <c r="T58" i="23"/>
  <c r="T61" i="23" s="1"/>
  <c r="T64" i="23" s="1"/>
  <c r="E58" i="24"/>
  <c r="E61" i="24" s="1"/>
  <c r="E64" i="24" s="1"/>
  <c r="M58" i="24"/>
  <c r="M61" i="24" s="1"/>
  <c r="U58" i="24"/>
  <c r="U61" i="24" s="1"/>
  <c r="U64" i="24" s="1"/>
  <c r="U65" i="24" s="1"/>
  <c r="N59" i="26"/>
  <c r="H58" i="27"/>
  <c r="H61" i="27" s="1"/>
  <c r="P58" i="27"/>
  <c r="P61" i="27" s="1"/>
  <c r="F57" i="27"/>
  <c r="J21" i="28"/>
  <c r="J23" i="28" s="1"/>
  <c r="J24" i="28" s="1"/>
  <c r="R21" i="28"/>
  <c r="E58" i="28"/>
  <c r="E61" i="28" s="1"/>
  <c r="E64" i="28" s="1"/>
  <c r="M58" i="28"/>
  <c r="M61" i="28" s="1"/>
  <c r="M64" i="28" s="1"/>
  <c r="U58" i="28"/>
  <c r="U61" i="28" s="1"/>
  <c r="U64" i="28" s="1"/>
  <c r="U65" i="28" s="1"/>
  <c r="T64" i="29"/>
  <c r="I58" i="30"/>
  <c r="I61" i="30" s="1"/>
  <c r="Q58" i="30"/>
  <c r="Q61" i="30" s="1"/>
  <c r="Q64" i="30" s="1"/>
  <c r="Q65" i="30" s="1"/>
  <c r="P59" i="30"/>
  <c r="J64" i="23"/>
  <c r="L58" i="24"/>
  <c r="L61" i="24" s="1"/>
  <c r="L64" i="24" s="1"/>
  <c r="P58" i="26"/>
  <c r="P61" i="26" s="1"/>
  <c r="F59" i="26"/>
  <c r="F64" i="26" s="1"/>
  <c r="F65" i="26" s="1"/>
  <c r="O58" i="27"/>
  <c r="O61" i="27" s="1"/>
  <c r="U17" i="21"/>
  <c r="U19" i="21" s="1"/>
  <c r="V17" i="21"/>
  <c r="V19" i="21" s="1"/>
  <c r="A38" i="21"/>
  <c r="F57" i="22"/>
  <c r="N59" i="22"/>
  <c r="E58" i="23"/>
  <c r="E61" i="23" s="1"/>
  <c r="E64" i="23" s="1"/>
  <c r="M58" i="23"/>
  <c r="M61" i="23" s="1"/>
  <c r="M64" i="23" s="1"/>
  <c r="U58" i="23"/>
  <c r="U61" i="23" s="1"/>
  <c r="U64" i="23" s="1"/>
  <c r="N19" i="23"/>
  <c r="V19" i="23"/>
  <c r="G21" i="24"/>
  <c r="G23" i="24" s="1"/>
  <c r="G24" i="24" s="1"/>
  <c r="O21" i="24"/>
  <c r="O23" i="24" s="1"/>
  <c r="F58" i="24"/>
  <c r="F61" i="24" s="1"/>
  <c r="N58" i="24"/>
  <c r="N61" i="24" s="1"/>
  <c r="F59" i="24"/>
  <c r="J64" i="26"/>
  <c r="I58" i="27"/>
  <c r="I61" i="27" s="1"/>
  <c r="Q58" i="27"/>
  <c r="Q61" i="27" s="1"/>
  <c r="Q64" i="27" s="1"/>
  <c r="H57" i="27"/>
  <c r="F59" i="27"/>
  <c r="G21" i="28"/>
  <c r="G23" i="28" s="1"/>
  <c r="G24" i="28" s="1"/>
  <c r="O21" i="28"/>
  <c r="O23" i="28" s="1"/>
  <c r="O24" i="28" s="1"/>
  <c r="F58" i="28"/>
  <c r="F61" i="28" s="1"/>
  <c r="F64" i="28" s="1"/>
  <c r="F65" i="28" s="1"/>
  <c r="N58" i="28"/>
  <c r="N61" i="28" s="1"/>
  <c r="E58" i="29"/>
  <c r="E61" i="29" s="1"/>
  <c r="E64" i="29" s="1"/>
  <c r="M58" i="29"/>
  <c r="M61" i="29" s="1"/>
  <c r="U58" i="29"/>
  <c r="U61" i="29" s="1"/>
  <c r="U64" i="29" s="1"/>
  <c r="U65" i="29" s="1"/>
  <c r="F57" i="30"/>
  <c r="N58" i="26"/>
  <c r="N61" i="26" s="1"/>
  <c r="T58" i="24"/>
  <c r="T61" i="24" s="1"/>
  <c r="T64" i="24" s="1"/>
  <c r="H58" i="26"/>
  <c r="H61" i="26" s="1"/>
  <c r="L58" i="28"/>
  <c r="L61" i="28" s="1"/>
  <c r="S58" i="29"/>
  <c r="S61" i="29" s="1"/>
  <c r="S64" i="29" s="1"/>
  <c r="P17" i="21"/>
  <c r="P19" i="21" s="1"/>
  <c r="H17" i="21"/>
  <c r="H19" i="21" s="1"/>
  <c r="H20" i="21" s="1"/>
  <c r="H21" i="22"/>
  <c r="H23" i="22" s="1"/>
  <c r="H24" i="22" s="1"/>
  <c r="P21" i="22"/>
  <c r="P23" i="22" s="1"/>
  <c r="P24" i="22" s="1"/>
  <c r="C58" i="22"/>
  <c r="C61" i="22" s="1"/>
  <c r="C64" i="22" s="1"/>
  <c r="K58" i="22"/>
  <c r="K61" i="22" s="1"/>
  <c r="K64" i="22" s="1"/>
  <c r="S58" i="22"/>
  <c r="S61" i="22" s="1"/>
  <c r="S64" i="22" s="1"/>
  <c r="F57" i="23"/>
  <c r="D21" i="24"/>
  <c r="D23" i="24" s="1"/>
  <c r="D24" i="24" s="1"/>
  <c r="L21" i="24"/>
  <c r="L23" i="24" s="1"/>
  <c r="T21" i="24"/>
  <c r="T23" i="24" s="1"/>
  <c r="G58" i="24"/>
  <c r="G61" i="24" s="1"/>
  <c r="O58" i="24"/>
  <c r="O61" i="24" s="1"/>
  <c r="N59" i="24"/>
  <c r="C58" i="26"/>
  <c r="C61" i="26" s="1"/>
  <c r="C64" i="26" s="1"/>
  <c r="K58" i="26"/>
  <c r="K61" i="26" s="1"/>
  <c r="K64" i="26" s="1"/>
  <c r="S58" i="26"/>
  <c r="S61" i="26" s="1"/>
  <c r="P23" i="27"/>
  <c r="N57" i="27"/>
  <c r="H59" i="27"/>
  <c r="H64" i="27" s="1"/>
  <c r="G58" i="28"/>
  <c r="G61" i="28" s="1"/>
  <c r="O58" i="28"/>
  <c r="O61" i="28" s="1"/>
  <c r="R23" i="28"/>
  <c r="R24" i="28" s="1"/>
  <c r="F57" i="28"/>
  <c r="F58" i="29"/>
  <c r="F61" i="29" s="1"/>
  <c r="N58" i="29"/>
  <c r="N61" i="29" s="1"/>
  <c r="H59" i="29"/>
  <c r="C58" i="30"/>
  <c r="C61" i="30" s="1"/>
  <c r="C64" i="30" s="1"/>
  <c r="K58" i="30"/>
  <c r="K61" i="30" s="1"/>
  <c r="K64" i="30" s="1"/>
  <c r="S58" i="30"/>
  <c r="S61" i="30" s="1"/>
  <c r="S64" i="30" s="1"/>
  <c r="H57" i="30"/>
  <c r="F19" i="21"/>
  <c r="F20" i="21" s="1"/>
  <c r="J64" i="24"/>
  <c r="D58" i="24"/>
  <c r="D61" i="24" s="1"/>
  <c r="D64" i="24" s="1"/>
  <c r="D58" i="28"/>
  <c r="D61" i="28" s="1"/>
  <c r="D64" i="28" s="1"/>
  <c r="P58" i="30"/>
  <c r="P61" i="30" s="1"/>
  <c r="N17" i="21"/>
  <c r="Q58" i="21"/>
  <c r="Q61" i="21" s="1"/>
  <c r="I58" i="21"/>
  <c r="I61" i="21" s="1"/>
  <c r="I64" i="21" s="1"/>
  <c r="I21" i="22"/>
  <c r="I23" i="22" s="1"/>
  <c r="I24" i="22" s="1"/>
  <c r="D58" i="22"/>
  <c r="D61" i="22" s="1"/>
  <c r="D64" i="22" s="1"/>
  <c r="L58" i="22"/>
  <c r="L61" i="22" s="1"/>
  <c r="T58" i="22"/>
  <c r="T61" i="22" s="1"/>
  <c r="T64" i="22" s="1"/>
  <c r="A37" i="22"/>
  <c r="N57" i="22"/>
  <c r="G58" i="23"/>
  <c r="G61" i="23" s="1"/>
  <c r="O58" i="23"/>
  <c r="O61" i="23" s="1"/>
  <c r="N57" i="23"/>
  <c r="I21" i="24"/>
  <c r="I23" i="24" s="1"/>
  <c r="Q21" i="24"/>
  <c r="Q23" i="24" s="1"/>
  <c r="H58" i="24"/>
  <c r="H61" i="24" s="1"/>
  <c r="P58" i="24"/>
  <c r="P61" i="24" s="1"/>
  <c r="I21" i="26"/>
  <c r="I23" i="26" s="1"/>
  <c r="Q21" i="26"/>
  <c r="Q23" i="26" s="1"/>
  <c r="D58" i="26"/>
  <c r="D61" i="26" s="1"/>
  <c r="L58" i="26"/>
  <c r="L61" i="26" s="1"/>
  <c r="T58" i="26"/>
  <c r="T61" i="26" s="1"/>
  <c r="T64" i="26" s="1"/>
  <c r="T65" i="26" s="1"/>
  <c r="F57" i="26"/>
  <c r="C58" i="27"/>
  <c r="C61" i="27" s="1"/>
  <c r="C64" i="27" s="1"/>
  <c r="K58" i="27"/>
  <c r="K61" i="27" s="1"/>
  <c r="S58" i="27"/>
  <c r="S61" i="27" s="1"/>
  <c r="S64" i="27" s="1"/>
  <c r="S65" i="27" s="1"/>
  <c r="P57" i="27"/>
  <c r="N59" i="27"/>
  <c r="I21" i="28"/>
  <c r="I23" i="28" s="1"/>
  <c r="I24" i="28" s="1"/>
  <c r="Q21" i="28"/>
  <c r="Q23" i="28" s="1"/>
  <c r="Q24" i="28" s="1"/>
  <c r="H58" i="28"/>
  <c r="H61" i="28" s="1"/>
  <c r="P58" i="28"/>
  <c r="P61" i="28" s="1"/>
  <c r="N57" i="28"/>
  <c r="H21" i="29"/>
  <c r="H23" i="29" s="1"/>
  <c r="H24" i="29" s="1"/>
  <c r="P21" i="29"/>
  <c r="D21" i="29"/>
  <c r="D23" i="29" s="1"/>
  <c r="D24" i="29" s="1"/>
  <c r="L21" i="29"/>
  <c r="L23" i="29" s="1"/>
  <c r="T21" i="29"/>
  <c r="T23" i="29" s="1"/>
  <c r="G58" i="29"/>
  <c r="G61" i="29" s="1"/>
  <c r="O58" i="29"/>
  <c r="O61" i="29" s="1"/>
  <c r="P59" i="29"/>
  <c r="D64" i="30"/>
  <c r="I57" i="30"/>
  <c r="M17" i="21"/>
  <c r="M19" i="21" s="1"/>
  <c r="G57" i="21"/>
  <c r="J17" i="22"/>
  <c r="J19" i="22" s="1"/>
  <c r="E58" i="22"/>
  <c r="E61" i="22" s="1"/>
  <c r="E64" i="22" s="1"/>
  <c r="M58" i="22"/>
  <c r="M61" i="22" s="1"/>
  <c r="M64" i="22" s="1"/>
  <c r="U58" i="22"/>
  <c r="U61" i="22" s="1"/>
  <c r="U64" i="22" s="1"/>
  <c r="A45" i="22"/>
  <c r="O57" i="22"/>
  <c r="H21" i="23"/>
  <c r="H23" i="23" s="1"/>
  <c r="H24" i="23" s="1"/>
  <c r="P21" i="23"/>
  <c r="H58" i="23"/>
  <c r="H61" i="23" s="1"/>
  <c r="H64" i="23" s="1"/>
  <c r="P58" i="23"/>
  <c r="P61" i="23" s="1"/>
  <c r="P64" i="23" s="1"/>
  <c r="I58" i="24"/>
  <c r="I61" i="24" s="1"/>
  <c r="I64" i="24" s="1"/>
  <c r="Q58" i="24"/>
  <c r="Q61" i="24" s="1"/>
  <c r="Q64" i="24" s="1"/>
  <c r="J21" i="26"/>
  <c r="E58" i="26"/>
  <c r="E61" i="26" s="1"/>
  <c r="E64" i="26" s="1"/>
  <c r="E65" i="26" s="1"/>
  <c r="M58" i="26"/>
  <c r="M61" i="26" s="1"/>
  <c r="M64" i="26" s="1"/>
  <c r="M65" i="26" s="1"/>
  <c r="U58" i="26"/>
  <c r="U61" i="26" s="1"/>
  <c r="N57" i="26"/>
  <c r="P59" i="27"/>
  <c r="P64" i="27" s="1"/>
  <c r="I58" i="28"/>
  <c r="I61" i="28" s="1"/>
  <c r="I64" i="28" s="1"/>
  <c r="Q58" i="28"/>
  <c r="Q61" i="28" s="1"/>
  <c r="Q64" i="28" s="1"/>
  <c r="P23" i="28"/>
  <c r="P24" i="28" s="1"/>
  <c r="H58" i="29"/>
  <c r="H61" i="29" s="1"/>
  <c r="H64" i="29" s="1"/>
  <c r="P58" i="29"/>
  <c r="P61" i="29" s="1"/>
  <c r="P23" i="29"/>
  <c r="E58" i="30"/>
  <c r="E61" i="30" s="1"/>
  <c r="E64" i="30" s="1"/>
  <c r="M58" i="30"/>
  <c r="M61" i="30" s="1"/>
  <c r="M64" i="30" s="1"/>
  <c r="U58" i="30"/>
  <c r="U61" i="30" s="1"/>
  <c r="U64" i="30" s="1"/>
  <c r="U65" i="30" s="1"/>
  <c r="N57" i="30"/>
  <c r="F59" i="30"/>
  <c r="B58" i="30"/>
  <c r="B61" i="30" s="1"/>
  <c r="B64" i="30" s="1"/>
  <c r="B58" i="24"/>
  <c r="B61" i="24" s="1"/>
  <c r="B64" i="24" s="1"/>
  <c r="B58" i="26"/>
  <c r="B61" i="26" s="1"/>
  <c r="B64" i="26" s="1"/>
  <c r="B58" i="27"/>
  <c r="B61" i="27" s="1"/>
  <c r="B64" i="27" s="1"/>
  <c r="B58" i="23"/>
  <c r="B61" i="23" s="1"/>
  <c r="B64" i="23" s="1"/>
  <c r="B58" i="28"/>
  <c r="B61" i="28" s="1"/>
  <c r="B64" i="28" s="1"/>
  <c r="C21" i="21"/>
  <c r="C23" i="21" s="1"/>
  <c r="C24" i="21" s="1"/>
  <c r="B58" i="22"/>
  <c r="B61" i="22" s="1"/>
  <c r="B64" i="22" s="1"/>
  <c r="B58" i="29"/>
  <c r="B61" i="29" s="1"/>
  <c r="B64" i="29" s="1"/>
  <c r="C17" i="21"/>
  <c r="C19" i="21" s="1"/>
  <c r="C20" i="21" s="1"/>
  <c r="H64" i="30"/>
  <c r="I64" i="30"/>
  <c r="O23" i="30"/>
  <c r="J23" i="30"/>
  <c r="G23" i="30"/>
  <c r="G24" i="30" s="1"/>
  <c r="J17" i="30"/>
  <c r="J19" i="30" s="1"/>
  <c r="R17" i="30"/>
  <c r="R19" i="30" s="1"/>
  <c r="F63" i="30"/>
  <c r="N63" i="30"/>
  <c r="C17" i="30"/>
  <c r="C19" i="30" s="1"/>
  <c r="C20" i="30" s="1"/>
  <c r="K17" i="30"/>
  <c r="K19" i="30" s="1"/>
  <c r="S17" i="30"/>
  <c r="S19" i="30" s="1"/>
  <c r="C21" i="30"/>
  <c r="C23" i="30" s="1"/>
  <c r="C24" i="30" s="1"/>
  <c r="K21" i="30"/>
  <c r="K23" i="30" s="1"/>
  <c r="S21" i="30"/>
  <c r="S23" i="30" s="1"/>
  <c r="A31" i="30"/>
  <c r="A33" i="30"/>
  <c r="A39" i="30"/>
  <c r="A41" i="30"/>
  <c r="A47" i="30"/>
  <c r="A49" i="30"/>
  <c r="G57" i="30"/>
  <c r="O57" i="30"/>
  <c r="G59" i="30"/>
  <c r="G64" i="30" s="1"/>
  <c r="O59" i="30"/>
  <c r="G63" i="30"/>
  <c r="O63" i="30"/>
  <c r="D17" i="30"/>
  <c r="D19" i="30" s="1"/>
  <c r="D20" i="30" s="1"/>
  <c r="P63" i="30"/>
  <c r="I63" i="30"/>
  <c r="Q63" i="30"/>
  <c r="T17" i="30"/>
  <c r="T19" i="30" s="1"/>
  <c r="E17" i="30"/>
  <c r="E19" i="30" s="1"/>
  <c r="E20" i="30" s="1"/>
  <c r="F17" i="30"/>
  <c r="F19" i="30" s="1"/>
  <c r="F20" i="30" s="1"/>
  <c r="N17" i="30"/>
  <c r="N19" i="30" s="1"/>
  <c r="V17" i="30"/>
  <c r="V19" i="30" s="1"/>
  <c r="F21" i="30"/>
  <c r="F23" i="30" s="1"/>
  <c r="F24" i="30" s="1"/>
  <c r="N21" i="30"/>
  <c r="N23" i="30" s="1"/>
  <c r="V21" i="30"/>
  <c r="V23" i="30" s="1"/>
  <c r="B63" i="30"/>
  <c r="J63" i="30"/>
  <c r="R63" i="30"/>
  <c r="M17" i="30"/>
  <c r="M19" i="30" s="1"/>
  <c r="G17" i="30"/>
  <c r="G19" i="30" s="1"/>
  <c r="G20" i="30" s="1"/>
  <c r="O17" i="30"/>
  <c r="O19" i="30" s="1"/>
  <c r="A32" i="30"/>
  <c r="A34" i="30"/>
  <c r="A40" i="30"/>
  <c r="A42" i="30"/>
  <c r="A48" i="30"/>
  <c r="A50" i="30"/>
  <c r="C63" i="30"/>
  <c r="K63" i="30"/>
  <c r="S63" i="30"/>
  <c r="L17" i="30"/>
  <c r="L19" i="30" s="1"/>
  <c r="H17" i="30"/>
  <c r="H19" i="30" s="1"/>
  <c r="H20" i="30" s="1"/>
  <c r="P17" i="30"/>
  <c r="P19" i="30" s="1"/>
  <c r="D63" i="30"/>
  <c r="L63" i="30"/>
  <c r="T63" i="30"/>
  <c r="H63" i="30"/>
  <c r="U17" i="30"/>
  <c r="U19" i="30" s="1"/>
  <c r="I17" i="30"/>
  <c r="I19" i="30" s="1"/>
  <c r="Q17" i="30"/>
  <c r="Q19" i="30" s="1"/>
  <c r="E63" i="30"/>
  <c r="M63" i="30"/>
  <c r="I23" i="29"/>
  <c r="Q23" i="29"/>
  <c r="M64" i="29"/>
  <c r="O23" i="29"/>
  <c r="T17" i="29"/>
  <c r="T19" i="29" s="1"/>
  <c r="P63" i="29"/>
  <c r="J17" i="29"/>
  <c r="J19" i="29" s="1"/>
  <c r="R17" i="29"/>
  <c r="R19" i="29" s="1"/>
  <c r="J21" i="29"/>
  <c r="J23" i="29" s="1"/>
  <c r="R21" i="29"/>
  <c r="R23" i="29" s="1"/>
  <c r="F57" i="29"/>
  <c r="N57" i="29"/>
  <c r="F59" i="29"/>
  <c r="N59" i="29"/>
  <c r="F63" i="29"/>
  <c r="N63" i="29"/>
  <c r="H63" i="29"/>
  <c r="C17" i="29"/>
  <c r="C19" i="29" s="1"/>
  <c r="C20" i="29" s="1"/>
  <c r="K17" i="29"/>
  <c r="K19" i="29" s="1"/>
  <c r="S17" i="29"/>
  <c r="S19" i="29" s="1"/>
  <c r="C21" i="29"/>
  <c r="C23" i="29" s="1"/>
  <c r="C24" i="29" s="1"/>
  <c r="K21" i="29"/>
  <c r="K23" i="29" s="1"/>
  <c r="S21" i="29"/>
  <c r="S23" i="29" s="1"/>
  <c r="A31" i="29"/>
  <c r="A33" i="29"/>
  <c r="A39" i="29"/>
  <c r="A41" i="29"/>
  <c r="A47" i="29"/>
  <c r="A49" i="29"/>
  <c r="G57" i="29"/>
  <c r="O57" i="29"/>
  <c r="G59" i="29"/>
  <c r="O59" i="29"/>
  <c r="G63" i="29"/>
  <c r="O63" i="29"/>
  <c r="D17" i="29"/>
  <c r="D19" i="29" s="1"/>
  <c r="D20" i="29" s="1"/>
  <c r="E17" i="29"/>
  <c r="E19" i="29" s="1"/>
  <c r="E20" i="29" s="1"/>
  <c r="M17" i="29"/>
  <c r="M19" i="29" s="1"/>
  <c r="U17" i="29"/>
  <c r="U19" i="29" s="1"/>
  <c r="E21" i="29"/>
  <c r="E23" i="29" s="1"/>
  <c r="E24" i="29" s="1"/>
  <c r="M21" i="29"/>
  <c r="M23" i="29" s="1"/>
  <c r="U21" i="29"/>
  <c r="U23" i="29" s="1"/>
  <c r="I57" i="29"/>
  <c r="Q57" i="29"/>
  <c r="I63" i="29"/>
  <c r="Q63" i="29"/>
  <c r="F17" i="29"/>
  <c r="F19" i="29" s="1"/>
  <c r="F20" i="29" s="1"/>
  <c r="N17" i="29"/>
  <c r="N19" i="29" s="1"/>
  <c r="V17" i="29"/>
  <c r="V19" i="29" s="1"/>
  <c r="F21" i="29"/>
  <c r="F23" i="29" s="1"/>
  <c r="F24" i="29" s="1"/>
  <c r="N21" i="29"/>
  <c r="N23" i="29" s="1"/>
  <c r="V21" i="29"/>
  <c r="V23" i="29" s="1"/>
  <c r="B63" i="29"/>
  <c r="J63" i="29"/>
  <c r="R63" i="29"/>
  <c r="L17" i="29"/>
  <c r="L19" i="29" s="1"/>
  <c r="G17" i="29"/>
  <c r="G19" i="29" s="1"/>
  <c r="G20" i="29" s="1"/>
  <c r="O17" i="29"/>
  <c r="O19" i="29" s="1"/>
  <c r="A32" i="29"/>
  <c r="A34" i="29"/>
  <c r="A40" i="29"/>
  <c r="A42" i="29"/>
  <c r="A48" i="29"/>
  <c r="A50" i="29"/>
  <c r="C63" i="29"/>
  <c r="K63" i="29"/>
  <c r="S63" i="29"/>
  <c r="H17" i="29"/>
  <c r="H19" i="29" s="1"/>
  <c r="H20" i="29" s="1"/>
  <c r="P17" i="29"/>
  <c r="P19" i="29" s="1"/>
  <c r="D63" i="29"/>
  <c r="L63" i="29"/>
  <c r="T63" i="29"/>
  <c r="I17" i="29"/>
  <c r="I19" i="29" s="1"/>
  <c r="Q17" i="29"/>
  <c r="Q19" i="29" s="1"/>
  <c r="E63" i="29"/>
  <c r="M63" i="29"/>
  <c r="L64" i="28"/>
  <c r="T64" i="28"/>
  <c r="N64" i="28"/>
  <c r="N65" i="28" s="1"/>
  <c r="J17" i="28"/>
  <c r="J19" i="28" s="1"/>
  <c r="C17" i="28"/>
  <c r="C19" i="28" s="1"/>
  <c r="C20" i="28" s="1"/>
  <c r="K17" i="28"/>
  <c r="K19" i="28" s="1"/>
  <c r="S17" i="28"/>
  <c r="S19" i="28" s="1"/>
  <c r="C21" i="28"/>
  <c r="C23" i="28" s="1"/>
  <c r="C24" i="28" s="1"/>
  <c r="K21" i="28"/>
  <c r="K23" i="28" s="1"/>
  <c r="K24" i="28" s="1"/>
  <c r="S21" i="28"/>
  <c r="S23" i="28" s="1"/>
  <c r="S24" i="28" s="1"/>
  <c r="A31" i="28"/>
  <c r="A33" i="28"/>
  <c r="A37" i="28"/>
  <c r="A39" i="28"/>
  <c r="A41" i="28"/>
  <c r="A45" i="28"/>
  <c r="A47" i="28"/>
  <c r="A49" i="28"/>
  <c r="G57" i="28"/>
  <c r="O57" i="28"/>
  <c r="G59" i="28"/>
  <c r="O59" i="28"/>
  <c r="G63" i="28"/>
  <c r="O63" i="28"/>
  <c r="D17" i="28"/>
  <c r="D19" i="28" s="1"/>
  <c r="D20" i="28" s="1"/>
  <c r="L17" i="28"/>
  <c r="L19" i="28" s="1"/>
  <c r="T17" i="28"/>
  <c r="T19" i="28" s="1"/>
  <c r="D21" i="28"/>
  <c r="D23" i="28" s="1"/>
  <c r="D24" i="28" s="1"/>
  <c r="L21" i="28"/>
  <c r="L23" i="28" s="1"/>
  <c r="L24" i="28" s="1"/>
  <c r="T21" i="28"/>
  <c r="T23" i="28" s="1"/>
  <c r="T24" i="28" s="1"/>
  <c r="H59" i="28"/>
  <c r="H64" i="28" s="1"/>
  <c r="P59" i="28"/>
  <c r="P64" i="28" s="1"/>
  <c r="H63" i="28"/>
  <c r="P63" i="28"/>
  <c r="E17" i="28"/>
  <c r="E19" i="28" s="1"/>
  <c r="E20" i="28" s="1"/>
  <c r="M17" i="28"/>
  <c r="M19" i="28" s="1"/>
  <c r="U17" i="28"/>
  <c r="U19" i="28" s="1"/>
  <c r="E21" i="28"/>
  <c r="E23" i="28" s="1"/>
  <c r="E24" i="28" s="1"/>
  <c r="M21" i="28"/>
  <c r="M23" i="28" s="1"/>
  <c r="M24" i="28" s="1"/>
  <c r="U21" i="28"/>
  <c r="U23" i="28" s="1"/>
  <c r="U24" i="28" s="1"/>
  <c r="I57" i="28"/>
  <c r="Q57" i="28"/>
  <c r="I63" i="28"/>
  <c r="Q63" i="28"/>
  <c r="R17" i="28"/>
  <c r="R19" i="28" s="1"/>
  <c r="F17" i="28"/>
  <c r="F19" i="28" s="1"/>
  <c r="F20" i="28" s="1"/>
  <c r="N17" i="28"/>
  <c r="N19" i="28" s="1"/>
  <c r="V17" i="28"/>
  <c r="V19" i="28" s="1"/>
  <c r="F21" i="28"/>
  <c r="F23" i="28" s="1"/>
  <c r="F24" i="28" s="1"/>
  <c r="N21" i="28"/>
  <c r="N23" i="28" s="1"/>
  <c r="N24" i="28" s="1"/>
  <c r="V21" i="28"/>
  <c r="V23" i="28" s="1"/>
  <c r="V24" i="28" s="1"/>
  <c r="B63" i="28"/>
  <c r="J63" i="28"/>
  <c r="R63" i="28"/>
  <c r="G17" i="28"/>
  <c r="G19" i="28" s="1"/>
  <c r="G20" i="28" s="1"/>
  <c r="O17" i="28"/>
  <c r="O19" i="28" s="1"/>
  <c r="A32" i="28"/>
  <c r="A34" i="28"/>
  <c r="A40" i="28"/>
  <c r="A42" i="28"/>
  <c r="A48" i="28"/>
  <c r="A50" i="28"/>
  <c r="C63" i="28"/>
  <c r="K63" i="28"/>
  <c r="S63" i="28"/>
  <c r="H17" i="28"/>
  <c r="H19" i="28" s="1"/>
  <c r="H20" i="28" s="1"/>
  <c r="P17" i="28"/>
  <c r="P19" i="28" s="1"/>
  <c r="D63" i="28"/>
  <c r="L63" i="28"/>
  <c r="T63" i="28"/>
  <c r="I17" i="28"/>
  <c r="I19" i="28" s="1"/>
  <c r="Q17" i="28"/>
  <c r="Q19" i="28" s="1"/>
  <c r="E63" i="28"/>
  <c r="M63" i="28"/>
  <c r="K64" i="27"/>
  <c r="Q23" i="27"/>
  <c r="I23" i="27"/>
  <c r="T23" i="27"/>
  <c r="I64" i="27"/>
  <c r="R17" i="27"/>
  <c r="R19" i="27" s="1"/>
  <c r="J21" i="27"/>
  <c r="J23" i="27" s="1"/>
  <c r="F63" i="27"/>
  <c r="N63" i="27"/>
  <c r="C17" i="27"/>
  <c r="C19" i="27" s="1"/>
  <c r="C20" i="27" s="1"/>
  <c r="K17" i="27"/>
  <c r="K19" i="27" s="1"/>
  <c r="S17" i="27"/>
  <c r="S19" i="27" s="1"/>
  <c r="C21" i="27"/>
  <c r="C23" i="27" s="1"/>
  <c r="C24" i="27" s="1"/>
  <c r="K21" i="27"/>
  <c r="K23" i="27" s="1"/>
  <c r="S21" i="27"/>
  <c r="S23"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U17" i="27"/>
  <c r="U19" i="27" s="1"/>
  <c r="E21" i="27"/>
  <c r="E23" i="27" s="1"/>
  <c r="E24" i="27" s="1"/>
  <c r="M21" i="27"/>
  <c r="M23" i="27" s="1"/>
  <c r="U21" i="27"/>
  <c r="U23" i="27" s="1"/>
  <c r="I57" i="27"/>
  <c r="Q57" i="27"/>
  <c r="I63" i="27"/>
  <c r="Q63" i="27"/>
  <c r="F17" i="27"/>
  <c r="F19" i="27" s="1"/>
  <c r="F20" i="27" s="1"/>
  <c r="N17" i="27"/>
  <c r="N19" i="27" s="1"/>
  <c r="V17" i="27"/>
  <c r="V19" i="27" s="1"/>
  <c r="F21" i="27"/>
  <c r="F23" i="27" s="1"/>
  <c r="F24" i="27" s="1"/>
  <c r="N21" i="27"/>
  <c r="N23" i="27" s="1"/>
  <c r="V21" i="27"/>
  <c r="V23" i="27" s="1"/>
  <c r="B63" i="27"/>
  <c r="J63" i="27"/>
  <c r="R63" i="27"/>
  <c r="G17" i="27"/>
  <c r="G19" i="27" s="1"/>
  <c r="G20" i="27" s="1"/>
  <c r="O17" i="27"/>
  <c r="O19" i="27" s="1"/>
  <c r="A32" i="27"/>
  <c r="A34" i="27"/>
  <c r="A40" i="27"/>
  <c r="A42" i="27"/>
  <c r="A48" i="27"/>
  <c r="A50" i="27"/>
  <c r="C63" i="27"/>
  <c r="K63" i="27"/>
  <c r="S63" i="27"/>
  <c r="L17" i="27"/>
  <c r="L19" i="27" s="1"/>
  <c r="H17" i="27"/>
  <c r="H19" i="27" s="1"/>
  <c r="H20" i="27" s="1"/>
  <c r="P17" i="27"/>
  <c r="P19" i="27" s="1"/>
  <c r="D63" i="27"/>
  <c r="L63" i="27"/>
  <c r="T63" i="27"/>
  <c r="H63" i="27"/>
  <c r="I17" i="27"/>
  <c r="I19" i="27" s="1"/>
  <c r="Q17" i="27"/>
  <c r="Q19" i="27" s="1"/>
  <c r="E63" i="27"/>
  <c r="M63" i="27"/>
  <c r="S64" i="26"/>
  <c r="D64" i="26"/>
  <c r="L64" i="26"/>
  <c r="U64" i="26"/>
  <c r="U65" i="26" s="1"/>
  <c r="O23" i="26"/>
  <c r="J23" i="26"/>
  <c r="R23" i="26"/>
  <c r="H64" i="26"/>
  <c r="P64" i="26"/>
  <c r="R17" i="26"/>
  <c r="R19" i="26" s="1"/>
  <c r="C17" i="26"/>
  <c r="C19" i="26" s="1"/>
  <c r="C20" i="26" s="1"/>
  <c r="K17" i="26"/>
  <c r="K19" i="26" s="1"/>
  <c r="S17" i="26"/>
  <c r="S19" i="26" s="1"/>
  <c r="C21" i="26"/>
  <c r="C23" i="26" s="1"/>
  <c r="C24" i="26" s="1"/>
  <c r="K21" i="26"/>
  <c r="K23" i="26" s="1"/>
  <c r="S21" i="26"/>
  <c r="S23" i="26" s="1"/>
  <c r="A31" i="26"/>
  <c r="A33" i="26"/>
  <c r="A37" i="26"/>
  <c r="A39" i="26"/>
  <c r="A41" i="26"/>
  <c r="A45" i="26"/>
  <c r="A47" i="26"/>
  <c r="A49" i="26"/>
  <c r="G57" i="26"/>
  <c r="O57" i="26"/>
  <c r="G59" i="26"/>
  <c r="O59" i="26"/>
  <c r="G63" i="26"/>
  <c r="O63" i="26"/>
  <c r="D17" i="26"/>
  <c r="D19" i="26" s="1"/>
  <c r="D20" i="26" s="1"/>
  <c r="L17" i="26"/>
  <c r="L19" i="26" s="1"/>
  <c r="T17" i="26"/>
  <c r="T19" i="26" s="1"/>
  <c r="D21" i="26"/>
  <c r="D23" i="26" s="1"/>
  <c r="D24" i="26" s="1"/>
  <c r="L21" i="26"/>
  <c r="L23" i="26" s="1"/>
  <c r="T21" i="26"/>
  <c r="T23" i="26" s="1"/>
  <c r="H63" i="26"/>
  <c r="P63" i="26"/>
  <c r="E17" i="26"/>
  <c r="E19" i="26" s="1"/>
  <c r="E20" i="26" s="1"/>
  <c r="M17" i="26"/>
  <c r="M19" i="26" s="1"/>
  <c r="U17" i="26"/>
  <c r="U19" i="26" s="1"/>
  <c r="E21" i="26"/>
  <c r="E23" i="26" s="1"/>
  <c r="E24" i="26" s="1"/>
  <c r="M21" i="26"/>
  <c r="M23" i="26" s="1"/>
  <c r="U21" i="26"/>
  <c r="U23" i="26" s="1"/>
  <c r="I57" i="26"/>
  <c r="Q57" i="26"/>
  <c r="I59" i="26"/>
  <c r="I64" i="26" s="1"/>
  <c r="Q59" i="26"/>
  <c r="Q64" i="26" s="1"/>
  <c r="I63" i="26"/>
  <c r="Q63" i="26"/>
  <c r="J17" i="26"/>
  <c r="J19" i="26" s="1"/>
  <c r="F17" i="26"/>
  <c r="F19" i="26" s="1"/>
  <c r="F20" i="26" s="1"/>
  <c r="N17" i="26"/>
  <c r="N19" i="26" s="1"/>
  <c r="V17" i="26"/>
  <c r="V19" i="26" s="1"/>
  <c r="F21" i="26"/>
  <c r="F23" i="26" s="1"/>
  <c r="F24" i="26" s="1"/>
  <c r="N21" i="26"/>
  <c r="N23" i="26" s="1"/>
  <c r="V21" i="26"/>
  <c r="V23" i="26" s="1"/>
  <c r="B63" i="26"/>
  <c r="J63" i="26"/>
  <c r="R63" i="26"/>
  <c r="G17" i="26"/>
  <c r="G19" i="26" s="1"/>
  <c r="G20" i="26" s="1"/>
  <c r="O17" i="26"/>
  <c r="O19" i="26" s="1"/>
  <c r="A32" i="26"/>
  <c r="A34" i="26"/>
  <c r="A40" i="26"/>
  <c r="A42" i="26"/>
  <c r="A48" i="26"/>
  <c r="A50" i="26"/>
  <c r="C63" i="26"/>
  <c r="K63" i="26"/>
  <c r="S63" i="26"/>
  <c r="H17" i="26"/>
  <c r="H19" i="26" s="1"/>
  <c r="H20" i="26" s="1"/>
  <c r="P17" i="26"/>
  <c r="P19" i="26" s="1"/>
  <c r="D63" i="26"/>
  <c r="L63" i="26"/>
  <c r="I17" i="26"/>
  <c r="I19" i="26" s="1"/>
  <c r="Q17" i="26"/>
  <c r="Q19" i="26" s="1"/>
  <c r="M64" i="24"/>
  <c r="J23" i="24"/>
  <c r="H23" i="24"/>
  <c r="H24" i="24" s="1"/>
  <c r="P23" i="24"/>
  <c r="J17" i="24"/>
  <c r="J19" i="24" s="1"/>
  <c r="C17" i="24"/>
  <c r="C19" i="24" s="1"/>
  <c r="C20" i="24" s="1"/>
  <c r="K17" i="24"/>
  <c r="K19" i="24" s="1"/>
  <c r="S17" i="24"/>
  <c r="S19" i="24" s="1"/>
  <c r="C21" i="24"/>
  <c r="C23" i="24" s="1"/>
  <c r="C24" i="24" s="1"/>
  <c r="K21" i="24"/>
  <c r="K23" i="24" s="1"/>
  <c r="S21" i="24"/>
  <c r="S23" i="24" s="1"/>
  <c r="A31" i="24"/>
  <c r="A33" i="24"/>
  <c r="A37" i="24"/>
  <c r="A39" i="24"/>
  <c r="A41" i="24"/>
  <c r="A45" i="24"/>
  <c r="A47" i="24"/>
  <c r="A49" i="24"/>
  <c r="G57" i="24"/>
  <c r="O57" i="24"/>
  <c r="G59" i="24"/>
  <c r="G64" i="24" s="1"/>
  <c r="O59" i="24"/>
  <c r="O64" i="24" s="1"/>
  <c r="G63" i="24"/>
  <c r="O63" i="24"/>
  <c r="D17" i="24"/>
  <c r="D19" i="24" s="1"/>
  <c r="D20" i="24" s="1"/>
  <c r="L17" i="24"/>
  <c r="L19" i="24" s="1"/>
  <c r="T17" i="24"/>
  <c r="T19" i="24" s="1"/>
  <c r="H59" i="24"/>
  <c r="H64" i="24" s="1"/>
  <c r="P59" i="24"/>
  <c r="P64" i="24" s="1"/>
  <c r="H63" i="24"/>
  <c r="P63" i="24"/>
  <c r="E17" i="24"/>
  <c r="E19" i="24" s="1"/>
  <c r="E20" i="24" s="1"/>
  <c r="M17" i="24"/>
  <c r="M19" i="24" s="1"/>
  <c r="U17" i="24"/>
  <c r="U19" i="24" s="1"/>
  <c r="E21" i="24"/>
  <c r="E23" i="24" s="1"/>
  <c r="E24" i="24" s="1"/>
  <c r="M21" i="24"/>
  <c r="M23" i="24" s="1"/>
  <c r="U21" i="24"/>
  <c r="U23" i="24" s="1"/>
  <c r="I57" i="24"/>
  <c r="Q57" i="24"/>
  <c r="I63" i="24"/>
  <c r="Q63" i="24"/>
  <c r="F17" i="24"/>
  <c r="F19" i="24" s="1"/>
  <c r="F20" i="24" s="1"/>
  <c r="N17" i="24"/>
  <c r="N19" i="24" s="1"/>
  <c r="V17" i="24"/>
  <c r="V19" i="24" s="1"/>
  <c r="F21" i="24"/>
  <c r="F23" i="24" s="1"/>
  <c r="F24" i="24" s="1"/>
  <c r="N21" i="24"/>
  <c r="N23" i="24" s="1"/>
  <c r="V21" i="24"/>
  <c r="V23" i="24" s="1"/>
  <c r="B63" i="24"/>
  <c r="J63" i="24"/>
  <c r="R63" i="24"/>
  <c r="G17" i="24"/>
  <c r="G19" i="24" s="1"/>
  <c r="G20" i="24" s="1"/>
  <c r="O17" i="24"/>
  <c r="O19" i="24" s="1"/>
  <c r="A32" i="24"/>
  <c r="A34" i="24"/>
  <c r="A40" i="24"/>
  <c r="A42" i="24"/>
  <c r="A48" i="24"/>
  <c r="A50" i="24"/>
  <c r="C63" i="24"/>
  <c r="K63" i="24"/>
  <c r="S63" i="24"/>
  <c r="R21" i="24"/>
  <c r="R23" i="24" s="1"/>
  <c r="H17" i="24"/>
  <c r="H19" i="24" s="1"/>
  <c r="H20" i="24" s="1"/>
  <c r="P17" i="24"/>
  <c r="P19"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S64" i="23"/>
  <c r="R21" i="23"/>
  <c r="R23" i="23" s="1"/>
  <c r="C17" i="23"/>
  <c r="C19" i="23" s="1"/>
  <c r="C20" i="23" s="1"/>
  <c r="K17" i="23"/>
  <c r="K19" i="23" s="1"/>
  <c r="S17" i="23"/>
  <c r="S19" i="23" s="1"/>
  <c r="C21" i="23"/>
  <c r="C23" i="23" s="1"/>
  <c r="C24" i="23" s="1"/>
  <c r="K21" i="23"/>
  <c r="K23" i="23" s="1"/>
  <c r="S21" i="23"/>
  <c r="S23" i="23" s="1"/>
  <c r="A31" i="23"/>
  <c r="A33" i="23"/>
  <c r="A37" i="23"/>
  <c r="A39" i="23"/>
  <c r="A41" i="23"/>
  <c r="A45" i="23"/>
  <c r="A47" i="23"/>
  <c r="A49" i="23"/>
  <c r="G57" i="23"/>
  <c r="O57" i="23"/>
  <c r="G59" i="23"/>
  <c r="O59" i="23"/>
  <c r="J17" i="23"/>
  <c r="J19" i="23" s="1"/>
  <c r="D17" i="23"/>
  <c r="D19" i="23" s="1"/>
  <c r="D20" i="23" s="1"/>
  <c r="L17" i="23"/>
  <c r="L19" i="23" s="1"/>
  <c r="T17" i="23"/>
  <c r="T19" i="23" s="1"/>
  <c r="D21" i="23"/>
  <c r="D23" i="23" s="1"/>
  <c r="D24" i="23" s="1"/>
  <c r="L21" i="23"/>
  <c r="L23" i="23" s="1"/>
  <c r="T21" i="23"/>
  <c r="T23" i="23" s="1"/>
  <c r="E17" i="23"/>
  <c r="E19" i="23" s="1"/>
  <c r="E20" i="23" s="1"/>
  <c r="M17" i="23"/>
  <c r="M19" i="23" s="1"/>
  <c r="U17" i="23"/>
  <c r="U19" i="23" s="1"/>
  <c r="E21" i="23"/>
  <c r="E23" i="23" s="1"/>
  <c r="E24" i="23" s="1"/>
  <c r="M21" i="23"/>
  <c r="M23" i="23" s="1"/>
  <c r="U21" i="23"/>
  <c r="U23" i="23" s="1"/>
  <c r="I57" i="23"/>
  <c r="Q57" i="23"/>
  <c r="F21" i="23"/>
  <c r="F23" i="23" s="1"/>
  <c r="F24" i="23" s="1"/>
  <c r="N21" i="23"/>
  <c r="N23" i="23" s="1"/>
  <c r="V21" i="23"/>
  <c r="V23" i="23" s="1"/>
  <c r="G17" i="23"/>
  <c r="G19" i="23" s="1"/>
  <c r="G20" i="23" s="1"/>
  <c r="O17" i="23"/>
  <c r="O19" i="23" s="1"/>
  <c r="A32" i="23"/>
  <c r="A34" i="23"/>
  <c r="A40" i="23"/>
  <c r="A42" i="23"/>
  <c r="A48" i="23"/>
  <c r="A50" i="23"/>
  <c r="H17" i="23"/>
  <c r="H19" i="23" s="1"/>
  <c r="H20" i="23" s="1"/>
  <c r="P17" i="23"/>
  <c r="P19" i="23" s="1"/>
  <c r="I17" i="23"/>
  <c r="I19" i="23" s="1"/>
  <c r="Q17" i="23"/>
  <c r="Q19" i="23" s="1"/>
  <c r="J64" i="22"/>
  <c r="O23" i="22"/>
  <c r="O24" i="22" s="1"/>
  <c r="L64" i="22"/>
  <c r="U63" i="22"/>
  <c r="M63" i="22"/>
  <c r="E63" i="22"/>
  <c r="F63" i="22"/>
  <c r="T63" i="22"/>
  <c r="L63" i="22"/>
  <c r="D63" i="22"/>
  <c r="S63" i="22"/>
  <c r="K63" i="22"/>
  <c r="C63" i="22"/>
  <c r="N63" i="22"/>
  <c r="R63" i="22"/>
  <c r="J63" i="22"/>
  <c r="B63" i="22"/>
  <c r="Q63" i="22"/>
  <c r="I63" i="22"/>
  <c r="P63" i="22"/>
  <c r="H63" i="22"/>
  <c r="O63" i="22"/>
  <c r="G63" i="22"/>
  <c r="N64" i="22"/>
  <c r="N65" i="22" s="1"/>
  <c r="S17" i="22"/>
  <c r="S19" i="22" s="1"/>
  <c r="C21" i="22"/>
  <c r="R17" i="22"/>
  <c r="R19" i="22" s="1"/>
  <c r="S21" i="22"/>
  <c r="S23" i="22" s="1"/>
  <c r="S24" i="22" s="1"/>
  <c r="D17" i="22"/>
  <c r="D19" i="22" s="1"/>
  <c r="D20" i="22" s="1"/>
  <c r="L17" i="22"/>
  <c r="L19" i="22" s="1"/>
  <c r="T17" i="22"/>
  <c r="T19" i="22" s="1"/>
  <c r="D21" i="22"/>
  <c r="D23" i="22" s="1"/>
  <c r="D24" i="22" s="1"/>
  <c r="L21" i="22"/>
  <c r="L23" i="22" s="1"/>
  <c r="L24" i="22" s="1"/>
  <c r="T21" i="22"/>
  <c r="T23" i="22" s="1"/>
  <c r="T24" i="22" s="1"/>
  <c r="J21" i="22"/>
  <c r="J23" i="22" s="1"/>
  <c r="J24" i="22" s="1"/>
  <c r="C17" i="22"/>
  <c r="K21" i="22"/>
  <c r="K23" i="22" s="1"/>
  <c r="K24" i="22" s="1"/>
  <c r="A31" i="22"/>
  <c r="A33" i="22"/>
  <c r="A41" i="22"/>
  <c r="A47" i="22"/>
  <c r="E17" i="22"/>
  <c r="E19" i="22" s="1"/>
  <c r="E20" i="22" s="1"/>
  <c r="M17" i="22"/>
  <c r="M19" i="22" s="1"/>
  <c r="U17" i="22"/>
  <c r="U19" i="22" s="1"/>
  <c r="E21" i="22"/>
  <c r="E23" i="22" s="1"/>
  <c r="E24" i="22" s="1"/>
  <c r="M21" i="22"/>
  <c r="M23" i="22" s="1"/>
  <c r="M24" i="22" s="1"/>
  <c r="U21" i="22"/>
  <c r="U23" i="22" s="1"/>
  <c r="U24" i="22" s="1"/>
  <c r="I57" i="22"/>
  <c r="Q57" i="22"/>
  <c r="K17" i="22"/>
  <c r="K19" i="22" s="1"/>
  <c r="A39" i="22"/>
  <c r="A49" i="22"/>
  <c r="F17" i="22"/>
  <c r="F19" i="22" s="1"/>
  <c r="F20" i="22" s="1"/>
  <c r="N17" i="22"/>
  <c r="N19" i="22" s="1"/>
  <c r="V17" i="22"/>
  <c r="V19" i="22" s="1"/>
  <c r="F21" i="22"/>
  <c r="F23" i="22" s="1"/>
  <c r="F24" i="22" s="1"/>
  <c r="N21" i="22"/>
  <c r="N23" i="22" s="1"/>
  <c r="N24" i="22" s="1"/>
  <c r="V21" i="22"/>
  <c r="V23" i="22" s="1"/>
  <c r="V24" i="22" s="1"/>
  <c r="G17" i="22"/>
  <c r="G19" i="22" s="1"/>
  <c r="G20" i="22" s="1"/>
  <c r="O17" i="22"/>
  <c r="O19" i="22" s="1"/>
  <c r="A32" i="22"/>
  <c r="A34" i="22"/>
  <c r="A40" i="22"/>
  <c r="A42" i="22"/>
  <c r="A48" i="22"/>
  <c r="A50" i="22"/>
  <c r="H17" i="22"/>
  <c r="H19" i="22" s="1"/>
  <c r="H20" i="22" s="1"/>
  <c r="P17" i="22"/>
  <c r="P19" i="22" s="1"/>
  <c r="I17" i="22"/>
  <c r="I19" i="22" s="1"/>
  <c r="Q17" i="22"/>
  <c r="Q19" i="22" s="1"/>
  <c r="P64" i="21"/>
  <c r="N64" i="21"/>
  <c r="N65" i="21" s="1"/>
  <c r="F64" i="21"/>
  <c r="F65" i="21" s="1"/>
  <c r="N19" i="21"/>
  <c r="D23" i="21"/>
  <c r="D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O19" i="21"/>
  <c r="S19" i="21"/>
  <c r="I21" i="21"/>
  <c r="I23" i="21" s="1"/>
  <c r="I24" i="21" s="1"/>
  <c r="Q21" i="21"/>
  <c r="Q23" i="21" s="1"/>
  <c r="Q24" i="21" s="1"/>
  <c r="G23" i="21"/>
  <c r="G24" i="21" s="1"/>
  <c r="K23" i="21"/>
  <c r="K24" i="21" s="1"/>
  <c r="M23" i="21"/>
  <c r="M24" i="21" s="1"/>
  <c r="C57" i="21"/>
  <c r="K57" i="21"/>
  <c r="S57" i="21"/>
  <c r="Q17" i="21"/>
  <c r="Q19" i="21" s="1"/>
  <c r="J21" i="21"/>
  <c r="J23" i="21" s="1"/>
  <c r="J24" i="21" s="1"/>
  <c r="R21" i="21"/>
  <c r="R23" i="21" s="1"/>
  <c r="R24" i="21" s="1"/>
  <c r="I19" i="21"/>
  <c r="J19" i="21"/>
  <c r="L19" i="21"/>
  <c r="T19" i="21"/>
  <c r="R19" i="21"/>
  <c r="A31" i="21"/>
  <c r="Q64" i="21"/>
  <c r="J64" i="21"/>
  <c r="D64" i="21"/>
  <c r="L64" i="21"/>
  <c r="T64" i="21"/>
  <c r="R64" i="21"/>
  <c r="C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G64" i="28" l="1"/>
  <c r="F64" i="30"/>
  <c r="F65" i="30" s="1"/>
  <c r="C23" i="22"/>
  <c r="C24" i="22" s="1"/>
  <c r="G65" i="28"/>
  <c r="C19" i="22"/>
  <c r="C20" i="22" s="1"/>
  <c r="D65" i="30"/>
  <c r="F64" i="24"/>
  <c r="F65" i="24" s="1"/>
  <c r="T65" i="29"/>
  <c r="P65" i="22"/>
  <c r="O64" i="27"/>
  <c r="O65" i="27" s="1"/>
  <c r="O64" i="28"/>
  <c r="N64" i="27"/>
  <c r="N65" i="27" s="1"/>
  <c r="N64" i="30"/>
  <c r="N65" i="30" s="1"/>
  <c r="L65" i="30"/>
  <c r="J65" i="28"/>
  <c r="H65" i="27"/>
  <c r="G64" i="26"/>
  <c r="G65" i="26" s="1"/>
  <c r="G64" i="29"/>
  <c r="G65" i="29" s="1"/>
  <c r="F64" i="22"/>
  <c r="D65" i="29"/>
  <c r="O64" i="26"/>
  <c r="O65" i="26" s="1"/>
  <c r="K65" i="23"/>
  <c r="R65" i="22"/>
  <c r="I65" i="21"/>
  <c r="L65" i="22"/>
  <c r="O65" i="28"/>
  <c r="T65" i="24"/>
  <c r="U65" i="23"/>
  <c r="P64" i="30"/>
  <c r="P65" i="30" s="1"/>
  <c r="C65" i="23"/>
  <c r="J65" i="22"/>
  <c r="H65" i="29"/>
  <c r="P65" i="23"/>
  <c r="E65" i="22"/>
  <c r="T65" i="23"/>
  <c r="Q65" i="21"/>
  <c r="P65" i="21"/>
  <c r="K65" i="27"/>
  <c r="G64" i="23"/>
  <c r="G65" i="23" s="1"/>
  <c r="Q65" i="24"/>
  <c r="K65" i="26"/>
  <c r="R65" i="27"/>
  <c r="C65" i="27"/>
  <c r="H65" i="23"/>
  <c r="O65" i="24"/>
  <c r="J65" i="27"/>
  <c r="G64" i="27"/>
  <c r="G65" i="27" s="1"/>
  <c r="G65" i="30"/>
  <c r="J65" i="30"/>
  <c r="F64" i="27"/>
  <c r="F65" i="27" s="1"/>
  <c r="G65" i="21"/>
  <c r="J65" i="21"/>
  <c r="T65" i="27"/>
  <c r="L65" i="29"/>
  <c r="Q65" i="22"/>
  <c r="F65" i="23"/>
  <c r="J65" i="26"/>
  <c r="E65" i="21"/>
  <c r="M65" i="23"/>
  <c r="C65" i="22"/>
  <c r="T65" i="21"/>
  <c r="S65" i="23"/>
  <c r="H65" i="30"/>
  <c r="E65" i="30"/>
  <c r="S65" i="24"/>
  <c r="L65" i="21"/>
  <c r="D65" i="22"/>
  <c r="R65" i="23"/>
  <c r="S65" i="26"/>
  <c r="L65" i="28"/>
  <c r="L65" i="26"/>
  <c r="T65" i="30"/>
  <c r="C65" i="29"/>
  <c r="H65" i="22"/>
  <c r="R65" i="28"/>
  <c r="N64" i="26"/>
  <c r="N65" i="26" s="1"/>
  <c r="O64" i="29"/>
  <c r="O65" i="29" s="1"/>
  <c r="P64" i="29"/>
  <c r="P65" i="29" s="1"/>
  <c r="S64" i="1"/>
  <c r="R65" i="26"/>
  <c r="D65" i="27"/>
  <c r="N64" i="29"/>
  <c r="N65" i="29" s="1"/>
  <c r="R65" i="30"/>
  <c r="D65" i="23"/>
  <c r="L65" i="23"/>
  <c r="O65" i="22"/>
  <c r="R64" i="1"/>
  <c r="J65" i="23"/>
  <c r="Q64" i="1"/>
  <c r="U64" i="1"/>
  <c r="P64" i="1"/>
  <c r="C65" i="24"/>
  <c r="E65" i="27"/>
  <c r="J65" i="24"/>
  <c r="Q65" i="29"/>
  <c r="C65" i="28"/>
  <c r="F64" i="29"/>
  <c r="F65" i="29" s="1"/>
  <c r="G65" i="22"/>
  <c r="O64" i="23"/>
  <c r="O65" i="23" s="1"/>
  <c r="O64" i="30"/>
  <c r="N64" i="24"/>
  <c r="N65" i="24" s="1"/>
  <c r="B65" i="23"/>
  <c r="B65" i="27"/>
  <c r="B65" i="28"/>
  <c r="B65" i="30"/>
  <c r="B65" i="26"/>
  <c r="B65" i="22"/>
  <c r="B65" i="24"/>
  <c r="O65" i="30"/>
  <c r="S65" i="30"/>
  <c r="M65" i="30"/>
  <c r="K65" i="30"/>
  <c r="C65" i="30"/>
  <c r="I65" i="30"/>
  <c r="E65" i="29"/>
  <c r="R65" i="29"/>
  <c r="J65" i="29"/>
  <c r="M65" i="29"/>
  <c r="I65" i="29"/>
  <c r="S65" i="29"/>
  <c r="B65" i="29"/>
  <c r="K65" i="29"/>
  <c r="T65" i="28"/>
  <c r="E65" i="28"/>
  <c r="D65" i="28"/>
  <c r="M65" i="28"/>
  <c r="P65" i="28"/>
  <c r="Q65" i="28"/>
  <c r="H65" i="28"/>
  <c r="I65" i="28"/>
  <c r="S65" i="28"/>
  <c r="K65" i="28"/>
  <c r="Q65" i="27"/>
  <c r="I65" i="27"/>
  <c r="M65" i="27"/>
  <c r="P65" i="27"/>
  <c r="Q65" i="26"/>
  <c r="P65" i="26"/>
  <c r="C65" i="26"/>
  <c r="I65" i="26"/>
  <c r="H65" i="26"/>
  <c r="D65" i="26"/>
  <c r="G65" i="24"/>
  <c r="H65" i="24"/>
  <c r="L65" i="24"/>
  <c r="R65" i="24"/>
  <c r="I65" i="24"/>
  <c r="P65" i="24"/>
  <c r="D65" i="24"/>
  <c r="K65" i="24"/>
  <c r="M65" i="24"/>
  <c r="E65" i="24"/>
  <c r="Q65" i="23"/>
  <c r="I65" i="23"/>
  <c r="N65" i="23"/>
  <c r="E65" i="23"/>
  <c r="I65" i="22"/>
  <c r="U65" i="22"/>
  <c r="F65" i="22"/>
  <c r="M65" i="22"/>
  <c r="S65" i="22"/>
  <c r="K65" i="22"/>
  <c r="T65" i="22"/>
  <c r="H65" i="21"/>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<sst xmlns="http://schemas.openxmlformats.org/spreadsheetml/2006/main" count="2160" uniqueCount="175">
  <si>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</si>
  <si>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</si>
  <si>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</si>
  <si>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</si>
  <si>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</si>
  <si>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</si>
  <si>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</si>
  <si>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</si>
  <si>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</si>
  <si>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</si>
  <si>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</si>
  <si>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</si>
  <si>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</si>
  <si>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</si>
  <si>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</si>
  <si>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</si>
  <si>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</si>
  <si>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</si>
  <si>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</si>
  <si>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</si>
  <si>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</si>
  <si>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</si>
  <si>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</si>
  <si>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</si>
  <si>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</si>
  <si>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</si>
  <si>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</si>
  <si>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</si>
  <si>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</si>
  <si>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</si>
  <si>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</si>
  <si>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</si>
  <si>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</si>
  <si>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</si>
  <si>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</si>
  <si>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</si>
  <si>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</si>
  <si>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</si>
  <si>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</si>
  <si>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</si>
  <si>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</si>
  <si>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</si>
  <si>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</si>
  <si>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</si>
  <si>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</si>
  <si>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</si>
  <si>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</si>
  <si>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</si>
  <si>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</si>
  <si>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</si>
  <si>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</si>
  <si>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</si>
  <si>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</si>
  <si>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</si>
  <si>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</si>
  <si>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</si>
  <si>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</si>
  <si>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</si>
  <si>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</si>
  <si>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</si>
  <si>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</si>
  <si>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</si>
  <si>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</si>
  <si>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</si>
  <si>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</si>
  <si>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</si>
  <si>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</si>
  <si>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</si>
  <si>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</si>
  <si>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</si>
  <si>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</si>
  <si>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</si>
  <si>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</si>
  <si>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</si>
  <si>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</si>
  <si>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</si>
  <si>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</si>
  <si>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</si>
  <si>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</si>
  <si>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</si>
  <si>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</si>
  <si>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</si>
  <si>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</si>
  <si>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</si>
  <si>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</si>
  <si>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</si>
  <si>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</si>
  <si>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</si>
  <si>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</si>
  <si>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</si>
  <si>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</si>
  <si>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</si>
  <si>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</si>
  <si>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</si>
  <si>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</si>
  <si>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</si>
  <si>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</si>
  <si>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</si>
  <si>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</si>
  <si>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</si>
  <si>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</si>
  <si>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</si>
  <si>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</si>
  <si>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</si>
  <si>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</si>
  <si>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</si>
  <si>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</si>
  <si>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</si>
  <si>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</si>
  <si>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</si>
  <si>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</si>
  <si>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</si>
  <si>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</si>
  <si>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</si>
  <si>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</si>
  <si>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</si>
  <si>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</si>
  <si>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</si>
  <si>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</si>
  <si>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</si>
  <si>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</si>
  <si>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</si>
  <si>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</si>
  <si>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</si>
  <si>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</si>
  <si>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</si>
  <si>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</si>
  <si>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</si>
  <si>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</si>
  <si>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</si>
  <si>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</si>
  <si>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</si>
  <si>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</si>
  <si>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</si>
  <si>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</si>
  <si>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</si>
  <si>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</si>
  <si>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</si>
  <si>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</si>
  <si>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</si>
  <si>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</si>
  <si>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</si>
  <si>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</si>
  <si>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</si>
  <si>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</si>
  <si>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</si>
  <si>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</si>
  <si>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</si>
  <si>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</si>
  <si>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</si>
  <si>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</si>
  <si>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</si>
  <si>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Moderate</t>
  </si>
  <si>
    <t>PAN-012063</t>
  </si>
  <si>
    <t>EPR-KP3594VE</t>
  </si>
  <si>
    <t>Trade Effluent Services Ltd</t>
  </si>
  <si>
    <t>Brookhouse Farm, Hanmer, Whitchurch, SY13 3EG</t>
  </si>
  <si>
    <t>Sion Sleep</t>
  </si>
  <si>
    <t>02 05 01</t>
  </si>
  <si>
    <t>Beechdean Ice Cream</t>
  </si>
  <si>
    <t>07 07 12</t>
  </si>
  <si>
    <t>Croda Goole</t>
  </si>
  <si>
    <t>02 03 01</t>
  </si>
  <si>
    <t>English Provendor</t>
  </si>
  <si>
    <t>02 07 05</t>
  </si>
  <si>
    <t>Encirc</t>
  </si>
  <si>
    <t>02 03 05</t>
  </si>
  <si>
    <t>Croda Widnes</t>
  </si>
  <si>
    <t>02 02 04</t>
  </si>
  <si>
    <t>Highbury Poultry</t>
  </si>
  <si>
    <t>Kelloggs</t>
  </si>
  <si>
    <t>Maelor Foods</t>
  </si>
  <si>
    <t>02 03 04</t>
  </si>
  <si>
    <t>Rowan Foods</t>
  </si>
  <si>
    <t>Secanim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</si>
</sst>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2">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3"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40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70" dataDxfId="368" headerRowBorderDxfId="369" tableBorderDxfId="367" totalsRowBorderDxfId="366">
  <autoFilter ref="AI1:AN26" xr:uid="{F8B5EC87-3095-445A-A980-2CFAA0A7B9A2}"/>
  <sortState xmlns:xlrd2="http://schemas.microsoft.com/office/spreadsheetml/2017/richdata2" ref="AI2:AL25">
    <sortCondition ref="AL1:AL25"/>
  </sortState>
  <tableColumns count="6">
    <tableColumn id="1" xr3:uid="{360F44E4-7249-415F-8D5E-41D249F9A162}" name="Crop" dataDxfId="365"/>
    <tableColumn id="2" xr3:uid="{55E07717-B4EC-4E8A-B9A9-34F3CF85E32D}" name="P Offtake" dataDxfId="364"/>
    <tableColumn id="3" xr3:uid="{7B25FA52-8104-4FE3-AED4-B53CBFDF89B2}" name="K Offtake" dataDxfId="363"/>
    <tableColumn id="4" xr3:uid="{0DBAE461-2D09-43C8-9342-3980D552AE4D}" name="Order" dataDxfId="362"/>
    <tableColumn id="5" xr3:uid="{52CACE7B-0CBA-46FC-9F24-02CBD6100239}" name="Lime pH requirement" dataDxfId="361"/>
    <tableColumn id="6" xr3:uid="{F1432630-9B16-4266-8147-CE754A715307}" name="Column1" dataDxfId="36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30" dataDxfId="328" headerRowBorderDxfId="329" tableBorderDxfId="327" totalsRowBorderDxfId="326">
  <autoFilter ref="AI1:AN26" xr:uid="{F8B5EC87-3095-445A-A980-2CFAA0A7B9A2}"/>
  <sortState xmlns:xlrd2="http://schemas.microsoft.com/office/spreadsheetml/2017/richdata2" ref="AI2:AL25">
    <sortCondition ref="AL1:AL25"/>
  </sortState>
  <tableColumns count="6">
    <tableColumn id="1" xr3:uid="{7E96A84B-948F-445F-BD6E-30CC8E6E6DD1}" name="Crop" dataDxfId="325"/>
    <tableColumn id="2" xr3:uid="{12657DDB-F680-47DE-ABB1-8675D5F91E41}" name="P Offtake" dataDxfId="324"/>
    <tableColumn id="3" xr3:uid="{DEB99109-D325-4F98-8A71-E70C03433437}" name="K Offtake" dataDxfId="323"/>
    <tableColumn id="4" xr3:uid="{E96A561F-7E7F-4FB3-97AA-0B35D8C8E93A}" name="Order" dataDxfId="322"/>
    <tableColumn id="5" xr3:uid="{181DD475-0A71-4C52-AF1A-8BFF46F5A827}" name="Lime pH requirement" dataDxfId="321"/>
    <tableColumn id="6" xr3:uid="{AC3FA7E8-D76B-43A3-B715-04446DFF63C6}" name="Column1" dataDxfId="32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06008BA1-A1E9-4286-B67A-352533C06A26}" name="Crop" dataDxfId="285"/>
    <tableColumn id="2" xr3:uid="{2AEB5EEB-C9D1-41DC-913E-953A33D1A4AF}" name="P Offtake" dataDxfId="284"/>
    <tableColumn id="3" xr3:uid="{8FA16A0B-1017-4CEE-862E-0A8CBD8EB3D3}" name="K Offtake" dataDxfId="283"/>
    <tableColumn id="4" xr3:uid="{E7A3B8CD-4036-47F4-B818-C3F22E80C749}" name="Order" dataDxfId="282"/>
    <tableColumn id="5" xr3:uid="{8F3EBD84-7904-4559-9B5C-63088B792C98}" name="Lime pH requirement" dataDxfId="281"/>
    <tableColumn id="6" xr3:uid="{A21DD95A-C955-4510-9114-E3F1CB645370}" name="Column1" dataDxfId="28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50" dataDxfId="248" headerRowBorderDxfId="249" tableBorderDxfId="247" totalsRowBorderDxfId="246">
  <autoFilter ref="AI1:AN26" xr:uid="{F8B5EC87-3095-445A-A980-2CFAA0A7B9A2}"/>
  <sortState xmlns:xlrd2="http://schemas.microsoft.com/office/spreadsheetml/2017/richdata2" ref="AI2:AL25">
    <sortCondition ref="AL1:AL25"/>
  </sortState>
  <tableColumns count="6">
    <tableColumn id="1" xr3:uid="{11579FCC-3D9F-49AD-888D-5D79B801F6AE}" name="Crop" dataDxfId="245"/>
    <tableColumn id="2" xr3:uid="{05C08116-56D5-4CC6-A649-B06AF891B931}" name="P Offtake" dataDxfId="244"/>
    <tableColumn id="3" xr3:uid="{59CDE959-192B-4757-9203-A0F691CF0F96}" name="K Offtake" dataDxfId="243"/>
    <tableColumn id="4" xr3:uid="{9FB8E4F7-B91F-4CE0-AF39-D4895D0ECF2F}" name="Order" dataDxfId="242"/>
    <tableColumn id="5" xr3:uid="{688FF2A4-D7C6-4425-A915-A9ADD700A9EE}" name="Lime pH requirement" dataDxfId="241"/>
    <tableColumn id="6" xr3:uid="{05FC5CFF-3D81-4B5F-87C7-2364076F2714}" name="Column1" dataDxfId="24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10" dataDxfId="208" headerRowBorderDxfId="209" tableBorderDxfId="207" totalsRowBorderDxfId="206">
  <autoFilter ref="AI1:AN26" xr:uid="{F8B5EC87-3095-445A-A980-2CFAA0A7B9A2}"/>
  <sortState xmlns:xlrd2="http://schemas.microsoft.com/office/spreadsheetml/2017/richdata2" ref="AI2:AL25">
    <sortCondition ref="AL1:AL25"/>
  </sortState>
  <tableColumns count="6">
    <tableColumn id="1" xr3:uid="{973D7FFB-D248-4199-9B2E-B3C6CC09D382}" name="Crop" dataDxfId="205"/>
    <tableColumn id="2" xr3:uid="{7F2A3986-EC86-4CF9-BD10-791170BA6682}" name="P Offtake" dataDxfId="204"/>
    <tableColumn id="3" xr3:uid="{D6129C35-9DC6-42E5-AE3F-EA3A083168E6}" name="K Offtake" dataDxfId="203"/>
    <tableColumn id="4" xr3:uid="{C1CC42B5-564A-4DE7-B817-B7D686FE9A11}" name="Order" dataDxfId="202"/>
    <tableColumn id="5" xr3:uid="{620F3ABD-564C-411A-8DEA-CE1A34F9FC36}" name="Lime pH requirement" dataDxfId="201"/>
    <tableColumn id="6" xr3:uid="{76C9BC4F-4FF3-4AFB-8E7B-16DC0CC3E97C}" name="Column1" dataDxfId="20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0" dataDxfId="168" headerRowBorderDxfId="169" tableBorderDxfId="167" totalsRowBorderDxfId="166">
  <autoFilter ref="AI1:AN26" xr:uid="{F8B5EC87-3095-445A-A980-2CFAA0A7B9A2}"/>
  <sortState xmlns:xlrd2="http://schemas.microsoft.com/office/spreadsheetml/2017/richdata2" ref="AI2:AL25">
    <sortCondition ref="AL1:AL25"/>
  </sortState>
  <tableColumns count="6">
    <tableColumn id="1" xr3:uid="{D13A12FC-EAE6-4280-A219-C2622262E5F4}" name="Crop" dataDxfId="165"/>
    <tableColumn id="2" xr3:uid="{FD06C4A3-4B75-490D-88CF-232C7DC3EFC6}" name="P Offtake" dataDxfId="164"/>
    <tableColumn id="3" xr3:uid="{B043BEFF-10D4-4840-989B-BB13A502ECDF}" name="K Offtake" dataDxfId="163"/>
    <tableColumn id="4" xr3:uid="{48481FDC-5D20-466C-B554-D45886EA366A}" name="Order" dataDxfId="162"/>
    <tableColumn id="5" xr3:uid="{9E0852D2-9D0D-44AB-98B7-FBA51F331ACF}" name="Lime pH requirement" dataDxfId="161"/>
    <tableColumn id="6" xr3:uid="{29F9C4A5-6854-4F37-8BD1-0DD9B6024A55}" name="Column1" dataDxfId="16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0" dataDxfId="128" headerRowBorderDxfId="129" tableBorderDxfId="127" totalsRowBorderDxfId="126">
  <autoFilter ref="AI1:AN26" xr:uid="{F8B5EC87-3095-445A-A980-2CFAA0A7B9A2}"/>
  <sortState xmlns:xlrd2="http://schemas.microsoft.com/office/spreadsheetml/2017/richdata2" ref="AI2:AL25">
    <sortCondition ref="AL1:AL25"/>
  </sortState>
  <tableColumns count="6">
    <tableColumn id="1" xr3:uid="{1B554ED3-7AAF-4192-827C-B071945474B8}" name="Crop" dataDxfId="125"/>
    <tableColumn id="2" xr3:uid="{35F435E0-8D8E-44D1-84BD-C2FF51C3F944}" name="P Offtake" dataDxfId="124"/>
    <tableColumn id="3" xr3:uid="{38465C9D-AA8F-443A-80F5-96D1F6258317}" name="K Offtake" dataDxfId="123"/>
    <tableColumn id="4" xr3:uid="{E0C0E6AF-5628-4BC3-9625-81A87B93D279}" name="Order" dataDxfId="122"/>
    <tableColumn id="5" xr3:uid="{ACDE1D9A-7F94-4404-BDDC-1235C32C758F}" name="Lime pH requirement" dataDxfId="121"/>
    <tableColumn id="6" xr3:uid="{B093C9DF-C4CF-4906-9658-89F446EB9C12}" name="Column1" dataDxfId="12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C4B2E6E9-5990-417D-9E04-7933BDF1FC69}" name="Crop" dataDxfId="85"/>
    <tableColumn id="2" xr3:uid="{E74EF8D0-6C68-49B8-AE52-40C276CA5FC9}" name="P Offtake" dataDxfId="84"/>
    <tableColumn id="3" xr3:uid="{9E0A7857-36E3-482D-B4B2-65B90760417F}" name="K Offtake" dataDxfId="83"/>
    <tableColumn id="4" xr3:uid="{A78867D2-7566-4070-AF99-15EE4CEB1699}" name="Order" dataDxfId="82"/>
    <tableColumn id="5" xr3:uid="{240FD5FA-5659-468E-8544-C93086800EC9}" name="Lime pH requirement" dataDxfId="81"/>
    <tableColumn id="6" xr3:uid="{D5C8E9C3-9076-473B-AE62-DA32692BAABC}" name="Column1" dataDxfId="8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82F1A1D2-F5AA-4D76-98E8-3C18592FB8CF}" name="Crop" dataDxfId="45"/>
    <tableColumn id="2" xr3:uid="{17F60BEE-3BBA-4198-AA21-518EC4696EB6}" name="P Offtake" dataDxfId="44"/>
    <tableColumn id="3" xr3:uid="{95D820EB-2583-433A-A070-6E8356E186E7}" name="K Offtake" dataDxfId="43"/>
    <tableColumn id="4" xr3:uid="{F3AE1839-F59F-4A70-B11A-A32E3FDD1A00}" name="Order" dataDxfId="42"/>
    <tableColumn id="5" xr3:uid="{C52880C5-B266-4CF0-9A11-778ABC47F9F0}" name="Lime pH requirement" dataDxfId="41"/>
    <tableColumn id="6" xr3:uid="{233F7657-9414-44B1-9E43-A91A69CB97ED}" name="Column1" dataDxfId="4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opLeftCell="A4" zoomScale="90" zoomScaleNormal="90" workbookViewId="0">
      <selection activeCell="B36" sqref="B36"/>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12" t="s">
        <v>41</v>
      </c>
      <c r="B1" s="112"/>
      <c r="C1" s="121" t="s">
        <v>153</v>
      </c>
      <c r="D1" s="122"/>
      <c r="E1" s="37" t="s">
        <v>45</v>
      </c>
      <c r="F1" s="35">
        <v>43.3</v>
      </c>
      <c r="G1" s="124" t="s">
        <v>43</v>
      </c>
      <c r="H1" s="125"/>
      <c r="I1" s="103">
        <v>5.96</v>
      </c>
      <c r="AB1" s="26"/>
      <c r="AC1" s="26"/>
      <c r="AD1" s="43" t="s">
        <v>124</v>
      </c>
      <c r="AE1" s="25"/>
      <c r="AF1" s="25"/>
      <c r="AG1" s="26"/>
      <c r="AH1" s="26"/>
      <c r="AI1" s="47" t="s">
        <v>79</v>
      </c>
      <c r="AJ1" s="48" t="s">
        <v>91</v>
      </c>
      <c r="AK1" s="49" t="s">
        <v>92</v>
      </c>
      <c r="AL1" s="50" t="s">
        <v>123</v>
      </c>
      <c r="AM1" s="50" t="s">
        <v>129</v>
      </c>
      <c r="AN1" s="50" t="s">
        <v>109</v>
      </c>
    </row>
    <row r="2" spans="1:40" x14ac:dyDescent="0.2">
      <c r="A2" s="112" t="s">
        <v>84</v>
      </c>
      <c r="B2" s="112"/>
      <c r="C2" s="119" t="s">
        <v>154</v>
      </c>
      <c r="D2" s="120"/>
      <c r="E2" s="37" t="s">
        <v>106</v>
      </c>
      <c r="F2" s="103" t="s">
        <v>158</v>
      </c>
      <c r="G2" s="126" t="s">
        <v>107</v>
      </c>
      <c r="H2" s="127"/>
      <c r="I2" s="103">
        <v>447</v>
      </c>
      <c r="AB2" s="43" t="s">
        <v>56</v>
      </c>
      <c r="AC2" s="25"/>
      <c r="AD2" s="43" t="s">
        <v>70</v>
      </c>
      <c r="AE2" s="25"/>
      <c r="AF2" s="25"/>
      <c r="AG2" s="51" t="s">
        <v>76</v>
      </c>
      <c r="AH2" s="26"/>
      <c r="AI2" s="52" t="s">
        <v>124</v>
      </c>
      <c r="AJ2" s="53">
        <v>0</v>
      </c>
      <c r="AK2" s="54">
        <v>0</v>
      </c>
      <c r="AL2" s="18">
        <v>0</v>
      </c>
      <c r="AM2" s="19">
        <v>0</v>
      </c>
      <c r="AN2" s="19">
        <v>0</v>
      </c>
    </row>
    <row r="3" spans="1:40" x14ac:dyDescent="0.2">
      <c r="A3" s="113" t="s">
        <v>42</v>
      </c>
      <c r="B3" s="114"/>
      <c r="C3" s="119" t="s">
        <v>155</v>
      </c>
      <c r="D3" s="120"/>
      <c r="E3" s="37" t="s">
        <v>105</v>
      </c>
      <c r="F3" s="45" t="s">
        <v>78</v>
      </c>
      <c r="G3" s="118" t="s">
        <v>108</v>
      </c>
      <c r="H3" s="118"/>
      <c r="I3" s="35"/>
      <c r="AB3" s="43" t="s">
        <v>57</v>
      </c>
      <c r="AC3" s="25"/>
      <c r="AD3" s="43" t="s">
        <v>71</v>
      </c>
      <c r="AE3" s="25"/>
      <c r="AF3" s="25"/>
      <c r="AG3" s="51" t="s">
        <v>77</v>
      </c>
      <c r="AH3" s="26"/>
      <c r="AI3" s="55" t="s">
        <v>111</v>
      </c>
      <c r="AJ3" s="56">
        <v>1.7</v>
      </c>
      <c r="AK3" s="57">
        <v>6</v>
      </c>
      <c r="AL3" s="58">
        <v>1</v>
      </c>
      <c r="AM3" s="19">
        <v>6.2</v>
      </c>
      <c r="AN3" s="19" t="s">
        <v>110</v>
      </c>
    </row>
    <row r="4" spans="1:40" x14ac:dyDescent="0.2">
      <c r="A4" s="112" t="s">
        <v>0</v>
      </c>
      <c r="B4" s="112"/>
      <c r="C4" s="121" t="s">
        <v>156</v>
      </c>
      <c r="D4" s="122"/>
      <c r="E4" s="38" t="s">
        <v>1</v>
      </c>
      <c r="F4" s="103" t="s">
        <v>159</v>
      </c>
      <c r="G4" s="118"/>
      <c r="H4" s="118"/>
      <c r="I4" s="35"/>
      <c r="AB4" s="43" t="s">
        <v>52</v>
      </c>
      <c r="AC4" s="25"/>
      <c r="AD4" s="59" t="s">
        <v>72</v>
      </c>
      <c r="AE4" s="25"/>
      <c r="AF4" s="25"/>
      <c r="AG4" s="51" t="s">
        <v>78</v>
      </c>
      <c r="AH4" s="26"/>
      <c r="AI4" s="60" t="s">
        <v>122</v>
      </c>
      <c r="AJ4" s="61">
        <v>7</v>
      </c>
      <c r="AK4" s="62">
        <v>10.5</v>
      </c>
      <c r="AL4" s="19">
        <v>2</v>
      </c>
      <c r="AM4" s="19">
        <v>6.7</v>
      </c>
      <c r="AN4" s="19" t="s">
        <v>135</v>
      </c>
    </row>
    <row r="5" spans="1:40" x14ac:dyDescent="0.2">
      <c r="A5" s="112" t="s">
        <v>47</v>
      </c>
      <c r="B5" s="112"/>
      <c r="C5" s="123" t="s">
        <v>157</v>
      </c>
      <c r="D5" s="123"/>
      <c r="E5" s="38"/>
      <c r="F5" s="100"/>
      <c r="G5" s="118"/>
      <c r="H5" s="118"/>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07" t="s">
        <v>63</v>
      </c>
      <c r="B7" s="10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2" t="s">
        <v>2</v>
      </c>
      <c r="B8" s="112"/>
      <c r="C8" s="23">
        <v>40</v>
      </c>
      <c r="D8" s="23">
        <v>46</v>
      </c>
      <c r="E8" s="23">
        <v>43</v>
      </c>
      <c r="F8" s="23">
        <v>23</v>
      </c>
      <c r="G8" s="23">
        <v>21</v>
      </c>
      <c r="H8" s="23"/>
      <c r="I8" s="23"/>
      <c r="J8" s="23"/>
      <c r="K8" s="23"/>
      <c r="L8" s="23"/>
      <c r="M8" s="23"/>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2" t="s">
        <v>3</v>
      </c>
      <c r="B9" s="112"/>
      <c r="C9" s="23" t="s">
        <v>152</v>
      </c>
      <c r="D9" s="23" t="s">
        <v>152</v>
      </c>
      <c r="E9" s="23" t="s">
        <v>152</v>
      </c>
      <c r="F9" s="23" t="s">
        <v>152</v>
      </c>
      <c r="G9" s="23" t="s">
        <v>152</v>
      </c>
      <c r="H9" s="23"/>
      <c r="I9" s="23"/>
      <c r="J9" s="23"/>
      <c r="K9" s="23"/>
      <c r="L9" s="23"/>
      <c r="M9" s="23"/>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2" t="s">
        <v>4</v>
      </c>
      <c r="B10" s="112"/>
      <c r="C10" s="23">
        <v>6.7</v>
      </c>
      <c r="D10" s="23">
        <v>6.5</v>
      </c>
      <c r="E10" s="23">
        <v>5.8</v>
      </c>
      <c r="F10" s="23">
        <v>6.3</v>
      </c>
      <c r="G10" s="23">
        <v>6.3</v>
      </c>
      <c r="H10" s="23"/>
      <c r="I10" s="23"/>
      <c r="J10" s="23"/>
      <c r="K10" s="23"/>
      <c r="L10" s="23"/>
      <c r="M10" s="23"/>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2" t="s">
        <v>5</v>
      </c>
      <c r="B11" s="112"/>
      <c r="C11" s="23">
        <v>3</v>
      </c>
      <c r="D11" s="23">
        <v>3</v>
      </c>
      <c r="E11" s="23">
        <v>2</v>
      </c>
      <c r="F11" s="23">
        <v>4</v>
      </c>
      <c r="G11" s="23">
        <v>3</v>
      </c>
      <c r="H11" s="23"/>
      <c r="I11" s="23"/>
      <c r="J11" s="23"/>
      <c r="K11" s="23"/>
      <c r="L11" s="23"/>
      <c r="M11" s="23"/>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2" t="s">
        <v>6</v>
      </c>
      <c r="B12" s="112"/>
      <c r="C12" s="23">
        <v>2</v>
      </c>
      <c r="D12" s="23">
        <v>0</v>
      </c>
      <c r="E12" s="23">
        <v>1</v>
      </c>
      <c r="F12" s="23">
        <v>2</v>
      </c>
      <c r="G12" s="23">
        <v>1</v>
      </c>
      <c r="H12" s="23"/>
      <c r="I12" s="23"/>
      <c r="J12" s="23"/>
      <c r="K12" s="23"/>
      <c r="L12" s="23"/>
      <c r="M12" s="23"/>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2" t="s">
        <v>7</v>
      </c>
      <c r="B13" s="112"/>
      <c r="C13" s="23">
        <v>3</v>
      </c>
      <c r="D13" s="23">
        <v>3</v>
      </c>
      <c r="E13" s="23">
        <v>3</v>
      </c>
      <c r="F13" s="23">
        <v>3</v>
      </c>
      <c r="G13" s="23">
        <v>3</v>
      </c>
      <c r="H13" s="23"/>
      <c r="I13" s="23"/>
      <c r="J13" s="23"/>
      <c r="K13" s="23"/>
      <c r="L13" s="23"/>
      <c r="M13" s="23"/>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16" t="s">
        <v>8</v>
      </c>
      <c r="B14" s="116"/>
      <c r="C14" s="36" t="s">
        <v>111</v>
      </c>
      <c r="D14" s="36" t="s">
        <v>111</v>
      </c>
      <c r="E14" s="36" t="s">
        <v>111</v>
      </c>
      <c r="F14" s="36" t="s">
        <v>111</v>
      </c>
      <c r="G14" s="36" t="s">
        <v>111</v>
      </c>
      <c r="H14" s="36"/>
      <c r="I14" s="36"/>
      <c r="J14" s="36"/>
      <c r="K14" s="36"/>
      <c r="L14" s="36"/>
      <c r="M14" s="36"/>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15" t="s">
        <v>9</v>
      </c>
      <c r="B15" s="115"/>
      <c r="C15" s="23">
        <v>38</v>
      </c>
      <c r="D15" s="23">
        <v>38</v>
      </c>
      <c r="E15" s="23">
        <v>38</v>
      </c>
      <c r="F15" s="23">
        <v>38</v>
      </c>
      <c r="G15" s="23">
        <v>38</v>
      </c>
      <c r="H15" s="23"/>
      <c r="I15" s="23"/>
      <c r="J15" s="23"/>
      <c r="K15" s="23"/>
      <c r="L15" s="23"/>
      <c r="M15" s="23"/>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17" t="s">
        <v>44</v>
      </c>
      <c r="B16" s="117"/>
      <c r="C16" s="41" t="s">
        <v>72</v>
      </c>
      <c r="D16" s="41" t="s">
        <v>72</v>
      </c>
      <c r="E16" s="41" t="s">
        <v>72</v>
      </c>
      <c r="F16" s="41" t="s">
        <v>72</v>
      </c>
      <c r="G16" s="41" t="s">
        <v>72</v>
      </c>
      <c r="H16" s="41"/>
      <c r="I16" s="41"/>
      <c r="J16" s="41"/>
      <c r="K16" s="41"/>
      <c r="L16" s="41"/>
      <c r="M16" s="41"/>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04" t="s">
        <v>69</v>
      </c>
      <c r="B17" s="105"/>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t="e">
        <f t="shared" si="0"/>
        <v>#N/A</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6" t="s">
        <v>23</v>
      </c>
      <c r="B18" s="107"/>
      <c r="C18" s="24">
        <f>$D31</f>
        <v>33.219499999999996</v>
      </c>
      <c r="D18" s="24">
        <f>$D32</f>
        <v>33.219499999999996</v>
      </c>
      <c r="E18" s="24">
        <f>$D33</f>
        <v>33.219499999999996</v>
      </c>
      <c r="F18" s="24">
        <f>$D34</f>
        <v>33.219499999999996</v>
      </c>
      <c r="G18" s="24">
        <f>$D35</f>
        <v>33.219499999999996</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6" t="s">
        <v>87</v>
      </c>
      <c r="B19" s="107"/>
      <c r="C19" s="24">
        <f>C18-C17</f>
        <v>-31.380499999999998</v>
      </c>
      <c r="D19" s="24">
        <f t="shared" ref="D19:V19" si="1">D18-D17</f>
        <v>-31.380499999999998</v>
      </c>
      <c r="E19" s="24">
        <f t="shared" si="1"/>
        <v>-31.380499999999998</v>
      </c>
      <c r="F19" s="24">
        <f t="shared" si="1"/>
        <v>-31.380499999999998</v>
      </c>
      <c r="G19" s="24">
        <f t="shared" si="1"/>
        <v>-31.380499999999998</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8" t="s">
        <v>88</v>
      </c>
      <c r="B20" s="109"/>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4" t="s">
        <v>85</v>
      </c>
      <c r="B21" s="105"/>
      <c r="C21" s="39">
        <f t="shared" ref="C21:V21" si="2">(VLOOKUP(C$14,$AI2:$AK24,3,FALSE))*C$15</f>
        <v>228</v>
      </c>
      <c r="D21" s="39">
        <f t="shared" si="2"/>
        <v>228</v>
      </c>
      <c r="E21" s="39">
        <f t="shared" si="2"/>
        <v>228</v>
      </c>
      <c r="F21" s="39">
        <f t="shared" si="2"/>
        <v>228</v>
      </c>
      <c r="G21" s="39">
        <f t="shared" si="2"/>
        <v>228</v>
      </c>
      <c r="H21" s="39" t="e">
        <f t="shared" si="2"/>
        <v>#N/A</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6" t="s">
        <v>86</v>
      </c>
      <c r="B22" s="107"/>
      <c r="C22" s="24">
        <f>$E31</f>
        <v>28.166875000000001</v>
      </c>
      <c r="D22" s="24">
        <f>$E32</f>
        <v>28.166875000000001</v>
      </c>
      <c r="E22" s="24">
        <f>$E33</f>
        <v>28.166875000000001</v>
      </c>
      <c r="F22" s="24">
        <f>$E34</f>
        <v>28.166875000000001</v>
      </c>
      <c r="G22" s="24">
        <f>$E35</f>
        <v>28.166875000000001</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6" t="s">
        <v>89</v>
      </c>
      <c r="B23" s="107"/>
      <c r="C23" s="24">
        <f>C22-C21</f>
        <v>-199.833125</v>
      </c>
      <c r="D23" s="24">
        <f t="shared" ref="D23:V23" si="3">D22-D21</f>
        <v>-199.833125</v>
      </c>
      <c r="E23" s="24">
        <f t="shared" si="3"/>
        <v>-199.833125</v>
      </c>
      <c r="F23" s="24">
        <f t="shared" si="3"/>
        <v>-199.833125</v>
      </c>
      <c r="G23" s="24">
        <f t="shared" si="3"/>
        <v>-199.833125</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8" t="s">
        <v>90</v>
      </c>
      <c r="B24" s="109"/>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e">
        <f t="shared" si="4"/>
        <v>#N/A</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1.04</v>
      </c>
      <c r="C28" s="23">
        <v>0.03</v>
      </c>
      <c r="D28" s="23">
        <v>58</v>
      </c>
      <c r="E28" s="23">
        <v>93.5</v>
      </c>
      <c r="F28" s="23">
        <v>13.6</v>
      </c>
      <c r="G28" s="23">
        <v>0.249</v>
      </c>
      <c r="H28" s="23">
        <v>1.7</v>
      </c>
      <c r="I28" s="23">
        <v>0.5</v>
      </c>
      <c r="J28" s="23">
        <v>0.01</v>
      </c>
      <c r="K28" s="30">
        <v>0.05</v>
      </c>
      <c r="L28" s="23">
        <v>0.2</v>
      </c>
      <c r="M28" s="23">
        <v>0.2</v>
      </c>
      <c r="N28" s="23"/>
      <c r="O28" s="23"/>
      <c r="P28" s="23">
        <v>552</v>
      </c>
      <c r="Q28" s="23">
        <v>46.9</v>
      </c>
      <c r="R28" s="23"/>
      <c r="S28" s="23"/>
      <c r="T28" s="23"/>
      <c r="U28" s="23"/>
    </row>
    <row r="29" spans="1:40" s="15" customFormat="1" ht="27" x14ac:dyDescent="0.25">
      <c r="A29" s="110"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1"/>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40</v>
      </c>
      <c r="B31" s="23">
        <v>250</v>
      </c>
      <c r="C31" s="2">
        <f>IF(C$27="%w/w SAR",((C$28*10)*$B31),IF(C$27="%w/w DM",(((C$28*10)*($B$28/100))*$B31),IF(C$27="kg/t SAR",(C$28*$B31),IF(C$27="kg/t DM",((C$28*($B$28/100))*$B31),IF(C$27="mg/kg SAR",((C$28*0.001)*$B31),IF(C$27="mg/kg DM",(((C$28*0.001)*($B$28/100))*$B31),0))))))</f>
        <v>75</v>
      </c>
      <c r="D31" s="2">
        <f>(IF(D$27="%w/w SAR",((D$28*10)*$B31),IF(D$27="%w/w DM",(((D$28*10)*($B$28/100))*$B31),IF(D$27="kg/t SAR",(D$28*$B31),IF(D$27="kg/t DM",((D$28*($B$28/100))*$B31),IF(D$27="mg/kg SAR",((D$28*0.001)*$B31),IF(D$27="mg/kg DM",(((D$28*0.001)*($B$28/100))*$B31),"0")))))))*2.291</f>
        <v>33.219499999999996</v>
      </c>
      <c r="E31" s="2">
        <f>(IF(E$27="%w/w SAR",((E$28*10)*$B31),IF(E$27="%w/w DM",(((E$28*10)*($B$28/100))*$B31),IF(E$27="kg/t SAR",(E$28*$B31),IF(E$27="kg/t DM",((E$28*($B$28/100))*$B31),IF(E$27="mg/kg SAR",((E$28*0.001)*$B31),IF(E$27="mg/kg DM",(((E$28*0.001)*($B$28/100))*$B31),"0")))))))*1.205</f>
        <v>28.166875000000001</v>
      </c>
      <c r="F31" s="2">
        <f>(IF(F$27="%w/w SAR",((F$28*10)*$B31),IF(F$27="%w/w DM",(((F$28*10)*($B$28/100))*$B31),IF(F$27="kg/t SAR",(F$28*$B31),IF(F$27="kg/t DM",((F$28*($B$28/100))*$B31),IF(F$27="mg/kg SAR",((F$28*0.001)*$B31),IF(F$27="mg/kg DM",(((F$28*0.001)*($B$28/100))*$B31),"0")))))))*1.658</f>
        <v>5.6372</v>
      </c>
      <c r="G31" s="2">
        <f t="shared" ref="G31:P31" si="5">IF(G$27="%w/w SAR",((G$28*10)*$B31),IF(G$27="%w/w DM",(((G$28*10)*($B$28/100))*$B31),IF(G$27="kg/t SAR",(G$28*$B31),IF(G$27="kg/t DM",((G$28*($B$28/100))*$B31),IF(G$27="mg/kg SAR",((G$28*0.001)*$B31),IF(G$27="mg/kg DM",(((G$28*0.001)*($B$28/100))*$B31),0))))))</f>
        <v>6.2249999999999993E-2</v>
      </c>
      <c r="H31" s="2">
        <f t="shared" si="5"/>
        <v>0.42499999999999999</v>
      </c>
      <c r="I31" s="2">
        <f t="shared" si="5"/>
        <v>0.125</v>
      </c>
      <c r="J31" s="2">
        <f t="shared" si="5"/>
        <v>2.5000000000000001E-3</v>
      </c>
      <c r="K31" s="2">
        <f t="shared" si="5"/>
        <v>1.2500000000000001E-2</v>
      </c>
      <c r="L31" s="2">
        <f t="shared" si="5"/>
        <v>0.05</v>
      </c>
      <c r="M31" s="2">
        <f t="shared" si="5"/>
        <v>0.05</v>
      </c>
      <c r="N31" s="2">
        <f t="shared" si="5"/>
        <v>0</v>
      </c>
      <c r="O31" s="2">
        <f t="shared" si="5"/>
        <v>0</v>
      </c>
      <c r="P31" s="2">
        <f t="shared" si="5"/>
        <v>138</v>
      </c>
      <c r="Q31" s="2">
        <f>(IF(Q$27="%w/w SAR",((Q$28*10)*$B31),IF(Q$27="%w/w DM",(((Q$28*10)*($B$28/100))*$B31),IF(Q$27="kg/t SAR",(Q$28*$B31),IF(Q$27="kg/t DM",((Q$28*($B$28/100))*$B31),IF(Q$27="mg/kg SAR",((Q$28*0.001)*$B31),IF(Q$27="mg/kg DM",(((Q$28*0.001)*($B$28/100))*$B31),0)))))))*2.5</f>
        <v>29.3125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46</v>
      </c>
      <c r="B32" s="23">
        <v>250</v>
      </c>
      <c r="C32" s="2">
        <f t="shared" ref="C32:C50" si="6">IF(C$27="%w/w SAR",((C$28*10)*$B32),IF(C$27="%w/w DM",(((C$28*10)*($B$28/100))*$B32),IF(C$27="kg/t SAR",(C$28*$B32),IF(C$27="kg/t DM",((C$28*($B$28/100))*$B32),IF(C$27="mg/kg SAR",((C$28*0.001)*$B32),IF(C$27="mg/kg DM",(((C$28*0.001)*($B$28/100))*$B32),0))))))</f>
        <v>75</v>
      </c>
      <c r="D32" s="2">
        <f t="shared" ref="D32:D50" si="7">(IF(D$27="%w/w SAR",((D$28*10)*$B32),IF(D$27="%w/w DM",(((D$28*10)*($B$28/100))*$B32),IF(D$27="kg/t SAR",(D$28*$B32),IF(D$27="kg/t DM",((D$28*($B$28/100))*$B32),IF(D$27="mg/kg SAR",((D$28*0.001)*$B32),IF(D$27="mg/kg DM",(((D$28*0.001)*($B$28/100))*$B32),"0")))))))*2.291</f>
        <v>33.219499999999996</v>
      </c>
      <c r="E32" s="2">
        <f t="shared" ref="E32:E50" si="8">(IF(E$27="%w/w SAR",((E$28*10)*$B32),IF(E$27="%w/w DM",(((E$28*10)*($B$28/100))*$B32),IF(E$27="kg/t SAR",(E$28*$B32),IF(E$27="kg/t DM",((E$28*($B$28/100))*$B32),IF(E$27="mg/kg SAR",((E$28*0.001)*$B32),IF(E$27="mg/kg DM",(((E$28*0.001)*($B$28/100))*$B32),"0")))))))*1.205</f>
        <v>28.166875000000001</v>
      </c>
      <c r="F32" s="2">
        <f t="shared" ref="F32:F50" si="9">(IF(F$27="%w/w SAR",((F$28*10)*$B32),IF(F$27="%w/w DM",(((F$28*10)*($B$28/100))*$B32),IF(F$27="kg/t SAR",(F$28*$B32),IF(F$27="kg/t DM",((F$28*($B$28/100))*$B32),IF(F$27="mg/kg SAR",((F$28*0.001)*$B32),IF(F$27="mg/kg DM",(((F$28*0.001)*($B$28/100))*$B32),"0")))))))*1.658</f>
        <v>5.6372</v>
      </c>
      <c r="G32" s="2">
        <f t="shared" ref="G32:P50" si="10">IF(G$27="%w/w SAR",((G$28*10)*$B32),IF(G$27="%w/w DM",(((G$28*10)*($B$28/100))*$B32),IF(G$27="kg/t SAR",(G$28*$B32),IF(G$27="kg/t DM",((G$28*($B$28/100))*$B32),IF(G$27="mg/kg SAR",((G$28*0.001)*$B32),IF(G$27="mg/kg DM",(((G$28*0.001)*($B$28/100))*$B32),0))))))</f>
        <v>6.2249999999999993E-2</v>
      </c>
      <c r="H32" s="2">
        <f t="shared" si="10"/>
        <v>0.42499999999999999</v>
      </c>
      <c r="I32" s="2">
        <f t="shared" si="10"/>
        <v>0.125</v>
      </c>
      <c r="J32" s="2">
        <f t="shared" si="10"/>
        <v>2.5000000000000001E-3</v>
      </c>
      <c r="K32" s="2">
        <f t="shared" si="10"/>
        <v>1.2500000000000001E-2</v>
      </c>
      <c r="L32" s="2">
        <f t="shared" si="10"/>
        <v>0.05</v>
      </c>
      <c r="M32" s="2">
        <f t="shared" si="10"/>
        <v>0.05</v>
      </c>
      <c r="N32" s="2">
        <f t="shared" si="10"/>
        <v>0</v>
      </c>
      <c r="O32" s="2">
        <f t="shared" si="10"/>
        <v>0</v>
      </c>
      <c r="P32" s="2">
        <f t="shared" si="10"/>
        <v>138</v>
      </c>
      <c r="Q32" s="2">
        <f t="shared" ref="Q32:Q50" si="11">(IF(Q$27="%w/w SAR",((Q$28*10)*$B32),IF(Q$27="%w/w DM",(((Q$28*10)*($B$28/100))*$B32),IF(Q$27="kg/t SAR",(Q$28*$B32),IF(Q$27="kg/t DM",((Q$28*($B$28/100))*$B32),IF(Q$27="mg/kg SAR",((Q$28*0.001)*$B32),IF(Q$27="mg/kg DM",(((Q$28*0.001)*($B$28/100))*$B32),0)))))))*2.5</f>
        <v>29.3125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43</v>
      </c>
      <c r="B33" s="23">
        <v>250</v>
      </c>
      <c r="C33" s="2">
        <f t="shared" si="6"/>
        <v>75</v>
      </c>
      <c r="D33" s="2">
        <f t="shared" si="7"/>
        <v>33.219499999999996</v>
      </c>
      <c r="E33" s="2">
        <f t="shared" si="8"/>
        <v>28.166875000000001</v>
      </c>
      <c r="F33" s="2">
        <f t="shared" si="9"/>
        <v>5.6372</v>
      </c>
      <c r="G33" s="2">
        <f t="shared" si="10"/>
        <v>6.2249999999999993E-2</v>
      </c>
      <c r="H33" s="2">
        <f t="shared" si="10"/>
        <v>0.42499999999999999</v>
      </c>
      <c r="I33" s="2">
        <f t="shared" si="10"/>
        <v>0.125</v>
      </c>
      <c r="J33" s="2">
        <f t="shared" si="10"/>
        <v>2.5000000000000001E-3</v>
      </c>
      <c r="K33" s="2">
        <f t="shared" si="10"/>
        <v>1.2500000000000001E-2</v>
      </c>
      <c r="L33" s="2">
        <f t="shared" si="10"/>
        <v>0.05</v>
      </c>
      <c r="M33" s="2">
        <f t="shared" si="10"/>
        <v>0.05</v>
      </c>
      <c r="N33" s="2">
        <f t="shared" si="10"/>
        <v>0</v>
      </c>
      <c r="O33" s="2">
        <f t="shared" si="10"/>
        <v>0</v>
      </c>
      <c r="P33" s="2">
        <f t="shared" si="10"/>
        <v>138</v>
      </c>
      <c r="Q33" s="2">
        <f t="shared" si="11"/>
        <v>29.3125</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23</v>
      </c>
      <c r="B34" s="23">
        <v>250</v>
      </c>
      <c r="C34" s="2">
        <f t="shared" si="6"/>
        <v>75</v>
      </c>
      <c r="D34" s="2">
        <f t="shared" si="7"/>
        <v>33.219499999999996</v>
      </c>
      <c r="E34" s="2">
        <f t="shared" si="8"/>
        <v>28.166875000000001</v>
      </c>
      <c r="F34" s="2">
        <f t="shared" si="9"/>
        <v>5.6372</v>
      </c>
      <c r="G34" s="2">
        <f t="shared" si="10"/>
        <v>6.2249999999999993E-2</v>
      </c>
      <c r="H34" s="2">
        <f t="shared" si="10"/>
        <v>0.42499999999999999</v>
      </c>
      <c r="I34" s="2">
        <f t="shared" si="10"/>
        <v>0.125</v>
      </c>
      <c r="J34" s="2">
        <f t="shared" si="10"/>
        <v>2.5000000000000001E-3</v>
      </c>
      <c r="K34" s="2">
        <f t="shared" si="10"/>
        <v>1.2500000000000001E-2</v>
      </c>
      <c r="L34" s="2">
        <f t="shared" si="10"/>
        <v>0.05</v>
      </c>
      <c r="M34" s="2">
        <f t="shared" si="10"/>
        <v>0.05</v>
      </c>
      <c r="N34" s="2">
        <f t="shared" si="10"/>
        <v>0</v>
      </c>
      <c r="O34" s="2">
        <f t="shared" si="10"/>
        <v>0</v>
      </c>
      <c r="P34" s="2">
        <f t="shared" si="10"/>
        <v>138</v>
      </c>
      <c r="Q34" s="2">
        <f t="shared" si="11"/>
        <v>29.3125</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f>G8</f>
        <v>21</v>
      </c>
      <c r="B35" s="23">
        <v>250</v>
      </c>
      <c r="C35" s="2">
        <f t="shared" si="6"/>
        <v>75</v>
      </c>
      <c r="D35" s="2">
        <f t="shared" si="7"/>
        <v>33.219499999999996</v>
      </c>
      <c r="E35" s="2">
        <f t="shared" si="8"/>
        <v>28.166875000000001</v>
      </c>
      <c r="F35" s="2">
        <f t="shared" si="9"/>
        <v>5.6372</v>
      </c>
      <c r="G35" s="2">
        <f t="shared" si="10"/>
        <v>6.2249999999999993E-2</v>
      </c>
      <c r="H35" s="2">
        <f t="shared" si="10"/>
        <v>0.42499999999999999</v>
      </c>
      <c r="I35" s="2">
        <f t="shared" si="10"/>
        <v>0.125</v>
      </c>
      <c r="J35" s="2">
        <f t="shared" si="10"/>
        <v>2.5000000000000001E-3</v>
      </c>
      <c r="K35" s="2">
        <f t="shared" si="10"/>
        <v>1.2500000000000001E-2</v>
      </c>
      <c r="L35" s="2">
        <f t="shared" si="10"/>
        <v>0.05</v>
      </c>
      <c r="M35" s="2">
        <f t="shared" si="10"/>
        <v>0.05</v>
      </c>
      <c r="N35" s="2">
        <f t="shared" si="10"/>
        <v>0</v>
      </c>
      <c r="O35" s="2">
        <f t="shared" si="10"/>
        <v>0</v>
      </c>
      <c r="P35" s="2">
        <f t="shared" si="10"/>
        <v>138</v>
      </c>
      <c r="Q35" s="2">
        <f t="shared" si="11"/>
        <v>29.3125</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0</v>
      </c>
      <c r="B36" s="23"/>
      <c r="C36" s="2">
        <f t="shared" si="6"/>
        <v>0</v>
      </c>
      <c r="D36" s="2">
        <f t="shared" si="7"/>
        <v>0</v>
      </c>
      <c r="E36" s="2">
        <f t="shared" si="8"/>
        <v>0</v>
      </c>
      <c r="F36" s="2">
        <f t="shared" si="9"/>
        <v>0</v>
      </c>
      <c r="G36" s="2">
        <f t="shared" si="10"/>
        <v>0</v>
      </c>
      <c r="H36" s="2">
        <f t="shared" si="10"/>
        <v>0</v>
      </c>
      <c r="I36" s="2">
        <f t="shared" si="10"/>
        <v>0</v>
      </c>
      <c r="J36" s="2">
        <f t="shared" si="10"/>
        <v>0</v>
      </c>
      <c r="K36" s="2">
        <f t="shared" si="10"/>
        <v>0</v>
      </c>
      <c r="L36" s="2">
        <f t="shared" si="10"/>
        <v>0</v>
      </c>
      <c r="M36" s="2">
        <f t="shared" si="10"/>
        <v>0</v>
      </c>
      <c r="N36" s="2">
        <f t="shared" si="10"/>
        <v>0</v>
      </c>
      <c r="O36" s="2">
        <f t="shared" si="10"/>
        <v>0</v>
      </c>
      <c r="P36" s="2">
        <f t="shared" si="10"/>
        <v>0</v>
      </c>
      <c r="Q36" s="2">
        <f t="shared" si="11"/>
        <v>0</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10"/>
        <v>0</v>
      </c>
      <c r="H37" s="2">
        <f t="shared" si="10"/>
        <v>0</v>
      </c>
      <c r="I37" s="2">
        <f t="shared" si="10"/>
        <v>0</v>
      </c>
      <c r="J37" s="2">
        <f t="shared" si="10"/>
        <v>0</v>
      </c>
      <c r="K37" s="2">
        <f t="shared" si="10"/>
        <v>0</v>
      </c>
      <c r="L37" s="2">
        <f t="shared" si="10"/>
        <v>0</v>
      </c>
      <c r="M37" s="2">
        <f t="shared" si="10"/>
        <v>0</v>
      </c>
      <c r="N37" s="2">
        <f t="shared" si="10"/>
        <v>0</v>
      </c>
      <c r="O37" s="2">
        <f t="shared" si="10"/>
        <v>0</v>
      </c>
      <c r="P37" s="2">
        <f t="shared" si="10"/>
        <v>0</v>
      </c>
      <c r="Q37" s="2">
        <f t="shared" si="11"/>
        <v>0</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10"/>
        <v>0</v>
      </c>
      <c r="H38" s="2">
        <f t="shared" si="10"/>
        <v>0</v>
      </c>
      <c r="I38" s="2">
        <f t="shared" si="10"/>
        <v>0</v>
      </c>
      <c r="J38" s="2">
        <f t="shared" si="10"/>
        <v>0</v>
      </c>
      <c r="K38" s="2">
        <f t="shared" si="10"/>
        <v>0</v>
      </c>
      <c r="L38" s="2">
        <f t="shared" si="10"/>
        <v>0</v>
      </c>
      <c r="M38" s="2">
        <f t="shared" si="10"/>
        <v>0</v>
      </c>
      <c r="N38" s="2">
        <f t="shared" si="10"/>
        <v>0</v>
      </c>
      <c r="O38" s="2">
        <f t="shared" si="10"/>
        <v>0</v>
      </c>
      <c r="P38" s="2">
        <f t="shared" si="10"/>
        <v>0</v>
      </c>
      <c r="Q38" s="2">
        <f t="shared" si="11"/>
        <v>0</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10"/>
        <v>0</v>
      </c>
      <c r="H39" s="2">
        <f t="shared" si="10"/>
        <v>0</v>
      </c>
      <c r="I39" s="2">
        <f t="shared" si="10"/>
        <v>0</v>
      </c>
      <c r="J39" s="2">
        <f t="shared" si="10"/>
        <v>0</v>
      </c>
      <c r="K39" s="2">
        <f t="shared" si="10"/>
        <v>0</v>
      </c>
      <c r="L39" s="2">
        <f t="shared" si="10"/>
        <v>0</v>
      </c>
      <c r="M39" s="2">
        <f t="shared" si="10"/>
        <v>0</v>
      </c>
      <c r="N39" s="2">
        <f t="shared" si="10"/>
        <v>0</v>
      </c>
      <c r="O39" s="2">
        <f t="shared" si="10"/>
        <v>0</v>
      </c>
      <c r="P39" s="2">
        <f t="shared" si="10"/>
        <v>0</v>
      </c>
      <c r="Q39" s="2">
        <f t="shared" si="11"/>
        <v>0</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10"/>
        <v>0</v>
      </c>
      <c r="H40" s="2">
        <f t="shared" si="10"/>
        <v>0</v>
      </c>
      <c r="I40" s="2">
        <f t="shared" si="10"/>
        <v>0</v>
      </c>
      <c r="J40" s="2">
        <f t="shared" si="10"/>
        <v>0</v>
      </c>
      <c r="K40" s="2">
        <f t="shared" si="10"/>
        <v>0</v>
      </c>
      <c r="L40" s="2">
        <f t="shared" si="10"/>
        <v>0</v>
      </c>
      <c r="M40" s="2">
        <f t="shared" si="10"/>
        <v>0</v>
      </c>
      <c r="N40" s="2">
        <f t="shared" si="10"/>
        <v>0</v>
      </c>
      <c r="O40" s="2">
        <f t="shared" si="10"/>
        <v>0</v>
      </c>
      <c r="P40" s="2">
        <f t="shared" si="10"/>
        <v>0</v>
      </c>
      <c r="Q40" s="2">
        <f t="shared" si="11"/>
        <v>0</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40</v>
      </c>
      <c r="C57" s="16">
        <f t="shared" ref="C57:U57" si="13">D8</f>
        <v>46</v>
      </c>
      <c r="D57" s="16">
        <f t="shared" si="13"/>
        <v>43</v>
      </c>
      <c r="E57" s="16">
        <f t="shared" si="13"/>
        <v>23</v>
      </c>
      <c r="F57" s="16">
        <f t="shared" si="13"/>
        <v>21</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e">
        <f>H16&amp;" I "&amp;(VLOOKUP(H14,Table24[],6,FALSE))</f>
        <v>#N/A</v>
      </c>
      <c r="H58" s="21" t="e">
        <f>I16&amp;" I "&amp;(VLOOKUP(I14,Table24[],6,FALSE))</f>
        <v>#N/A</v>
      </c>
      <c r="I58" s="21" t="e">
        <f>J16&amp;" I "&amp;(VLOOKUP(J14,Table24[],6,FALSE))</f>
        <v>#N/A</v>
      </c>
      <c r="J58" s="21" t="e">
        <f>K16&amp;" I "&amp;(VLOOKUP(K14,Table24[],6,FALSE))</f>
        <v>#N/A</v>
      </c>
      <c r="K58" s="21" t="e">
        <f>L16&amp;" I "&amp;(VLOOKUP(L14,Table24[],6,FALSE))</f>
        <v>#N/A</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t="e">
        <f>VLOOKUP(H$14,Table24[],5,FALSE)</f>
        <v>#N/A</v>
      </c>
      <c r="H59" s="93" t="e">
        <f>VLOOKUP(I$14,Table24[],5,FALSE)</f>
        <v>#N/A</v>
      </c>
      <c r="I59" s="93" t="e">
        <f>VLOOKUP(J$14,Table24[],5,FALSE)</f>
        <v>#N/A</v>
      </c>
      <c r="J59" s="93" t="e">
        <f>VLOOKUP(K$14,Table24[],5,FALSE)</f>
        <v>#N/A</v>
      </c>
      <c r="K59" s="93" t="e">
        <f>VLOOKUP(L$14,Table24[],5,FALSE)</f>
        <v>#N/A</v>
      </c>
      <c r="L59" s="93" t="e">
        <f>VLOOKUP(M$14,Table24[],5,FALSE)</f>
        <v>#N/A</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6.7</v>
      </c>
      <c r="C60" s="93">
        <f t="shared" ref="C60:U60" si="14">D10</f>
        <v>6.5</v>
      </c>
      <c r="D60" s="93">
        <f t="shared" si="14"/>
        <v>5.8</v>
      </c>
      <c r="E60" s="93">
        <f t="shared" si="14"/>
        <v>6.3</v>
      </c>
      <c r="F60" s="93">
        <f t="shared" si="14"/>
        <v>6.3</v>
      </c>
      <c r="G60" s="93">
        <f t="shared" si="14"/>
        <v>0</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t="e">
        <f t="shared" si="15"/>
        <v>#N/A</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v>
      </c>
      <c r="C64" s="94">
        <f t="shared" ref="C64:U64" si="17">(C59-C60)*C61</f>
        <v>-1.7999999999999989</v>
      </c>
      <c r="D64" s="94">
        <f t="shared" si="17"/>
        <v>2.4000000000000021</v>
      </c>
      <c r="E64" s="94">
        <f t="shared" si="17"/>
        <v>-0.59999999999999787</v>
      </c>
      <c r="F64" s="94">
        <f t="shared" si="17"/>
        <v>-0.59999999999999787</v>
      </c>
      <c r="G64" s="94" t="e">
        <f t="shared" si="17"/>
        <v>#N/A</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UNDER</v>
      </c>
      <c r="E65" s="95" t="str">
        <f t="shared" si="18"/>
        <v>OVER</v>
      </c>
      <c r="F65" s="95" t="str">
        <f t="shared" si="18"/>
        <v>OVER</v>
      </c>
      <c r="G65" s="95" t="e">
        <f t="shared" si="18"/>
        <v>#N/A</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s>
  <conditionalFormatting sqref="C20:V21">
    <cfRule type="cellIs" dxfId="399" priority="43" operator="equal">
      <formula>"DECREASE"</formula>
    </cfRule>
    <cfRule type="cellIs" dxfId="398" priority="44" operator="equal">
      <formula>"INCREASE"</formula>
    </cfRule>
  </conditionalFormatting>
  <conditionalFormatting sqref="B62:U65 B31:B50">
    <cfRule type="cellIs" dxfId="397" priority="42" operator="greaterThan">
      <formula>$B$51</formula>
    </cfRule>
  </conditionalFormatting>
  <conditionalFormatting sqref="C31:C50">
    <cfRule type="cellIs" dxfId="396" priority="41" operator="greaterThan">
      <formula>$C$51</formula>
    </cfRule>
  </conditionalFormatting>
  <conditionalFormatting sqref="C18:V18">
    <cfRule type="cellIs" dxfId="395" priority="37" operator="equal">
      <formula>0</formula>
    </cfRule>
  </conditionalFormatting>
  <conditionalFormatting sqref="C17:V17">
    <cfRule type="cellIs" dxfId="394" priority="35" operator="equal">
      <formula>0</formula>
    </cfRule>
  </conditionalFormatting>
  <conditionalFormatting sqref="C19:V19">
    <cfRule type="cellIs" dxfId="393" priority="34" operator="equal">
      <formula>0</formula>
    </cfRule>
  </conditionalFormatting>
  <conditionalFormatting sqref="G31:G50">
    <cfRule type="cellIs" dxfId="392" priority="31" operator="greaterThan">
      <formula>$G$51</formula>
    </cfRule>
  </conditionalFormatting>
  <conditionalFormatting sqref="H31:H50">
    <cfRule type="cellIs" dxfId="391" priority="30" operator="greaterThan">
      <formula>$H$51</formula>
    </cfRule>
  </conditionalFormatting>
  <conditionalFormatting sqref="I31:I50">
    <cfRule type="cellIs" dxfId="390" priority="29" operator="greaterThan">
      <formula>$I$51</formula>
    </cfRule>
  </conditionalFormatting>
  <conditionalFormatting sqref="K31:K50">
    <cfRule type="cellIs" dxfId="389" priority="27" operator="greaterThan">
      <formula>$K$51</formula>
    </cfRule>
  </conditionalFormatting>
  <conditionalFormatting sqref="L31:L50">
    <cfRule type="cellIs" dxfId="388" priority="26" operator="greaterThan">
      <formula>$L$51</formula>
    </cfRule>
  </conditionalFormatting>
  <conditionalFormatting sqref="M31:M50">
    <cfRule type="cellIs" dxfId="387" priority="25" operator="greaterThan">
      <formula>$M$51</formula>
    </cfRule>
  </conditionalFormatting>
  <conditionalFormatting sqref="P31:P50">
    <cfRule type="cellIs" dxfId="386" priority="24" operator="greaterThan">
      <formula>$P$51</formula>
    </cfRule>
  </conditionalFormatting>
  <conditionalFormatting sqref="R31:R50">
    <cfRule type="cellIs" dxfId="385" priority="23" operator="greaterThan">
      <formula>$R$51</formula>
    </cfRule>
  </conditionalFormatting>
  <conditionalFormatting sqref="S31:S50">
    <cfRule type="cellIs" dxfId="384" priority="22" operator="greaterThan">
      <formula>$S$51</formula>
    </cfRule>
  </conditionalFormatting>
  <conditionalFormatting sqref="T31:T50">
    <cfRule type="cellIs" dxfId="383" priority="21" operator="greaterThan">
      <formula>$T$51</formula>
    </cfRule>
  </conditionalFormatting>
  <conditionalFormatting sqref="U31:U50">
    <cfRule type="cellIs" dxfId="382" priority="20" operator="greaterThan">
      <formula>$U$51</formula>
    </cfRule>
  </conditionalFormatting>
  <conditionalFormatting sqref="C22:V22">
    <cfRule type="cellIs" dxfId="381" priority="18" operator="equal">
      <formula>0</formula>
    </cfRule>
  </conditionalFormatting>
  <conditionalFormatting sqref="C24:V24">
    <cfRule type="cellIs" dxfId="380" priority="16" operator="equal">
      <formula>"DECREASE"</formula>
    </cfRule>
    <cfRule type="cellIs" dxfId="379" priority="17" operator="equal">
      <formula>"INCREASE"</formula>
    </cfRule>
  </conditionalFormatting>
  <conditionalFormatting sqref="C23:V23">
    <cfRule type="cellIs" dxfId="378" priority="15" operator="equal">
      <formula>0</formula>
    </cfRule>
  </conditionalFormatting>
  <conditionalFormatting sqref="I3">
    <cfRule type="cellIs" dxfId="377" priority="9" operator="greaterThan">
      <formula>4.1</formula>
    </cfRule>
  </conditionalFormatting>
  <conditionalFormatting sqref="C21:V21">
    <cfRule type="cellIs" dxfId="376" priority="8" operator="equal">
      <formula>0</formula>
    </cfRule>
  </conditionalFormatting>
  <conditionalFormatting sqref="B65:U65">
    <cfRule type="cellIs" dxfId="375" priority="4" operator="equal">
      <formula>"UNDER"</formula>
    </cfRule>
    <cfRule type="cellIs" dxfId="374" priority="5" operator="equal">
      <formula>"OVER"</formula>
    </cfRule>
  </conditionalFormatting>
  <conditionalFormatting sqref="J31:J50">
    <cfRule type="cellIs" dxfId="373" priority="3" operator="greaterThan">
      <formula>$J$51</formula>
    </cfRule>
  </conditionalFormatting>
  <conditionalFormatting sqref="I1">
    <cfRule type="cellIs" dxfId="372" priority="2" operator="lessThan">
      <formula>5</formula>
    </cfRule>
  </conditionalFormatting>
  <conditionalFormatting sqref="I2">
    <cfRule type="cellIs" dxfId="371" priority="1" operator="greaterThan">
      <formula>5000.1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B36" sqref="B36"/>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2" t="s">
        <v>41</v>
      </c>
      <c r="B1" s="112"/>
      <c r="C1" s="128" t="str">
        <f>'Field data and Waste 1'!C1:D1</f>
        <v>PAN-012063</v>
      </c>
      <c r="D1" s="129"/>
      <c r="E1" s="37" t="s">
        <v>45</v>
      </c>
      <c r="F1" s="46">
        <f>'Field data and Waste 1'!F1</f>
        <v>43.3</v>
      </c>
      <c r="G1" s="124" t="s">
        <v>43</v>
      </c>
      <c r="H1" s="125"/>
      <c r="I1" s="103">
        <v>7.55</v>
      </c>
      <c r="AB1" s="26"/>
      <c r="AC1" s="26"/>
      <c r="AD1" s="43" t="s">
        <v>124</v>
      </c>
      <c r="AE1" s="25"/>
      <c r="AF1" s="25"/>
      <c r="AG1" s="26"/>
      <c r="AH1" s="26"/>
      <c r="AI1" s="47" t="s">
        <v>79</v>
      </c>
      <c r="AJ1" s="48" t="s">
        <v>91</v>
      </c>
      <c r="AK1" s="49" t="s">
        <v>92</v>
      </c>
      <c r="AL1" s="50" t="s">
        <v>123</v>
      </c>
      <c r="AM1" s="50" t="s">
        <v>129</v>
      </c>
      <c r="AN1" s="50" t="s">
        <v>109</v>
      </c>
    </row>
    <row r="2" spans="1:41" x14ac:dyDescent="0.2">
      <c r="A2" s="112" t="s">
        <v>84</v>
      </c>
      <c r="B2" s="112"/>
      <c r="C2" s="130" t="str">
        <f>'Field data and Waste 1'!C2:D2</f>
        <v>EPR-KP3594VE</v>
      </c>
      <c r="D2" s="131"/>
      <c r="E2" s="37" t="s">
        <v>106</v>
      </c>
      <c r="F2" s="103" t="s">
        <v>160</v>
      </c>
      <c r="G2" s="126" t="s">
        <v>107</v>
      </c>
      <c r="H2" s="127"/>
      <c r="I2" s="103">
        <v>1899</v>
      </c>
      <c r="AB2" s="43" t="s">
        <v>56</v>
      </c>
      <c r="AC2" s="25"/>
      <c r="AD2" s="43" t="s">
        <v>70</v>
      </c>
      <c r="AE2" s="25"/>
      <c r="AF2" s="25"/>
      <c r="AG2" s="51" t="s">
        <v>76</v>
      </c>
      <c r="AH2" s="26"/>
      <c r="AI2" s="52" t="s">
        <v>124</v>
      </c>
      <c r="AJ2" s="53">
        <v>0</v>
      </c>
      <c r="AK2" s="54">
        <v>0</v>
      </c>
      <c r="AL2" s="18">
        <v>0</v>
      </c>
      <c r="AM2" s="19">
        <v>0</v>
      </c>
      <c r="AN2" s="19">
        <v>0</v>
      </c>
    </row>
    <row r="3" spans="1:41" x14ac:dyDescent="0.2">
      <c r="A3" s="113" t="s">
        <v>42</v>
      </c>
      <c r="B3" s="114"/>
      <c r="C3" s="130" t="str">
        <f>'Field data and Waste 1'!C3:D3</f>
        <v>Trade Effluent Services Ltd</v>
      </c>
      <c r="D3" s="131"/>
      <c r="E3" s="37" t="s">
        <v>105</v>
      </c>
      <c r="F3" s="45" t="s">
        <v>78</v>
      </c>
      <c r="G3" s="124" t="s">
        <v>108</v>
      </c>
      <c r="H3" s="125"/>
      <c r="I3" s="35"/>
      <c r="AB3" s="43" t="s">
        <v>57</v>
      </c>
      <c r="AC3" s="25"/>
      <c r="AD3" s="43" t="s">
        <v>71</v>
      </c>
      <c r="AE3" s="25"/>
      <c r="AF3" s="25"/>
      <c r="AG3" s="51" t="s">
        <v>77</v>
      </c>
      <c r="AH3" s="26"/>
      <c r="AI3" s="55" t="s">
        <v>111</v>
      </c>
      <c r="AJ3" s="56">
        <v>1.7</v>
      </c>
      <c r="AK3" s="57">
        <v>6</v>
      </c>
      <c r="AL3" s="58">
        <v>1</v>
      </c>
      <c r="AM3" s="19">
        <v>6.2</v>
      </c>
      <c r="AN3" s="19" t="s">
        <v>110</v>
      </c>
    </row>
    <row r="4" spans="1:41" x14ac:dyDescent="0.2">
      <c r="A4" s="112" t="s">
        <v>0</v>
      </c>
      <c r="B4" s="112"/>
      <c r="C4" s="128" t="str">
        <f>'Field data and Waste 1'!C4:D4</f>
        <v>Brookhouse Farm, Hanmer, Whitchurch, SY13 3EG</v>
      </c>
      <c r="D4" s="129"/>
      <c r="E4" s="38" t="s">
        <v>1</v>
      </c>
      <c r="F4" s="102" t="s">
        <v>161</v>
      </c>
      <c r="G4" s="124"/>
      <c r="H4" s="125"/>
      <c r="I4" s="46"/>
      <c r="AB4" s="43" t="s">
        <v>52</v>
      </c>
      <c r="AC4" s="25"/>
      <c r="AD4" s="59" t="s">
        <v>72</v>
      </c>
      <c r="AE4" s="25"/>
      <c r="AF4" s="25"/>
      <c r="AG4" s="51" t="s">
        <v>78</v>
      </c>
      <c r="AH4" s="26"/>
      <c r="AI4" s="60" t="s">
        <v>122</v>
      </c>
      <c r="AJ4" s="61">
        <v>7</v>
      </c>
      <c r="AK4" s="62">
        <v>10.5</v>
      </c>
      <c r="AL4" s="19">
        <v>2</v>
      </c>
      <c r="AM4" s="19">
        <v>6.7</v>
      </c>
      <c r="AN4" s="19" t="s">
        <v>135</v>
      </c>
    </row>
    <row r="5" spans="1:41" x14ac:dyDescent="0.2">
      <c r="A5" s="112" t="s">
        <v>47</v>
      </c>
      <c r="B5" s="112"/>
      <c r="C5" s="128" t="str">
        <f>'Field data and Waste 1'!C5:D5</f>
        <v>Sion Sleep</v>
      </c>
      <c r="D5" s="129"/>
      <c r="E5" s="37"/>
      <c r="F5" s="46"/>
      <c r="G5" s="124"/>
      <c r="H5" s="125"/>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7" t="s">
        <v>63</v>
      </c>
      <c r="B7" s="10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2" t="s">
        <v>2</v>
      </c>
      <c r="B8" s="112"/>
      <c r="C8" s="67">
        <f>'Field data and Waste 1'!C8</f>
        <v>40</v>
      </c>
      <c r="D8" s="67">
        <f>'Field data and Waste 1'!D8</f>
        <v>46</v>
      </c>
      <c r="E8" s="67">
        <f>'Field data and Waste 1'!E8</f>
        <v>43</v>
      </c>
      <c r="F8" s="67">
        <f>'Field data and Waste 1'!F8</f>
        <v>23</v>
      </c>
      <c r="G8" s="67">
        <f>'Field data and Waste 1'!G8</f>
        <v>21</v>
      </c>
      <c r="H8" s="67">
        <f>'Field data and Waste 1'!H8</f>
        <v>0</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2" t="s">
        <v>3</v>
      </c>
      <c r="B9" s="112"/>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2" t="s">
        <v>4</v>
      </c>
      <c r="B10" s="112"/>
      <c r="C10" s="67">
        <f>'Field data and Waste 1'!C10</f>
        <v>6.7</v>
      </c>
      <c r="D10" s="67">
        <f>'Field data and Waste 1'!D10</f>
        <v>6.5</v>
      </c>
      <c r="E10" s="67">
        <f>'Field data and Waste 1'!E10</f>
        <v>5.8</v>
      </c>
      <c r="F10" s="67">
        <f>'Field data and Waste 1'!F10</f>
        <v>6.3</v>
      </c>
      <c r="G10" s="67">
        <f>'Field data and Waste 1'!G10</f>
        <v>6.3</v>
      </c>
      <c r="H10" s="67">
        <f>'Field data and Waste 1'!H10</f>
        <v>0</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2" t="s">
        <v>5</v>
      </c>
      <c r="B11" s="112"/>
      <c r="C11" s="67">
        <f>'Field data and Waste 1'!C11</f>
        <v>3</v>
      </c>
      <c r="D11" s="67">
        <f>'Field data and Waste 1'!D11</f>
        <v>3</v>
      </c>
      <c r="E11" s="67">
        <f>'Field data and Waste 1'!E11</f>
        <v>2</v>
      </c>
      <c r="F11" s="67">
        <f>'Field data and Waste 1'!F11</f>
        <v>4</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2" t="s">
        <v>6</v>
      </c>
      <c r="B12" s="112"/>
      <c r="C12" s="67">
        <f>'Field data and Waste 1'!C12</f>
        <v>2</v>
      </c>
      <c r="D12" s="67">
        <f>'Field data and Waste 1'!D12</f>
        <v>0</v>
      </c>
      <c r="E12" s="67">
        <f>'Field data and Waste 1'!E12</f>
        <v>1</v>
      </c>
      <c r="F12" s="67">
        <f>'Field data and Waste 1'!F12</f>
        <v>2</v>
      </c>
      <c r="G12" s="67">
        <f>'Field data and Waste 1'!G12</f>
        <v>1</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2" t="s">
        <v>7</v>
      </c>
      <c r="B13" s="112"/>
      <c r="C13" s="67">
        <f>'Field data and Waste 1'!C13</f>
        <v>3</v>
      </c>
      <c r="D13" s="67">
        <f>'Field data and Waste 1'!D13</f>
        <v>3</v>
      </c>
      <c r="E13" s="67">
        <f>'Field data and Waste 1'!E13</f>
        <v>3</v>
      </c>
      <c r="F13" s="67">
        <f>'Field data and Waste 1'!F13</f>
        <v>3</v>
      </c>
      <c r="G13" s="67">
        <f>'Field data and Waste 1'!G13</f>
        <v>3</v>
      </c>
      <c r="H13" s="67">
        <f>'Field data and Waste 1'!H13</f>
        <v>0</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6" t="s">
        <v>8</v>
      </c>
      <c r="B14" s="116"/>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f>'Field data and Waste 1'!H14</f>
        <v>0</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5" t="s">
        <v>9</v>
      </c>
      <c r="B15" s="115"/>
      <c r="C15" s="67">
        <f>'Field data and Waste 1'!C15</f>
        <v>38</v>
      </c>
      <c r="D15" s="67">
        <f>'Field data and Waste 1'!D15</f>
        <v>38</v>
      </c>
      <c r="E15" s="67">
        <f>'Field data and Waste 1'!E15</f>
        <v>38</v>
      </c>
      <c r="F15" s="67">
        <f>'Field data and Waste 1'!F15</f>
        <v>38</v>
      </c>
      <c r="G15" s="67">
        <f>'Field data and Waste 1'!G15</f>
        <v>38</v>
      </c>
      <c r="H15" s="67">
        <f>'Field data and Waste 1'!H15</f>
        <v>0</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7" t="s">
        <v>44</v>
      </c>
      <c r="B16" s="117"/>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f>'Field data and Waste 1'!H16</f>
        <v>0</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4" t="s">
        <v>69</v>
      </c>
      <c r="B17" s="105"/>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t="e">
        <f t="shared" si="0"/>
        <v>#N/A</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6" t="s">
        <v>23</v>
      </c>
      <c r="B18" s="107"/>
      <c r="C18" s="24">
        <f>$D31</f>
        <v>63.117049999999999</v>
      </c>
      <c r="D18" s="24">
        <f>$D32</f>
        <v>63.117049999999999</v>
      </c>
      <c r="E18" s="24">
        <f>$D33</f>
        <v>63.117049999999999</v>
      </c>
      <c r="F18" s="24">
        <f>$D34</f>
        <v>63.117049999999999</v>
      </c>
      <c r="G18" s="24">
        <f>$D35</f>
        <v>63.117049999999999</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6" t="s">
        <v>87</v>
      </c>
      <c r="B19" s="107"/>
      <c r="C19" s="24">
        <f>C18-C17</f>
        <v>-1.4829499999999953</v>
      </c>
      <c r="D19" s="24">
        <f t="shared" ref="D19:V19" si="1">D18-D17</f>
        <v>-1.4829499999999953</v>
      </c>
      <c r="E19" s="24">
        <f t="shared" si="1"/>
        <v>-1.4829499999999953</v>
      </c>
      <c r="F19" s="24">
        <f t="shared" si="1"/>
        <v>-1.4829499999999953</v>
      </c>
      <c r="G19" s="24">
        <f t="shared" si="1"/>
        <v>-1.4829499999999953</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8" t="s">
        <v>88</v>
      </c>
      <c r="B20" s="109"/>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4" t="s">
        <v>85</v>
      </c>
      <c r="B21" s="105"/>
      <c r="C21" s="39">
        <f t="shared" ref="C21:V21" si="2">(VLOOKUP(C$14,$AI2:$AK24,3,FALSE))*C$15</f>
        <v>228</v>
      </c>
      <c r="D21" s="39">
        <f t="shared" si="2"/>
        <v>228</v>
      </c>
      <c r="E21" s="39">
        <f t="shared" si="2"/>
        <v>228</v>
      </c>
      <c r="F21" s="39">
        <f t="shared" si="2"/>
        <v>228</v>
      </c>
      <c r="G21" s="39">
        <f t="shared" si="2"/>
        <v>228</v>
      </c>
      <c r="H21" s="39" t="e">
        <f t="shared" si="2"/>
        <v>#N/A</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6" t="s">
        <v>86</v>
      </c>
      <c r="B22" s="107"/>
      <c r="C22" s="24">
        <f>$E31</f>
        <v>9.994270000000002</v>
      </c>
      <c r="D22" s="24">
        <f>$E32</f>
        <v>9.994270000000002</v>
      </c>
      <c r="E22" s="24">
        <f>$E33</f>
        <v>9.994270000000002</v>
      </c>
      <c r="F22" s="24">
        <f>$E34</f>
        <v>9.994270000000002</v>
      </c>
      <c r="G22" s="24">
        <f>$E35</f>
        <v>9.994270000000002</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6" t="s">
        <v>89</v>
      </c>
      <c r="B23" s="107"/>
      <c r="C23" s="24">
        <f>C22-C21</f>
        <v>-218.00573</v>
      </c>
      <c r="D23" s="24">
        <f t="shared" ref="D23:V23" si="3">D22-D21</f>
        <v>-218.00573</v>
      </c>
      <c r="E23" s="24">
        <f t="shared" si="3"/>
        <v>-218.00573</v>
      </c>
      <c r="F23" s="24">
        <f t="shared" si="3"/>
        <v>-218.00573</v>
      </c>
      <c r="G23" s="24">
        <f t="shared" si="3"/>
        <v>-218.00573</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8" t="s">
        <v>90</v>
      </c>
      <c r="B24" s="109"/>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e">
        <f t="shared" si="4"/>
        <v>#N/A</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2.97</v>
      </c>
      <c r="C28" s="23">
        <v>0.18</v>
      </c>
      <c r="D28" s="23">
        <v>475</v>
      </c>
      <c r="E28" s="23">
        <v>143</v>
      </c>
      <c r="F28" s="23">
        <v>98</v>
      </c>
      <c r="G28" s="23">
        <v>0.7</v>
      </c>
      <c r="H28" s="23">
        <v>11.4</v>
      </c>
      <c r="I28" s="23">
        <v>0.5</v>
      </c>
      <c r="J28" s="23">
        <v>0.01</v>
      </c>
      <c r="K28" s="30">
        <v>0.05</v>
      </c>
      <c r="L28" s="23">
        <v>0.69899999999999995</v>
      </c>
      <c r="M28" s="23">
        <v>3.91</v>
      </c>
      <c r="N28" s="23"/>
      <c r="O28" s="23"/>
      <c r="P28" s="23">
        <v>2607</v>
      </c>
      <c r="Q28" s="23">
        <v>1110</v>
      </c>
      <c r="R28" s="23"/>
      <c r="S28" s="23"/>
      <c r="T28" s="23"/>
      <c r="U28" s="23"/>
    </row>
    <row r="29" spans="1:40" s="15" customFormat="1" ht="27" x14ac:dyDescent="0.25">
      <c r="A29" s="110"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1"/>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40</v>
      </c>
      <c r="B31" s="23">
        <v>58</v>
      </c>
      <c r="C31" s="2">
        <f>IF(C$27="%w/w SAR",((C$28*10)*$B31),IF(C$27="%w/w DM",(((C$28*10)*($B$28/100))*$B31),IF(C$27="kg/t SAR",(C$28*$B31),IF(C$27="kg/t DM",((C$28*($B$28/100))*$B31),IF(C$27="mg/kg SAR",((C$28*0.001)*$B31),IF(C$27="mg/kg DM",(((C$28*0.001)*($B$28/100))*$B31),0))))))</f>
        <v>104.39999999999999</v>
      </c>
      <c r="D31" s="2">
        <f>(IF(D$27="%w/w SAR",((D$28*10)*$B31),IF(D$27="%w/w DM",(((D$28*10)*($B$28/100))*$B31),IF(D$27="kg/t SAR",(D$28*$B31),IF(D$27="kg/t DM",((D$28*($B$28/100))*$B31),IF(D$27="mg/kg SAR",((D$28*0.001)*$B31),IF(D$27="mg/kg DM",(((D$28*0.001)*($B$28/100))*$B31),"0")))))))*2.291</f>
        <v>63.117049999999999</v>
      </c>
      <c r="E31" s="2">
        <f>(IF(E$27="%w/w SAR",((E$28*10)*$B31),IF(E$27="%w/w DM",(((E$28*10)*($B$28/100))*$B31),IF(E$27="kg/t SAR",(E$28*$B31),IF(E$27="kg/t DM",((E$28*($B$28/100))*$B31),IF(E$27="mg/kg SAR",((E$28*0.001)*$B31),IF(E$27="mg/kg DM",(((E$28*0.001)*($B$28/100))*$B31),"0")))))))*1.205</f>
        <v>9.994270000000002</v>
      </c>
      <c r="F31" s="2">
        <f>(IF(F$27="%w/w SAR",((F$28*10)*$B31),IF(F$27="%w/w DM",(((F$28*10)*($B$28/100))*$B31),IF(F$27="kg/t SAR",(F$28*$B31),IF(F$27="kg/t DM",((F$28*($B$28/100))*$B31),IF(F$27="mg/kg SAR",((F$28*0.001)*$B31),IF(F$27="mg/kg DM",(((F$28*0.001)*($B$28/100))*$B31),"0")))))))*1.658</f>
        <v>9.4240720000000007</v>
      </c>
      <c r="G31" s="2">
        <f t="shared" ref="G31:P46" si="5">IF(G$27="%w/w SAR",((G$28*10)*$B31),IF(G$27="%w/w DM",(((G$28*10)*($B$28/100))*$B31),IF(G$27="kg/t SAR",(G$28*$B31),IF(G$27="kg/t DM",((G$28*($B$28/100))*$B31),IF(G$27="mg/kg SAR",((G$28*0.001)*$B31),IF(G$27="mg/kg DM",(((G$28*0.001)*($B$28/100))*$B31),0))))))</f>
        <v>4.0599999999999997E-2</v>
      </c>
      <c r="H31" s="2">
        <f t="shared" si="5"/>
        <v>0.66120000000000001</v>
      </c>
      <c r="I31" s="2">
        <f t="shared" si="5"/>
        <v>2.9000000000000001E-2</v>
      </c>
      <c r="J31" s="2">
        <f t="shared" si="5"/>
        <v>5.8E-4</v>
      </c>
      <c r="K31" s="2">
        <f t="shared" si="5"/>
        <v>2.9000000000000002E-3</v>
      </c>
      <c r="L31" s="2">
        <f t="shared" si="5"/>
        <v>4.0541999999999995E-2</v>
      </c>
      <c r="M31" s="2">
        <f t="shared" si="5"/>
        <v>0.22678000000000001</v>
      </c>
      <c r="N31" s="2">
        <f t="shared" si="5"/>
        <v>0</v>
      </c>
      <c r="O31" s="2">
        <f t="shared" si="5"/>
        <v>0</v>
      </c>
      <c r="P31" s="2">
        <f t="shared" si="5"/>
        <v>151.20600000000002</v>
      </c>
      <c r="Q31" s="2">
        <f>(IF(Q$27="%w/w SAR",((Q$28*10)*$B31),IF(Q$27="%w/w DM",(((Q$28*10)*($B$28/100))*$B31),IF(Q$27="kg/t SAR",(Q$28*$B31),IF(Q$27="kg/t DM",((Q$28*($B$28/100))*$B31),IF(Q$27="mg/kg SAR",((Q$28*0.001)*$B31),IF(Q$27="mg/kg DM",(((Q$28*0.001)*($B$28/100))*$B31),0)))))))*2.5</f>
        <v>160.95000000000002</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46</v>
      </c>
      <c r="B32" s="23">
        <v>58</v>
      </c>
      <c r="C32" s="2">
        <f t="shared" ref="C32:C50" si="6">IF(C$27="%w/w SAR",((C$28*10)*$B32),IF(C$27="%w/w DM",(((C$28*10)*($B$28/100))*$B32),IF(C$27="kg/t SAR",(C$28*$B32),IF(C$27="kg/t DM",((C$28*($B$28/100))*$B32),IF(C$27="mg/kg SAR",((C$28*0.001)*$B32),IF(C$27="mg/kg DM",(((C$28*0.001)*($B$28/100))*$B32),0))))))</f>
        <v>104.39999999999999</v>
      </c>
      <c r="D32" s="2">
        <f t="shared" ref="D32:D50" si="7">(IF(D$27="%w/w SAR",((D$28*10)*$B32),IF(D$27="%w/w DM",(((D$28*10)*($B$28/100))*$B32),IF(D$27="kg/t SAR",(D$28*$B32),IF(D$27="kg/t DM",((D$28*($B$28/100))*$B32),IF(D$27="mg/kg SAR",((D$28*0.001)*$B32),IF(D$27="mg/kg DM",(((D$28*0.001)*($B$28/100))*$B32),"0")))))))*2.291</f>
        <v>63.117049999999999</v>
      </c>
      <c r="E32" s="2">
        <f t="shared" ref="E32:E50" si="8">(IF(E$27="%w/w SAR",((E$28*10)*$B32),IF(E$27="%w/w DM",(((E$28*10)*($B$28/100))*$B32),IF(E$27="kg/t SAR",(E$28*$B32),IF(E$27="kg/t DM",((E$28*($B$28/100))*$B32),IF(E$27="mg/kg SAR",((E$28*0.001)*$B32),IF(E$27="mg/kg DM",(((E$28*0.001)*($B$28/100))*$B32),"0")))))))*1.205</f>
        <v>9.994270000000002</v>
      </c>
      <c r="F32" s="2">
        <f t="shared" ref="F32:F50" si="9">(IF(F$27="%w/w SAR",((F$28*10)*$B32),IF(F$27="%w/w DM",(((F$28*10)*($B$28/100))*$B32),IF(F$27="kg/t SAR",(F$28*$B32),IF(F$27="kg/t DM",((F$28*($B$28/100))*$B32),IF(F$27="mg/kg SAR",((F$28*0.001)*$B32),IF(F$27="mg/kg DM",(((F$28*0.001)*($B$28/100))*$B32),"0")))))))*1.658</f>
        <v>9.4240720000000007</v>
      </c>
      <c r="G32" s="2">
        <f t="shared" si="5"/>
        <v>4.0599999999999997E-2</v>
      </c>
      <c r="H32" s="2">
        <f t="shared" si="5"/>
        <v>0.66120000000000001</v>
      </c>
      <c r="I32" s="2">
        <f t="shared" si="5"/>
        <v>2.9000000000000001E-2</v>
      </c>
      <c r="J32" s="2">
        <f t="shared" si="5"/>
        <v>5.8E-4</v>
      </c>
      <c r="K32" s="2">
        <f t="shared" si="5"/>
        <v>2.9000000000000002E-3</v>
      </c>
      <c r="L32" s="2">
        <f t="shared" si="5"/>
        <v>4.0541999999999995E-2</v>
      </c>
      <c r="M32" s="2">
        <f t="shared" si="5"/>
        <v>0.22678000000000001</v>
      </c>
      <c r="N32" s="2">
        <f t="shared" si="5"/>
        <v>0</v>
      </c>
      <c r="O32" s="2">
        <f t="shared" si="5"/>
        <v>0</v>
      </c>
      <c r="P32" s="2">
        <f t="shared" si="5"/>
        <v>151.20600000000002</v>
      </c>
      <c r="Q32" s="2">
        <f t="shared" ref="Q32:Q50" si="10">(IF(Q$27="%w/w SAR",((Q$28*10)*$B32),IF(Q$27="%w/w DM",(((Q$28*10)*($B$28/100))*$B32),IF(Q$27="kg/t SAR",(Q$28*$B32),IF(Q$27="kg/t DM",((Q$28*($B$28/100))*$B32),IF(Q$27="mg/kg SAR",((Q$28*0.001)*$B32),IF(Q$27="mg/kg DM",(((Q$28*0.001)*($B$28/100))*$B32),0)))))))*2.5</f>
        <v>160.95000000000002</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43</v>
      </c>
      <c r="B33" s="23">
        <v>58</v>
      </c>
      <c r="C33" s="2">
        <f t="shared" si="6"/>
        <v>104.39999999999999</v>
      </c>
      <c r="D33" s="2">
        <f t="shared" si="7"/>
        <v>63.117049999999999</v>
      </c>
      <c r="E33" s="2">
        <f t="shared" si="8"/>
        <v>9.994270000000002</v>
      </c>
      <c r="F33" s="2">
        <f t="shared" si="9"/>
        <v>9.4240720000000007</v>
      </c>
      <c r="G33" s="2">
        <f t="shared" si="5"/>
        <v>4.0599999999999997E-2</v>
      </c>
      <c r="H33" s="2">
        <f t="shared" si="5"/>
        <v>0.66120000000000001</v>
      </c>
      <c r="I33" s="2">
        <f t="shared" si="5"/>
        <v>2.9000000000000001E-2</v>
      </c>
      <c r="J33" s="2">
        <f t="shared" si="5"/>
        <v>5.8E-4</v>
      </c>
      <c r="K33" s="2">
        <f t="shared" si="5"/>
        <v>2.9000000000000002E-3</v>
      </c>
      <c r="L33" s="2">
        <f t="shared" si="5"/>
        <v>4.0541999999999995E-2</v>
      </c>
      <c r="M33" s="2">
        <f t="shared" si="5"/>
        <v>0.22678000000000001</v>
      </c>
      <c r="N33" s="2">
        <f t="shared" si="5"/>
        <v>0</v>
      </c>
      <c r="O33" s="2">
        <f t="shared" si="5"/>
        <v>0</v>
      </c>
      <c r="P33" s="2">
        <f t="shared" si="5"/>
        <v>151.20600000000002</v>
      </c>
      <c r="Q33" s="2">
        <f t="shared" si="10"/>
        <v>160.95000000000002</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23</v>
      </c>
      <c r="B34" s="23">
        <v>58</v>
      </c>
      <c r="C34" s="2">
        <f t="shared" si="6"/>
        <v>104.39999999999999</v>
      </c>
      <c r="D34" s="2">
        <f t="shared" si="7"/>
        <v>63.117049999999999</v>
      </c>
      <c r="E34" s="2">
        <f t="shared" si="8"/>
        <v>9.994270000000002</v>
      </c>
      <c r="F34" s="2">
        <f t="shared" si="9"/>
        <v>9.4240720000000007</v>
      </c>
      <c r="G34" s="2">
        <f t="shared" si="5"/>
        <v>4.0599999999999997E-2</v>
      </c>
      <c r="H34" s="2">
        <f t="shared" si="5"/>
        <v>0.66120000000000001</v>
      </c>
      <c r="I34" s="2">
        <f t="shared" si="5"/>
        <v>2.9000000000000001E-2</v>
      </c>
      <c r="J34" s="2">
        <f t="shared" si="5"/>
        <v>5.8E-4</v>
      </c>
      <c r="K34" s="2">
        <f t="shared" si="5"/>
        <v>2.9000000000000002E-3</v>
      </c>
      <c r="L34" s="2">
        <f t="shared" si="5"/>
        <v>4.0541999999999995E-2</v>
      </c>
      <c r="M34" s="2">
        <f t="shared" si="5"/>
        <v>0.22678000000000001</v>
      </c>
      <c r="N34" s="2">
        <f t="shared" si="5"/>
        <v>0</v>
      </c>
      <c r="O34" s="2">
        <f t="shared" si="5"/>
        <v>0</v>
      </c>
      <c r="P34" s="2">
        <f t="shared" si="5"/>
        <v>151.20600000000002</v>
      </c>
      <c r="Q34" s="2">
        <f t="shared" si="10"/>
        <v>160.95000000000002</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21</v>
      </c>
      <c r="B35" s="23">
        <v>58</v>
      </c>
      <c r="C35" s="2">
        <f t="shared" si="6"/>
        <v>104.39999999999999</v>
      </c>
      <c r="D35" s="2">
        <f t="shared" si="7"/>
        <v>63.117049999999999</v>
      </c>
      <c r="E35" s="2">
        <f t="shared" si="8"/>
        <v>9.994270000000002</v>
      </c>
      <c r="F35" s="2">
        <f t="shared" si="9"/>
        <v>9.4240720000000007</v>
      </c>
      <c r="G35" s="2">
        <f t="shared" si="5"/>
        <v>4.0599999999999997E-2</v>
      </c>
      <c r="H35" s="2">
        <f t="shared" si="5"/>
        <v>0.66120000000000001</v>
      </c>
      <c r="I35" s="2">
        <f t="shared" si="5"/>
        <v>2.9000000000000001E-2</v>
      </c>
      <c r="J35" s="2">
        <f t="shared" si="5"/>
        <v>5.8E-4</v>
      </c>
      <c r="K35" s="2">
        <f t="shared" si="5"/>
        <v>2.9000000000000002E-3</v>
      </c>
      <c r="L35" s="2">
        <f t="shared" si="5"/>
        <v>4.0541999999999995E-2</v>
      </c>
      <c r="M35" s="2">
        <f t="shared" si="5"/>
        <v>0.22678000000000001</v>
      </c>
      <c r="N35" s="2">
        <f t="shared" si="5"/>
        <v>0</v>
      </c>
      <c r="O35" s="2">
        <f t="shared" si="5"/>
        <v>0</v>
      </c>
      <c r="P35" s="2">
        <f t="shared" si="5"/>
        <v>151.20600000000002</v>
      </c>
      <c r="Q35" s="2">
        <f t="shared" si="10"/>
        <v>160.95000000000002</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40</v>
      </c>
      <c r="C57" s="16">
        <f t="shared" ref="C57:U57" si="13">D8</f>
        <v>46</v>
      </c>
      <c r="D57" s="16">
        <f t="shared" si="13"/>
        <v>43</v>
      </c>
      <c r="E57" s="16">
        <f t="shared" si="13"/>
        <v>23</v>
      </c>
      <c r="F57" s="16">
        <f t="shared" si="13"/>
        <v>21</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e">
        <f>H16&amp;" I "&amp;(VLOOKUP(H14,Table245[],6,FALSE))</f>
        <v>#N/A</v>
      </c>
      <c r="H58" s="21" t="e">
        <f>I16&amp;" I "&amp;(VLOOKUP(I14,Table245[],6,FALSE))</f>
        <v>#N/A</v>
      </c>
      <c r="I58" s="21" t="e">
        <f>J16&amp;" I "&amp;(VLOOKUP(J14,Table245[],6,FALSE))</f>
        <v>#N/A</v>
      </c>
      <c r="J58" s="21" t="e">
        <f>K16&amp;" I "&amp;(VLOOKUP(K14,Table245[],6,FALSE))</f>
        <v>#N/A</v>
      </c>
      <c r="K58" s="21" t="e">
        <f>L16&amp;" I "&amp;(VLOOKUP(L14,Table245[],6,FALSE))</f>
        <v>#N/A</v>
      </c>
      <c r="L58" s="21" t="e">
        <f>M16&amp;" I "&amp;(VLOOKUP(M14,Table245[],6,FALSE))</f>
        <v>#N/A</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t="e">
        <f>VLOOKUP(H$14,Table245[],5,FALSE)</f>
        <v>#N/A</v>
      </c>
      <c r="H59" s="93" t="e">
        <f>VLOOKUP(I$14,Table245[],5,FALSE)</f>
        <v>#N/A</v>
      </c>
      <c r="I59" s="93" t="e">
        <f>VLOOKUP(J$14,Table245[],5,FALSE)</f>
        <v>#N/A</v>
      </c>
      <c r="J59" s="93" t="e">
        <f>VLOOKUP(K$14,Table245[],5,FALSE)</f>
        <v>#N/A</v>
      </c>
      <c r="K59" s="93" t="e">
        <f>VLOOKUP(L$14,Table245[],5,FALSE)</f>
        <v>#N/A</v>
      </c>
      <c r="L59" s="93" t="e">
        <f>VLOOKUP(M$14,Table245[],5,FALSE)</f>
        <v>#N/A</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6.7</v>
      </c>
      <c r="C60" s="93">
        <f t="shared" ref="C60:U60" si="14">D10</f>
        <v>6.5</v>
      </c>
      <c r="D60" s="93">
        <f t="shared" si="14"/>
        <v>5.8</v>
      </c>
      <c r="E60" s="93">
        <f t="shared" si="14"/>
        <v>6.3</v>
      </c>
      <c r="F60" s="93">
        <f t="shared" si="14"/>
        <v>6.3</v>
      </c>
      <c r="G60" s="93">
        <f t="shared" si="14"/>
        <v>0</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t="e">
        <f t="shared" si="15"/>
        <v>#N/A</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58</v>
      </c>
      <c r="C62" s="94">
        <f>B32</f>
        <v>58</v>
      </c>
      <c r="D62" s="94">
        <f>B33</f>
        <v>58</v>
      </c>
      <c r="E62" s="94">
        <f>B34</f>
        <v>58</v>
      </c>
      <c r="F62" s="94">
        <f>B35</f>
        <v>58</v>
      </c>
      <c r="G62" s="94">
        <f>B36</f>
        <v>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v>
      </c>
      <c r="C64" s="94">
        <f t="shared" ref="C64:U64" si="17">(C59-C60)*C61</f>
        <v>-1.7999999999999989</v>
      </c>
      <c r="D64" s="94">
        <f t="shared" si="17"/>
        <v>2.4000000000000021</v>
      </c>
      <c r="E64" s="94">
        <f t="shared" si="17"/>
        <v>-0.59999999999999787</v>
      </c>
      <c r="F64" s="94">
        <f t="shared" si="17"/>
        <v>-0.59999999999999787</v>
      </c>
      <c r="G64" s="94" t="e">
        <f t="shared" si="17"/>
        <v>#N/A</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UNDER</v>
      </c>
      <c r="E65" s="95" t="str">
        <f t="shared" si="18"/>
        <v>OVER</v>
      </c>
      <c r="F65" s="95" t="str">
        <f t="shared" si="18"/>
        <v>OVER</v>
      </c>
      <c r="G65" s="95" t="e">
        <f t="shared" si="18"/>
        <v>#N/A</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59" priority="32" operator="equal">
      <formula>"DECREASE"</formula>
    </cfRule>
    <cfRule type="cellIs" dxfId="358" priority="33" operator="equal">
      <formula>"INCREASE"</formula>
    </cfRule>
  </conditionalFormatting>
  <conditionalFormatting sqref="B62:U65 B31:B50">
    <cfRule type="cellIs" dxfId="357" priority="31" operator="greaterThan">
      <formula>$B$51</formula>
    </cfRule>
  </conditionalFormatting>
  <conditionalFormatting sqref="C31:C50">
    <cfRule type="cellIs" dxfId="356" priority="30" operator="greaterThan">
      <formula>$C$51</formula>
    </cfRule>
  </conditionalFormatting>
  <conditionalFormatting sqref="C18:V18">
    <cfRule type="cellIs" dxfId="355" priority="29" operator="equal">
      <formula>0</formula>
    </cfRule>
  </conditionalFormatting>
  <conditionalFormatting sqref="C17:V17">
    <cfRule type="cellIs" dxfId="354" priority="28" operator="equal">
      <formula>0</formula>
    </cfRule>
  </conditionalFormatting>
  <conditionalFormatting sqref="C19:V19">
    <cfRule type="cellIs" dxfId="353" priority="27" operator="equal">
      <formula>0</formula>
    </cfRule>
  </conditionalFormatting>
  <conditionalFormatting sqref="G31:G50">
    <cfRule type="cellIs" dxfId="352" priority="26" operator="greaterThan">
      <formula>$G$51</formula>
    </cfRule>
  </conditionalFormatting>
  <conditionalFormatting sqref="H31:H50">
    <cfRule type="cellIs" dxfId="351" priority="25" operator="greaterThan">
      <formula>$H$51</formula>
    </cfRule>
  </conditionalFormatting>
  <conditionalFormatting sqref="I31:I50">
    <cfRule type="cellIs" dxfId="350" priority="24" operator="greaterThan">
      <formula>$I$51</formula>
    </cfRule>
  </conditionalFormatting>
  <conditionalFormatting sqref="K31:K50">
    <cfRule type="cellIs" dxfId="349" priority="23" operator="greaterThan">
      <formula>$K$51</formula>
    </cfRule>
  </conditionalFormatting>
  <conditionalFormatting sqref="L31:L50">
    <cfRule type="cellIs" dxfId="348" priority="22" operator="greaterThan">
      <formula>$L$51</formula>
    </cfRule>
  </conditionalFormatting>
  <conditionalFormatting sqref="M31:M50">
    <cfRule type="cellIs" dxfId="347" priority="21" operator="greaterThan">
      <formula>$M$51</formula>
    </cfRule>
  </conditionalFormatting>
  <conditionalFormatting sqref="P31:P50">
    <cfRule type="cellIs" dxfId="346" priority="20" operator="greaterThan">
      <formula>$P$51</formula>
    </cfRule>
  </conditionalFormatting>
  <conditionalFormatting sqref="R31:R50">
    <cfRule type="cellIs" dxfId="345" priority="19" operator="greaterThan">
      <formula>$R$51</formula>
    </cfRule>
  </conditionalFormatting>
  <conditionalFormatting sqref="S31:S50">
    <cfRule type="cellIs" dxfId="344" priority="18" operator="greaterThan">
      <formula>$S$51</formula>
    </cfRule>
  </conditionalFormatting>
  <conditionalFormatting sqref="T31:T50">
    <cfRule type="cellIs" dxfId="343" priority="17" operator="greaterThan">
      <formula>$T$51</formula>
    </cfRule>
  </conditionalFormatting>
  <conditionalFormatting sqref="U31:U50">
    <cfRule type="cellIs" dxfId="342" priority="16" operator="greaterThan">
      <formula>$U$51</formula>
    </cfRule>
  </conditionalFormatting>
  <conditionalFormatting sqref="C22:V22">
    <cfRule type="cellIs" dxfId="341" priority="15" operator="equal">
      <formula>0</formula>
    </cfRule>
  </conditionalFormatting>
  <conditionalFormatting sqref="C24:V24">
    <cfRule type="cellIs" dxfId="340" priority="13" operator="equal">
      <formula>"DECREASE"</formula>
    </cfRule>
    <cfRule type="cellIs" dxfId="339" priority="14" operator="equal">
      <formula>"INCREASE"</formula>
    </cfRule>
  </conditionalFormatting>
  <conditionalFormatting sqref="C23:V23">
    <cfRule type="cellIs" dxfId="338" priority="12" operator="equal">
      <formula>0</formula>
    </cfRule>
  </conditionalFormatting>
  <conditionalFormatting sqref="C21:V21">
    <cfRule type="cellIs" dxfId="337" priority="8" operator="equal">
      <formula>0</formula>
    </cfRule>
  </conditionalFormatting>
  <conditionalFormatting sqref="B65:U65">
    <cfRule type="cellIs" dxfId="336" priority="6" operator="equal">
      <formula>"UNDER"</formula>
    </cfRule>
    <cfRule type="cellIs" dxfId="335" priority="7" operator="equal">
      <formula>"OVER"</formula>
    </cfRule>
  </conditionalFormatting>
  <conditionalFormatting sqref="I3">
    <cfRule type="cellIs" dxfId="334" priority="4" operator="greaterThan">
      <formula>4.1</formula>
    </cfRule>
  </conditionalFormatting>
  <conditionalFormatting sqref="J31:J50">
    <cfRule type="cellIs" dxfId="333" priority="3" operator="greaterThan">
      <formula>$J$51</formula>
    </cfRule>
  </conditionalFormatting>
  <conditionalFormatting sqref="I1">
    <cfRule type="cellIs" dxfId="332" priority="2" operator="lessThan">
      <formula>5</formula>
    </cfRule>
  </conditionalFormatting>
  <conditionalFormatting sqref="I2">
    <cfRule type="cellIs" dxfId="331" priority="1" operator="greaterThan">
      <formula>5000.1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D41" sqref="D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2" t="s">
        <v>41</v>
      </c>
      <c r="B1" s="112"/>
      <c r="C1" s="128" t="str">
        <f>'Field data and Waste 1'!C1:D1</f>
        <v>PAN-012063</v>
      </c>
      <c r="D1" s="129"/>
      <c r="E1" s="37" t="s">
        <v>45</v>
      </c>
      <c r="F1" s="46">
        <f>'Field data and Waste 1'!F1</f>
        <v>43.3</v>
      </c>
      <c r="G1" s="124" t="s">
        <v>43</v>
      </c>
      <c r="H1" s="125"/>
      <c r="I1" s="103">
        <v>6.76</v>
      </c>
      <c r="AB1" s="26"/>
      <c r="AC1" s="26"/>
      <c r="AD1" s="43" t="s">
        <v>124</v>
      </c>
      <c r="AE1" s="25"/>
      <c r="AF1" s="25"/>
      <c r="AG1" s="26"/>
      <c r="AH1" s="26"/>
      <c r="AI1" s="47" t="s">
        <v>79</v>
      </c>
      <c r="AJ1" s="48" t="s">
        <v>91</v>
      </c>
      <c r="AK1" s="49" t="s">
        <v>92</v>
      </c>
      <c r="AL1" s="50" t="s">
        <v>123</v>
      </c>
      <c r="AM1" s="50" t="s">
        <v>129</v>
      </c>
      <c r="AN1" s="50" t="s">
        <v>109</v>
      </c>
    </row>
    <row r="2" spans="1:41" x14ac:dyDescent="0.2">
      <c r="A2" s="112" t="s">
        <v>84</v>
      </c>
      <c r="B2" s="112"/>
      <c r="C2" s="130" t="str">
        <f>'Field data and Waste 1'!C2:D2</f>
        <v>EPR-KP3594VE</v>
      </c>
      <c r="D2" s="131"/>
      <c r="E2" s="37" t="s">
        <v>106</v>
      </c>
      <c r="F2" s="103" t="s">
        <v>162</v>
      </c>
      <c r="G2" s="126" t="s">
        <v>107</v>
      </c>
      <c r="H2" s="127"/>
      <c r="I2" s="103">
        <v>1166</v>
      </c>
      <c r="AB2" s="43" t="s">
        <v>56</v>
      </c>
      <c r="AC2" s="25"/>
      <c r="AD2" s="43" t="s">
        <v>70</v>
      </c>
      <c r="AE2" s="25"/>
      <c r="AF2" s="25"/>
      <c r="AG2" s="51" t="s">
        <v>76</v>
      </c>
      <c r="AH2" s="26"/>
      <c r="AI2" s="52" t="s">
        <v>124</v>
      </c>
      <c r="AJ2" s="53">
        <v>0</v>
      </c>
      <c r="AK2" s="54">
        <v>0</v>
      </c>
      <c r="AL2" s="18">
        <v>0</v>
      </c>
      <c r="AM2" s="19">
        <v>0</v>
      </c>
      <c r="AN2" s="19">
        <v>0</v>
      </c>
    </row>
    <row r="3" spans="1:41" x14ac:dyDescent="0.2">
      <c r="A3" s="113" t="s">
        <v>42</v>
      </c>
      <c r="B3" s="114"/>
      <c r="C3" s="130" t="str">
        <f>'Field data and Waste 1'!C3:D3</f>
        <v>Trade Effluent Services Ltd</v>
      </c>
      <c r="D3" s="131"/>
      <c r="E3" s="37" t="s">
        <v>105</v>
      </c>
      <c r="F3" s="45" t="s">
        <v>78</v>
      </c>
      <c r="G3" s="124" t="s">
        <v>108</v>
      </c>
      <c r="H3" s="125"/>
      <c r="I3" s="35"/>
      <c r="AB3" s="43" t="s">
        <v>57</v>
      </c>
      <c r="AC3" s="25"/>
      <c r="AD3" s="43" t="s">
        <v>71</v>
      </c>
      <c r="AE3" s="25"/>
      <c r="AF3" s="25"/>
      <c r="AG3" s="51" t="s">
        <v>77</v>
      </c>
      <c r="AH3" s="26"/>
      <c r="AI3" s="55" t="s">
        <v>111</v>
      </c>
      <c r="AJ3" s="56">
        <v>1.7</v>
      </c>
      <c r="AK3" s="57">
        <v>6</v>
      </c>
      <c r="AL3" s="58">
        <v>1</v>
      </c>
      <c r="AM3" s="19">
        <v>6.2</v>
      </c>
      <c r="AN3" s="19" t="s">
        <v>110</v>
      </c>
    </row>
    <row r="4" spans="1:41" x14ac:dyDescent="0.2">
      <c r="A4" s="112" t="s">
        <v>0</v>
      </c>
      <c r="B4" s="112"/>
      <c r="C4" s="128" t="str">
        <f>'Field data and Waste 1'!C4:D4</f>
        <v>Brookhouse Farm, Hanmer, Whitchurch, SY13 3EG</v>
      </c>
      <c r="D4" s="129"/>
      <c r="E4" s="38" t="s">
        <v>1</v>
      </c>
      <c r="F4" s="103" t="s">
        <v>163</v>
      </c>
      <c r="G4" s="124"/>
      <c r="H4" s="125"/>
      <c r="I4" s="46"/>
      <c r="AB4" s="43" t="s">
        <v>52</v>
      </c>
      <c r="AC4" s="25"/>
      <c r="AD4" s="59" t="s">
        <v>72</v>
      </c>
      <c r="AE4" s="25"/>
      <c r="AF4" s="25"/>
      <c r="AG4" s="51" t="s">
        <v>78</v>
      </c>
      <c r="AH4" s="26"/>
      <c r="AI4" s="60" t="s">
        <v>122</v>
      </c>
      <c r="AJ4" s="61">
        <v>7</v>
      </c>
      <c r="AK4" s="62">
        <v>10.5</v>
      </c>
      <c r="AL4" s="19">
        <v>2</v>
      </c>
      <c r="AM4" s="19">
        <v>6.7</v>
      </c>
      <c r="AN4" s="19" t="s">
        <v>135</v>
      </c>
    </row>
    <row r="5" spans="1:41" x14ac:dyDescent="0.2">
      <c r="A5" s="112" t="s">
        <v>47</v>
      </c>
      <c r="B5" s="112"/>
      <c r="C5" s="128" t="str">
        <f>'Field data and Waste 1'!C5:D5</f>
        <v>Sion Sleep</v>
      </c>
      <c r="D5" s="129"/>
      <c r="E5" s="37"/>
      <c r="F5" s="46"/>
      <c r="G5" s="124"/>
      <c r="H5" s="125"/>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7" t="s">
        <v>63</v>
      </c>
      <c r="B7" s="10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2" t="s">
        <v>2</v>
      </c>
      <c r="B8" s="112"/>
      <c r="C8" s="67">
        <f>'Field data and Waste 1'!C8</f>
        <v>40</v>
      </c>
      <c r="D8" s="67">
        <f>'Field data and Waste 1'!D8</f>
        <v>46</v>
      </c>
      <c r="E8" s="67">
        <f>'Field data and Waste 1'!E8</f>
        <v>43</v>
      </c>
      <c r="F8" s="67">
        <f>'Field data and Waste 1'!F8</f>
        <v>23</v>
      </c>
      <c r="G8" s="67">
        <f>'Field data and Waste 1'!G8</f>
        <v>21</v>
      </c>
      <c r="H8" s="67">
        <f>'Field data and Waste 1'!H8</f>
        <v>0</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2" t="s">
        <v>3</v>
      </c>
      <c r="B9" s="112"/>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2" t="s">
        <v>4</v>
      </c>
      <c r="B10" s="112"/>
      <c r="C10" s="67">
        <f>'Field data and Waste 1'!C10</f>
        <v>6.7</v>
      </c>
      <c r="D10" s="67">
        <f>'Field data and Waste 1'!D10</f>
        <v>6.5</v>
      </c>
      <c r="E10" s="67">
        <f>'Field data and Waste 1'!E10</f>
        <v>5.8</v>
      </c>
      <c r="F10" s="67">
        <f>'Field data and Waste 1'!F10</f>
        <v>6.3</v>
      </c>
      <c r="G10" s="67">
        <f>'Field data and Waste 1'!G10</f>
        <v>6.3</v>
      </c>
      <c r="H10" s="67">
        <f>'Field data and Waste 1'!H10</f>
        <v>0</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2" t="s">
        <v>5</v>
      </c>
      <c r="B11" s="112"/>
      <c r="C11" s="67">
        <f>'Field data and Waste 1'!C11</f>
        <v>3</v>
      </c>
      <c r="D11" s="67">
        <f>'Field data and Waste 1'!D11</f>
        <v>3</v>
      </c>
      <c r="E11" s="67">
        <f>'Field data and Waste 1'!E11</f>
        <v>2</v>
      </c>
      <c r="F11" s="67">
        <f>'Field data and Waste 1'!F11</f>
        <v>4</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2" t="s">
        <v>6</v>
      </c>
      <c r="B12" s="112"/>
      <c r="C12" s="67">
        <f>'Field data and Waste 1'!C12</f>
        <v>2</v>
      </c>
      <c r="D12" s="67">
        <f>'Field data and Waste 1'!D12</f>
        <v>0</v>
      </c>
      <c r="E12" s="67">
        <f>'Field data and Waste 1'!E12</f>
        <v>1</v>
      </c>
      <c r="F12" s="67">
        <f>'Field data and Waste 1'!F12</f>
        <v>2</v>
      </c>
      <c r="G12" s="67">
        <f>'Field data and Waste 1'!G12</f>
        <v>1</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2" t="s">
        <v>7</v>
      </c>
      <c r="B13" s="112"/>
      <c r="C13" s="67">
        <f>'Field data and Waste 1'!C13</f>
        <v>3</v>
      </c>
      <c r="D13" s="67">
        <f>'Field data and Waste 1'!D13</f>
        <v>3</v>
      </c>
      <c r="E13" s="67">
        <f>'Field data and Waste 1'!E13</f>
        <v>3</v>
      </c>
      <c r="F13" s="67">
        <f>'Field data and Waste 1'!F13</f>
        <v>3</v>
      </c>
      <c r="G13" s="67">
        <f>'Field data and Waste 1'!G13</f>
        <v>3</v>
      </c>
      <c r="H13" s="67">
        <f>'Field data and Waste 1'!H13</f>
        <v>0</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6" t="s">
        <v>8</v>
      </c>
      <c r="B14" s="116"/>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f>'Field data and Waste 1'!H14</f>
        <v>0</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5" t="s">
        <v>9</v>
      </c>
      <c r="B15" s="115"/>
      <c r="C15" s="67">
        <f>'Field data and Waste 1'!C15</f>
        <v>38</v>
      </c>
      <c r="D15" s="67">
        <f>'Field data and Waste 1'!D15</f>
        <v>38</v>
      </c>
      <c r="E15" s="67">
        <f>'Field data and Waste 1'!E15</f>
        <v>38</v>
      </c>
      <c r="F15" s="67">
        <f>'Field data and Waste 1'!F15</f>
        <v>38</v>
      </c>
      <c r="G15" s="67">
        <f>'Field data and Waste 1'!G15</f>
        <v>38</v>
      </c>
      <c r="H15" s="67">
        <f>'Field data and Waste 1'!H15</f>
        <v>0</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7" t="s">
        <v>44</v>
      </c>
      <c r="B16" s="117"/>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f>'Field data and Waste 1'!H16</f>
        <v>0</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4" t="s">
        <v>69</v>
      </c>
      <c r="B17" s="105"/>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t="e">
        <f t="shared" si="0"/>
        <v>#N/A</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6" t="s">
        <v>23</v>
      </c>
      <c r="B18" s="107"/>
      <c r="C18" s="24">
        <f>$D31</f>
        <v>62.755071999999998</v>
      </c>
      <c r="D18" s="24">
        <f>$D32</f>
        <v>62.755071999999998</v>
      </c>
      <c r="E18" s="24">
        <f>$D33</f>
        <v>62.755071999999998</v>
      </c>
      <c r="F18" s="24">
        <f>$D34</f>
        <v>62.755071999999998</v>
      </c>
      <c r="G18" s="24">
        <f>$D35</f>
        <v>62.755071999999998</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6" t="s">
        <v>87</v>
      </c>
      <c r="B19" s="107"/>
      <c r="C19" s="24">
        <f>C18-C17</f>
        <v>-1.8449279999999959</v>
      </c>
      <c r="D19" s="24">
        <f t="shared" ref="D19:V19" si="1">D18-D17</f>
        <v>-1.8449279999999959</v>
      </c>
      <c r="E19" s="24">
        <f t="shared" si="1"/>
        <v>-1.8449279999999959</v>
      </c>
      <c r="F19" s="24">
        <f t="shared" si="1"/>
        <v>-1.8449279999999959</v>
      </c>
      <c r="G19" s="24">
        <f t="shared" si="1"/>
        <v>-1.8449279999999959</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8" t="s">
        <v>88</v>
      </c>
      <c r="B20" s="109"/>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4" t="s">
        <v>85</v>
      </c>
      <c r="B21" s="105"/>
      <c r="C21" s="39">
        <f t="shared" ref="C21:V21" si="2">(VLOOKUP(C$14,$AI2:$AK24,3,FALSE))*C$15</f>
        <v>228</v>
      </c>
      <c r="D21" s="39">
        <f t="shared" si="2"/>
        <v>228</v>
      </c>
      <c r="E21" s="39">
        <f t="shared" si="2"/>
        <v>228</v>
      </c>
      <c r="F21" s="39">
        <f t="shared" si="2"/>
        <v>228</v>
      </c>
      <c r="G21" s="39">
        <f t="shared" si="2"/>
        <v>228</v>
      </c>
      <c r="H21" s="39" t="e">
        <f t="shared" si="2"/>
        <v>#N/A</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6" t="s">
        <v>86</v>
      </c>
      <c r="B22" s="107"/>
      <c r="C22" s="24">
        <f>$E31</f>
        <v>5.1316129999999998</v>
      </c>
      <c r="D22" s="24">
        <f>$E32</f>
        <v>5.1316129999999998</v>
      </c>
      <c r="E22" s="24">
        <f>$E33</f>
        <v>5.1316129999999998</v>
      </c>
      <c r="F22" s="24">
        <f>$E34</f>
        <v>5.1316129999999998</v>
      </c>
      <c r="G22" s="24">
        <f>$E35</f>
        <v>5.1316129999999998</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6" t="s">
        <v>89</v>
      </c>
      <c r="B23" s="107"/>
      <c r="C23" s="24">
        <f>C22-C21</f>
        <v>-222.86838700000001</v>
      </c>
      <c r="D23" s="24">
        <f t="shared" ref="D23:V23" si="3">D22-D21</f>
        <v>-222.86838700000001</v>
      </c>
      <c r="E23" s="24">
        <f t="shared" si="3"/>
        <v>-222.86838700000001</v>
      </c>
      <c r="F23" s="24">
        <f t="shared" si="3"/>
        <v>-222.86838700000001</v>
      </c>
      <c r="G23" s="24">
        <f t="shared" si="3"/>
        <v>-222.86838700000001</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8" t="s">
        <v>90</v>
      </c>
      <c r="B24" s="109"/>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e">
        <f t="shared" si="4"/>
        <v>#N/A</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17.600000000000001</v>
      </c>
      <c r="C28" s="23">
        <v>0.12</v>
      </c>
      <c r="D28" s="23">
        <v>256</v>
      </c>
      <c r="E28" s="23">
        <v>39.799999999999997</v>
      </c>
      <c r="F28" s="23">
        <v>15.9</v>
      </c>
      <c r="G28" s="23">
        <v>0.38300000000000001</v>
      </c>
      <c r="H28" s="23">
        <v>2.0699999999999998</v>
      </c>
      <c r="I28" s="23">
        <v>0.5</v>
      </c>
      <c r="J28" s="23">
        <v>0.01</v>
      </c>
      <c r="K28" s="30">
        <v>0.05</v>
      </c>
      <c r="L28" s="23">
        <v>0.2</v>
      </c>
      <c r="M28" s="23">
        <v>0.88900000000000001</v>
      </c>
      <c r="N28" s="23"/>
      <c r="O28" s="23"/>
      <c r="P28" s="23">
        <v>678</v>
      </c>
      <c r="Q28" s="23">
        <v>319</v>
      </c>
      <c r="R28" s="23"/>
      <c r="S28" s="23"/>
      <c r="T28" s="23"/>
      <c r="U28" s="23"/>
    </row>
    <row r="29" spans="1:40" s="15" customFormat="1" ht="27" x14ac:dyDescent="0.25">
      <c r="A29" s="110"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1"/>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40</v>
      </c>
      <c r="B31" s="23">
        <v>107</v>
      </c>
      <c r="C31" s="2">
        <f>IF(C$27="%w/w SAR",((C$28*10)*$B31),IF(C$27="%w/w DM",(((C$28*10)*($B$28/100))*$B31),IF(C$27="kg/t SAR",(C$28*$B31),IF(C$27="kg/t DM",((C$28*($B$28/100))*$B31),IF(C$27="mg/kg SAR",((C$28*0.001)*$B31),IF(C$27="mg/kg DM",(((C$28*0.001)*($B$28/100))*$B31),0))))))</f>
        <v>128.4</v>
      </c>
      <c r="D31" s="2">
        <f>(IF(D$27="%w/w SAR",((D$28*10)*$B31),IF(D$27="%w/w DM",(((D$28*10)*($B$28/100))*$B31),IF(D$27="kg/t SAR",(D$28*$B31),IF(D$27="kg/t DM",((D$28*($B$28/100))*$B31),IF(D$27="mg/kg SAR",((D$28*0.001)*$B31),IF(D$27="mg/kg DM",(((D$28*0.001)*($B$28/100))*$B31),"0")))))))*2.291</f>
        <v>62.755071999999998</v>
      </c>
      <c r="E31" s="2">
        <f>(IF(E$27="%w/w SAR",((E$28*10)*$B31),IF(E$27="%w/w DM",(((E$28*10)*($B$28/100))*$B31),IF(E$27="kg/t SAR",(E$28*$B31),IF(E$27="kg/t DM",((E$28*($B$28/100))*$B31),IF(E$27="mg/kg SAR",((E$28*0.001)*$B31),IF(E$27="mg/kg DM",(((E$28*0.001)*($B$28/100))*$B31),"0")))))))*1.205</f>
        <v>5.1316129999999998</v>
      </c>
      <c r="F31" s="2">
        <f>(IF(F$27="%w/w SAR",((F$28*10)*$B31),IF(F$27="%w/w DM",(((F$28*10)*($B$28/100))*$B31),IF(F$27="kg/t SAR",(F$28*$B31),IF(F$27="kg/t DM",((F$28*($B$28/100))*$B31),IF(F$27="mg/kg SAR",((F$28*0.001)*$B31),IF(F$27="mg/kg DM",(((F$28*0.001)*($B$28/100))*$B31),"0")))))))*1.658</f>
        <v>2.8207553999999999</v>
      </c>
      <c r="G31" s="2">
        <f t="shared" ref="G31:P46" si="5">IF(G$27="%w/w SAR",((G$28*10)*$B31),IF(G$27="%w/w DM",(((G$28*10)*($B$28/100))*$B31),IF(G$27="kg/t SAR",(G$28*$B31),IF(G$27="kg/t DM",((G$28*($B$28/100))*$B31),IF(G$27="mg/kg SAR",((G$28*0.001)*$B31),IF(G$27="mg/kg DM",(((G$28*0.001)*($B$28/100))*$B31),0))))))</f>
        <v>4.0981000000000004E-2</v>
      </c>
      <c r="H31" s="2">
        <f t="shared" si="5"/>
        <v>0.22148999999999996</v>
      </c>
      <c r="I31" s="2">
        <f t="shared" si="5"/>
        <v>5.3499999999999999E-2</v>
      </c>
      <c r="J31" s="2">
        <f t="shared" si="5"/>
        <v>1.07E-3</v>
      </c>
      <c r="K31" s="2">
        <f t="shared" si="5"/>
        <v>5.3500000000000006E-3</v>
      </c>
      <c r="L31" s="2">
        <f t="shared" si="5"/>
        <v>2.1400000000000002E-2</v>
      </c>
      <c r="M31" s="2">
        <f t="shared" si="5"/>
        <v>9.5122999999999999E-2</v>
      </c>
      <c r="N31" s="2">
        <f t="shared" si="5"/>
        <v>0</v>
      </c>
      <c r="O31" s="2">
        <f t="shared" si="5"/>
        <v>0</v>
      </c>
      <c r="P31" s="2">
        <f t="shared" si="5"/>
        <v>72.546000000000006</v>
      </c>
      <c r="Q31" s="2">
        <f>(IF(Q$27="%w/w SAR",((Q$28*10)*$B31),IF(Q$27="%w/w DM",(((Q$28*10)*($B$28/100))*$B31),IF(Q$27="kg/t SAR",(Q$28*$B31),IF(Q$27="kg/t DM",((Q$28*($B$28/100))*$B31),IF(Q$27="mg/kg SAR",((Q$28*0.001)*$B31),IF(Q$27="mg/kg DM",(((Q$28*0.001)*($B$28/100))*$B31),0)))))))*2.5</f>
        <v>85.33250000000001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46</v>
      </c>
      <c r="B32" s="23">
        <v>107</v>
      </c>
      <c r="C32" s="2">
        <f t="shared" ref="C32:C50" si="6">IF(C$27="%w/w SAR",((C$28*10)*$B32),IF(C$27="%w/w DM",(((C$28*10)*($B$28/100))*$B32),IF(C$27="kg/t SAR",(C$28*$B32),IF(C$27="kg/t DM",((C$28*($B$28/100))*$B32),IF(C$27="mg/kg SAR",((C$28*0.001)*$B32),IF(C$27="mg/kg DM",(((C$28*0.001)*($B$28/100))*$B32),0))))))</f>
        <v>128.4</v>
      </c>
      <c r="D32" s="2">
        <f t="shared" ref="D32:D50" si="7">(IF(D$27="%w/w SAR",((D$28*10)*$B32),IF(D$27="%w/w DM",(((D$28*10)*($B$28/100))*$B32),IF(D$27="kg/t SAR",(D$28*$B32),IF(D$27="kg/t DM",((D$28*($B$28/100))*$B32),IF(D$27="mg/kg SAR",((D$28*0.001)*$B32),IF(D$27="mg/kg DM",(((D$28*0.001)*($B$28/100))*$B32),"0")))))))*2.291</f>
        <v>62.755071999999998</v>
      </c>
      <c r="E32" s="2">
        <f t="shared" ref="E32:E50" si="8">(IF(E$27="%w/w SAR",((E$28*10)*$B32),IF(E$27="%w/w DM",(((E$28*10)*($B$28/100))*$B32),IF(E$27="kg/t SAR",(E$28*$B32),IF(E$27="kg/t DM",((E$28*($B$28/100))*$B32),IF(E$27="mg/kg SAR",((E$28*0.001)*$B32),IF(E$27="mg/kg DM",(((E$28*0.001)*($B$28/100))*$B32),"0")))))))*1.205</f>
        <v>5.1316129999999998</v>
      </c>
      <c r="F32" s="2">
        <f t="shared" ref="F32:F50" si="9">(IF(F$27="%w/w SAR",((F$28*10)*$B32),IF(F$27="%w/w DM",(((F$28*10)*($B$28/100))*$B32),IF(F$27="kg/t SAR",(F$28*$B32),IF(F$27="kg/t DM",((F$28*($B$28/100))*$B32),IF(F$27="mg/kg SAR",((F$28*0.001)*$B32),IF(F$27="mg/kg DM",(((F$28*0.001)*($B$28/100))*$B32),"0")))))))*1.658</f>
        <v>2.8207553999999999</v>
      </c>
      <c r="G32" s="2">
        <f t="shared" si="5"/>
        <v>4.0981000000000004E-2</v>
      </c>
      <c r="H32" s="2">
        <f t="shared" si="5"/>
        <v>0.22148999999999996</v>
      </c>
      <c r="I32" s="2">
        <f t="shared" si="5"/>
        <v>5.3499999999999999E-2</v>
      </c>
      <c r="J32" s="2">
        <f t="shared" si="5"/>
        <v>1.07E-3</v>
      </c>
      <c r="K32" s="2">
        <f t="shared" si="5"/>
        <v>5.3500000000000006E-3</v>
      </c>
      <c r="L32" s="2">
        <f t="shared" si="5"/>
        <v>2.1400000000000002E-2</v>
      </c>
      <c r="M32" s="2">
        <f t="shared" si="5"/>
        <v>9.5122999999999999E-2</v>
      </c>
      <c r="N32" s="2">
        <f t="shared" si="5"/>
        <v>0</v>
      </c>
      <c r="O32" s="2">
        <f t="shared" si="5"/>
        <v>0</v>
      </c>
      <c r="P32" s="2">
        <f t="shared" si="5"/>
        <v>72.546000000000006</v>
      </c>
      <c r="Q32" s="2">
        <f t="shared" ref="Q32:Q50" si="10">(IF(Q$27="%w/w SAR",((Q$28*10)*$B32),IF(Q$27="%w/w DM",(((Q$28*10)*($B$28/100))*$B32),IF(Q$27="kg/t SAR",(Q$28*$B32),IF(Q$27="kg/t DM",((Q$28*($B$28/100))*$B32),IF(Q$27="mg/kg SAR",((Q$28*0.001)*$B32),IF(Q$27="mg/kg DM",(((Q$28*0.001)*($B$28/100))*$B32),0)))))))*2.5</f>
        <v>85.33250000000001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43</v>
      </c>
      <c r="B33" s="23">
        <v>107</v>
      </c>
      <c r="C33" s="2">
        <f t="shared" si="6"/>
        <v>128.4</v>
      </c>
      <c r="D33" s="2">
        <f t="shared" si="7"/>
        <v>62.755071999999998</v>
      </c>
      <c r="E33" s="2">
        <f t="shared" si="8"/>
        <v>5.1316129999999998</v>
      </c>
      <c r="F33" s="2">
        <f t="shared" si="9"/>
        <v>2.8207553999999999</v>
      </c>
      <c r="G33" s="2">
        <f t="shared" si="5"/>
        <v>4.0981000000000004E-2</v>
      </c>
      <c r="H33" s="2">
        <f t="shared" si="5"/>
        <v>0.22148999999999996</v>
      </c>
      <c r="I33" s="2">
        <f t="shared" si="5"/>
        <v>5.3499999999999999E-2</v>
      </c>
      <c r="J33" s="2">
        <f t="shared" si="5"/>
        <v>1.07E-3</v>
      </c>
      <c r="K33" s="2">
        <f t="shared" si="5"/>
        <v>5.3500000000000006E-3</v>
      </c>
      <c r="L33" s="2">
        <f t="shared" si="5"/>
        <v>2.1400000000000002E-2</v>
      </c>
      <c r="M33" s="2">
        <f t="shared" si="5"/>
        <v>9.5122999999999999E-2</v>
      </c>
      <c r="N33" s="2">
        <f t="shared" si="5"/>
        <v>0</v>
      </c>
      <c r="O33" s="2">
        <f t="shared" si="5"/>
        <v>0</v>
      </c>
      <c r="P33" s="2">
        <f t="shared" si="5"/>
        <v>72.546000000000006</v>
      </c>
      <c r="Q33" s="2">
        <f t="shared" si="10"/>
        <v>85.33250000000001</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23</v>
      </c>
      <c r="B34" s="23">
        <v>107</v>
      </c>
      <c r="C34" s="2">
        <f t="shared" si="6"/>
        <v>128.4</v>
      </c>
      <c r="D34" s="2">
        <f t="shared" si="7"/>
        <v>62.755071999999998</v>
      </c>
      <c r="E34" s="2">
        <f t="shared" si="8"/>
        <v>5.1316129999999998</v>
      </c>
      <c r="F34" s="2">
        <f t="shared" si="9"/>
        <v>2.8207553999999999</v>
      </c>
      <c r="G34" s="2">
        <f t="shared" si="5"/>
        <v>4.0981000000000004E-2</v>
      </c>
      <c r="H34" s="2">
        <f t="shared" si="5"/>
        <v>0.22148999999999996</v>
      </c>
      <c r="I34" s="2">
        <f t="shared" si="5"/>
        <v>5.3499999999999999E-2</v>
      </c>
      <c r="J34" s="2">
        <f t="shared" si="5"/>
        <v>1.07E-3</v>
      </c>
      <c r="K34" s="2">
        <f t="shared" si="5"/>
        <v>5.3500000000000006E-3</v>
      </c>
      <c r="L34" s="2">
        <f t="shared" si="5"/>
        <v>2.1400000000000002E-2</v>
      </c>
      <c r="M34" s="2">
        <f t="shared" si="5"/>
        <v>9.5122999999999999E-2</v>
      </c>
      <c r="N34" s="2">
        <f t="shared" si="5"/>
        <v>0</v>
      </c>
      <c r="O34" s="2">
        <f t="shared" si="5"/>
        <v>0</v>
      </c>
      <c r="P34" s="2">
        <f t="shared" si="5"/>
        <v>72.546000000000006</v>
      </c>
      <c r="Q34" s="2">
        <f t="shared" si="10"/>
        <v>85.33250000000001</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21</v>
      </c>
      <c r="B35" s="23">
        <v>107</v>
      </c>
      <c r="C35" s="2">
        <f t="shared" si="6"/>
        <v>128.4</v>
      </c>
      <c r="D35" s="2">
        <f t="shared" si="7"/>
        <v>62.755071999999998</v>
      </c>
      <c r="E35" s="2">
        <f t="shared" si="8"/>
        <v>5.1316129999999998</v>
      </c>
      <c r="F35" s="2">
        <f t="shared" si="9"/>
        <v>2.8207553999999999</v>
      </c>
      <c r="G35" s="2">
        <f t="shared" si="5"/>
        <v>4.0981000000000004E-2</v>
      </c>
      <c r="H35" s="2">
        <f t="shared" si="5"/>
        <v>0.22148999999999996</v>
      </c>
      <c r="I35" s="2">
        <f t="shared" si="5"/>
        <v>5.3499999999999999E-2</v>
      </c>
      <c r="J35" s="2">
        <f t="shared" si="5"/>
        <v>1.07E-3</v>
      </c>
      <c r="K35" s="2">
        <f t="shared" si="5"/>
        <v>5.3500000000000006E-3</v>
      </c>
      <c r="L35" s="2">
        <f t="shared" si="5"/>
        <v>2.1400000000000002E-2</v>
      </c>
      <c r="M35" s="2">
        <f t="shared" si="5"/>
        <v>9.5122999999999999E-2</v>
      </c>
      <c r="N35" s="2">
        <f t="shared" si="5"/>
        <v>0</v>
      </c>
      <c r="O35" s="2">
        <f t="shared" si="5"/>
        <v>0</v>
      </c>
      <c r="P35" s="2">
        <f t="shared" si="5"/>
        <v>72.546000000000006</v>
      </c>
      <c r="Q35" s="2">
        <f t="shared" si="10"/>
        <v>85.33250000000001</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40</v>
      </c>
      <c r="C57" s="16">
        <f t="shared" ref="C57:U57" si="13">D8</f>
        <v>46</v>
      </c>
      <c r="D57" s="16">
        <f t="shared" si="13"/>
        <v>43</v>
      </c>
      <c r="E57" s="16">
        <f t="shared" si="13"/>
        <v>23</v>
      </c>
      <c r="F57" s="16">
        <f t="shared" si="13"/>
        <v>21</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e">
        <f>H16&amp;" I "&amp;(VLOOKUP(H14,Table245811[],6,FALSE))</f>
        <v>#N/A</v>
      </c>
      <c r="H58" s="21" t="e">
        <f>I16&amp;" I "&amp;(VLOOKUP(I14,Table245811[],6,FALSE))</f>
        <v>#N/A</v>
      </c>
      <c r="I58" s="21" t="e">
        <f>J16&amp;" I "&amp;(VLOOKUP(J14,Table245811[],6,FALSE))</f>
        <v>#N/A</v>
      </c>
      <c r="J58" s="21" t="e">
        <f>K16&amp;" I "&amp;(VLOOKUP(K14,Table245811[],6,FALSE))</f>
        <v>#N/A</v>
      </c>
      <c r="K58" s="21" t="e">
        <f>L16&amp;" I "&amp;(VLOOKUP(L14,Table245811[],6,FALSE))</f>
        <v>#N/A</v>
      </c>
      <c r="L58" s="21" t="e">
        <f>M16&amp;" I "&amp;(VLOOKUP(M14,Table245811[],6,FALSE))</f>
        <v>#N/A</v>
      </c>
      <c r="M58" s="21" t="e">
        <f>N16&amp;" I "&amp;(VLOOKUP(N14,Table245811[],6,FALSE))</f>
        <v>#N/A</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t="e">
        <f>VLOOKUP(H$14,Table245811[],5,FALSE)</f>
        <v>#N/A</v>
      </c>
      <c r="H59" s="93" t="e">
        <f>VLOOKUP(I$14,Table245811[],5,FALSE)</f>
        <v>#N/A</v>
      </c>
      <c r="I59" s="93" t="e">
        <f>VLOOKUP(J$14,Table245811[],5,FALSE)</f>
        <v>#N/A</v>
      </c>
      <c r="J59" s="93" t="e">
        <f>VLOOKUP(K$14,Table245811[],5,FALSE)</f>
        <v>#N/A</v>
      </c>
      <c r="K59" s="93" t="e">
        <f>VLOOKUP(L$14,Table245811[],5,FALSE)</f>
        <v>#N/A</v>
      </c>
      <c r="L59" s="93" t="e">
        <f>VLOOKUP(M$14,Table245811[],5,FALSE)</f>
        <v>#N/A</v>
      </c>
      <c r="M59" s="93" t="e">
        <f>VLOOKUP(N$14,Table245811[],5,FALSE)</f>
        <v>#N/A</v>
      </c>
      <c r="N59" s="93" t="e">
        <f>VLOOKUP(O$14,Table245811[],5,FALSE)</f>
        <v>#N/A</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6.7</v>
      </c>
      <c r="C60" s="93">
        <f t="shared" ref="C60:U60" si="14">D10</f>
        <v>6.5</v>
      </c>
      <c r="D60" s="93">
        <f t="shared" si="14"/>
        <v>5.8</v>
      </c>
      <c r="E60" s="93">
        <f t="shared" si="14"/>
        <v>6.3</v>
      </c>
      <c r="F60" s="93">
        <f t="shared" si="14"/>
        <v>6.3</v>
      </c>
      <c r="G60" s="93">
        <f t="shared" si="14"/>
        <v>0</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t="e">
        <f t="shared" si="15"/>
        <v>#N/A</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107</v>
      </c>
      <c r="C62" s="94">
        <f>B32</f>
        <v>107</v>
      </c>
      <c r="D62" s="94">
        <f>B33</f>
        <v>107</v>
      </c>
      <c r="E62" s="94">
        <f>B34</f>
        <v>107</v>
      </c>
      <c r="F62" s="94">
        <f>B35</f>
        <v>107</v>
      </c>
      <c r="G62" s="94">
        <f>B36</f>
        <v>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v>
      </c>
      <c r="C64" s="94">
        <f t="shared" ref="C64:U64" si="17">(C59-C60)*C61</f>
        <v>-1.7999999999999989</v>
      </c>
      <c r="D64" s="94">
        <f t="shared" si="17"/>
        <v>2.4000000000000021</v>
      </c>
      <c r="E64" s="94">
        <f t="shared" si="17"/>
        <v>-0.59999999999999787</v>
      </c>
      <c r="F64" s="94">
        <f t="shared" si="17"/>
        <v>-0.59999999999999787</v>
      </c>
      <c r="G64" s="94" t="e">
        <f t="shared" si="17"/>
        <v>#N/A</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UNDER</v>
      </c>
      <c r="E65" s="95" t="str">
        <f t="shared" si="18"/>
        <v>OVER</v>
      </c>
      <c r="F65" s="95" t="str">
        <f t="shared" si="18"/>
        <v>OVER</v>
      </c>
      <c r="G65" s="95" t="e">
        <f t="shared" si="18"/>
        <v>#N/A</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19" priority="32" operator="equal">
      <formula>"DECREASE"</formula>
    </cfRule>
    <cfRule type="cellIs" dxfId="318" priority="33" operator="equal">
      <formula>"INCREASE"</formula>
    </cfRule>
  </conditionalFormatting>
  <conditionalFormatting sqref="B62:U65 B31:B50">
    <cfRule type="cellIs" dxfId="317" priority="31" operator="greaterThan">
      <formula>$B$51</formula>
    </cfRule>
  </conditionalFormatting>
  <conditionalFormatting sqref="C31:C50">
    <cfRule type="cellIs" dxfId="316" priority="30" operator="greaterThan">
      <formula>$C$51</formula>
    </cfRule>
  </conditionalFormatting>
  <conditionalFormatting sqref="C18:V18">
    <cfRule type="cellIs" dxfId="315" priority="29" operator="equal">
      <formula>0</formula>
    </cfRule>
  </conditionalFormatting>
  <conditionalFormatting sqref="C17:V17">
    <cfRule type="cellIs" dxfId="314" priority="28" operator="equal">
      <formula>0</formula>
    </cfRule>
  </conditionalFormatting>
  <conditionalFormatting sqref="C19:V19">
    <cfRule type="cellIs" dxfId="313" priority="27" operator="equal">
      <formula>0</formula>
    </cfRule>
  </conditionalFormatting>
  <conditionalFormatting sqref="G31:G50">
    <cfRule type="cellIs" dxfId="312" priority="26" operator="greaterThan">
      <formula>$G$51</formula>
    </cfRule>
  </conditionalFormatting>
  <conditionalFormatting sqref="H31:H50">
    <cfRule type="cellIs" dxfId="311" priority="25" operator="greaterThan">
      <formula>$H$51</formula>
    </cfRule>
  </conditionalFormatting>
  <conditionalFormatting sqref="I31:I50">
    <cfRule type="cellIs" dxfId="310" priority="24" operator="greaterThan">
      <formula>$I$51</formula>
    </cfRule>
  </conditionalFormatting>
  <conditionalFormatting sqref="K31:K50">
    <cfRule type="cellIs" dxfId="309" priority="23" operator="greaterThan">
      <formula>$K$51</formula>
    </cfRule>
  </conditionalFormatting>
  <conditionalFormatting sqref="L31:L50">
    <cfRule type="cellIs" dxfId="308" priority="22" operator="greaterThan">
      <formula>$L$51</formula>
    </cfRule>
  </conditionalFormatting>
  <conditionalFormatting sqref="M31:M50">
    <cfRule type="cellIs" dxfId="307" priority="21" operator="greaterThan">
      <formula>$M$51</formula>
    </cfRule>
  </conditionalFormatting>
  <conditionalFormatting sqref="P31:P50">
    <cfRule type="cellIs" dxfId="306" priority="20" operator="greaterThan">
      <formula>$P$51</formula>
    </cfRule>
  </conditionalFormatting>
  <conditionalFormatting sqref="R31:R50">
    <cfRule type="cellIs" dxfId="305" priority="19" operator="greaterThan">
      <formula>$R$51</formula>
    </cfRule>
  </conditionalFormatting>
  <conditionalFormatting sqref="S31:S50">
    <cfRule type="cellIs" dxfId="304" priority="18" operator="greaterThan">
      <formula>$S$51</formula>
    </cfRule>
  </conditionalFormatting>
  <conditionalFormatting sqref="T31:T50">
    <cfRule type="cellIs" dxfId="303" priority="17" operator="greaterThan">
      <formula>$T$51</formula>
    </cfRule>
  </conditionalFormatting>
  <conditionalFormatting sqref="U31:U50">
    <cfRule type="cellIs" dxfId="302" priority="16" operator="greaterThan">
      <formula>$U$51</formula>
    </cfRule>
  </conditionalFormatting>
  <conditionalFormatting sqref="C22:V22">
    <cfRule type="cellIs" dxfId="301" priority="15" operator="equal">
      <formula>0</formula>
    </cfRule>
  </conditionalFormatting>
  <conditionalFormatting sqref="C24:V24">
    <cfRule type="cellIs" dxfId="300" priority="13" operator="equal">
      <formula>"DECREASE"</formula>
    </cfRule>
    <cfRule type="cellIs" dxfId="299" priority="14" operator="equal">
      <formula>"INCREASE"</formula>
    </cfRule>
  </conditionalFormatting>
  <conditionalFormatting sqref="C23:V23">
    <cfRule type="cellIs" dxfId="298" priority="12" operator="equal">
      <formula>0</formula>
    </cfRule>
  </conditionalFormatting>
  <conditionalFormatting sqref="C21:V21">
    <cfRule type="cellIs" dxfId="297" priority="8" operator="equal">
      <formula>0</formula>
    </cfRule>
  </conditionalFormatting>
  <conditionalFormatting sqref="B65:U65">
    <cfRule type="cellIs" dxfId="296" priority="6" operator="equal">
      <formula>"UNDER"</formula>
    </cfRule>
    <cfRule type="cellIs" dxfId="295" priority="7" operator="equal">
      <formula>"OVER"</formula>
    </cfRule>
  </conditionalFormatting>
  <conditionalFormatting sqref="I3">
    <cfRule type="cellIs" dxfId="294" priority="4" operator="greaterThan">
      <formula>4.1</formula>
    </cfRule>
  </conditionalFormatting>
  <conditionalFormatting sqref="J31:J50">
    <cfRule type="cellIs" dxfId="293" priority="3" operator="greaterThan">
      <formula>$J$51</formula>
    </cfRule>
  </conditionalFormatting>
  <conditionalFormatting sqref="I1">
    <cfRule type="cellIs" dxfId="292" priority="2" operator="lessThan">
      <formula>5</formula>
    </cfRule>
  </conditionalFormatting>
  <conditionalFormatting sqref="I2">
    <cfRule type="cellIs" dxfId="291" priority="1" operator="greaterThan">
      <formula>5000.1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zoomScale="90" zoomScaleNormal="90" workbookViewId="0">
      <selection activeCell="D41" sqref="D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2" t="s">
        <v>41</v>
      </c>
      <c r="B1" s="112"/>
      <c r="C1" s="128" t="str">
        <f>'Field data and Waste 1'!C1:D1</f>
        <v>PAN-012063</v>
      </c>
      <c r="D1" s="129"/>
      <c r="E1" s="37" t="s">
        <v>45</v>
      </c>
      <c r="F1" s="46">
        <f>'Field data and Waste 1'!F1</f>
        <v>43.3</v>
      </c>
      <c r="G1" s="124" t="s">
        <v>43</v>
      </c>
      <c r="H1" s="125"/>
      <c r="I1" s="103">
        <v>7.14</v>
      </c>
      <c r="AB1" s="26"/>
      <c r="AC1" s="26"/>
      <c r="AD1" s="43" t="s">
        <v>124</v>
      </c>
      <c r="AE1" s="25"/>
      <c r="AF1" s="25"/>
      <c r="AG1" s="26"/>
      <c r="AH1" s="26"/>
      <c r="AI1" s="47" t="s">
        <v>79</v>
      </c>
      <c r="AJ1" s="48" t="s">
        <v>91</v>
      </c>
      <c r="AK1" s="49" t="s">
        <v>92</v>
      </c>
      <c r="AL1" s="50" t="s">
        <v>123</v>
      </c>
      <c r="AM1" s="50" t="s">
        <v>129</v>
      </c>
      <c r="AN1" s="50" t="s">
        <v>109</v>
      </c>
    </row>
    <row r="2" spans="1:41" x14ac:dyDescent="0.2">
      <c r="A2" s="112" t="s">
        <v>84</v>
      </c>
      <c r="B2" s="112"/>
      <c r="C2" s="130" t="str">
        <f>'Field data and Waste 1'!C2:D2</f>
        <v>EPR-KP3594VE</v>
      </c>
      <c r="D2" s="131"/>
      <c r="E2" s="37" t="s">
        <v>106</v>
      </c>
      <c r="F2" s="103" t="s">
        <v>164</v>
      </c>
      <c r="G2" s="126" t="s">
        <v>107</v>
      </c>
      <c r="H2" s="127"/>
      <c r="I2" s="103">
        <v>395</v>
      </c>
      <c r="AB2" s="43" t="s">
        <v>56</v>
      </c>
      <c r="AC2" s="25"/>
      <c r="AD2" s="43" t="s">
        <v>70</v>
      </c>
      <c r="AE2" s="25"/>
      <c r="AF2" s="25"/>
      <c r="AG2" s="51" t="s">
        <v>76</v>
      </c>
      <c r="AH2" s="26"/>
      <c r="AI2" s="52" t="s">
        <v>124</v>
      </c>
      <c r="AJ2" s="53">
        <v>0</v>
      </c>
      <c r="AK2" s="54">
        <v>0</v>
      </c>
      <c r="AL2" s="18">
        <v>0</v>
      </c>
      <c r="AM2" s="19">
        <v>0</v>
      </c>
      <c r="AN2" s="19">
        <v>0</v>
      </c>
    </row>
    <row r="3" spans="1:41" x14ac:dyDescent="0.2">
      <c r="A3" s="113" t="s">
        <v>42</v>
      </c>
      <c r="B3" s="114"/>
      <c r="C3" s="130" t="str">
        <f>'Field data and Waste 1'!C3:D3</f>
        <v>Trade Effluent Services Ltd</v>
      </c>
      <c r="D3" s="131"/>
      <c r="E3" s="37" t="s">
        <v>105</v>
      </c>
      <c r="F3" s="45" t="s">
        <v>78</v>
      </c>
      <c r="G3" s="124" t="s">
        <v>108</v>
      </c>
      <c r="H3" s="125"/>
      <c r="I3" s="35"/>
      <c r="AB3" s="43" t="s">
        <v>57</v>
      </c>
      <c r="AC3" s="25"/>
      <c r="AD3" s="43" t="s">
        <v>71</v>
      </c>
      <c r="AE3" s="25"/>
      <c r="AF3" s="25"/>
      <c r="AG3" s="51" t="s">
        <v>77</v>
      </c>
      <c r="AH3" s="26"/>
      <c r="AI3" s="55" t="s">
        <v>111</v>
      </c>
      <c r="AJ3" s="56">
        <v>1.7</v>
      </c>
      <c r="AK3" s="57">
        <v>6</v>
      </c>
      <c r="AL3" s="58">
        <v>1</v>
      </c>
      <c r="AM3" s="19">
        <v>6.2</v>
      </c>
      <c r="AN3" s="19" t="s">
        <v>110</v>
      </c>
    </row>
    <row r="4" spans="1:41" x14ac:dyDescent="0.2">
      <c r="A4" s="112" t="s">
        <v>0</v>
      </c>
      <c r="B4" s="112"/>
      <c r="C4" s="128" t="str">
        <f>'Field data and Waste 1'!C4:D4</f>
        <v>Brookhouse Farm, Hanmer, Whitchurch, SY13 3EG</v>
      </c>
      <c r="D4" s="129"/>
      <c r="E4" s="38" t="s">
        <v>1</v>
      </c>
      <c r="F4" s="103" t="s">
        <v>165</v>
      </c>
      <c r="G4" s="124"/>
      <c r="H4" s="125"/>
      <c r="I4" s="46"/>
      <c r="AB4" s="43" t="s">
        <v>52</v>
      </c>
      <c r="AC4" s="25"/>
      <c r="AD4" s="59" t="s">
        <v>72</v>
      </c>
      <c r="AE4" s="25"/>
      <c r="AF4" s="25"/>
      <c r="AG4" s="51" t="s">
        <v>78</v>
      </c>
      <c r="AH4" s="26"/>
      <c r="AI4" s="60" t="s">
        <v>122</v>
      </c>
      <c r="AJ4" s="61">
        <v>7</v>
      </c>
      <c r="AK4" s="62">
        <v>10.5</v>
      </c>
      <c r="AL4" s="19">
        <v>2</v>
      </c>
      <c r="AM4" s="19">
        <v>6.7</v>
      </c>
      <c r="AN4" s="19" t="s">
        <v>135</v>
      </c>
    </row>
    <row r="5" spans="1:41" x14ac:dyDescent="0.2">
      <c r="A5" s="112" t="s">
        <v>47</v>
      </c>
      <c r="B5" s="112"/>
      <c r="C5" s="128" t="str">
        <f>'Field data and Waste 1'!C5:D5</f>
        <v>Sion Sleep</v>
      </c>
      <c r="D5" s="129"/>
      <c r="E5" s="37"/>
      <c r="F5" s="46"/>
      <c r="G5" s="124"/>
      <c r="H5" s="125"/>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7" t="s">
        <v>63</v>
      </c>
      <c r="B7" s="10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2" t="s">
        <v>2</v>
      </c>
      <c r="B8" s="112"/>
      <c r="C8" s="67">
        <f>'Field data and Waste 1'!C8</f>
        <v>40</v>
      </c>
      <c r="D8" s="67">
        <f>'Field data and Waste 1'!D8</f>
        <v>46</v>
      </c>
      <c r="E8" s="67">
        <f>'Field data and Waste 1'!E8</f>
        <v>43</v>
      </c>
      <c r="F8" s="67">
        <f>'Field data and Waste 1'!F8</f>
        <v>23</v>
      </c>
      <c r="G8" s="67">
        <f>'Field data and Waste 1'!G8</f>
        <v>21</v>
      </c>
      <c r="H8" s="67">
        <f>'Field data and Waste 1'!H8</f>
        <v>0</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2" t="s">
        <v>3</v>
      </c>
      <c r="B9" s="112"/>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2" t="s">
        <v>4</v>
      </c>
      <c r="B10" s="112"/>
      <c r="C10" s="67">
        <f>'Field data and Waste 1'!C10</f>
        <v>6.7</v>
      </c>
      <c r="D10" s="67">
        <f>'Field data and Waste 1'!D10</f>
        <v>6.5</v>
      </c>
      <c r="E10" s="67">
        <f>'Field data and Waste 1'!E10</f>
        <v>5.8</v>
      </c>
      <c r="F10" s="67">
        <f>'Field data and Waste 1'!F10</f>
        <v>6.3</v>
      </c>
      <c r="G10" s="67">
        <f>'Field data and Waste 1'!G10</f>
        <v>6.3</v>
      </c>
      <c r="H10" s="67">
        <f>'Field data and Waste 1'!H10</f>
        <v>0</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2" t="s">
        <v>5</v>
      </c>
      <c r="B11" s="112"/>
      <c r="C11" s="67">
        <f>'Field data and Waste 1'!C11</f>
        <v>3</v>
      </c>
      <c r="D11" s="67">
        <f>'Field data and Waste 1'!D11</f>
        <v>3</v>
      </c>
      <c r="E11" s="67">
        <f>'Field data and Waste 1'!E11</f>
        <v>2</v>
      </c>
      <c r="F11" s="67">
        <f>'Field data and Waste 1'!F11</f>
        <v>4</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2" t="s">
        <v>6</v>
      </c>
      <c r="B12" s="112"/>
      <c r="C12" s="67">
        <f>'Field data and Waste 1'!C12</f>
        <v>2</v>
      </c>
      <c r="D12" s="67">
        <f>'Field data and Waste 1'!D12</f>
        <v>0</v>
      </c>
      <c r="E12" s="67">
        <f>'Field data and Waste 1'!E12</f>
        <v>1</v>
      </c>
      <c r="F12" s="67">
        <f>'Field data and Waste 1'!F12</f>
        <v>2</v>
      </c>
      <c r="G12" s="67">
        <f>'Field data and Waste 1'!G12</f>
        <v>1</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2" t="s">
        <v>7</v>
      </c>
      <c r="B13" s="112"/>
      <c r="C13" s="67">
        <f>'Field data and Waste 1'!C13</f>
        <v>3</v>
      </c>
      <c r="D13" s="67">
        <f>'Field data and Waste 1'!D13</f>
        <v>3</v>
      </c>
      <c r="E13" s="67">
        <f>'Field data and Waste 1'!E13</f>
        <v>3</v>
      </c>
      <c r="F13" s="67">
        <f>'Field data and Waste 1'!F13</f>
        <v>3</v>
      </c>
      <c r="G13" s="67">
        <f>'Field data and Waste 1'!G13</f>
        <v>3</v>
      </c>
      <c r="H13" s="67">
        <f>'Field data and Waste 1'!H13</f>
        <v>0</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6" t="s">
        <v>8</v>
      </c>
      <c r="B14" s="116"/>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f>'Field data and Waste 1'!H14</f>
        <v>0</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5" t="s">
        <v>9</v>
      </c>
      <c r="B15" s="115"/>
      <c r="C15" s="67">
        <f>'Field data and Waste 1'!C15</f>
        <v>38</v>
      </c>
      <c r="D15" s="67">
        <f>'Field data and Waste 1'!D15</f>
        <v>38</v>
      </c>
      <c r="E15" s="67">
        <f>'Field data and Waste 1'!E15</f>
        <v>38</v>
      </c>
      <c r="F15" s="67">
        <f>'Field data and Waste 1'!F15</f>
        <v>38</v>
      </c>
      <c r="G15" s="67">
        <f>'Field data and Waste 1'!G15</f>
        <v>38</v>
      </c>
      <c r="H15" s="67">
        <f>'Field data and Waste 1'!H15</f>
        <v>0</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7" t="s">
        <v>44</v>
      </c>
      <c r="B16" s="117"/>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f>'Field data and Waste 1'!H16</f>
        <v>0</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4" t="s">
        <v>69</v>
      </c>
      <c r="B17" s="105"/>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t="e">
        <f t="shared" si="0"/>
        <v>#N/A</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6" t="s">
        <v>23</v>
      </c>
      <c r="B18" s="107"/>
      <c r="C18" s="24">
        <f>$D31</f>
        <v>63.397889943999999</v>
      </c>
      <c r="D18" s="24">
        <f>$D32</f>
        <v>63.397889943999999</v>
      </c>
      <c r="E18" s="24">
        <f>$D33</f>
        <v>63.397889943999999</v>
      </c>
      <c r="F18" s="24">
        <f>$D34</f>
        <v>63.397889943999999</v>
      </c>
      <c r="G18" s="24">
        <f>$D35</f>
        <v>63.397889943999999</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6" t="s">
        <v>87</v>
      </c>
      <c r="B19" s="107"/>
      <c r="C19" s="24">
        <f>C18-C17</f>
        <v>-1.2021100559999951</v>
      </c>
      <c r="D19" s="24">
        <f t="shared" ref="D19:V19" si="1">D18-D17</f>
        <v>-1.2021100559999951</v>
      </c>
      <c r="E19" s="24">
        <f t="shared" si="1"/>
        <v>-1.2021100559999951</v>
      </c>
      <c r="F19" s="24">
        <f t="shared" si="1"/>
        <v>-1.2021100559999951</v>
      </c>
      <c r="G19" s="24">
        <f t="shared" si="1"/>
        <v>-1.2021100559999951</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8" t="s">
        <v>88</v>
      </c>
      <c r="B20" s="109"/>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4" t="s">
        <v>85</v>
      </c>
      <c r="B21" s="105"/>
      <c r="C21" s="39">
        <f t="shared" ref="C21:V21" si="2">(VLOOKUP(C$14,$AI2:$AK24,3,FALSE))*C$15</f>
        <v>228</v>
      </c>
      <c r="D21" s="39">
        <f t="shared" si="2"/>
        <v>228</v>
      </c>
      <c r="E21" s="39">
        <f t="shared" si="2"/>
        <v>228</v>
      </c>
      <c r="F21" s="39">
        <f t="shared" si="2"/>
        <v>228</v>
      </c>
      <c r="G21" s="39">
        <f t="shared" si="2"/>
        <v>228</v>
      </c>
      <c r="H21" s="39" t="e">
        <f t="shared" si="2"/>
        <v>#N/A</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6" t="s">
        <v>86</v>
      </c>
      <c r="B22" s="107"/>
      <c r="C22" s="24">
        <f>$E31</f>
        <v>19.949661880000004</v>
      </c>
      <c r="D22" s="24">
        <f>$E32</f>
        <v>19.949661880000004</v>
      </c>
      <c r="E22" s="24">
        <f>$E33</f>
        <v>19.949661880000004</v>
      </c>
      <c r="F22" s="24">
        <f>$E34</f>
        <v>19.949661880000004</v>
      </c>
      <c r="G22" s="24">
        <f>$E35</f>
        <v>19.949661880000004</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6" t="s">
        <v>89</v>
      </c>
      <c r="B23" s="107"/>
      <c r="C23" s="24">
        <f>C22-C21</f>
        <v>-208.05033811999999</v>
      </c>
      <c r="D23" s="24">
        <f t="shared" ref="D23:V23" si="3">D22-D21</f>
        <v>-208.05033811999999</v>
      </c>
      <c r="E23" s="24">
        <f t="shared" si="3"/>
        <v>-208.05033811999999</v>
      </c>
      <c r="F23" s="24">
        <f t="shared" si="3"/>
        <v>-208.05033811999999</v>
      </c>
      <c r="G23" s="24">
        <f t="shared" si="3"/>
        <v>-208.05033811999999</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8" t="s">
        <v>90</v>
      </c>
      <c r="B24" s="109"/>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e">
        <f t="shared" si="4"/>
        <v>#N/A</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57</v>
      </c>
      <c r="G27" s="101" t="s">
        <v>55</v>
      </c>
      <c r="H27" s="101" t="s">
        <v>54</v>
      </c>
      <c r="I27" s="101" t="s">
        <v>54</v>
      </c>
      <c r="J27" s="101" t="s">
        <v>54</v>
      </c>
      <c r="K27" s="101" t="s">
        <v>54</v>
      </c>
      <c r="L27" s="101" t="s">
        <v>54</v>
      </c>
      <c r="M27" s="101" t="s">
        <v>54</v>
      </c>
      <c r="N27" s="101"/>
      <c r="O27" s="101"/>
      <c r="P27" s="101" t="s">
        <v>57</v>
      </c>
      <c r="Q27" s="101" t="s">
        <v>57</v>
      </c>
      <c r="R27" s="101"/>
      <c r="S27" s="101"/>
      <c r="T27" s="101"/>
      <c r="U27" s="101"/>
    </row>
    <row r="28" spans="1:40" s="64" customFormat="1" x14ac:dyDescent="0.25">
      <c r="A28" s="82"/>
      <c r="B28" s="31">
        <v>9.64</v>
      </c>
      <c r="C28" s="23">
        <v>7.62</v>
      </c>
      <c r="D28" s="23">
        <v>0.92600000000000005</v>
      </c>
      <c r="E28" s="23">
        <v>0.55400000000000005</v>
      </c>
      <c r="F28" s="23">
        <v>0.14499999999999999</v>
      </c>
      <c r="G28" s="23">
        <v>36.6</v>
      </c>
      <c r="H28" s="23">
        <v>220</v>
      </c>
      <c r="I28" s="23">
        <v>2.67</v>
      </c>
      <c r="J28" s="23">
        <v>0.1</v>
      </c>
      <c r="K28" s="30">
        <v>0.1</v>
      </c>
      <c r="L28" s="23">
        <v>15.9</v>
      </c>
      <c r="M28" s="23">
        <v>45.2</v>
      </c>
      <c r="N28" s="23"/>
      <c r="O28" s="23"/>
      <c r="P28" s="23">
        <v>0.59699999999999998</v>
      </c>
      <c r="Q28" s="23">
        <v>1.34</v>
      </c>
      <c r="R28" s="23"/>
      <c r="S28" s="23"/>
      <c r="T28" s="23"/>
      <c r="U28" s="23"/>
    </row>
    <row r="29" spans="1:40" s="15" customFormat="1" ht="27" x14ac:dyDescent="0.25">
      <c r="A29" s="110"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1"/>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40</v>
      </c>
      <c r="B31" s="23">
        <v>31</v>
      </c>
      <c r="C31" s="2">
        <f>IF(C$27="%w/w SAR",((C$28*10)*$B31),IF(C$27="%w/w DM",(((C$28*10)*($B$28/100))*$B31),IF(C$27="kg/t SAR",(C$28*$B31),IF(C$27="kg/t DM",((C$28*($B$28/100))*$B31),IF(C$27="mg/kg SAR",((C$28*0.001)*$B31),IF(C$27="mg/kg DM",(((C$28*0.001)*($B$28/100))*$B31),0))))))</f>
        <v>227.71608000000003</v>
      </c>
      <c r="D31" s="2">
        <f>(IF(D$27="%w/w SAR",((D$28*10)*$B31),IF(D$27="%w/w DM",(((D$28*10)*($B$28/100))*$B31),IF(D$27="kg/t SAR",(D$28*$B31),IF(D$27="kg/t DM",((D$28*($B$28/100))*$B31),IF(D$27="mg/kg SAR",((D$28*0.001)*$B31),IF(D$27="mg/kg DM",(((D$28*0.001)*($B$28/100))*$B31),"0")))))))*2.291</f>
        <v>63.397889943999999</v>
      </c>
      <c r="E31" s="2">
        <f>(IF(E$27="%w/w SAR",((E$28*10)*$B31),IF(E$27="%w/w DM",(((E$28*10)*($B$28/100))*$B31),IF(E$27="kg/t SAR",(E$28*$B31),IF(E$27="kg/t DM",((E$28*($B$28/100))*$B31),IF(E$27="mg/kg SAR",((E$28*0.001)*$B31),IF(E$27="mg/kg DM",(((E$28*0.001)*($B$28/100))*$B31),"0")))))))*1.205</f>
        <v>19.949661880000004</v>
      </c>
      <c r="F31" s="2">
        <f>(IF(F$27="%w/w SAR",((F$28*10)*$B31),IF(F$27="%w/w DM",(((F$28*10)*($B$28/100))*$B31),IF(F$27="kg/t SAR",(F$28*$B31),IF(F$27="kg/t DM",((F$28*($B$28/100))*$B31),IF(F$27="mg/kg SAR",((F$28*0.001)*$B31),IF(F$27="mg/kg DM",(((F$28*0.001)*($B$28/100))*$B31),"0")))))))*1.658</f>
        <v>7.1844124399999991</v>
      </c>
      <c r="G31" s="2">
        <f t="shared" ref="G31:P46" si="5">IF(G$27="%w/w SAR",((G$28*10)*$B31),IF(G$27="%w/w DM",(((G$28*10)*($B$28/100))*$B31),IF(G$27="kg/t SAR",(G$28*$B31),IF(G$27="kg/t DM",((G$28*($B$28/100))*$B31),IF(G$27="mg/kg SAR",((G$28*0.001)*$B31),IF(G$27="mg/kg DM",(((G$28*0.001)*($B$28/100))*$B31),0))))))</f>
        <v>0.10937544</v>
      </c>
      <c r="H31" s="2">
        <f t="shared" si="5"/>
        <v>6.82</v>
      </c>
      <c r="I31" s="2">
        <f t="shared" si="5"/>
        <v>8.2769999999999996E-2</v>
      </c>
      <c r="J31" s="2">
        <f t="shared" si="5"/>
        <v>3.1000000000000003E-3</v>
      </c>
      <c r="K31" s="2">
        <f t="shared" si="5"/>
        <v>3.1000000000000003E-3</v>
      </c>
      <c r="L31" s="2">
        <f t="shared" si="5"/>
        <v>0.4929</v>
      </c>
      <c r="M31" s="2">
        <f t="shared" si="5"/>
        <v>1.4012000000000002</v>
      </c>
      <c r="N31" s="2">
        <f t="shared" si="5"/>
        <v>0</v>
      </c>
      <c r="O31" s="2">
        <f t="shared" si="5"/>
        <v>0</v>
      </c>
      <c r="P31" s="2">
        <f t="shared" si="5"/>
        <v>17.840748000000001</v>
      </c>
      <c r="Q31" s="2">
        <f>(IF(Q$27="%w/w SAR",((Q$28*10)*$B31),IF(Q$27="%w/w DM",(((Q$28*10)*($B$28/100))*$B31),IF(Q$27="kg/t SAR",(Q$28*$B31),IF(Q$27="kg/t DM",((Q$28*($B$28/100))*$B31),IF(Q$27="mg/kg SAR",((Q$28*0.001)*$B31),IF(Q$27="mg/kg DM",(((Q$28*0.001)*($B$28/100))*$B31),0)))))))*2.5</f>
        <v>100.1114</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46</v>
      </c>
      <c r="B32" s="23">
        <v>31</v>
      </c>
      <c r="C32" s="2">
        <f t="shared" ref="C32:C50" si="6">IF(C$27="%w/w SAR",((C$28*10)*$B32),IF(C$27="%w/w DM",(((C$28*10)*($B$28/100))*$B32),IF(C$27="kg/t SAR",(C$28*$B32),IF(C$27="kg/t DM",((C$28*($B$28/100))*$B32),IF(C$27="mg/kg SAR",((C$28*0.001)*$B32),IF(C$27="mg/kg DM",(((C$28*0.001)*($B$28/100))*$B32),0))))))</f>
        <v>227.71608000000003</v>
      </c>
      <c r="D32" s="2">
        <f t="shared" ref="D32:D50" si="7">(IF(D$27="%w/w SAR",((D$28*10)*$B32),IF(D$27="%w/w DM",(((D$28*10)*($B$28/100))*$B32),IF(D$27="kg/t SAR",(D$28*$B32),IF(D$27="kg/t DM",((D$28*($B$28/100))*$B32),IF(D$27="mg/kg SAR",((D$28*0.001)*$B32),IF(D$27="mg/kg DM",(((D$28*0.001)*($B$28/100))*$B32),"0")))))))*2.291</f>
        <v>63.397889943999999</v>
      </c>
      <c r="E32" s="2">
        <f t="shared" ref="E32:E50" si="8">(IF(E$27="%w/w SAR",((E$28*10)*$B32),IF(E$27="%w/w DM",(((E$28*10)*($B$28/100))*$B32),IF(E$27="kg/t SAR",(E$28*$B32),IF(E$27="kg/t DM",((E$28*($B$28/100))*$B32),IF(E$27="mg/kg SAR",((E$28*0.001)*$B32),IF(E$27="mg/kg DM",(((E$28*0.001)*($B$28/100))*$B32),"0")))))))*1.205</f>
        <v>19.949661880000004</v>
      </c>
      <c r="F32" s="2">
        <f t="shared" ref="F32:F50" si="9">(IF(F$27="%w/w SAR",((F$28*10)*$B32),IF(F$27="%w/w DM",(((F$28*10)*($B$28/100))*$B32),IF(F$27="kg/t SAR",(F$28*$B32),IF(F$27="kg/t DM",((F$28*($B$28/100))*$B32),IF(F$27="mg/kg SAR",((F$28*0.001)*$B32),IF(F$27="mg/kg DM",(((F$28*0.001)*($B$28/100))*$B32),"0")))))))*1.658</f>
        <v>7.1844124399999991</v>
      </c>
      <c r="G32" s="2">
        <f t="shared" si="5"/>
        <v>0.10937544</v>
      </c>
      <c r="H32" s="2">
        <f t="shared" si="5"/>
        <v>6.82</v>
      </c>
      <c r="I32" s="2">
        <f t="shared" si="5"/>
        <v>8.2769999999999996E-2</v>
      </c>
      <c r="J32" s="2">
        <f t="shared" si="5"/>
        <v>3.1000000000000003E-3</v>
      </c>
      <c r="K32" s="2">
        <f t="shared" si="5"/>
        <v>3.1000000000000003E-3</v>
      </c>
      <c r="L32" s="2">
        <f t="shared" si="5"/>
        <v>0.4929</v>
      </c>
      <c r="M32" s="2">
        <f t="shared" si="5"/>
        <v>1.4012000000000002</v>
      </c>
      <c r="N32" s="2">
        <f t="shared" si="5"/>
        <v>0</v>
      </c>
      <c r="O32" s="2">
        <f t="shared" si="5"/>
        <v>0</v>
      </c>
      <c r="P32" s="2">
        <f t="shared" si="5"/>
        <v>17.840748000000001</v>
      </c>
      <c r="Q32" s="2">
        <f t="shared" ref="Q32:Q50" si="10">(IF(Q$27="%w/w SAR",((Q$28*10)*$B32),IF(Q$27="%w/w DM",(((Q$28*10)*($B$28/100))*$B32),IF(Q$27="kg/t SAR",(Q$28*$B32),IF(Q$27="kg/t DM",((Q$28*($B$28/100))*$B32),IF(Q$27="mg/kg SAR",((Q$28*0.001)*$B32),IF(Q$27="mg/kg DM",(((Q$28*0.001)*($B$28/100))*$B32),0)))))))*2.5</f>
        <v>100.1114</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43</v>
      </c>
      <c r="B33" s="23">
        <v>31</v>
      </c>
      <c r="C33" s="2">
        <f t="shared" si="6"/>
        <v>227.71608000000003</v>
      </c>
      <c r="D33" s="2">
        <f t="shared" si="7"/>
        <v>63.397889943999999</v>
      </c>
      <c r="E33" s="2">
        <f t="shared" si="8"/>
        <v>19.949661880000004</v>
      </c>
      <c r="F33" s="2">
        <f t="shared" si="9"/>
        <v>7.1844124399999991</v>
      </c>
      <c r="G33" s="2">
        <f t="shared" si="5"/>
        <v>0.10937544</v>
      </c>
      <c r="H33" s="2">
        <f t="shared" si="5"/>
        <v>6.82</v>
      </c>
      <c r="I33" s="2">
        <f t="shared" si="5"/>
        <v>8.2769999999999996E-2</v>
      </c>
      <c r="J33" s="2">
        <f t="shared" si="5"/>
        <v>3.1000000000000003E-3</v>
      </c>
      <c r="K33" s="2">
        <f t="shared" si="5"/>
        <v>3.1000000000000003E-3</v>
      </c>
      <c r="L33" s="2">
        <f t="shared" si="5"/>
        <v>0.4929</v>
      </c>
      <c r="M33" s="2">
        <f t="shared" si="5"/>
        <v>1.4012000000000002</v>
      </c>
      <c r="N33" s="2">
        <f t="shared" si="5"/>
        <v>0</v>
      </c>
      <c r="O33" s="2">
        <f t="shared" si="5"/>
        <v>0</v>
      </c>
      <c r="P33" s="2">
        <f t="shared" si="5"/>
        <v>17.840748000000001</v>
      </c>
      <c r="Q33" s="2">
        <f t="shared" si="10"/>
        <v>100.1114</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23</v>
      </c>
      <c r="B34" s="23">
        <v>31</v>
      </c>
      <c r="C34" s="2">
        <f t="shared" si="6"/>
        <v>227.71608000000003</v>
      </c>
      <c r="D34" s="2">
        <f t="shared" si="7"/>
        <v>63.397889943999999</v>
      </c>
      <c r="E34" s="2">
        <f t="shared" si="8"/>
        <v>19.949661880000004</v>
      </c>
      <c r="F34" s="2">
        <f t="shared" si="9"/>
        <v>7.1844124399999991</v>
      </c>
      <c r="G34" s="2">
        <f t="shared" si="5"/>
        <v>0.10937544</v>
      </c>
      <c r="H34" s="2">
        <f t="shared" si="5"/>
        <v>6.82</v>
      </c>
      <c r="I34" s="2">
        <f t="shared" si="5"/>
        <v>8.2769999999999996E-2</v>
      </c>
      <c r="J34" s="2">
        <f t="shared" si="5"/>
        <v>3.1000000000000003E-3</v>
      </c>
      <c r="K34" s="2">
        <f t="shared" si="5"/>
        <v>3.1000000000000003E-3</v>
      </c>
      <c r="L34" s="2">
        <f t="shared" si="5"/>
        <v>0.4929</v>
      </c>
      <c r="M34" s="2">
        <f t="shared" si="5"/>
        <v>1.4012000000000002</v>
      </c>
      <c r="N34" s="2">
        <f t="shared" si="5"/>
        <v>0</v>
      </c>
      <c r="O34" s="2">
        <f t="shared" si="5"/>
        <v>0</v>
      </c>
      <c r="P34" s="2">
        <f t="shared" si="5"/>
        <v>17.840748000000001</v>
      </c>
      <c r="Q34" s="2">
        <f t="shared" si="10"/>
        <v>100.1114</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21</v>
      </c>
      <c r="B35" s="23">
        <v>31</v>
      </c>
      <c r="C35" s="2">
        <f t="shared" si="6"/>
        <v>227.71608000000003</v>
      </c>
      <c r="D35" s="2">
        <f t="shared" si="7"/>
        <v>63.397889943999999</v>
      </c>
      <c r="E35" s="2">
        <f t="shared" si="8"/>
        <v>19.949661880000004</v>
      </c>
      <c r="F35" s="2">
        <f t="shared" si="9"/>
        <v>7.1844124399999991</v>
      </c>
      <c r="G35" s="2">
        <f t="shared" si="5"/>
        <v>0.10937544</v>
      </c>
      <c r="H35" s="2">
        <f t="shared" si="5"/>
        <v>6.82</v>
      </c>
      <c r="I35" s="2">
        <f t="shared" si="5"/>
        <v>8.2769999999999996E-2</v>
      </c>
      <c r="J35" s="2">
        <f t="shared" si="5"/>
        <v>3.1000000000000003E-3</v>
      </c>
      <c r="K35" s="2">
        <f t="shared" si="5"/>
        <v>3.1000000000000003E-3</v>
      </c>
      <c r="L35" s="2">
        <f t="shared" si="5"/>
        <v>0.4929</v>
      </c>
      <c r="M35" s="2">
        <f t="shared" si="5"/>
        <v>1.4012000000000002</v>
      </c>
      <c r="N35" s="2">
        <f t="shared" si="5"/>
        <v>0</v>
      </c>
      <c r="O35" s="2">
        <f t="shared" si="5"/>
        <v>0</v>
      </c>
      <c r="P35" s="2">
        <f t="shared" si="5"/>
        <v>17.840748000000001</v>
      </c>
      <c r="Q35" s="2">
        <f t="shared" si="10"/>
        <v>100.1114</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40</v>
      </c>
      <c r="C57" s="16">
        <f t="shared" ref="C57:U57" si="13">D8</f>
        <v>46</v>
      </c>
      <c r="D57" s="16">
        <f t="shared" si="13"/>
        <v>43</v>
      </c>
      <c r="E57" s="16">
        <f t="shared" si="13"/>
        <v>23</v>
      </c>
      <c r="F57" s="16">
        <f t="shared" si="13"/>
        <v>21</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"&amp;(VLOOKUP(C14,Table24581112[],6,FALSE))</f>
        <v>Medium/Clay I Grass</v>
      </c>
      <c r="C58" s="44" t="str">
        <f>D16&amp;" I "&amp;(VLOOKUP(D14,Table24581112[],6,FALSE))</f>
        <v>Medium/Clay I Grass</v>
      </c>
      <c r="D58" s="21" t="str">
        <f>E16&amp;" I "&amp;(VLOOKUP(E14,Table24581112[],6,FALSE))</f>
        <v>Medium/Clay I Grass</v>
      </c>
      <c r="E58" s="21" t="str">
        <f>F16&amp;" I "&amp;(VLOOKUP(F14,Table24581112[],6,FALSE))</f>
        <v>Medium/Clay I Grass</v>
      </c>
      <c r="F58" s="21" t="str">
        <f>G16&amp;" I "&amp;(VLOOKUP(G14,Table24581112[],6,FALSE))</f>
        <v>Medium/Clay I Grass</v>
      </c>
      <c r="G58" s="21" t="e">
        <f>H16&amp;" I "&amp;(VLOOKUP(H14,Table24581112[],6,FALSE))</f>
        <v>#N/A</v>
      </c>
      <c r="H58" s="21" t="e">
        <f>I16&amp;" I "&amp;(VLOOKUP(I14,Table24581112[],6,FALSE))</f>
        <v>#N/A</v>
      </c>
      <c r="I58" s="21" t="e">
        <f>J16&amp;" I "&amp;(VLOOKUP(J14,Table24581112[],6,FALSE))</f>
        <v>#N/A</v>
      </c>
      <c r="J58" s="21" t="e">
        <f>K16&amp;" I "&amp;(VLOOKUP(K14,Table24581112[],6,FALSE))</f>
        <v>#N/A</v>
      </c>
      <c r="K58" s="21" t="e">
        <f>L16&amp;" I "&amp;(VLOOKUP(L14,Table24581112[],6,FALSE))</f>
        <v>#N/A</v>
      </c>
      <c r="L58" s="21" t="e">
        <f>M16&amp;" I "&amp;(VLOOKUP(M14,Table24581112[],6,FALSE))</f>
        <v>#N/A</v>
      </c>
      <c r="M58" s="21" t="e">
        <f>N16&amp;" I "&amp;(VLOOKUP(N14,Table24581112[],6,FALSE))</f>
        <v>#N/A</v>
      </c>
      <c r="N58" s="21" t="e">
        <f>O16&amp;" I "&amp;(VLOOKUP(O14,Table24581112[],6,FALSE))</f>
        <v>#N/A</v>
      </c>
      <c r="O58" s="21" t="e">
        <f>P16&amp;" I "&amp;(VLOOKUP(P14,Table24581112[],6,FALSE))</f>
        <v>#N/A</v>
      </c>
      <c r="P58" s="21" t="e">
        <f>Q16&amp;" I "&amp;(VLOOKUP(Q14,Table24581112[],6,FALSE))</f>
        <v>#N/A</v>
      </c>
      <c r="Q58" s="21" t="e">
        <f>R16&amp;" I "&amp;(VLOOKUP(R14,Table24581112[],6,FALSE))</f>
        <v>#N/A</v>
      </c>
      <c r="R58" s="21" t="e">
        <f>S16&amp;" I "&amp;(VLOOKUP(S14,Table24581112[],6,FALSE))</f>
        <v>#N/A</v>
      </c>
      <c r="S58" s="21" t="e">
        <f>T16&amp;" I "&amp;(VLOOKUP(T14,Table24581112[],6,FALSE))</f>
        <v>#N/A</v>
      </c>
      <c r="T58" s="21" t="e">
        <f>U16&amp;" I "&amp;(VLOOKUP(U14,Table24581112[],6,FALSE))</f>
        <v>#N/A</v>
      </c>
      <c r="U58" s="21" t="e">
        <f>V16&amp;" I "&amp;(VLOOKUP(V14,Table24581112[],6,FALSE))</f>
        <v>#N/A</v>
      </c>
    </row>
    <row r="59" spans="1:35" s="27" customFormat="1" hidden="1" x14ac:dyDescent="0.2">
      <c r="A59" s="92" t="s">
        <v>130</v>
      </c>
      <c r="B59" s="93">
        <f>VLOOKUP(C$14,Table24581112[],5,FALSE)</f>
        <v>6.2</v>
      </c>
      <c r="C59" s="93">
        <f>VLOOKUP(D$14,Table24581112[],5,FALSE)</f>
        <v>6.2</v>
      </c>
      <c r="D59" s="93">
        <f>VLOOKUP(E$14,Table24581112[],5,FALSE)</f>
        <v>6.2</v>
      </c>
      <c r="E59" s="93">
        <f>VLOOKUP(F$14,Table24581112[],5,FALSE)</f>
        <v>6.2</v>
      </c>
      <c r="F59" s="93">
        <f>VLOOKUP(G$14,Table24581112[],5,FALSE)</f>
        <v>6.2</v>
      </c>
      <c r="G59" s="93" t="e">
        <f>VLOOKUP(H$14,Table24581112[],5,FALSE)</f>
        <v>#N/A</v>
      </c>
      <c r="H59" s="93" t="e">
        <f>VLOOKUP(I$14,Table24581112[],5,FALSE)</f>
        <v>#N/A</v>
      </c>
      <c r="I59" s="93" t="e">
        <f>VLOOKUP(J$14,Table24581112[],5,FALSE)</f>
        <v>#N/A</v>
      </c>
      <c r="J59" s="93" t="e">
        <f>VLOOKUP(K$14,Table24581112[],5,FALSE)</f>
        <v>#N/A</v>
      </c>
      <c r="K59" s="93" t="e">
        <f>VLOOKUP(L$14,Table24581112[],5,FALSE)</f>
        <v>#N/A</v>
      </c>
      <c r="L59" s="93" t="e">
        <f>VLOOKUP(M$14,Table24581112[],5,FALSE)</f>
        <v>#N/A</v>
      </c>
      <c r="M59" s="93" t="e">
        <f>VLOOKUP(N$14,Table24581112[],5,FALSE)</f>
        <v>#N/A</v>
      </c>
      <c r="N59" s="93" t="e">
        <f>VLOOKUP(O$14,Table24581112[],5,FALSE)</f>
        <v>#N/A</v>
      </c>
      <c r="O59" s="93" t="e">
        <f>VLOOKUP(P$14,Table24581112[],5,FALSE)</f>
        <v>#N/A</v>
      </c>
      <c r="P59" s="93" t="e">
        <f>VLOOKUP(Q$14,Table24581112[],5,FALSE)</f>
        <v>#N/A</v>
      </c>
      <c r="Q59" s="93" t="e">
        <f>VLOOKUP(R$14,Table24581112[],5,FALSE)</f>
        <v>#N/A</v>
      </c>
      <c r="R59" s="93" t="e">
        <f>VLOOKUP(S$14,Table24581112[],5,FALSE)</f>
        <v>#N/A</v>
      </c>
      <c r="S59" s="93" t="e">
        <f>VLOOKUP(T$14,Table24581112[],5,FALSE)</f>
        <v>#N/A</v>
      </c>
      <c r="T59" s="93" t="e">
        <f>VLOOKUP(U$14,Table24581112[],5,FALSE)</f>
        <v>#N/A</v>
      </c>
      <c r="U59" s="93" t="e">
        <f>VLOOKUP(V$14,Table24581112[],5,FALSE)</f>
        <v>#N/A</v>
      </c>
    </row>
    <row r="60" spans="1:35" s="27" customFormat="1" hidden="1" x14ac:dyDescent="0.2">
      <c r="A60" s="92" t="s">
        <v>4</v>
      </c>
      <c r="B60" s="93">
        <f>C10</f>
        <v>6.7</v>
      </c>
      <c r="C60" s="93">
        <f t="shared" ref="C60:U60" si="14">D10</f>
        <v>6.5</v>
      </c>
      <c r="D60" s="93">
        <f t="shared" si="14"/>
        <v>5.8</v>
      </c>
      <c r="E60" s="93">
        <f t="shared" si="14"/>
        <v>6.3</v>
      </c>
      <c r="F60" s="93">
        <f t="shared" si="14"/>
        <v>6.3</v>
      </c>
      <c r="G60" s="93">
        <f t="shared" si="14"/>
        <v>0</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t="e">
        <f t="shared" si="15"/>
        <v>#N/A</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31</v>
      </c>
      <c r="C62" s="94">
        <f>B32</f>
        <v>31</v>
      </c>
      <c r="D62" s="94">
        <f>B33</f>
        <v>31</v>
      </c>
      <c r="E62" s="94">
        <f>B34</f>
        <v>31</v>
      </c>
      <c r="F62" s="94">
        <f>B35</f>
        <v>31</v>
      </c>
      <c r="G62" s="94">
        <f>B36</f>
        <v>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v>
      </c>
      <c r="C64" s="94">
        <f t="shared" ref="C64:U64" si="17">(C59-C60)*C61</f>
        <v>-1.7999999999999989</v>
      </c>
      <c r="D64" s="94">
        <f t="shared" si="17"/>
        <v>2.4000000000000021</v>
      </c>
      <c r="E64" s="94">
        <f t="shared" si="17"/>
        <v>-0.59999999999999787</v>
      </c>
      <c r="F64" s="94">
        <f t="shared" si="17"/>
        <v>-0.59999999999999787</v>
      </c>
      <c r="G64" s="94" t="e">
        <f t="shared" si="17"/>
        <v>#N/A</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UNDER</v>
      </c>
      <c r="E65" s="95" t="str">
        <f t="shared" si="18"/>
        <v>OVER</v>
      </c>
      <c r="F65" s="95" t="str">
        <f t="shared" si="18"/>
        <v>OVER</v>
      </c>
      <c r="G65" s="95" t="e">
        <f t="shared" si="18"/>
        <v>#N/A</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279" priority="32" operator="equal">
      <formula>"DECREASE"</formula>
    </cfRule>
    <cfRule type="cellIs" dxfId="278" priority="33" operator="equal">
      <formula>"INCREASE"</formula>
    </cfRule>
  </conditionalFormatting>
  <conditionalFormatting sqref="B62:U65 B31:B50">
    <cfRule type="cellIs" dxfId="277" priority="31" operator="greaterThan">
      <formula>$B$51</formula>
    </cfRule>
  </conditionalFormatting>
  <conditionalFormatting sqref="C31:C50">
    <cfRule type="cellIs" dxfId="276" priority="30" operator="greaterThan">
      <formula>$C$51</formula>
    </cfRule>
  </conditionalFormatting>
  <conditionalFormatting sqref="C18:V18">
    <cfRule type="cellIs" dxfId="275" priority="29" operator="equal">
      <formula>0</formula>
    </cfRule>
  </conditionalFormatting>
  <conditionalFormatting sqref="C17:V17">
    <cfRule type="cellIs" dxfId="274" priority="28" operator="equal">
      <formula>0</formula>
    </cfRule>
  </conditionalFormatting>
  <conditionalFormatting sqref="C19:V19">
    <cfRule type="cellIs" dxfId="273" priority="27" operator="equal">
      <formula>0</formula>
    </cfRule>
  </conditionalFormatting>
  <conditionalFormatting sqref="G31:G50">
    <cfRule type="cellIs" dxfId="272" priority="26" operator="greaterThan">
      <formula>$G$51</formula>
    </cfRule>
  </conditionalFormatting>
  <conditionalFormatting sqref="H31:H50">
    <cfRule type="cellIs" dxfId="271" priority="25" operator="greaterThan">
      <formula>$H$51</formula>
    </cfRule>
  </conditionalFormatting>
  <conditionalFormatting sqref="I31:I50">
    <cfRule type="cellIs" dxfId="270" priority="24" operator="greaterThan">
      <formula>$I$51</formula>
    </cfRule>
  </conditionalFormatting>
  <conditionalFormatting sqref="K31:K50">
    <cfRule type="cellIs" dxfId="269" priority="23" operator="greaterThan">
      <formula>$K$51</formula>
    </cfRule>
  </conditionalFormatting>
  <conditionalFormatting sqref="L31:L50">
    <cfRule type="cellIs" dxfId="268" priority="22" operator="greaterThan">
      <formula>$L$51</formula>
    </cfRule>
  </conditionalFormatting>
  <conditionalFormatting sqref="M31:M50">
    <cfRule type="cellIs" dxfId="267" priority="21" operator="greaterThan">
      <formula>$M$51</formula>
    </cfRule>
  </conditionalFormatting>
  <conditionalFormatting sqref="P31:P50">
    <cfRule type="cellIs" dxfId="266" priority="20" operator="greaterThan">
      <formula>$P$51</formula>
    </cfRule>
  </conditionalFormatting>
  <conditionalFormatting sqref="R31:R50">
    <cfRule type="cellIs" dxfId="265" priority="19" operator="greaterThan">
      <formula>$R$51</formula>
    </cfRule>
  </conditionalFormatting>
  <conditionalFormatting sqref="S31:S50">
    <cfRule type="cellIs" dxfId="264" priority="18" operator="greaterThan">
      <formula>$S$51</formula>
    </cfRule>
  </conditionalFormatting>
  <conditionalFormatting sqref="T31:T50">
    <cfRule type="cellIs" dxfId="263" priority="17" operator="greaterThan">
      <formula>$T$51</formula>
    </cfRule>
  </conditionalFormatting>
  <conditionalFormatting sqref="U31:U50">
    <cfRule type="cellIs" dxfId="262" priority="16" operator="greaterThan">
      <formula>$U$51</formula>
    </cfRule>
  </conditionalFormatting>
  <conditionalFormatting sqref="C22:V22">
    <cfRule type="cellIs" dxfId="261" priority="15" operator="equal">
      <formula>0</formula>
    </cfRule>
  </conditionalFormatting>
  <conditionalFormatting sqref="C24:V24">
    <cfRule type="cellIs" dxfId="260" priority="13" operator="equal">
      <formula>"DECREASE"</formula>
    </cfRule>
    <cfRule type="cellIs" dxfId="259" priority="14" operator="equal">
      <formula>"INCREASE"</formula>
    </cfRule>
  </conditionalFormatting>
  <conditionalFormatting sqref="C23:V23">
    <cfRule type="cellIs" dxfId="258" priority="12" operator="equal">
      <formula>0</formula>
    </cfRule>
  </conditionalFormatting>
  <conditionalFormatting sqref="C21:V21">
    <cfRule type="cellIs" dxfId="257" priority="8" operator="equal">
      <formula>0</formula>
    </cfRule>
  </conditionalFormatting>
  <conditionalFormatting sqref="B65:U65">
    <cfRule type="cellIs" dxfId="256" priority="6" operator="equal">
      <formula>"UNDER"</formula>
    </cfRule>
    <cfRule type="cellIs" dxfId="255" priority="7" operator="equal">
      <formula>"OVER"</formula>
    </cfRule>
  </conditionalFormatting>
  <conditionalFormatting sqref="I3">
    <cfRule type="cellIs" dxfId="254" priority="4" operator="greaterThan">
      <formula>4.1</formula>
    </cfRule>
  </conditionalFormatting>
  <conditionalFormatting sqref="J31:J50">
    <cfRule type="cellIs" dxfId="253" priority="3" operator="greaterThan">
      <formula>$J$51</formula>
    </cfRule>
  </conditionalFormatting>
  <conditionalFormatting sqref="I1">
    <cfRule type="cellIs" dxfId="252" priority="2" operator="lessThan">
      <formula>5</formula>
    </cfRule>
  </conditionalFormatting>
  <conditionalFormatting sqref="I2">
    <cfRule type="cellIs" dxfId="251" priority="1" operator="greaterThan">
      <formula>5000.1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zoomScale="90" zoomScaleNormal="90" workbookViewId="0">
      <selection activeCell="D41" sqref="D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x14ac:dyDescent="0.2">
      <c r="A1" s="112" t="s">
        <v>41</v>
      </c>
      <c r="B1" s="112"/>
      <c r="C1" s="128" t="str">
        <f>'Field data and Waste 1'!C1:D1</f>
        <v>PAN-012063</v>
      </c>
      <c r="D1" s="129"/>
      <c r="E1" s="37" t="s">
        <v>45</v>
      </c>
      <c r="F1" s="46">
        <f>'Field data and Waste 1'!F1</f>
        <v>43.3</v>
      </c>
      <c r="G1" s="124" t="s">
        <v>43</v>
      </c>
      <c r="H1" s="125"/>
      <c r="I1" s="103">
        <v>6.91</v>
      </c>
      <c r="AB1" s="26"/>
      <c r="AC1" s="26"/>
      <c r="AD1" s="43" t="s">
        <v>124</v>
      </c>
      <c r="AE1" s="25"/>
      <c r="AF1" s="25"/>
      <c r="AG1" s="26"/>
      <c r="AH1" s="26"/>
      <c r="AI1" s="47" t="s">
        <v>79</v>
      </c>
      <c r="AJ1" s="48" t="s">
        <v>91</v>
      </c>
      <c r="AK1" s="49" t="s">
        <v>92</v>
      </c>
      <c r="AL1" s="50" t="s">
        <v>123</v>
      </c>
      <c r="AM1" s="50" t="s">
        <v>129</v>
      </c>
      <c r="AN1" s="50" t="s">
        <v>109</v>
      </c>
    </row>
    <row r="2" spans="1:41" x14ac:dyDescent="0.2">
      <c r="A2" s="112" t="s">
        <v>84</v>
      </c>
      <c r="B2" s="112"/>
      <c r="C2" s="130" t="str">
        <f>'Field data and Waste 1'!C2:D2</f>
        <v>EPR-KP3594VE</v>
      </c>
      <c r="D2" s="131"/>
      <c r="E2" s="37" t="s">
        <v>106</v>
      </c>
      <c r="F2" s="103" t="s">
        <v>166</v>
      </c>
      <c r="G2" s="126" t="s">
        <v>107</v>
      </c>
      <c r="H2" s="127"/>
      <c r="I2" s="103">
        <v>1341</v>
      </c>
      <c r="AB2" s="43" t="s">
        <v>56</v>
      </c>
      <c r="AC2" s="25"/>
      <c r="AD2" s="43" t="s">
        <v>70</v>
      </c>
      <c r="AE2" s="25"/>
      <c r="AF2" s="25"/>
      <c r="AG2" s="51" t="s">
        <v>76</v>
      </c>
      <c r="AH2" s="26"/>
      <c r="AI2" s="52" t="s">
        <v>124</v>
      </c>
      <c r="AJ2" s="53">
        <v>0</v>
      </c>
      <c r="AK2" s="54">
        <v>0</v>
      </c>
      <c r="AL2" s="18">
        <v>0</v>
      </c>
      <c r="AM2" s="19">
        <v>0</v>
      </c>
      <c r="AN2" s="19">
        <v>0</v>
      </c>
    </row>
    <row r="3" spans="1:41" x14ac:dyDescent="0.2">
      <c r="A3" s="113" t="s">
        <v>42</v>
      </c>
      <c r="B3" s="114"/>
      <c r="C3" s="130" t="str">
        <f>'Field data and Waste 1'!C3:D3</f>
        <v>Trade Effluent Services Ltd</v>
      </c>
      <c r="D3" s="131"/>
      <c r="E3" s="37" t="s">
        <v>105</v>
      </c>
      <c r="F3" s="45" t="s">
        <v>78</v>
      </c>
      <c r="G3" s="124" t="s">
        <v>108</v>
      </c>
      <c r="H3" s="125"/>
      <c r="I3" s="35"/>
      <c r="AB3" s="43" t="s">
        <v>57</v>
      </c>
      <c r="AC3" s="25"/>
      <c r="AD3" s="43" t="s">
        <v>71</v>
      </c>
      <c r="AE3" s="25"/>
      <c r="AF3" s="25"/>
      <c r="AG3" s="51" t="s">
        <v>77</v>
      </c>
      <c r="AH3" s="26"/>
      <c r="AI3" s="55" t="s">
        <v>111</v>
      </c>
      <c r="AJ3" s="56">
        <v>1.7</v>
      </c>
      <c r="AK3" s="57">
        <v>6</v>
      </c>
      <c r="AL3" s="58">
        <v>1</v>
      </c>
      <c r="AM3" s="19">
        <v>6.2</v>
      </c>
      <c r="AN3" s="19" t="s">
        <v>110</v>
      </c>
    </row>
    <row r="4" spans="1:41" x14ac:dyDescent="0.2">
      <c r="A4" s="112" t="s">
        <v>0</v>
      </c>
      <c r="B4" s="112"/>
      <c r="C4" s="128" t="str">
        <f>'Field data and Waste 1'!C4:D4</f>
        <v>Brookhouse Farm, Hanmer, Whitchurch, SY13 3EG</v>
      </c>
      <c r="D4" s="129"/>
      <c r="E4" s="38" t="s">
        <v>1</v>
      </c>
      <c r="F4" s="103" t="s">
        <v>167</v>
      </c>
      <c r="G4" s="124"/>
      <c r="H4" s="125"/>
      <c r="I4" s="46"/>
      <c r="AB4" s="43" t="s">
        <v>52</v>
      </c>
      <c r="AC4" s="25"/>
      <c r="AD4" s="59" t="s">
        <v>72</v>
      </c>
      <c r="AE4" s="25"/>
      <c r="AF4" s="25"/>
      <c r="AG4" s="51" t="s">
        <v>78</v>
      </c>
      <c r="AH4" s="26"/>
      <c r="AI4" s="60" t="s">
        <v>122</v>
      </c>
      <c r="AJ4" s="61">
        <v>7</v>
      </c>
      <c r="AK4" s="62">
        <v>10.5</v>
      </c>
      <c r="AL4" s="19">
        <v>2</v>
      </c>
      <c r="AM4" s="19">
        <v>6.7</v>
      </c>
      <c r="AN4" s="19" t="s">
        <v>135</v>
      </c>
    </row>
    <row r="5" spans="1:41" x14ac:dyDescent="0.2">
      <c r="A5" s="112" t="s">
        <v>47</v>
      </c>
      <c r="B5" s="112"/>
      <c r="C5" s="128" t="str">
        <f>'Field data and Waste 1'!C5:D5</f>
        <v>Sion Sleep</v>
      </c>
      <c r="D5" s="129"/>
      <c r="E5" s="37"/>
      <c r="F5" s="46"/>
      <c r="G5" s="124"/>
      <c r="H5" s="125"/>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7" t="s">
        <v>63</v>
      </c>
      <c r="B7" s="10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2" t="s">
        <v>2</v>
      </c>
      <c r="B8" s="112"/>
      <c r="C8" s="67">
        <f>'Field data and Waste 1'!C8</f>
        <v>40</v>
      </c>
      <c r="D8" s="67">
        <f>'Field data and Waste 1'!D8</f>
        <v>46</v>
      </c>
      <c r="E8" s="67">
        <f>'Field data and Waste 1'!E8</f>
        <v>43</v>
      </c>
      <c r="F8" s="67">
        <f>'Field data and Waste 1'!F8</f>
        <v>23</v>
      </c>
      <c r="G8" s="67">
        <f>'Field data and Waste 1'!G8</f>
        <v>21</v>
      </c>
      <c r="H8" s="67">
        <f>'Field data and Waste 1'!H8</f>
        <v>0</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2" t="s">
        <v>3</v>
      </c>
      <c r="B9" s="112"/>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2" t="s">
        <v>4</v>
      </c>
      <c r="B10" s="112"/>
      <c r="C10" s="67">
        <f>'Field data and Waste 1'!C10</f>
        <v>6.7</v>
      </c>
      <c r="D10" s="67">
        <f>'Field data and Waste 1'!D10</f>
        <v>6.5</v>
      </c>
      <c r="E10" s="67">
        <f>'Field data and Waste 1'!E10</f>
        <v>5.8</v>
      </c>
      <c r="F10" s="67">
        <f>'Field data and Waste 1'!F10</f>
        <v>6.3</v>
      </c>
      <c r="G10" s="67">
        <f>'Field data and Waste 1'!G10</f>
        <v>6.3</v>
      </c>
      <c r="H10" s="67">
        <f>'Field data and Waste 1'!H10</f>
        <v>0</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2" t="s">
        <v>5</v>
      </c>
      <c r="B11" s="112"/>
      <c r="C11" s="67">
        <f>'Field data and Waste 1'!C11</f>
        <v>3</v>
      </c>
      <c r="D11" s="67">
        <f>'Field data and Waste 1'!D11</f>
        <v>3</v>
      </c>
      <c r="E11" s="67">
        <f>'Field data and Waste 1'!E11</f>
        <v>2</v>
      </c>
      <c r="F11" s="67">
        <f>'Field data and Waste 1'!F11</f>
        <v>4</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2" t="s">
        <v>6</v>
      </c>
      <c r="B12" s="112"/>
      <c r="C12" s="67">
        <f>'Field data and Waste 1'!C12</f>
        <v>2</v>
      </c>
      <c r="D12" s="67">
        <f>'Field data and Waste 1'!D12</f>
        <v>0</v>
      </c>
      <c r="E12" s="67">
        <f>'Field data and Waste 1'!E12</f>
        <v>1</v>
      </c>
      <c r="F12" s="67">
        <f>'Field data and Waste 1'!F12</f>
        <v>2</v>
      </c>
      <c r="G12" s="67">
        <f>'Field data and Waste 1'!G12</f>
        <v>1</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2" t="s">
        <v>7</v>
      </c>
      <c r="B13" s="112"/>
      <c r="C13" s="67">
        <f>'Field data and Waste 1'!C13</f>
        <v>3</v>
      </c>
      <c r="D13" s="67">
        <f>'Field data and Waste 1'!D13</f>
        <v>3</v>
      </c>
      <c r="E13" s="67">
        <f>'Field data and Waste 1'!E13</f>
        <v>3</v>
      </c>
      <c r="F13" s="67">
        <f>'Field data and Waste 1'!F13</f>
        <v>3</v>
      </c>
      <c r="G13" s="67">
        <f>'Field data and Waste 1'!G13</f>
        <v>3</v>
      </c>
      <c r="H13" s="67">
        <f>'Field data and Waste 1'!H13</f>
        <v>0</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6" t="s">
        <v>8</v>
      </c>
      <c r="B14" s="116"/>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f>'Field data and Waste 1'!H14</f>
        <v>0</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5" t="s">
        <v>9</v>
      </c>
      <c r="B15" s="115"/>
      <c r="C15" s="67">
        <f>'Field data and Waste 1'!C15</f>
        <v>38</v>
      </c>
      <c r="D15" s="67">
        <f>'Field data and Waste 1'!D15</f>
        <v>38</v>
      </c>
      <c r="E15" s="67">
        <f>'Field data and Waste 1'!E15</f>
        <v>38</v>
      </c>
      <c r="F15" s="67">
        <f>'Field data and Waste 1'!F15</f>
        <v>38</v>
      </c>
      <c r="G15" s="67">
        <f>'Field data and Waste 1'!G15</f>
        <v>38</v>
      </c>
      <c r="H15" s="67">
        <f>'Field data and Waste 1'!H15</f>
        <v>0</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7" t="s">
        <v>44</v>
      </c>
      <c r="B16" s="117"/>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f>'Field data and Waste 1'!H16</f>
        <v>0</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4" t="s">
        <v>69</v>
      </c>
      <c r="B17" s="105"/>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t="e">
        <f t="shared" si="0"/>
        <v>#N/A</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6" t="s">
        <v>23</v>
      </c>
      <c r="B18" s="107"/>
      <c r="C18" s="24">
        <f>$D31</f>
        <v>42.981451</v>
      </c>
      <c r="D18" s="24">
        <f>$D32</f>
        <v>42.981451</v>
      </c>
      <c r="E18" s="24">
        <f>$D33</f>
        <v>42.981451</v>
      </c>
      <c r="F18" s="24">
        <f>$D34</f>
        <v>42.981451</v>
      </c>
      <c r="G18" s="24">
        <f>$D35</f>
        <v>42.981451</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6" t="s">
        <v>87</v>
      </c>
      <c r="B19" s="107"/>
      <c r="C19" s="24">
        <f>C18-C17</f>
        <v>-21.618548999999994</v>
      </c>
      <c r="D19" s="24">
        <f t="shared" ref="D19:V19" si="1">D18-D17</f>
        <v>-21.618548999999994</v>
      </c>
      <c r="E19" s="24">
        <f t="shared" si="1"/>
        <v>-21.618548999999994</v>
      </c>
      <c r="F19" s="24">
        <f t="shared" si="1"/>
        <v>-21.618548999999994</v>
      </c>
      <c r="G19" s="24">
        <f t="shared" si="1"/>
        <v>-21.618548999999994</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8" t="s">
        <v>88</v>
      </c>
      <c r="B20" s="109"/>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4" t="s">
        <v>85</v>
      </c>
      <c r="B21" s="105"/>
      <c r="C21" s="39">
        <f t="shared" ref="C21:V21" si="2">(VLOOKUP(C$14,$AI2:$AK24,3,FALSE))*C$15</f>
        <v>228</v>
      </c>
      <c r="D21" s="39">
        <f t="shared" si="2"/>
        <v>228</v>
      </c>
      <c r="E21" s="39">
        <f t="shared" si="2"/>
        <v>228</v>
      </c>
      <c r="F21" s="39">
        <f t="shared" si="2"/>
        <v>228</v>
      </c>
      <c r="G21" s="39">
        <f t="shared" si="2"/>
        <v>228</v>
      </c>
      <c r="H21" s="39" t="e">
        <f t="shared" si="2"/>
        <v>#N/A</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6" t="s">
        <v>86</v>
      </c>
      <c r="B22" s="107"/>
      <c r="C22" s="24">
        <f>$E31</f>
        <v>5.8496725000000005</v>
      </c>
      <c r="D22" s="24">
        <f>$E32</f>
        <v>5.8496725000000005</v>
      </c>
      <c r="E22" s="24">
        <f>$E33</f>
        <v>5.8496725000000005</v>
      </c>
      <c r="F22" s="24">
        <f>$E34</f>
        <v>5.8496725000000005</v>
      </c>
      <c r="G22" s="24">
        <f>$E35</f>
        <v>5.8496725000000005</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6" t="s">
        <v>89</v>
      </c>
      <c r="B23" s="107"/>
      <c r="C23" s="24">
        <f>C22-C21</f>
        <v>-222.1503275</v>
      </c>
      <c r="D23" s="24">
        <f t="shared" ref="D23:V23" si="3">D22-D21</f>
        <v>-222.1503275</v>
      </c>
      <c r="E23" s="24">
        <f t="shared" si="3"/>
        <v>-222.1503275</v>
      </c>
      <c r="F23" s="24">
        <f t="shared" si="3"/>
        <v>-222.1503275</v>
      </c>
      <c r="G23" s="24">
        <f t="shared" si="3"/>
        <v>-222.1503275</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8" t="s">
        <v>90</v>
      </c>
      <c r="B24" s="109"/>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e">
        <f t="shared" si="4"/>
        <v>#N/A</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10.1</v>
      </c>
      <c r="C28" s="23">
        <v>0.34</v>
      </c>
      <c r="D28" s="23">
        <v>257</v>
      </c>
      <c r="E28" s="23">
        <v>66.5</v>
      </c>
      <c r="F28" s="23">
        <v>183</v>
      </c>
      <c r="G28" s="23">
        <v>1.79</v>
      </c>
      <c r="H28" s="23">
        <v>11.6</v>
      </c>
      <c r="I28" s="23">
        <v>0.5</v>
      </c>
      <c r="J28" s="23">
        <v>1.0999999999999999E-2</v>
      </c>
      <c r="K28" s="30">
        <v>0.05</v>
      </c>
      <c r="L28" s="23">
        <v>0.41099999999999998</v>
      </c>
      <c r="M28" s="23">
        <v>0.81699999999999995</v>
      </c>
      <c r="N28" s="23"/>
      <c r="O28" s="23"/>
      <c r="P28" s="23">
        <v>477</v>
      </c>
      <c r="Q28" s="23">
        <v>418</v>
      </c>
      <c r="R28" s="23"/>
      <c r="S28" s="23"/>
      <c r="T28" s="23"/>
      <c r="U28" s="23"/>
    </row>
    <row r="29" spans="1:40" s="15" customFormat="1" ht="27" x14ac:dyDescent="0.25">
      <c r="A29" s="110"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1"/>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40</v>
      </c>
      <c r="B31" s="23">
        <v>73</v>
      </c>
      <c r="C31" s="2">
        <f>IF(C$27="%w/w SAR",((C$28*10)*$B31),IF(C$27="%w/w DM",(((C$28*10)*($B$28/100))*$B31),IF(C$27="kg/t SAR",(C$28*$B31),IF(C$27="kg/t DM",((C$28*($B$28/100))*$B31),IF(C$27="mg/kg SAR",((C$28*0.001)*$B31),IF(C$27="mg/kg DM",(((C$28*0.001)*($B$28/100))*$B31),0))))))</f>
        <v>248.20000000000002</v>
      </c>
      <c r="D31" s="2">
        <f>(IF(D$27="%w/w SAR",((D$28*10)*$B31),IF(D$27="%w/w DM",(((D$28*10)*($B$28/100))*$B31),IF(D$27="kg/t SAR",(D$28*$B31),IF(D$27="kg/t DM",((D$28*($B$28/100))*$B31),IF(D$27="mg/kg SAR",((D$28*0.001)*$B31),IF(D$27="mg/kg DM",(((D$28*0.001)*($B$28/100))*$B31),"0")))))))*2.291</f>
        <v>42.981451</v>
      </c>
      <c r="E31" s="2">
        <f>(IF(E$27="%w/w SAR",((E$28*10)*$B31),IF(E$27="%w/w DM",(((E$28*10)*($B$28/100))*$B31),IF(E$27="kg/t SAR",(E$28*$B31),IF(E$27="kg/t DM",((E$28*($B$28/100))*$B31),IF(E$27="mg/kg SAR",((E$28*0.001)*$B31),IF(E$27="mg/kg DM",(((E$28*0.001)*($B$28/100))*$B31),"0")))))))*1.205</f>
        <v>5.8496725000000005</v>
      </c>
      <c r="F31" s="2">
        <f>(IF(F$27="%w/w SAR",((F$28*10)*$B31),IF(F$27="%w/w DM",(((F$28*10)*($B$28/100))*$B31),IF(F$27="kg/t SAR",(F$28*$B31),IF(F$27="kg/t DM",((F$28*($B$28/100))*$B31),IF(F$27="mg/kg SAR",((F$28*0.001)*$B31),IF(F$27="mg/kg DM",(((F$28*0.001)*($B$28/100))*$B31),"0")))))))*1.658</f>
        <v>22.149221999999998</v>
      </c>
      <c r="G31" s="2">
        <f t="shared" ref="G31:P46" si="5">IF(G$27="%w/w SAR",((G$28*10)*$B31),IF(G$27="%w/w DM",(((G$28*10)*($B$28/100))*$B31),IF(G$27="kg/t SAR",(G$28*$B31),IF(G$27="kg/t DM",((G$28*($B$28/100))*$B31),IF(G$27="mg/kg SAR",((G$28*0.001)*$B31),IF(G$27="mg/kg DM",(((G$28*0.001)*($B$28/100))*$B31),0))))))</f>
        <v>0.13067000000000001</v>
      </c>
      <c r="H31" s="2">
        <f t="shared" si="5"/>
        <v>0.8468</v>
      </c>
      <c r="I31" s="2">
        <f t="shared" si="5"/>
        <v>3.6499999999999998E-2</v>
      </c>
      <c r="J31" s="2">
        <f t="shared" si="5"/>
        <v>8.03E-4</v>
      </c>
      <c r="K31" s="2">
        <f t="shared" si="5"/>
        <v>3.65E-3</v>
      </c>
      <c r="L31" s="2">
        <f t="shared" si="5"/>
        <v>3.0002999999999998E-2</v>
      </c>
      <c r="M31" s="2">
        <f t="shared" si="5"/>
        <v>5.9641E-2</v>
      </c>
      <c r="N31" s="2">
        <f t="shared" si="5"/>
        <v>0</v>
      </c>
      <c r="O31" s="2">
        <f t="shared" si="5"/>
        <v>0</v>
      </c>
      <c r="P31" s="2">
        <f t="shared" si="5"/>
        <v>34.821000000000005</v>
      </c>
      <c r="Q31" s="2">
        <f>(IF(Q$27="%w/w SAR",((Q$28*10)*$B31),IF(Q$27="%w/w DM",(((Q$28*10)*($B$28/100))*$B31),IF(Q$27="kg/t SAR",(Q$28*$B31),IF(Q$27="kg/t DM",((Q$28*($B$28/100))*$B31),IF(Q$27="mg/kg SAR",((Q$28*0.001)*$B31),IF(Q$27="mg/kg DM",(((Q$28*0.001)*($B$28/100))*$B31),0)))))))*2.5</f>
        <v>76.284999999999997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46</v>
      </c>
      <c r="B32" s="23">
        <v>73</v>
      </c>
      <c r="C32" s="2">
        <f t="shared" ref="C32:C50" si="6">IF(C$27="%w/w SAR",((C$28*10)*$B32),IF(C$27="%w/w DM",(((C$28*10)*($B$28/100))*$B32),IF(C$27="kg/t SAR",(C$28*$B32),IF(C$27="kg/t DM",((C$28*($B$28/100))*$B32),IF(C$27="mg/kg SAR",((C$28*0.001)*$B32),IF(C$27="mg/kg DM",(((C$28*0.001)*($B$28/100))*$B32),0))))))</f>
        <v>248.20000000000002</v>
      </c>
      <c r="D32" s="2">
        <f t="shared" ref="D32:D50" si="7">(IF(D$27="%w/w SAR",((D$28*10)*$B32),IF(D$27="%w/w DM",(((D$28*10)*($B$28/100))*$B32),IF(D$27="kg/t SAR",(D$28*$B32),IF(D$27="kg/t DM",((D$28*($B$28/100))*$B32),IF(D$27="mg/kg SAR",((D$28*0.001)*$B32),IF(D$27="mg/kg DM",(((D$28*0.001)*($B$28/100))*$B32),"0")))))))*2.291</f>
        <v>42.981451</v>
      </c>
      <c r="E32" s="2">
        <f t="shared" ref="E32:E50" si="8">(IF(E$27="%w/w SAR",((E$28*10)*$B32),IF(E$27="%w/w DM",(((E$28*10)*($B$28/100))*$B32),IF(E$27="kg/t SAR",(E$28*$B32),IF(E$27="kg/t DM",((E$28*($B$28/100))*$B32),IF(E$27="mg/kg SAR",((E$28*0.001)*$B32),IF(E$27="mg/kg DM",(((E$28*0.001)*($B$28/100))*$B32),"0")))))))*1.205</f>
        <v>5.8496725000000005</v>
      </c>
      <c r="F32" s="2">
        <f t="shared" ref="F32:F50" si="9">(IF(F$27="%w/w SAR",((F$28*10)*$B32),IF(F$27="%w/w DM",(((F$28*10)*($B$28/100))*$B32),IF(F$27="kg/t SAR",(F$28*$B32),IF(F$27="kg/t DM",((F$28*($B$28/100))*$B32),IF(F$27="mg/kg SAR",((F$28*0.001)*$B32),IF(F$27="mg/kg DM",(((F$28*0.001)*($B$28/100))*$B32),"0")))))))*1.658</f>
        <v>22.149221999999998</v>
      </c>
      <c r="G32" s="2">
        <f t="shared" si="5"/>
        <v>0.13067000000000001</v>
      </c>
      <c r="H32" s="2">
        <f t="shared" si="5"/>
        <v>0.8468</v>
      </c>
      <c r="I32" s="2">
        <f t="shared" si="5"/>
        <v>3.6499999999999998E-2</v>
      </c>
      <c r="J32" s="2">
        <f t="shared" si="5"/>
        <v>8.03E-4</v>
      </c>
      <c r="K32" s="2">
        <f t="shared" si="5"/>
        <v>3.65E-3</v>
      </c>
      <c r="L32" s="2">
        <f t="shared" si="5"/>
        <v>3.0002999999999998E-2</v>
      </c>
      <c r="M32" s="2">
        <f t="shared" si="5"/>
        <v>5.9641E-2</v>
      </c>
      <c r="N32" s="2">
        <f t="shared" si="5"/>
        <v>0</v>
      </c>
      <c r="O32" s="2">
        <f t="shared" si="5"/>
        <v>0</v>
      </c>
      <c r="P32" s="2">
        <f t="shared" si="5"/>
        <v>34.821000000000005</v>
      </c>
      <c r="Q32" s="2">
        <f t="shared" ref="Q32:Q50" si="10">(IF(Q$27="%w/w SAR",((Q$28*10)*$B32),IF(Q$27="%w/w DM",(((Q$28*10)*($B$28/100))*$B32),IF(Q$27="kg/t SAR",(Q$28*$B32),IF(Q$27="kg/t DM",((Q$28*($B$28/100))*$B32),IF(Q$27="mg/kg SAR",((Q$28*0.001)*$B32),IF(Q$27="mg/kg DM",(((Q$28*0.001)*($B$28/100))*$B32),0)))))))*2.5</f>
        <v>76.284999999999997</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43</v>
      </c>
      <c r="B33" s="23">
        <v>73</v>
      </c>
      <c r="C33" s="2">
        <f t="shared" si="6"/>
        <v>248.20000000000002</v>
      </c>
      <c r="D33" s="2">
        <f t="shared" si="7"/>
        <v>42.981451</v>
      </c>
      <c r="E33" s="2">
        <f t="shared" si="8"/>
        <v>5.8496725000000005</v>
      </c>
      <c r="F33" s="2">
        <f t="shared" si="9"/>
        <v>22.149221999999998</v>
      </c>
      <c r="G33" s="2">
        <f t="shared" si="5"/>
        <v>0.13067000000000001</v>
      </c>
      <c r="H33" s="2">
        <f t="shared" si="5"/>
        <v>0.8468</v>
      </c>
      <c r="I33" s="2">
        <f t="shared" si="5"/>
        <v>3.6499999999999998E-2</v>
      </c>
      <c r="J33" s="2">
        <f t="shared" si="5"/>
        <v>8.03E-4</v>
      </c>
      <c r="K33" s="2">
        <f t="shared" si="5"/>
        <v>3.65E-3</v>
      </c>
      <c r="L33" s="2">
        <f t="shared" si="5"/>
        <v>3.0002999999999998E-2</v>
      </c>
      <c r="M33" s="2">
        <f t="shared" si="5"/>
        <v>5.9641E-2</v>
      </c>
      <c r="N33" s="2">
        <f t="shared" si="5"/>
        <v>0</v>
      </c>
      <c r="O33" s="2">
        <f t="shared" si="5"/>
        <v>0</v>
      </c>
      <c r="P33" s="2">
        <f t="shared" si="5"/>
        <v>34.821000000000005</v>
      </c>
      <c r="Q33" s="2">
        <f t="shared" si="10"/>
        <v>76.284999999999997</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23</v>
      </c>
      <c r="B34" s="23">
        <v>73</v>
      </c>
      <c r="C34" s="2">
        <f t="shared" si="6"/>
        <v>248.20000000000002</v>
      </c>
      <c r="D34" s="2">
        <f t="shared" si="7"/>
        <v>42.981451</v>
      </c>
      <c r="E34" s="2">
        <f t="shared" si="8"/>
        <v>5.8496725000000005</v>
      </c>
      <c r="F34" s="2">
        <f t="shared" si="9"/>
        <v>22.149221999999998</v>
      </c>
      <c r="G34" s="2">
        <f t="shared" si="5"/>
        <v>0.13067000000000001</v>
      </c>
      <c r="H34" s="2">
        <f t="shared" si="5"/>
        <v>0.8468</v>
      </c>
      <c r="I34" s="2">
        <f t="shared" si="5"/>
        <v>3.6499999999999998E-2</v>
      </c>
      <c r="J34" s="2">
        <f t="shared" si="5"/>
        <v>8.03E-4</v>
      </c>
      <c r="K34" s="2">
        <f t="shared" si="5"/>
        <v>3.65E-3</v>
      </c>
      <c r="L34" s="2">
        <f t="shared" si="5"/>
        <v>3.0002999999999998E-2</v>
      </c>
      <c r="M34" s="2">
        <f t="shared" si="5"/>
        <v>5.9641E-2</v>
      </c>
      <c r="N34" s="2">
        <f t="shared" si="5"/>
        <v>0</v>
      </c>
      <c r="O34" s="2">
        <f t="shared" si="5"/>
        <v>0</v>
      </c>
      <c r="P34" s="2">
        <f t="shared" si="5"/>
        <v>34.821000000000005</v>
      </c>
      <c r="Q34" s="2">
        <f t="shared" si="10"/>
        <v>76.284999999999997</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21</v>
      </c>
      <c r="B35" s="23">
        <v>73</v>
      </c>
      <c r="C35" s="2">
        <f t="shared" si="6"/>
        <v>248.20000000000002</v>
      </c>
      <c r="D35" s="2">
        <f t="shared" si="7"/>
        <v>42.981451</v>
      </c>
      <c r="E35" s="2">
        <f t="shared" si="8"/>
        <v>5.8496725000000005</v>
      </c>
      <c r="F35" s="2">
        <f t="shared" si="9"/>
        <v>22.149221999999998</v>
      </c>
      <c r="G35" s="2">
        <f t="shared" si="5"/>
        <v>0.13067000000000001</v>
      </c>
      <c r="H35" s="2">
        <f t="shared" si="5"/>
        <v>0.8468</v>
      </c>
      <c r="I35" s="2">
        <f t="shared" si="5"/>
        <v>3.6499999999999998E-2</v>
      </c>
      <c r="J35" s="2">
        <f t="shared" si="5"/>
        <v>8.03E-4</v>
      </c>
      <c r="K35" s="2">
        <f t="shared" si="5"/>
        <v>3.65E-3</v>
      </c>
      <c r="L35" s="2">
        <f t="shared" si="5"/>
        <v>3.0002999999999998E-2</v>
      </c>
      <c r="M35" s="2">
        <f t="shared" si="5"/>
        <v>5.9641E-2</v>
      </c>
      <c r="N35" s="2">
        <f t="shared" si="5"/>
        <v>0</v>
      </c>
      <c r="O35" s="2">
        <f t="shared" si="5"/>
        <v>0</v>
      </c>
      <c r="P35" s="2">
        <f t="shared" si="5"/>
        <v>34.821000000000005</v>
      </c>
      <c r="Q35" s="2">
        <f t="shared" si="10"/>
        <v>76.284999999999997</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40</v>
      </c>
      <c r="C57" s="16">
        <f t="shared" ref="C57:U57" si="13">D8</f>
        <v>46</v>
      </c>
      <c r="D57" s="16">
        <f t="shared" si="13"/>
        <v>43</v>
      </c>
      <c r="E57" s="16">
        <f t="shared" si="13"/>
        <v>23</v>
      </c>
      <c r="F57" s="16">
        <f t="shared" si="13"/>
        <v>21</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"&amp;(VLOOKUP(C14,Table24581114[],6,FALSE))</f>
        <v>Medium/Clay I Grass</v>
      </c>
      <c r="C58" s="44" t="str">
        <f>D16&amp;" I "&amp;(VLOOKUP(D14,Table24581114[],6,FALSE))</f>
        <v>Medium/Clay I Grass</v>
      </c>
      <c r="D58" s="21" t="str">
        <f>E16&amp;" I "&amp;(VLOOKUP(E14,Table24581114[],6,FALSE))</f>
        <v>Medium/Clay I Grass</v>
      </c>
      <c r="E58" s="21" t="str">
        <f>F16&amp;" I "&amp;(VLOOKUP(F14,Table24581114[],6,FALSE))</f>
        <v>Medium/Clay I Grass</v>
      </c>
      <c r="F58" s="21" t="str">
        <f>G16&amp;" I "&amp;(VLOOKUP(G14,Table24581114[],6,FALSE))</f>
        <v>Medium/Clay I Grass</v>
      </c>
      <c r="G58" s="21" t="e">
        <f>H16&amp;" I "&amp;(VLOOKUP(H14,Table24581114[],6,FALSE))</f>
        <v>#N/A</v>
      </c>
      <c r="H58" s="21" t="e">
        <f>I16&amp;" I "&amp;(VLOOKUP(I14,Table24581114[],6,FALSE))</f>
        <v>#N/A</v>
      </c>
      <c r="I58" s="21" t="e">
        <f>J16&amp;" I "&amp;(VLOOKUP(J14,Table24581114[],6,FALSE))</f>
        <v>#N/A</v>
      </c>
      <c r="J58" s="21" t="e">
        <f>K16&amp;" I "&amp;(VLOOKUP(K14,Table24581114[],6,FALSE))</f>
        <v>#N/A</v>
      </c>
      <c r="K58" s="21" t="e">
        <f>L16&amp;" I "&amp;(VLOOKUP(L14,Table24581114[],6,FALSE))</f>
        <v>#N/A</v>
      </c>
      <c r="L58" s="21" t="e">
        <f>M16&amp;" I "&amp;(VLOOKUP(M14,Table24581114[],6,FALSE))</f>
        <v>#N/A</v>
      </c>
      <c r="M58" s="21" t="e">
        <f>N16&amp;" I "&amp;(VLOOKUP(N14,Table24581114[],6,FALSE))</f>
        <v>#N/A</v>
      </c>
      <c r="N58" s="21" t="e">
        <f>O16&amp;" I "&amp;(VLOOKUP(O14,Table24581114[],6,FALSE))</f>
        <v>#N/A</v>
      </c>
      <c r="O58" s="21" t="e">
        <f>P16&amp;" I "&amp;(VLOOKUP(P14,Table24581114[],6,FALSE))</f>
        <v>#N/A</v>
      </c>
      <c r="P58" s="21" t="e">
        <f>Q16&amp;" I "&amp;(VLOOKUP(Q14,Table24581114[],6,FALSE))</f>
        <v>#N/A</v>
      </c>
      <c r="Q58" s="21" t="e">
        <f>R16&amp;" I "&amp;(VLOOKUP(R14,Table24581114[],6,FALSE))</f>
        <v>#N/A</v>
      </c>
      <c r="R58" s="21" t="e">
        <f>S16&amp;" I "&amp;(VLOOKUP(S14,Table24581114[],6,FALSE))</f>
        <v>#N/A</v>
      </c>
      <c r="S58" s="21" t="e">
        <f>T16&amp;" I "&amp;(VLOOKUP(T14,Table24581114[],6,FALSE))</f>
        <v>#N/A</v>
      </c>
      <c r="T58" s="21" t="e">
        <f>U16&amp;" I "&amp;(VLOOKUP(U14,Table24581114[],6,FALSE))</f>
        <v>#N/A</v>
      </c>
      <c r="U58" s="21" t="e">
        <f>V16&amp;" I "&amp;(VLOOKUP(V14,Table24581114[],6,FALSE))</f>
        <v>#N/A</v>
      </c>
    </row>
    <row r="59" spans="1:35" s="27" customFormat="1" hidden="1" x14ac:dyDescent="0.2">
      <c r="A59" s="92" t="s">
        <v>130</v>
      </c>
      <c r="B59" s="93">
        <f>VLOOKUP(C$14,Table24581114[],5,FALSE)</f>
        <v>6.2</v>
      </c>
      <c r="C59" s="93">
        <f>VLOOKUP(D$14,Table24581114[],5,FALSE)</f>
        <v>6.2</v>
      </c>
      <c r="D59" s="93">
        <f>VLOOKUP(E$14,Table24581114[],5,FALSE)</f>
        <v>6.2</v>
      </c>
      <c r="E59" s="93">
        <f>VLOOKUP(F$14,Table24581114[],5,FALSE)</f>
        <v>6.2</v>
      </c>
      <c r="F59" s="93">
        <f>VLOOKUP(G$14,Table24581114[],5,FALSE)</f>
        <v>6.2</v>
      </c>
      <c r="G59" s="93" t="e">
        <f>VLOOKUP(H$14,Table24581114[],5,FALSE)</f>
        <v>#N/A</v>
      </c>
      <c r="H59" s="93" t="e">
        <f>VLOOKUP(I$14,Table24581114[],5,FALSE)</f>
        <v>#N/A</v>
      </c>
      <c r="I59" s="93" t="e">
        <f>VLOOKUP(J$14,Table24581114[],5,FALSE)</f>
        <v>#N/A</v>
      </c>
      <c r="J59" s="93" t="e">
        <f>VLOOKUP(K$14,Table24581114[],5,FALSE)</f>
        <v>#N/A</v>
      </c>
      <c r="K59" s="93" t="e">
        <f>VLOOKUP(L$14,Table24581114[],5,FALSE)</f>
        <v>#N/A</v>
      </c>
      <c r="L59" s="93" t="e">
        <f>VLOOKUP(M$14,Table24581114[],5,FALSE)</f>
        <v>#N/A</v>
      </c>
      <c r="M59" s="93" t="e">
        <f>VLOOKUP(N$14,Table24581114[],5,FALSE)</f>
        <v>#N/A</v>
      </c>
      <c r="N59" s="93" t="e">
        <f>VLOOKUP(O$14,Table24581114[],5,FALSE)</f>
        <v>#N/A</v>
      </c>
      <c r="O59" s="93" t="e">
        <f>VLOOKUP(P$14,Table24581114[],5,FALSE)</f>
        <v>#N/A</v>
      </c>
      <c r="P59" s="93" t="e">
        <f>VLOOKUP(Q$14,Table24581114[],5,FALSE)</f>
        <v>#N/A</v>
      </c>
      <c r="Q59" s="93" t="e">
        <f>VLOOKUP(R$14,Table24581114[],5,FALSE)</f>
        <v>#N/A</v>
      </c>
      <c r="R59" s="93" t="e">
        <f>VLOOKUP(S$14,Table24581114[],5,FALSE)</f>
        <v>#N/A</v>
      </c>
      <c r="S59" s="93" t="e">
        <f>VLOOKUP(T$14,Table24581114[],5,FALSE)</f>
        <v>#N/A</v>
      </c>
      <c r="T59" s="93" t="e">
        <f>VLOOKUP(U$14,Table24581114[],5,FALSE)</f>
        <v>#N/A</v>
      </c>
      <c r="U59" s="93" t="e">
        <f>VLOOKUP(V$14,Table24581114[],5,FALSE)</f>
        <v>#N/A</v>
      </c>
    </row>
    <row r="60" spans="1:35" s="27" customFormat="1" hidden="1" x14ac:dyDescent="0.2">
      <c r="A60" s="92" t="s">
        <v>4</v>
      </c>
      <c r="B60" s="93">
        <f>C10</f>
        <v>6.7</v>
      </c>
      <c r="C60" s="93">
        <f t="shared" ref="C60:U60" si="14">D10</f>
        <v>6.5</v>
      </c>
      <c r="D60" s="93">
        <f t="shared" si="14"/>
        <v>5.8</v>
      </c>
      <c r="E60" s="93">
        <f t="shared" si="14"/>
        <v>6.3</v>
      </c>
      <c r="F60" s="93">
        <f t="shared" si="14"/>
        <v>6.3</v>
      </c>
      <c r="G60" s="93">
        <f t="shared" si="14"/>
        <v>0</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t="e">
        <f t="shared" si="15"/>
        <v>#N/A</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73</v>
      </c>
      <c r="C62" s="94">
        <f>B32</f>
        <v>73</v>
      </c>
      <c r="D62" s="94">
        <f>B33</f>
        <v>73</v>
      </c>
      <c r="E62" s="94">
        <f>B34</f>
        <v>73</v>
      </c>
      <c r="F62" s="94">
        <f>B35</f>
        <v>73</v>
      </c>
      <c r="G62" s="94">
        <f>B36</f>
        <v>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v>
      </c>
      <c r="C64" s="94">
        <f t="shared" ref="C64:U64" si="17">(C59-C60)*C61</f>
        <v>-1.7999999999999989</v>
      </c>
      <c r="D64" s="94">
        <f t="shared" si="17"/>
        <v>2.4000000000000021</v>
      </c>
      <c r="E64" s="94">
        <f t="shared" si="17"/>
        <v>-0.59999999999999787</v>
      </c>
      <c r="F64" s="94">
        <f t="shared" si="17"/>
        <v>-0.59999999999999787</v>
      </c>
      <c r="G64" s="94" t="e">
        <f t="shared" si="17"/>
        <v>#N/A</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UNDER</v>
      </c>
      <c r="E65" s="95" t="str">
        <f t="shared" si="18"/>
        <v>OVER</v>
      </c>
      <c r="F65" s="95" t="str">
        <f t="shared" si="18"/>
        <v>OVER</v>
      </c>
      <c r="G65" s="95" t="e">
        <f t="shared" si="18"/>
        <v>#N/A</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239" priority="32" operator="equal">
      <formula>"DECREASE"</formula>
    </cfRule>
    <cfRule type="cellIs" dxfId="238" priority="33" operator="equal">
      <formula>"INCREASE"</formula>
    </cfRule>
  </conditionalFormatting>
  <conditionalFormatting sqref="B62:U65 B31:B50">
    <cfRule type="cellIs" dxfId="237" priority="31" operator="greaterThan">
      <formula>$B$51</formula>
    </cfRule>
  </conditionalFormatting>
  <conditionalFormatting sqref="C31:C50">
    <cfRule type="cellIs" dxfId="236" priority="30" operator="greaterThan">
      <formula>$C$51</formula>
    </cfRule>
  </conditionalFormatting>
  <conditionalFormatting sqref="C18:V18">
    <cfRule type="cellIs" dxfId="235" priority="29" operator="equal">
      <formula>0</formula>
    </cfRule>
  </conditionalFormatting>
  <conditionalFormatting sqref="C17:V17">
    <cfRule type="cellIs" dxfId="234" priority="28" operator="equal">
      <formula>0</formula>
    </cfRule>
  </conditionalFormatting>
  <conditionalFormatting sqref="C19:V19">
    <cfRule type="cellIs" dxfId="233" priority="27" operator="equal">
      <formula>0</formula>
    </cfRule>
  </conditionalFormatting>
  <conditionalFormatting sqref="G31:G50">
    <cfRule type="cellIs" dxfId="232" priority="26" operator="greaterThan">
      <formula>$G$51</formula>
    </cfRule>
  </conditionalFormatting>
  <conditionalFormatting sqref="H31:H50">
    <cfRule type="cellIs" dxfId="231" priority="25" operator="greaterThan">
      <formula>$H$51</formula>
    </cfRule>
  </conditionalFormatting>
  <conditionalFormatting sqref="I31:I50">
    <cfRule type="cellIs" dxfId="230" priority="24" operator="greaterThan">
      <formula>$I$51</formula>
    </cfRule>
  </conditionalFormatting>
  <conditionalFormatting sqref="K31:K50">
    <cfRule type="cellIs" dxfId="229" priority="23" operator="greaterThan">
      <formula>$K$51</formula>
    </cfRule>
  </conditionalFormatting>
  <conditionalFormatting sqref="L31:L50">
    <cfRule type="cellIs" dxfId="228" priority="22" operator="greaterThan">
      <formula>$L$51</formula>
    </cfRule>
  </conditionalFormatting>
  <conditionalFormatting sqref="M31:M50">
    <cfRule type="cellIs" dxfId="227" priority="21" operator="greaterThan">
      <formula>$M$51</formula>
    </cfRule>
  </conditionalFormatting>
  <conditionalFormatting sqref="P31:P50">
    <cfRule type="cellIs" dxfId="226" priority="20" operator="greaterThan">
      <formula>$P$51</formula>
    </cfRule>
  </conditionalFormatting>
  <conditionalFormatting sqref="R31:R50">
    <cfRule type="cellIs" dxfId="225" priority="19" operator="greaterThan">
      <formula>$R$51</formula>
    </cfRule>
  </conditionalFormatting>
  <conditionalFormatting sqref="S31:S50">
    <cfRule type="cellIs" dxfId="224" priority="18" operator="greaterThan">
      <formula>$S$51</formula>
    </cfRule>
  </conditionalFormatting>
  <conditionalFormatting sqref="T31:T50">
    <cfRule type="cellIs" dxfId="223" priority="17" operator="greaterThan">
      <formula>$T$51</formula>
    </cfRule>
  </conditionalFormatting>
  <conditionalFormatting sqref="U31:U50">
    <cfRule type="cellIs" dxfId="222" priority="16" operator="greaterThan">
      <formula>$U$51</formula>
    </cfRule>
  </conditionalFormatting>
  <conditionalFormatting sqref="C22:V22">
    <cfRule type="cellIs" dxfId="221" priority="15" operator="equal">
      <formula>0</formula>
    </cfRule>
  </conditionalFormatting>
  <conditionalFormatting sqref="C24:V24">
    <cfRule type="cellIs" dxfId="220" priority="13" operator="equal">
      <formula>"DECREASE"</formula>
    </cfRule>
    <cfRule type="cellIs" dxfId="219" priority="14" operator="equal">
      <formula>"INCREASE"</formula>
    </cfRule>
  </conditionalFormatting>
  <conditionalFormatting sqref="C23:V23">
    <cfRule type="cellIs" dxfId="218" priority="12" operator="equal">
      <formula>0</formula>
    </cfRule>
  </conditionalFormatting>
  <conditionalFormatting sqref="C21:V21">
    <cfRule type="cellIs" dxfId="217" priority="8" operator="equal">
      <formula>0</formula>
    </cfRule>
  </conditionalFormatting>
  <conditionalFormatting sqref="B65:U65">
    <cfRule type="cellIs" dxfId="216" priority="6" operator="equal">
      <formula>"UNDER"</formula>
    </cfRule>
    <cfRule type="cellIs" dxfId="215" priority="7" operator="equal">
      <formula>"OVER"</formula>
    </cfRule>
  </conditionalFormatting>
  <conditionalFormatting sqref="I3">
    <cfRule type="cellIs" dxfId="214" priority="4" operator="greaterThan">
      <formula>4.1</formula>
    </cfRule>
  </conditionalFormatting>
  <conditionalFormatting sqref="J31:J50">
    <cfRule type="cellIs" dxfId="213" priority="3" operator="greaterThan">
      <formula>$J$51</formula>
    </cfRule>
  </conditionalFormatting>
  <conditionalFormatting sqref="I1">
    <cfRule type="cellIs" dxfId="212" priority="2" operator="lessThan">
      <formula>5</formula>
    </cfRule>
  </conditionalFormatting>
  <conditionalFormatting sqref="I2">
    <cfRule type="cellIs" dxfId="211" priority="1" operator="greaterThan">
      <formula>5000.1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zoomScale="90" zoomScaleNormal="90" workbookViewId="0">
      <selection activeCell="D41" sqref="D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2" t="s">
        <v>41</v>
      </c>
      <c r="B1" s="112"/>
      <c r="C1" s="128" t="str">
        <f>'Field data and Waste 1'!C1:D1</f>
        <v>PAN-012063</v>
      </c>
      <c r="D1" s="129"/>
      <c r="E1" s="37" t="s">
        <v>45</v>
      </c>
      <c r="F1" s="46">
        <f>'Field data and Waste 1'!F1</f>
        <v>43.3</v>
      </c>
      <c r="G1" s="124" t="s">
        <v>43</v>
      </c>
      <c r="H1" s="125"/>
      <c r="I1" s="103">
        <v>6.58</v>
      </c>
      <c r="AB1" s="26"/>
      <c r="AC1" s="26"/>
      <c r="AD1" s="43" t="s">
        <v>124</v>
      </c>
      <c r="AE1" s="25"/>
      <c r="AF1" s="25"/>
      <c r="AG1" s="26"/>
      <c r="AH1" s="26"/>
      <c r="AI1" s="47" t="s">
        <v>79</v>
      </c>
      <c r="AJ1" s="48" t="s">
        <v>91</v>
      </c>
      <c r="AK1" s="49" t="s">
        <v>92</v>
      </c>
      <c r="AL1" s="50" t="s">
        <v>123</v>
      </c>
      <c r="AM1" s="50" t="s">
        <v>129</v>
      </c>
      <c r="AN1" s="50" t="s">
        <v>109</v>
      </c>
    </row>
    <row r="2" spans="1:41" x14ac:dyDescent="0.2">
      <c r="A2" s="112" t="s">
        <v>84</v>
      </c>
      <c r="B2" s="112"/>
      <c r="C2" s="130" t="str">
        <f>'Field data and Waste 1'!C2:D2</f>
        <v>EPR-KP3594VE</v>
      </c>
      <c r="D2" s="131"/>
      <c r="E2" s="37" t="s">
        <v>106</v>
      </c>
      <c r="F2" s="103" t="s">
        <v>168</v>
      </c>
      <c r="G2" s="126" t="s">
        <v>107</v>
      </c>
      <c r="H2" s="127"/>
      <c r="I2" s="103">
        <v>3840</v>
      </c>
      <c r="AB2" s="43" t="s">
        <v>56</v>
      </c>
      <c r="AC2" s="25"/>
      <c r="AD2" s="43" t="s">
        <v>70</v>
      </c>
      <c r="AE2" s="25"/>
      <c r="AF2" s="25"/>
      <c r="AG2" s="51" t="s">
        <v>76</v>
      </c>
      <c r="AH2" s="26"/>
      <c r="AI2" s="52" t="s">
        <v>124</v>
      </c>
      <c r="AJ2" s="53">
        <v>0</v>
      </c>
      <c r="AK2" s="54">
        <v>0</v>
      </c>
      <c r="AL2" s="18">
        <v>0</v>
      </c>
      <c r="AM2" s="19">
        <v>0</v>
      </c>
      <c r="AN2" s="19">
        <v>0</v>
      </c>
    </row>
    <row r="3" spans="1:41" x14ac:dyDescent="0.2">
      <c r="A3" s="113" t="s">
        <v>42</v>
      </c>
      <c r="B3" s="114"/>
      <c r="C3" s="130" t="str">
        <f>'Field data and Waste 1'!C3:D3</f>
        <v>Trade Effluent Services Ltd</v>
      </c>
      <c r="D3" s="131"/>
      <c r="E3" s="37" t="s">
        <v>105</v>
      </c>
      <c r="F3" s="45" t="s">
        <v>78</v>
      </c>
      <c r="G3" s="124" t="s">
        <v>108</v>
      </c>
      <c r="H3" s="125"/>
      <c r="I3" s="103">
        <v>0.192</v>
      </c>
      <c r="AB3" s="43" t="s">
        <v>57</v>
      </c>
      <c r="AC3" s="25"/>
      <c r="AD3" s="43" t="s">
        <v>71</v>
      </c>
      <c r="AE3" s="25"/>
      <c r="AF3" s="25"/>
      <c r="AG3" s="51" t="s">
        <v>77</v>
      </c>
      <c r="AH3" s="26"/>
      <c r="AI3" s="55" t="s">
        <v>111</v>
      </c>
      <c r="AJ3" s="56">
        <v>1.7</v>
      </c>
      <c r="AK3" s="57">
        <v>6</v>
      </c>
      <c r="AL3" s="58">
        <v>1</v>
      </c>
      <c r="AM3" s="19">
        <v>6.2</v>
      </c>
      <c r="AN3" s="19" t="s">
        <v>110</v>
      </c>
    </row>
    <row r="4" spans="1:41" x14ac:dyDescent="0.2">
      <c r="A4" s="112" t="s">
        <v>0</v>
      </c>
      <c r="B4" s="112"/>
      <c r="C4" s="128" t="str">
        <f>'Field data and Waste 1'!C4:D4</f>
        <v>Brookhouse Farm, Hanmer, Whitchurch, SY13 3EG</v>
      </c>
      <c r="D4" s="129"/>
      <c r="E4" s="38" t="s">
        <v>1</v>
      </c>
      <c r="F4" s="103" t="s">
        <v>169</v>
      </c>
      <c r="G4" s="124"/>
      <c r="H4" s="125"/>
      <c r="I4" s="46"/>
      <c r="AB4" s="43" t="s">
        <v>52</v>
      </c>
      <c r="AC4" s="25"/>
      <c r="AD4" s="59" t="s">
        <v>72</v>
      </c>
      <c r="AE4" s="25"/>
      <c r="AF4" s="25"/>
      <c r="AG4" s="51" t="s">
        <v>78</v>
      </c>
      <c r="AH4" s="26"/>
      <c r="AI4" s="60" t="s">
        <v>122</v>
      </c>
      <c r="AJ4" s="61">
        <v>7</v>
      </c>
      <c r="AK4" s="62">
        <v>10.5</v>
      </c>
      <c r="AL4" s="19">
        <v>2</v>
      </c>
      <c r="AM4" s="19">
        <v>6.7</v>
      </c>
      <c r="AN4" s="19" t="s">
        <v>135</v>
      </c>
    </row>
    <row r="5" spans="1:41" x14ac:dyDescent="0.2">
      <c r="A5" s="112" t="s">
        <v>47</v>
      </c>
      <c r="B5" s="112"/>
      <c r="C5" s="128" t="str">
        <f>'Field data and Waste 1'!C5:D5</f>
        <v>Sion Sleep</v>
      </c>
      <c r="D5" s="129"/>
      <c r="E5" s="37"/>
      <c r="F5" s="46"/>
      <c r="G5" s="124"/>
      <c r="H5" s="125"/>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7" t="s">
        <v>63</v>
      </c>
      <c r="B7" s="10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2" t="s">
        <v>2</v>
      </c>
      <c r="B8" s="112"/>
      <c r="C8" s="67">
        <f>'Field data and Waste 1'!C8</f>
        <v>40</v>
      </c>
      <c r="D8" s="67">
        <f>'Field data and Waste 1'!D8</f>
        <v>46</v>
      </c>
      <c r="E8" s="67">
        <f>'Field data and Waste 1'!E8</f>
        <v>43</v>
      </c>
      <c r="F8" s="67">
        <f>'Field data and Waste 1'!F8</f>
        <v>23</v>
      </c>
      <c r="G8" s="67">
        <f>'Field data and Waste 1'!G8</f>
        <v>21</v>
      </c>
      <c r="H8" s="67">
        <f>'Field data and Waste 1'!H8</f>
        <v>0</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2" t="s">
        <v>3</v>
      </c>
      <c r="B9" s="112"/>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2" t="s">
        <v>4</v>
      </c>
      <c r="B10" s="112"/>
      <c r="C10" s="67">
        <f>'Field data and Waste 1'!C10</f>
        <v>6.7</v>
      </c>
      <c r="D10" s="67">
        <f>'Field data and Waste 1'!D10</f>
        <v>6.5</v>
      </c>
      <c r="E10" s="67">
        <f>'Field data and Waste 1'!E10</f>
        <v>5.8</v>
      </c>
      <c r="F10" s="67">
        <f>'Field data and Waste 1'!F10</f>
        <v>6.3</v>
      </c>
      <c r="G10" s="67">
        <f>'Field data and Waste 1'!G10</f>
        <v>6.3</v>
      </c>
      <c r="H10" s="67">
        <f>'Field data and Waste 1'!H10</f>
        <v>0</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2" t="s">
        <v>5</v>
      </c>
      <c r="B11" s="112"/>
      <c r="C11" s="67">
        <f>'Field data and Waste 1'!C11</f>
        <v>3</v>
      </c>
      <c r="D11" s="67">
        <f>'Field data and Waste 1'!D11</f>
        <v>3</v>
      </c>
      <c r="E11" s="67">
        <f>'Field data and Waste 1'!E11</f>
        <v>2</v>
      </c>
      <c r="F11" s="67">
        <f>'Field data and Waste 1'!F11</f>
        <v>4</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2" t="s">
        <v>6</v>
      </c>
      <c r="B12" s="112"/>
      <c r="C12" s="67">
        <f>'Field data and Waste 1'!C12</f>
        <v>2</v>
      </c>
      <c r="D12" s="67">
        <f>'Field data and Waste 1'!D12</f>
        <v>0</v>
      </c>
      <c r="E12" s="67">
        <f>'Field data and Waste 1'!E12</f>
        <v>1</v>
      </c>
      <c r="F12" s="67">
        <f>'Field data and Waste 1'!F12</f>
        <v>2</v>
      </c>
      <c r="G12" s="67">
        <f>'Field data and Waste 1'!G12</f>
        <v>1</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2" t="s">
        <v>7</v>
      </c>
      <c r="B13" s="112"/>
      <c r="C13" s="67">
        <f>'Field data and Waste 1'!C13</f>
        <v>3</v>
      </c>
      <c r="D13" s="67">
        <f>'Field data and Waste 1'!D13</f>
        <v>3</v>
      </c>
      <c r="E13" s="67">
        <f>'Field data and Waste 1'!E13</f>
        <v>3</v>
      </c>
      <c r="F13" s="67">
        <f>'Field data and Waste 1'!F13</f>
        <v>3</v>
      </c>
      <c r="G13" s="67">
        <f>'Field data and Waste 1'!G13</f>
        <v>3</v>
      </c>
      <c r="H13" s="67">
        <f>'Field data and Waste 1'!H13</f>
        <v>0</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6" t="s">
        <v>8</v>
      </c>
      <c r="B14" s="116"/>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f>'Field data and Waste 1'!H14</f>
        <v>0</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5" t="s">
        <v>9</v>
      </c>
      <c r="B15" s="115"/>
      <c r="C15" s="67">
        <f>'Field data and Waste 1'!C15</f>
        <v>38</v>
      </c>
      <c r="D15" s="67">
        <f>'Field data and Waste 1'!D15</f>
        <v>38</v>
      </c>
      <c r="E15" s="67">
        <f>'Field data and Waste 1'!E15</f>
        <v>38</v>
      </c>
      <c r="F15" s="67">
        <f>'Field data and Waste 1'!F15</f>
        <v>38</v>
      </c>
      <c r="G15" s="67">
        <f>'Field data and Waste 1'!G15</f>
        <v>38</v>
      </c>
      <c r="H15" s="67">
        <f>'Field data and Waste 1'!H15</f>
        <v>0</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7" t="s">
        <v>44</v>
      </c>
      <c r="B16" s="117"/>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f>'Field data and Waste 1'!H16</f>
        <v>0</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4" t="s">
        <v>69</v>
      </c>
      <c r="B17" s="105"/>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t="e">
        <f t="shared" si="0"/>
        <v>#N/A</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6" t="s">
        <v>23</v>
      </c>
      <c r="B18" s="107"/>
      <c r="C18" s="24">
        <f>$D31</f>
        <v>60.848960000000005</v>
      </c>
      <c r="D18" s="24">
        <f>$D32</f>
        <v>60.848960000000005</v>
      </c>
      <c r="E18" s="24">
        <f>$D33</f>
        <v>60.848960000000005</v>
      </c>
      <c r="F18" s="24">
        <f>$D34</f>
        <v>60.848960000000005</v>
      </c>
      <c r="G18" s="24">
        <f>$D35</f>
        <v>60.848960000000005</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6" t="s">
        <v>87</v>
      </c>
      <c r="B19" s="107"/>
      <c r="C19" s="24">
        <f>C18-C17</f>
        <v>-3.751039999999989</v>
      </c>
      <c r="D19" s="24">
        <f t="shared" ref="D19:V19" si="1">D18-D17</f>
        <v>-3.751039999999989</v>
      </c>
      <c r="E19" s="24">
        <f t="shared" si="1"/>
        <v>-3.751039999999989</v>
      </c>
      <c r="F19" s="24">
        <f t="shared" si="1"/>
        <v>-3.751039999999989</v>
      </c>
      <c r="G19" s="24">
        <f t="shared" si="1"/>
        <v>-3.751039999999989</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8" t="s">
        <v>88</v>
      </c>
      <c r="B20" s="109"/>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4" t="s">
        <v>85</v>
      </c>
      <c r="B21" s="105"/>
      <c r="C21" s="39">
        <f t="shared" ref="C21:V21" si="2">(VLOOKUP(C$14,$AI2:$AK24,3,FALSE))*C$15</f>
        <v>228</v>
      </c>
      <c r="D21" s="39">
        <f t="shared" si="2"/>
        <v>228</v>
      </c>
      <c r="E21" s="39">
        <f t="shared" si="2"/>
        <v>228</v>
      </c>
      <c r="F21" s="39">
        <f t="shared" si="2"/>
        <v>228</v>
      </c>
      <c r="G21" s="39">
        <f t="shared" si="2"/>
        <v>228</v>
      </c>
      <c r="H21" s="39" t="e">
        <f t="shared" si="2"/>
        <v>#N/A</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6" t="s">
        <v>86</v>
      </c>
      <c r="B22" s="107"/>
      <c r="C22" s="24">
        <f>$E31</f>
        <v>13.230900000000002</v>
      </c>
      <c r="D22" s="24">
        <f>$E32</f>
        <v>13.230900000000002</v>
      </c>
      <c r="E22" s="24">
        <f>$E33</f>
        <v>13.230900000000002</v>
      </c>
      <c r="F22" s="24">
        <f>$E34</f>
        <v>13.230900000000002</v>
      </c>
      <c r="G22" s="24">
        <f>$E35</f>
        <v>13.230900000000002</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6" t="s">
        <v>89</v>
      </c>
      <c r="B23" s="107"/>
      <c r="C23" s="24">
        <f>C22-C21</f>
        <v>-214.76910000000001</v>
      </c>
      <c r="D23" s="24">
        <f t="shared" ref="D23:V23" si="3">D22-D21</f>
        <v>-214.76910000000001</v>
      </c>
      <c r="E23" s="24">
        <f t="shared" si="3"/>
        <v>-214.76910000000001</v>
      </c>
      <c r="F23" s="24">
        <f t="shared" si="3"/>
        <v>-214.76910000000001</v>
      </c>
      <c r="G23" s="24">
        <f t="shared" si="3"/>
        <v>-214.76910000000001</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8" t="s">
        <v>90</v>
      </c>
      <c r="B24" s="109"/>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e">
        <f t="shared" si="4"/>
        <v>#N/A</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6.33</v>
      </c>
      <c r="C28" s="23">
        <v>1.02</v>
      </c>
      <c r="D28" s="23">
        <v>1328</v>
      </c>
      <c r="E28" s="23">
        <v>549</v>
      </c>
      <c r="F28" s="23">
        <v>144</v>
      </c>
      <c r="G28" s="23">
        <v>5.29</v>
      </c>
      <c r="H28" s="23">
        <v>27.4</v>
      </c>
      <c r="I28" s="23">
        <v>0.5</v>
      </c>
      <c r="J28" s="23">
        <v>1.0999999999999999E-2</v>
      </c>
      <c r="K28" s="30">
        <v>0.5</v>
      </c>
      <c r="L28" s="23">
        <v>0.61599999999999999</v>
      </c>
      <c r="M28" s="23">
        <v>1.53</v>
      </c>
      <c r="N28" s="23"/>
      <c r="O28" s="23"/>
      <c r="P28" s="23">
        <v>112</v>
      </c>
      <c r="Q28" s="23">
        <v>590</v>
      </c>
      <c r="R28" s="23"/>
      <c r="S28" s="23"/>
      <c r="T28" s="23"/>
      <c r="U28" s="23"/>
    </row>
    <row r="29" spans="1:40" s="15" customFormat="1" ht="27" x14ac:dyDescent="0.25">
      <c r="A29" s="110"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1"/>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40</v>
      </c>
      <c r="B31" s="23">
        <v>20</v>
      </c>
      <c r="C31" s="2">
        <f>IF(C$27="%w/w SAR",((C$28*10)*$B31),IF(C$27="%w/w DM",(((C$28*10)*($B$28/100))*$B31),IF(C$27="kg/t SAR",(C$28*$B31),IF(C$27="kg/t DM",((C$28*($B$28/100))*$B31),IF(C$27="mg/kg SAR",((C$28*0.001)*$B31),IF(C$27="mg/kg DM",(((C$28*0.001)*($B$28/100))*$B31),0))))))</f>
        <v>204</v>
      </c>
      <c r="D31" s="2">
        <f>(IF(D$27="%w/w SAR",((D$28*10)*$B31),IF(D$27="%w/w DM",(((D$28*10)*($B$28/100))*$B31),IF(D$27="kg/t SAR",(D$28*$B31),IF(D$27="kg/t DM",((D$28*($B$28/100))*$B31),IF(D$27="mg/kg SAR",((D$28*0.001)*$B31),IF(D$27="mg/kg DM",(((D$28*0.001)*($B$28/100))*$B31),"0")))))))*2.291</f>
        <v>60.848960000000005</v>
      </c>
      <c r="E31" s="2">
        <f>(IF(E$27="%w/w SAR",((E$28*10)*$B31),IF(E$27="%w/w DM",(((E$28*10)*($B$28/100))*$B31),IF(E$27="kg/t SAR",(E$28*$B31),IF(E$27="kg/t DM",((E$28*($B$28/100))*$B31),IF(E$27="mg/kg SAR",((E$28*0.001)*$B31),IF(E$27="mg/kg DM",(((E$28*0.001)*($B$28/100))*$B31),"0")))))))*1.205</f>
        <v>13.230900000000002</v>
      </c>
      <c r="F31" s="2">
        <f>(IF(F$27="%w/w SAR",((F$28*10)*$B31),IF(F$27="%w/w DM",(((F$28*10)*($B$28/100))*$B31),IF(F$27="kg/t SAR",(F$28*$B31),IF(F$27="kg/t DM",((F$28*($B$28/100))*$B31),IF(F$27="mg/kg SAR",((F$28*0.001)*$B31),IF(F$27="mg/kg DM",(((F$28*0.001)*($B$28/100))*$B31),"0")))))))*1.658</f>
        <v>4.7750400000000006</v>
      </c>
      <c r="G31" s="2">
        <f t="shared" ref="G31:P46" si="5">IF(G$27="%w/w SAR",((G$28*10)*$B31),IF(G$27="%w/w DM",(((G$28*10)*($B$28/100))*$B31),IF(G$27="kg/t SAR",(G$28*$B31),IF(G$27="kg/t DM",((G$28*($B$28/100))*$B31),IF(G$27="mg/kg SAR",((G$28*0.001)*$B31),IF(G$27="mg/kg DM",(((G$28*0.001)*($B$28/100))*$B31),0))))))</f>
        <v>0.10580000000000001</v>
      </c>
      <c r="H31" s="2">
        <f t="shared" si="5"/>
        <v>0.54800000000000004</v>
      </c>
      <c r="I31" s="2">
        <f t="shared" si="5"/>
        <v>0.01</v>
      </c>
      <c r="J31" s="2">
        <f t="shared" si="5"/>
        <v>2.1999999999999998E-4</v>
      </c>
      <c r="K31" s="2">
        <f t="shared" si="5"/>
        <v>0.01</v>
      </c>
      <c r="L31" s="2">
        <f t="shared" si="5"/>
        <v>1.2320000000000001E-2</v>
      </c>
      <c r="M31" s="2">
        <f t="shared" si="5"/>
        <v>3.0600000000000002E-2</v>
      </c>
      <c r="N31" s="2">
        <f t="shared" si="5"/>
        <v>0</v>
      </c>
      <c r="O31" s="2">
        <f t="shared" si="5"/>
        <v>0</v>
      </c>
      <c r="P31" s="2">
        <f t="shared" si="5"/>
        <v>2.2400000000000002</v>
      </c>
      <c r="Q31" s="2">
        <f>(IF(Q$27="%w/w SAR",((Q$28*10)*$B31),IF(Q$27="%w/w DM",(((Q$28*10)*($B$28/100))*$B31),IF(Q$27="kg/t SAR",(Q$28*$B31),IF(Q$27="kg/t DM",((Q$28*($B$28/100))*$B31),IF(Q$27="mg/kg SAR",((Q$28*0.001)*$B31),IF(Q$27="mg/kg DM",(((Q$28*0.001)*($B$28/100))*$B31),0)))))))*2.5</f>
        <v>29.499999999999996</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46</v>
      </c>
      <c r="B32" s="23">
        <v>20</v>
      </c>
      <c r="C32" s="2">
        <f t="shared" ref="C32:C50" si="6">IF(C$27="%w/w SAR",((C$28*10)*$B32),IF(C$27="%w/w DM",(((C$28*10)*($B$28/100))*$B32),IF(C$27="kg/t SAR",(C$28*$B32),IF(C$27="kg/t DM",((C$28*($B$28/100))*$B32),IF(C$27="mg/kg SAR",((C$28*0.001)*$B32),IF(C$27="mg/kg DM",(((C$28*0.001)*($B$28/100))*$B32),0))))))</f>
        <v>204</v>
      </c>
      <c r="D32" s="2">
        <f t="shared" ref="D32:D50" si="7">(IF(D$27="%w/w SAR",((D$28*10)*$B32),IF(D$27="%w/w DM",(((D$28*10)*($B$28/100))*$B32),IF(D$27="kg/t SAR",(D$28*$B32),IF(D$27="kg/t DM",((D$28*($B$28/100))*$B32),IF(D$27="mg/kg SAR",((D$28*0.001)*$B32),IF(D$27="mg/kg DM",(((D$28*0.001)*($B$28/100))*$B32),"0")))))))*2.291</f>
        <v>60.848960000000005</v>
      </c>
      <c r="E32" s="2">
        <f t="shared" ref="E32:E50" si="8">(IF(E$27="%w/w SAR",((E$28*10)*$B32),IF(E$27="%w/w DM",(((E$28*10)*($B$28/100))*$B32),IF(E$27="kg/t SAR",(E$28*$B32),IF(E$27="kg/t DM",((E$28*($B$28/100))*$B32),IF(E$27="mg/kg SAR",((E$28*0.001)*$B32),IF(E$27="mg/kg DM",(((E$28*0.001)*($B$28/100))*$B32),"0")))))))*1.205</f>
        <v>13.230900000000002</v>
      </c>
      <c r="F32" s="2">
        <f t="shared" ref="F32:F50" si="9">(IF(F$27="%w/w SAR",((F$28*10)*$B32),IF(F$27="%w/w DM",(((F$28*10)*($B$28/100))*$B32),IF(F$27="kg/t SAR",(F$28*$B32),IF(F$27="kg/t DM",((F$28*($B$28/100))*$B32),IF(F$27="mg/kg SAR",((F$28*0.001)*$B32),IF(F$27="mg/kg DM",(((F$28*0.001)*($B$28/100))*$B32),"0")))))))*1.658</f>
        <v>4.7750400000000006</v>
      </c>
      <c r="G32" s="2">
        <f t="shared" si="5"/>
        <v>0.10580000000000001</v>
      </c>
      <c r="H32" s="2">
        <f t="shared" si="5"/>
        <v>0.54800000000000004</v>
      </c>
      <c r="I32" s="2">
        <f t="shared" si="5"/>
        <v>0.01</v>
      </c>
      <c r="J32" s="2">
        <f t="shared" si="5"/>
        <v>2.1999999999999998E-4</v>
      </c>
      <c r="K32" s="2">
        <f t="shared" si="5"/>
        <v>0.01</v>
      </c>
      <c r="L32" s="2">
        <f t="shared" si="5"/>
        <v>1.2320000000000001E-2</v>
      </c>
      <c r="M32" s="2">
        <f t="shared" si="5"/>
        <v>3.0600000000000002E-2</v>
      </c>
      <c r="N32" s="2">
        <f t="shared" si="5"/>
        <v>0</v>
      </c>
      <c r="O32" s="2">
        <f t="shared" si="5"/>
        <v>0</v>
      </c>
      <c r="P32" s="2">
        <f t="shared" si="5"/>
        <v>2.2400000000000002</v>
      </c>
      <c r="Q32" s="2">
        <f t="shared" ref="Q32:Q50" si="10">(IF(Q$27="%w/w SAR",((Q$28*10)*$B32),IF(Q$27="%w/w DM",(((Q$28*10)*($B$28/100))*$B32),IF(Q$27="kg/t SAR",(Q$28*$B32),IF(Q$27="kg/t DM",((Q$28*($B$28/100))*$B32),IF(Q$27="mg/kg SAR",((Q$28*0.001)*$B32),IF(Q$27="mg/kg DM",(((Q$28*0.001)*($B$28/100))*$B32),0)))))))*2.5</f>
        <v>29.499999999999996</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43</v>
      </c>
      <c r="B33" s="23">
        <v>20</v>
      </c>
      <c r="C33" s="2">
        <f t="shared" si="6"/>
        <v>204</v>
      </c>
      <c r="D33" s="2">
        <f t="shared" si="7"/>
        <v>60.848960000000005</v>
      </c>
      <c r="E33" s="2">
        <f t="shared" si="8"/>
        <v>13.230900000000002</v>
      </c>
      <c r="F33" s="2">
        <f t="shared" si="9"/>
        <v>4.7750400000000006</v>
      </c>
      <c r="G33" s="2">
        <f t="shared" si="5"/>
        <v>0.10580000000000001</v>
      </c>
      <c r="H33" s="2">
        <f t="shared" si="5"/>
        <v>0.54800000000000004</v>
      </c>
      <c r="I33" s="2">
        <f t="shared" si="5"/>
        <v>0.01</v>
      </c>
      <c r="J33" s="2">
        <f t="shared" si="5"/>
        <v>2.1999999999999998E-4</v>
      </c>
      <c r="K33" s="2">
        <f t="shared" si="5"/>
        <v>0.01</v>
      </c>
      <c r="L33" s="2">
        <f t="shared" si="5"/>
        <v>1.2320000000000001E-2</v>
      </c>
      <c r="M33" s="2">
        <f t="shared" si="5"/>
        <v>3.0600000000000002E-2</v>
      </c>
      <c r="N33" s="2">
        <f t="shared" si="5"/>
        <v>0</v>
      </c>
      <c r="O33" s="2">
        <f t="shared" si="5"/>
        <v>0</v>
      </c>
      <c r="P33" s="2">
        <f t="shared" si="5"/>
        <v>2.2400000000000002</v>
      </c>
      <c r="Q33" s="2">
        <f t="shared" si="10"/>
        <v>29.499999999999996</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23</v>
      </c>
      <c r="B34" s="23">
        <v>20</v>
      </c>
      <c r="C34" s="2">
        <f t="shared" si="6"/>
        <v>204</v>
      </c>
      <c r="D34" s="2">
        <f t="shared" si="7"/>
        <v>60.848960000000005</v>
      </c>
      <c r="E34" s="2">
        <f t="shared" si="8"/>
        <v>13.230900000000002</v>
      </c>
      <c r="F34" s="2">
        <f t="shared" si="9"/>
        <v>4.7750400000000006</v>
      </c>
      <c r="G34" s="2">
        <f t="shared" si="5"/>
        <v>0.10580000000000001</v>
      </c>
      <c r="H34" s="2">
        <f t="shared" si="5"/>
        <v>0.54800000000000004</v>
      </c>
      <c r="I34" s="2">
        <f t="shared" si="5"/>
        <v>0.01</v>
      </c>
      <c r="J34" s="2">
        <f t="shared" si="5"/>
        <v>2.1999999999999998E-4</v>
      </c>
      <c r="K34" s="2">
        <f t="shared" si="5"/>
        <v>0.01</v>
      </c>
      <c r="L34" s="2">
        <f t="shared" si="5"/>
        <v>1.2320000000000001E-2</v>
      </c>
      <c r="M34" s="2">
        <f t="shared" si="5"/>
        <v>3.0600000000000002E-2</v>
      </c>
      <c r="N34" s="2">
        <f t="shared" si="5"/>
        <v>0</v>
      </c>
      <c r="O34" s="2">
        <f t="shared" si="5"/>
        <v>0</v>
      </c>
      <c r="P34" s="2">
        <f t="shared" si="5"/>
        <v>2.2400000000000002</v>
      </c>
      <c r="Q34" s="2">
        <f t="shared" si="10"/>
        <v>29.499999999999996</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21</v>
      </c>
      <c r="B35" s="23">
        <v>20</v>
      </c>
      <c r="C35" s="2">
        <f t="shared" si="6"/>
        <v>204</v>
      </c>
      <c r="D35" s="2">
        <f t="shared" si="7"/>
        <v>60.848960000000005</v>
      </c>
      <c r="E35" s="2">
        <f t="shared" si="8"/>
        <v>13.230900000000002</v>
      </c>
      <c r="F35" s="2">
        <f t="shared" si="9"/>
        <v>4.7750400000000006</v>
      </c>
      <c r="G35" s="2">
        <f t="shared" si="5"/>
        <v>0.10580000000000001</v>
      </c>
      <c r="H35" s="2">
        <f t="shared" si="5"/>
        <v>0.54800000000000004</v>
      </c>
      <c r="I35" s="2">
        <f t="shared" si="5"/>
        <v>0.01</v>
      </c>
      <c r="J35" s="2">
        <f t="shared" si="5"/>
        <v>2.1999999999999998E-4</v>
      </c>
      <c r="K35" s="2">
        <f t="shared" si="5"/>
        <v>0.01</v>
      </c>
      <c r="L35" s="2">
        <f t="shared" si="5"/>
        <v>1.2320000000000001E-2</v>
      </c>
      <c r="M35" s="2">
        <f t="shared" si="5"/>
        <v>3.0600000000000002E-2</v>
      </c>
      <c r="N35" s="2">
        <f t="shared" si="5"/>
        <v>0</v>
      </c>
      <c r="O35" s="2">
        <f t="shared" si="5"/>
        <v>0</v>
      </c>
      <c r="P35" s="2">
        <f t="shared" si="5"/>
        <v>2.2400000000000002</v>
      </c>
      <c r="Q35" s="2">
        <f t="shared" si="10"/>
        <v>29.499999999999996</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40</v>
      </c>
      <c r="C57" s="16">
        <f t="shared" ref="C57:U57" si="13">D8</f>
        <v>46</v>
      </c>
      <c r="D57" s="16">
        <f t="shared" si="13"/>
        <v>43</v>
      </c>
      <c r="E57" s="16">
        <f t="shared" si="13"/>
        <v>23</v>
      </c>
      <c r="F57" s="16">
        <f t="shared" si="13"/>
        <v>21</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"&amp;(VLOOKUP(C14,Table245810[],6,FALSE))</f>
        <v>Medium/Clay I Grass</v>
      </c>
      <c r="C58" s="44" t="str">
        <f>D16&amp;" I "&amp;(VLOOKUP(D14,Table245810[],6,FALSE))</f>
        <v>Medium/Clay I Grass</v>
      </c>
      <c r="D58" s="21" t="str">
        <f>E16&amp;" I "&amp;(VLOOKUP(E14,Table245810[],6,FALSE))</f>
        <v>Medium/Clay I Grass</v>
      </c>
      <c r="E58" s="21" t="str">
        <f>F16&amp;" I "&amp;(VLOOKUP(F14,Table245810[],6,FALSE))</f>
        <v>Medium/Clay I Grass</v>
      </c>
      <c r="F58" s="21" t="str">
        <f>G16&amp;" I "&amp;(VLOOKUP(G14,Table245810[],6,FALSE))</f>
        <v>Medium/Clay I Grass</v>
      </c>
      <c r="G58" s="21" t="e">
        <f>H16&amp;" I "&amp;(VLOOKUP(H14,Table245810[],6,FALSE))</f>
        <v>#N/A</v>
      </c>
      <c r="H58" s="21" t="e">
        <f>I16&amp;" I "&amp;(VLOOKUP(I14,Table245810[],6,FALSE))</f>
        <v>#N/A</v>
      </c>
      <c r="I58" s="21" t="e">
        <f>J16&amp;" I "&amp;(VLOOKUP(J14,Table245810[],6,FALSE))</f>
        <v>#N/A</v>
      </c>
      <c r="J58" s="21" t="e">
        <f>K16&amp;" I "&amp;(VLOOKUP(K14,Table245810[],6,FALSE))</f>
        <v>#N/A</v>
      </c>
      <c r="K58" s="21" t="e">
        <f>L16&amp;" I "&amp;(VLOOKUP(L14,Table245810[],6,FALSE))</f>
        <v>#N/A</v>
      </c>
      <c r="L58" s="21" t="e">
        <f>M16&amp;" I "&amp;(VLOOKUP(M14,Table245810[],6,FALSE))</f>
        <v>#N/A</v>
      </c>
      <c r="M58" s="21" t="e">
        <f>N16&amp;" I "&amp;(VLOOKUP(N14,Table245810[],6,FALSE))</f>
        <v>#N/A</v>
      </c>
      <c r="N58" s="21" t="e">
        <f>O16&amp;" I "&amp;(VLOOKUP(O14,Table245810[],6,FALSE))</f>
        <v>#N/A</v>
      </c>
      <c r="O58" s="21" t="e">
        <f>P16&amp;" I "&amp;(VLOOKUP(P14,Table245810[],6,FALSE))</f>
        <v>#N/A</v>
      </c>
      <c r="P58" s="21" t="e">
        <f>Q16&amp;" I "&amp;(VLOOKUP(Q14,Table245810[],6,FALSE))</f>
        <v>#N/A</v>
      </c>
      <c r="Q58" s="21" t="e">
        <f>R16&amp;" I "&amp;(VLOOKUP(R14,Table245810[],6,FALSE))</f>
        <v>#N/A</v>
      </c>
      <c r="R58" s="21" t="e">
        <f>S16&amp;" I "&amp;(VLOOKUP(S14,Table245810[],6,FALSE))</f>
        <v>#N/A</v>
      </c>
      <c r="S58" s="21" t="e">
        <f>T16&amp;" I "&amp;(VLOOKUP(T14,Table245810[],6,FALSE))</f>
        <v>#N/A</v>
      </c>
      <c r="T58" s="21" t="e">
        <f>U16&amp;" I "&amp;(VLOOKUP(U14,Table245810[],6,FALSE))</f>
        <v>#N/A</v>
      </c>
      <c r="U58" s="21" t="e">
        <f>V16&amp;" I "&amp;(VLOOKUP(V14,Table245810[],6,FALSE))</f>
        <v>#N/A</v>
      </c>
    </row>
    <row r="59" spans="1:35" s="27" customFormat="1" hidden="1" x14ac:dyDescent="0.2">
      <c r="A59" s="92" t="s">
        <v>130</v>
      </c>
      <c r="B59" s="93">
        <f>VLOOKUP(C$14,Table245810[],5,FALSE)</f>
        <v>6.2</v>
      </c>
      <c r="C59" s="93">
        <f>VLOOKUP(D$14,Table245810[],5,FALSE)</f>
        <v>6.2</v>
      </c>
      <c r="D59" s="93">
        <f>VLOOKUP(E$14,Table245810[],5,FALSE)</f>
        <v>6.2</v>
      </c>
      <c r="E59" s="93">
        <f>VLOOKUP(F$14,Table245810[],5,FALSE)</f>
        <v>6.2</v>
      </c>
      <c r="F59" s="93">
        <f>VLOOKUP(G$14,Table245810[],5,FALSE)</f>
        <v>6.2</v>
      </c>
      <c r="G59" s="93" t="e">
        <f>VLOOKUP(H$14,Table245810[],5,FALSE)</f>
        <v>#N/A</v>
      </c>
      <c r="H59" s="93" t="e">
        <f>VLOOKUP(I$14,Table245810[],5,FALSE)</f>
        <v>#N/A</v>
      </c>
      <c r="I59" s="93" t="e">
        <f>VLOOKUP(J$14,Table245810[],5,FALSE)</f>
        <v>#N/A</v>
      </c>
      <c r="J59" s="93" t="e">
        <f>VLOOKUP(K$14,Table245810[],5,FALSE)</f>
        <v>#N/A</v>
      </c>
      <c r="K59" s="93" t="e">
        <f>VLOOKUP(L$14,Table245810[],5,FALSE)</f>
        <v>#N/A</v>
      </c>
      <c r="L59" s="93" t="e">
        <f>VLOOKUP(M$14,Table245810[],5,FALSE)</f>
        <v>#N/A</v>
      </c>
      <c r="M59" s="93" t="e">
        <f>VLOOKUP(N$14,Table245810[],5,FALSE)</f>
        <v>#N/A</v>
      </c>
      <c r="N59" s="93" t="e">
        <f>VLOOKUP(O$14,Table245810[],5,FALSE)</f>
        <v>#N/A</v>
      </c>
      <c r="O59" s="93" t="e">
        <f>VLOOKUP(P$14,Table245810[],5,FALSE)</f>
        <v>#N/A</v>
      </c>
      <c r="P59" s="93" t="e">
        <f>VLOOKUP(Q$14,Table245810[],5,FALSE)</f>
        <v>#N/A</v>
      </c>
      <c r="Q59" s="93" t="e">
        <f>VLOOKUP(R$14,Table245810[],5,FALSE)</f>
        <v>#N/A</v>
      </c>
      <c r="R59" s="93" t="e">
        <f>VLOOKUP(S$14,Table245810[],5,FALSE)</f>
        <v>#N/A</v>
      </c>
      <c r="S59" s="93" t="e">
        <f>VLOOKUP(T$14,Table245810[],5,FALSE)</f>
        <v>#N/A</v>
      </c>
      <c r="T59" s="93" t="e">
        <f>VLOOKUP(U$14,Table245810[],5,FALSE)</f>
        <v>#N/A</v>
      </c>
      <c r="U59" s="93" t="e">
        <f>VLOOKUP(V$14,Table245810[],5,FALSE)</f>
        <v>#N/A</v>
      </c>
    </row>
    <row r="60" spans="1:35" s="27" customFormat="1" hidden="1" x14ac:dyDescent="0.2">
      <c r="A60" s="92" t="s">
        <v>4</v>
      </c>
      <c r="B60" s="93">
        <f>C10</f>
        <v>6.7</v>
      </c>
      <c r="C60" s="93">
        <f t="shared" ref="C60:U60" si="14">D10</f>
        <v>6.5</v>
      </c>
      <c r="D60" s="93">
        <f t="shared" si="14"/>
        <v>5.8</v>
      </c>
      <c r="E60" s="93">
        <f t="shared" si="14"/>
        <v>6.3</v>
      </c>
      <c r="F60" s="93">
        <f t="shared" si="14"/>
        <v>6.3</v>
      </c>
      <c r="G60" s="93">
        <f t="shared" si="14"/>
        <v>0</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t="e">
        <f t="shared" si="15"/>
        <v>#N/A</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20</v>
      </c>
      <c r="C62" s="94">
        <f>B32</f>
        <v>20</v>
      </c>
      <c r="D62" s="94">
        <f>B33</f>
        <v>20</v>
      </c>
      <c r="E62" s="94">
        <f>B34</f>
        <v>20</v>
      </c>
      <c r="F62" s="94">
        <f>B35</f>
        <v>20</v>
      </c>
      <c r="G62" s="94">
        <f>B36</f>
        <v>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v>
      </c>
      <c r="C64" s="94">
        <f t="shared" ref="C64:U64" si="17">(C59-C60)*C61</f>
        <v>-1.7999999999999989</v>
      </c>
      <c r="D64" s="94">
        <f t="shared" si="17"/>
        <v>2.4000000000000021</v>
      </c>
      <c r="E64" s="94">
        <f t="shared" si="17"/>
        <v>-0.59999999999999787</v>
      </c>
      <c r="F64" s="94">
        <f t="shared" si="17"/>
        <v>-0.59999999999999787</v>
      </c>
      <c r="G64" s="94" t="e">
        <f t="shared" si="17"/>
        <v>#N/A</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UNDER</v>
      </c>
      <c r="E65" s="95" t="str">
        <f t="shared" si="18"/>
        <v>OVER</v>
      </c>
      <c r="F65" s="95" t="str">
        <f t="shared" si="18"/>
        <v>OVER</v>
      </c>
      <c r="G65" s="95" t="e">
        <f t="shared" si="18"/>
        <v>#N/A</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99" priority="33" operator="equal">
      <formula>"DECREASE"</formula>
    </cfRule>
    <cfRule type="cellIs" dxfId="198" priority="34" operator="equal">
      <formula>"INCREASE"</formula>
    </cfRule>
  </conditionalFormatting>
  <conditionalFormatting sqref="B62:U65 B31:B50">
    <cfRule type="cellIs" dxfId="197" priority="32" operator="greaterThan">
      <formula>$B$51</formula>
    </cfRule>
  </conditionalFormatting>
  <conditionalFormatting sqref="C31:C50">
    <cfRule type="cellIs" dxfId="196" priority="31" operator="greaterThan">
      <formula>$C$51</formula>
    </cfRule>
  </conditionalFormatting>
  <conditionalFormatting sqref="C18:V18">
    <cfRule type="cellIs" dxfId="195" priority="30" operator="equal">
      <formula>0</formula>
    </cfRule>
  </conditionalFormatting>
  <conditionalFormatting sqref="C17:V17">
    <cfRule type="cellIs" dxfId="194" priority="29" operator="equal">
      <formula>0</formula>
    </cfRule>
  </conditionalFormatting>
  <conditionalFormatting sqref="C19:V19">
    <cfRule type="cellIs" dxfId="193" priority="28" operator="equal">
      <formula>0</formula>
    </cfRule>
  </conditionalFormatting>
  <conditionalFormatting sqref="G31:G50">
    <cfRule type="cellIs" dxfId="192" priority="27" operator="greaterThan">
      <formula>$G$51</formula>
    </cfRule>
  </conditionalFormatting>
  <conditionalFormatting sqref="H31:H50">
    <cfRule type="cellIs" dxfId="191" priority="26" operator="greaterThan">
      <formula>$H$51</formula>
    </cfRule>
  </conditionalFormatting>
  <conditionalFormatting sqref="I31:I50">
    <cfRule type="cellIs" dxfId="190" priority="25" operator="greaterThan">
      <formula>$I$51</formula>
    </cfRule>
  </conditionalFormatting>
  <conditionalFormatting sqref="K31:K50">
    <cfRule type="cellIs" dxfId="189" priority="24" operator="greaterThan">
      <formula>$K$51</formula>
    </cfRule>
  </conditionalFormatting>
  <conditionalFormatting sqref="L31:L50">
    <cfRule type="cellIs" dxfId="188" priority="23" operator="greaterThan">
      <formula>$L$51</formula>
    </cfRule>
  </conditionalFormatting>
  <conditionalFormatting sqref="M31:M50">
    <cfRule type="cellIs" dxfId="187" priority="22" operator="greaterThan">
      <formula>$M$51</formula>
    </cfRule>
  </conditionalFormatting>
  <conditionalFormatting sqref="P31:P50">
    <cfRule type="cellIs" dxfId="186" priority="21" operator="greaterThan">
      <formula>$P$51</formula>
    </cfRule>
  </conditionalFormatting>
  <conditionalFormatting sqref="R31:R50">
    <cfRule type="cellIs" dxfId="185" priority="20" operator="greaterThan">
      <formula>$R$51</formula>
    </cfRule>
  </conditionalFormatting>
  <conditionalFormatting sqref="S31:S50">
    <cfRule type="cellIs" dxfId="184" priority="19" operator="greaterThan">
      <formula>$S$51</formula>
    </cfRule>
  </conditionalFormatting>
  <conditionalFormatting sqref="T31:T50">
    <cfRule type="cellIs" dxfId="183" priority="18" operator="greaterThan">
      <formula>$T$51</formula>
    </cfRule>
  </conditionalFormatting>
  <conditionalFormatting sqref="U31:U50">
    <cfRule type="cellIs" dxfId="182" priority="17" operator="greaterThan">
      <formula>$U$51</formula>
    </cfRule>
  </conditionalFormatting>
  <conditionalFormatting sqref="C22:V22">
    <cfRule type="cellIs" dxfId="181" priority="16" operator="equal">
      <formula>0</formula>
    </cfRule>
  </conditionalFormatting>
  <conditionalFormatting sqref="C24:V24">
    <cfRule type="cellIs" dxfId="180" priority="14" operator="equal">
      <formula>"DECREASE"</formula>
    </cfRule>
    <cfRule type="cellIs" dxfId="179" priority="15" operator="equal">
      <formula>"INCREASE"</formula>
    </cfRule>
  </conditionalFormatting>
  <conditionalFormatting sqref="C23:V23">
    <cfRule type="cellIs" dxfId="178" priority="13" operator="equal">
      <formula>0</formula>
    </cfRule>
  </conditionalFormatting>
  <conditionalFormatting sqref="C21:V21">
    <cfRule type="cellIs" dxfId="177" priority="9" operator="equal">
      <formula>0</formula>
    </cfRule>
  </conditionalFormatting>
  <conditionalFormatting sqref="B65:U65">
    <cfRule type="cellIs" dxfId="176" priority="7" operator="equal">
      <formula>"UNDER"</formula>
    </cfRule>
    <cfRule type="cellIs" dxfId="175" priority="8" operator="equal">
      <formula>"OVER"</formula>
    </cfRule>
  </conditionalFormatting>
  <conditionalFormatting sqref="J31:J50">
    <cfRule type="cellIs" dxfId="174" priority="4" operator="greaterThan">
      <formula>$J$51</formula>
    </cfRule>
  </conditionalFormatting>
  <conditionalFormatting sqref="I1">
    <cfRule type="cellIs" dxfId="173" priority="3" operator="lessThan">
      <formula>5</formula>
    </cfRule>
  </conditionalFormatting>
  <conditionalFormatting sqref="I2">
    <cfRule type="cellIs" dxfId="172" priority="2" operator="greaterThan">
      <formula>5000.1</formula>
    </cfRule>
  </conditionalFormatting>
  <conditionalFormatting sqref="I3">
    <cfRule type="cellIs" dxfId="171" priority="1" operator="greaterThan">
      <formula>4.1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5"/>
  <sheetViews>
    <sheetView zoomScale="90" zoomScaleNormal="90" workbookViewId="0">
      <selection activeCell="D41" sqref="D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2" t="s">
        <v>41</v>
      </c>
      <c r="B1" s="112"/>
      <c r="C1" s="128" t="str">
        <f>'Field data and Waste 1'!C1:D1</f>
        <v>PAN-012063</v>
      </c>
      <c r="D1" s="129"/>
      <c r="E1" s="37" t="s">
        <v>45</v>
      </c>
      <c r="F1" s="46">
        <f>'Field data and Waste 1'!F1</f>
        <v>43.3</v>
      </c>
      <c r="G1" s="124" t="s">
        <v>43</v>
      </c>
      <c r="H1" s="125"/>
      <c r="I1" s="103">
        <v>4.18</v>
      </c>
      <c r="AB1" s="26"/>
      <c r="AC1" s="26"/>
      <c r="AD1" s="43" t="s">
        <v>124</v>
      </c>
      <c r="AE1" s="25"/>
      <c r="AF1" s="25"/>
      <c r="AG1" s="26"/>
      <c r="AH1" s="26"/>
      <c r="AI1" s="47" t="s">
        <v>79</v>
      </c>
      <c r="AJ1" s="48" t="s">
        <v>91</v>
      </c>
      <c r="AK1" s="49" t="s">
        <v>92</v>
      </c>
      <c r="AL1" s="50" t="s">
        <v>123</v>
      </c>
      <c r="AM1" s="50" t="s">
        <v>129</v>
      </c>
      <c r="AN1" s="50" t="s">
        <v>109</v>
      </c>
    </row>
    <row r="2" spans="1:41" x14ac:dyDescent="0.2">
      <c r="A2" s="112" t="s">
        <v>84</v>
      </c>
      <c r="B2" s="112"/>
      <c r="C2" s="130" t="str">
        <f>'Field data and Waste 1'!C2:D2</f>
        <v>EPR-KP3594VE</v>
      </c>
      <c r="D2" s="131"/>
      <c r="E2" s="37" t="s">
        <v>106</v>
      </c>
      <c r="F2" s="103" t="s">
        <v>166</v>
      </c>
      <c r="G2" s="126" t="s">
        <v>107</v>
      </c>
      <c r="H2" s="127"/>
      <c r="I2" s="103">
        <v>200</v>
      </c>
      <c r="AB2" s="43" t="s">
        <v>56</v>
      </c>
      <c r="AC2" s="25"/>
      <c r="AD2" s="43" t="s">
        <v>70</v>
      </c>
      <c r="AE2" s="25"/>
      <c r="AF2" s="25"/>
      <c r="AG2" s="51" t="s">
        <v>76</v>
      </c>
      <c r="AH2" s="26"/>
      <c r="AI2" s="52" t="s">
        <v>124</v>
      </c>
      <c r="AJ2" s="53">
        <v>0</v>
      </c>
      <c r="AK2" s="54">
        <v>0</v>
      </c>
      <c r="AL2" s="18">
        <v>0</v>
      </c>
      <c r="AM2" s="19">
        <v>0</v>
      </c>
      <c r="AN2" s="19">
        <v>0</v>
      </c>
    </row>
    <row r="3" spans="1:41" x14ac:dyDescent="0.2">
      <c r="A3" s="113" t="s">
        <v>42</v>
      </c>
      <c r="B3" s="114"/>
      <c r="C3" s="130" t="str">
        <f>'Field data and Waste 1'!C3:D3</f>
        <v>Trade Effluent Services Ltd</v>
      </c>
      <c r="D3" s="131"/>
      <c r="E3" s="37" t="s">
        <v>105</v>
      </c>
      <c r="F3" s="45" t="s">
        <v>78</v>
      </c>
      <c r="G3" s="124" t="s">
        <v>108</v>
      </c>
      <c r="H3" s="125"/>
      <c r="I3" s="35"/>
      <c r="AB3" s="43" t="s">
        <v>57</v>
      </c>
      <c r="AC3" s="25"/>
      <c r="AD3" s="43" t="s">
        <v>71</v>
      </c>
      <c r="AE3" s="25"/>
      <c r="AF3" s="25"/>
      <c r="AG3" s="51" t="s">
        <v>77</v>
      </c>
      <c r="AH3" s="26"/>
      <c r="AI3" s="55" t="s">
        <v>111</v>
      </c>
      <c r="AJ3" s="56">
        <v>1.7</v>
      </c>
      <c r="AK3" s="57">
        <v>6</v>
      </c>
      <c r="AL3" s="58">
        <v>1</v>
      </c>
      <c r="AM3" s="19">
        <v>6.2</v>
      </c>
      <c r="AN3" s="19" t="s">
        <v>110</v>
      </c>
    </row>
    <row r="4" spans="1:41" x14ac:dyDescent="0.2">
      <c r="A4" s="112" t="s">
        <v>0</v>
      </c>
      <c r="B4" s="112"/>
      <c r="C4" s="128" t="str">
        <f>'Field data and Waste 1'!C4:D4</f>
        <v>Brookhouse Farm, Hanmer, Whitchurch, SY13 3EG</v>
      </c>
      <c r="D4" s="129"/>
      <c r="E4" s="38" t="s">
        <v>1</v>
      </c>
      <c r="F4" s="103" t="s">
        <v>170</v>
      </c>
      <c r="G4" s="124"/>
      <c r="H4" s="125"/>
      <c r="I4" s="46"/>
      <c r="AB4" s="43" t="s">
        <v>52</v>
      </c>
      <c r="AC4" s="25"/>
      <c r="AD4" s="59" t="s">
        <v>72</v>
      </c>
      <c r="AE4" s="25"/>
      <c r="AF4" s="25"/>
      <c r="AG4" s="51" t="s">
        <v>78</v>
      </c>
      <c r="AH4" s="26"/>
      <c r="AI4" s="60" t="s">
        <v>122</v>
      </c>
      <c r="AJ4" s="61">
        <v>7</v>
      </c>
      <c r="AK4" s="62">
        <v>10.5</v>
      </c>
      <c r="AL4" s="19">
        <v>2</v>
      </c>
      <c r="AM4" s="19">
        <v>6.7</v>
      </c>
      <c r="AN4" s="19" t="s">
        <v>135</v>
      </c>
    </row>
    <row r="5" spans="1:41" x14ac:dyDescent="0.2">
      <c r="A5" s="112" t="s">
        <v>47</v>
      </c>
      <c r="B5" s="112"/>
      <c r="C5" s="128" t="str">
        <f>'Field data and Waste 1'!C5:D5</f>
        <v>Sion Sleep</v>
      </c>
      <c r="D5" s="129"/>
      <c r="E5" s="37"/>
      <c r="F5" s="46"/>
      <c r="G5" s="124"/>
      <c r="H5" s="125"/>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7" t="s">
        <v>63</v>
      </c>
      <c r="B7" s="10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2" t="s">
        <v>2</v>
      </c>
      <c r="B8" s="112"/>
      <c r="C8" s="67">
        <f>'Field data and Waste 1'!C8</f>
        <v>40</v>
      </c>
      <c r="D8" s="67">
        <f>'Field data and Waste 1'!D8</f>
        <v>46</v>
      </c>
      <c r="E8" s="67">
        <f>'Field data and Waste 1'!E8</f>
        <v>43</v>
      </c>
      <c r="F8" s="67">
        <f>'Field data and Waste 1'!F8</f>
        <v>23</v>
      </c>
      <c r="G8" s="67">
        <f>'Field data and Waste 1'!G8</f>
        <v>21</v>
      </c>
      <c r="H8" s="67">
        <f>'Field data and Waste 1'!H8</f>
        <v>0</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2" t="s">
        <v>3</v>
      </c>
      <c r="B9" s="112"/>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2" t="s">
        <v>4</v>
      </c>
      <c r="B10" s="112"/>
      <c r="C10" s="67">
        <f>'Field data and Waste 1'!C10</f>
        <v>6.7</v>
      </c>
      <c r="D10" s="67">
        <f>'Field data and Waste 1'!D10</f>
        <v>6.5</v>
      </c>
      <c r="E10" s="67">
        <f>'Field data and Waste 1'!E10</f>
        <v>5.8</v>
      </c>
      <c r="F10" s="67">
        <f>'Field data and Waste 1'!F10</f>
        <v>6.3</v>
      </c>
      <c r="G10" s="67">
        <f>'Field data and Waste 1'!G10</f>
        <v>6.3</v>
      </c>
      <c r="H10" s="67">
        <f>'Field data and Waste 1'!H10</f>
        <v>0</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2" t="s">
        <v>5</v>
      </c>
      <c r="B11" s="112"/>
      <c r="C11" s="67">
        <f>'Field data and Waste 1'!C11</f>
        <v>3</v>
      </c>
      <c r="D11" s="67">
        <f>'Field data and Waste 1'!D11</f>
        <v>3</v>
      </c>
      <c r="E11" s="67">
        <f>'Field data and Waste 1'!E11</f>
        <v>2</v>
      </c>
      <c r="F11" s="67">
        <f>'Field data and Waste 1'!F11</f>
        <v>4</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2" t="s">
        <v>6</v>
      </c>
      <c r="B12" s="112"/>
      <c r="C12" s="67">
        <f>'Field data and Waste 1'!C12</f>
        <v>2</v>
      </c>
      <c r="D12" s="67">
        <f>'Field data and Waste 1'!D12</f>
        <v>0</v>
      </c>
      <c r="E12" s="67">
        <f>'Field data and Waste 1'!E12</f>
        <v>1</v>
      </c>
      <c r="F12" s="67">
        <f>'Field data and Waste 1'!F12</f>
        <v>2</v>
      </c>
      <c r="G12" s="67">
        <f>'Field data and Waste 1'!G12</f>
        <v>1</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2" t="s">
        <v>7</v>
      </c>
      <c r="B13" s="112"/>
      <c r="C13" s="67">
        <f>'Field data and Waste 1'!C13</f>
        <v>3</v>
      </c>
      <c r="D13" s="67">
        <f>'Field data and Waste 1'!D13</f>
        <v>3</v>
      </c>
      <c r="E13" s="67">
        <f>'Field data and Waste 1'!E13</f>
        <v>3</v>
      </c>
      <c r="F13" s="67">
        <f>'Field data and Waste 1'!F13</f>
        <v>3</v>
      </c>
      <c r="G13" s="67">
        <f>'Field data and Waste 1'!G13</f>
        <v>3</v>
      </c>
      <c r="H13" s="67">
        <f>'Field data and Waste 1'!H13</f>
        <v>0</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6" t="s">
        <v>8</v>
      </c>
      <c r="B14" s="116"/>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f>'Field data and Waste 1'!H14</f>
        <v>0</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5" t="s">
        <v>9</v>
      </c>
      <c r="B15" s="115"/>
      <c r="C15" s="67">
        <f>'Field data and Waste 1'!C15</f>
        <v>38</v>
      </c>
      <c r="D15" s="67">
        <f>'Field data and Waste 1'!D15</f>
        <v>38</v>
      </c>
      <c r="E15" s="67">
        <f>'Field data and Waste 1'!E15</f>
        <v>38</v>
      </c>
      <c r="F15" s="67">
        <f>'Field data and Waste 1'!F15</f>
        <v>38</v>
      </c>
      <c r="G15" s="67">
        <f>'Field data and Waste 1'!G15</f>
        <v>38</v>
      </c>
      <c r="H15" s="67">
        <f>'Field data and Waste 1'!H15</f>
        <v>0</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7" t="s">
        <v>44</v>
      </c>
      <c r="B16" s="117"/>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f>'Field data and Waste 1'!H16</f>
        <v>0</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4" t="s">
        <v>69</v>
      </c>
      <c r="B17" s="105"/>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t="e">
        <f t="shared" si="0"/>
        <v>#N/A</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6" t="s">
        <v>23</v>
      </c>
      <c r="B18" s="107"/>
      <c r="C18" s="24">
        <f>$D31</f>
        <v>62.716124999999998</v>
      </c>
      <c r="D18" s="24">
        <f>$D32</f>
        <v>62.716124999999998</v>
      </c>
      <c r="E18" s="24">
        <f>$D33</f>
        <v>62.716124999999998</v>
      </c>
      <c r="F18" s="24">
        <f>$D34</f>
        <v>62.716124999999998</v>
      </c>
      <c r="G18" s="24">
        <f>$D35</f>
        <v>62.716124999999998</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6" t="s">
        <v>87</v>
      </c>
      <c r="B19" s="107"/>
      <c r="C19" s="24">
        <f>C18-C17</f>
        <v>-1.8838749999999962</v>
      </c>
      <c r="D19" s="24">
        <f t="shared" ref="D19:V19" si="1">D18-D17</f>
        <v>-1.8838749999999962</v>
      </c>
      <c r="E19" s="24">
        <f t="shared" si="1"/>
        <v>-1.8838749999999962</v>
      </c>
      <c r="F19" s="24">
        <f t="shared" si="1"/>
        <v>-1.8838749999999962</v>
      </c>
      <c r="G19" s="24">
        <f t="shared" si="1"/>
        <v>-1.8838749999999962</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8" t="s">
        <v>88</v>
      </c>
      <c r="B20" s="109"/>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4" t="s">
        <v>85</v>
      </c>
      <c r="B21" s="105"/>
      <c r="C21" s="39">
        <f t="shared" ref="C21:V21" si="2">(VLOOKUP(C$14,$AI2:$AK24,3,FALSE))*C$15</f>
        <v>228</v>
      </c>
      <c r="D21" s="39">
        <f t="shared" si="2"/>
        <v>228</v>
      </c>
      <c r="E21" s="39">
        <f t="shared" si="2"/>
        <v>228</v>
      </c>
      <c r="F21" s="39">
        <f t="shared" si="2"/>
        <v>228</v>
      </c>
      <c r="G21" s="39">
        <f t="shared" si="2"/>
        <v>228</v>
      </c>
      <c r="H21" s="39" t="e">
        <f t="shared" si="2"/>
        <v>#N/A</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6" t="s">
        <v>86</v>
      </c>
      <c r="B22" s="107"/>
      <c r="C22" s="24">
        <f>$E31</f>
        <v>34.570245</v>
      </c>
      <c r="D22" s="24">
        <f>$E32</f>
        <v>34.570245</v>
      </c>
      <c r="E22" s="24">
        <f>$E33</f>
        <v>34.570245</v>
      </c>
      <c r="F22" s="24">
        <f>$E34</f>
        <v>34.570245</v>
      </c>
      <c r="G22" s="24">
        <f>$E35</f>
        <v>34.570245</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6" t="s">
        <v>89</v>
      </c>
      <c r="B23" s="107"/>
      <c r="C23" s="24">
        <f>C22-C21</f>
        <v>-193.429755</v>
      </c>
      <c r="D23" s="24">
        <f t="shared" ref="D23:V23" si="3">D22-D21</f>
        <v>-193.429755</v>
      </c>
      <c r="E23" s="24">
        <f t="shared" si="3"/>
        <v>-193.429755</v>
      </c>
      <c r="F23" s="24">
        <f t="shared" si="3"/>
        <v>-193.429755</v>
      </c>
      <c r="G23" s="24">
        <f t="shared" si="3"/>
        <v>-193.429755</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8" t="s">
        <v>90</v>
      </c>
      <c r="B24" s="109"/>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e">
        <f t="shared" si="4"/>
        <v>#N/A</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2.0099999999999998</v>
      </c>
      <c r="C28" s="23">
        <v>0.09</v>
      </c>
      <c r="D28" s="23">
        <v>125</v>
      </c>
      <c r="E28" s="23">
        <v>131</v>
      </c>
      <c r="F28" s="23">
        <v>18</v>
      </c>
      <c r="G28" s="23">
        <v>0.95799999999999996</v>
      </c>
      <c r="H28" s="23">
        <v>1.8</v>
      </c>
      <c r="I28" s="23">
        <v>0.5</v>
      </c>
      <c r="J28" s="23">
        <v>0.01</v>
      </c>
      <c r="K28" s="30">
        <v>0.05</v>
      </c>
      <c r="L28" s="23">
        <v>0.2</v>
      </c>
      <c r="M28" s="23">
        <v>0.20100000000000001</v>
      </c>
      <c r="N28" s="23"/>
      <c r="O28" s="23"/>
      <c r="P28" s="23">
        <v>141</v>
      </c>
      <c r="Q28" s="23">
        <v>64.400000000000006</v>
      </c>
      <c r="R28" s="23"/>
      <c r="S28" s="23"/>
      <c r="T28" s="23"/>
      <c r="U28" s="23"/>
    </row>
    <row r="29" spans="1:40" s="15" customFormat="1" ht="27" x14ac:dyDescent="0.25">
      <c r="A29" s="110"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1"/>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40</v>
      </c>
      <c r="B31" s="23">
        <v>219</v>
      </c>
      <c r="C31" s="2">
        <f>IF(C$27="%w/w SAR",((C$28*10)*$B31),IF(C$27="%w/w DM",(((C$28*10)*($B$28/100))*$B31),IF(C$27="kg/t SAR",(C$28*$B31),IF(C$27="kg/t DM",((C$28*($B$28/100))*$B31),IF(C$27="mg/kg SAR",((C$28*0.001)*$B31),IF(C$27="mg/kg DM",(((C$28*0.001)*($B$28/100))*$B31),0))))))</f>
        <v>197.1</v>
      </c>
      <c r="D31" s="2">
        <f>(IF(D$27="%w/w SAR",((D$28*10)*$B31),IF(D$27="%w/w DM",(((D$28*10)*($B$28/100))*$B31),IF(D$27="kg/t SAR",(D$28*$B31),IF(D$27="kg/t DM",((D$28*($B$28/100))*$B31),IF(D$27="mg/kg SAR",((D$28*0.001)*$B31),IF(D$27="mg/kg DM",(((D$28*0.001)*($B$28/100))*$B31),"0")))))))*2.291</f>
        <v>62.716124999999998</v>
      </c>
      <c r="E31" s="2">
        <f>(IF(E$27="%w/w SAR",((E$28*10)*$B31),IF(E$27="%w/w DM",(((E$28*10)*($B$28/100))*$B31),IF(E$27="kg/t SAR",(E$28*$B31),IF(E$27="kg/t DM",((E$28*($B$28/100))*$B31),IF(E$27="mg/kg SAR",((E$28*0.001)*$B31),IF(E$27="mg/kg DM",(((E$28*0.001)*($B$28/100))*$B31),"0")))))))*1.205</f>
        <v>34.570245</v>
      </c>
      <c r="F31" s="2">
        <f>(IF(F$27="%w/w SAR",((F$28*10)*$B31),IF(F$27="%w/w DM",(((F$28*10)*($B$28/100))*$B31),IF(F$27="kg/t SAR",(F$28*$B31),IF(F$27="kg/t DM",((F$28*($B$28/100))*$B31),IF(F$27="mg/kg SAR",((F$28*0.001)*$B31),IF(F$27="mg/kg DM",(((F$28*0.001)*($B$28/100))*$B31),"0")))))))*1.658</f>
        <v>6.5358360000000006</v>
      </c>
      <c r="G31" s="2">
        <f t="shared" ref="G31:P46" si="5">IF(G$27="%w/w SAR",((G$28*10)*$B31),IF(G$27="%w/w DM",(((G$28*10)*($B$28/100))*$B31),IF(G$27="kg/t SAR",(G$28*$B31),IF(G$27="kg/t DM",((G$28*($B$28/100))*$B31),IF(G$27="mg/kg SAR",((G$28*0.001)*$B31),IF(G$27="mg/kg DM",(((G$28*0.001)*($B$28/100))*$B31),0))))))</f>
        <v>0.20980199999999999</v>
      </c>
      <c r="H31" s="2">
        <f t="shared" si="5"/>
        <v>0.39420000000000005</v>
      </c>
      <c r="I31" s="2">
        <f t="shared" si="5"/>
        <v>0.1095</v>
      </c>
      <c r="J31" s="2">
        <f t="shared" si="5"/>
        <v>2.1900000000000001E-3</v>
      </c>
      <c r="K31" s="2">
        <f t="shared" si="5"/>
        <v>1.095E-2</v>
      </c>
      <c r="L31" s="2">
        <f t="shared" si="5"/>
        <v>4.3799999999999999E-2</v>
      </c>
      <c r="M31" s="2">
        <f t="shared" si="5"/>
        <v>4.4019000000000003E-2</v>
      </c>
      <c r="N31" s="2">
        <f t="shared" si="5"/>
        <v>0</v>
      </c>
      <c r="O31" s="2">
        <f t="shared" si="5"/>
        <v>0</v>
      </c>
      <c r="P31" s="2">
        <f t="shared" si="5"/>
        <v>30.879000000000005</v>
      </c>
      <c r="Q31" s="2">
        <f>(IF(Q$27="%w/w SAR",((Q$28*10)*$B31),IF(Q$27="%w/w DM",(((Q$28*10)*($B$28/100))*$B31),IF(Q$27="kg/t SAR",(Q$28*$B31),IF(Q$27="kg/t DM",((Q$28*($B$28/100))*$B31),IF(Q$27="mg/kg SAR",((Q$28*0.001)*$B31),IF(Q$27="mg/kg DM",(((Q$28*0.001)*($B$28/100))*$B31),0)))))))*2.5</f>
        <v>35.259000000000007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46</v>
      </c>
      <c r="B32" s="23">
        <v>219</v>
      </c>
      <c r="C32" s="2">
        <f t="shared" ref="C32:C50" si="6">IF(C$27="%w/w SAR",((C$28*10)*$B32),IF(C$27="%w/w DM",(((C$28*10)*($B$28/100))*$B32),IF(C$27="kg/t SAR",(C$28*$B32),IF(C$27="kg/t DM",((C$28*($B$28/100))*$B32),IF(C$27="mg/kg SAR",((C$28*0.001)*$B32),IF(C$27="mg/kg DM",(((C$28*0.001)*($B$28/100))*$B32),0))))))</f>
        <v>197.1</v>
      </c>
      <c r="D32" s="2">
        <f t="shared" ref="D32:D50" si="7">(IF(D$27="%w/w SAR",((D$28*10)*$B32),IF(D$27="%w/w DM",(((D$28*10)*($B$28/100))*$B32),IF(D$27="kg/t SAR",(D$28*$B32),IF(D$27="kg/t DM",((D$28*($B$28/100))*$B32),IF(D$27="mg/kg SAR",((D$28*0.001)*$B32),IF(D$27="mg/kg DM",(((D$28*0.001)*($B$28/100))*$B32),"0")))))))*2.291</f>
        <v>62.716124999999998</v>
      </c>
      <c r="E32" s="2">
        <f t="shared" ref="E32:E50" si="8">(IF(E$27="%w/w SAR",((E$28*10)*$B32),IF(E$27="%w/w DM",(((E$28*10)*($B$28/100))*$B32),IF(E$27="kg/t SAR",(E$28*$B32),IF(E$27="kg/t DM",((E$28*($B$28/100))*$B32),IF(E$27="mg/kg SAR",((E$28*0.001)*$B32),IF(E$27="mg/kg DM",(((E$28*0.001)*($B$28/100))*$B32),"0")))))))*1.205</f>
        <v>34.570245</v>
      </c>
      <c r="F32" s="2">
        <f t="shared" ref="F32:F50" si="9">(IF(F$27="%w/w SAR",((F$28*10)*$B32),IF(F$27="%w/w DM",(((F$28*10)*($B$28/100))*$B32),IF(F$27="kg/t SAR",(F$28*$B32),IF(F$27="kg/t DM",((F$28*($B$28/100))*$B32),IF(F$27="mg/kg SAR",((F$28*0.001)*$B32),IF(F$27="mg/kg DM",(((F$28*0.001)*($B$28/100))*$B32),"0")))))))*1.658</f>
        <v>6.5358360000000006</v>
      </c>
      <c r="G32" s="2">
        <f t="shared" si="5"/>
        <v>0.20980199999999999</v>
      </c>
      <c r="H32" s="2">
        <f t="shared" si="5"/>
        <v>0.39420000000000005</v>
      </c>
      <c r="I32" s="2">
        <f t="shared" si="5"/>
        <v>0.1095</v>
      </c>
      <c r="J32" s="2">
        <f t="shared" si="5"/>
        <v>2.1900000000000001E-3</v>
      </c>
      <c r="K32" s="2">
        <f t="shared" si="5"/>
        <v>1.095E-2</v>
      </c>
      <c r="L32" s="2">
        <f t="shared" si="5"/>
        <v>4.3799999999999999E-2</v>
      </c>
      <c r="M32" s="2">
        <f t="shared" si="5"/>
        <v>4.4019000000000003E-2</v>
      </c>
      <c r="N32" s="2">
        <f t="shared" si="5"/>
        <v>0</v>
      </c>
      <c r="O32" s="2">
        <f t="shared" si="5"/>
        <v>0</v>
      </c>
      <c r="P32" s="2">
        <f t="shared" si="5"/>
        <v>30.879000000000005</v>
      </c>
      <c r="Q32" s="2">
        <f t="shared" ref="Q32:Q50" si="10">(IF(Q$27="%w/w SAR",((Q$28*10)*$B32),IF(Q$27="%w/w DM",(((Q$28*10)*($B$28/100))*$B32),IF(Q$27="kg/t SAR",(Q$28*$B32),IF(Q$27="kg/t DM",((Q$28*($B$28/100))*$B32),IF(Q$27="mg/kg SAR",((Q$28*0.001)*$B32),IF(Q$27="mg/kg DM",(((Q$28*0.001)*($B$28/100))*$B32),0)))))))*2.5</f>
        <v>35.259000000000007</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43</v>
      </c>
      <c r="B33" s="23">
        <v>219</v>
      </c>
      <c r="C33" s="2">
        <f t="shared" si="6"/>
        <v>197.1</v>
      </c>
      <c r="D33" s="2">
        <f t="shared" si="7"/>
        <v>62.716124999999998</v>
      </c>
      <c r="E33" s="2">
        <f t="shared" si="8"/>
        <v>34.570245</v>
      </c>
      <c r="F33" s="2">
        <f t="shared" si="9"/>
        <v>6.5358360000000006</v>
      </c>
      <c r="G33" s="2">
        <f t="shared" si="5"/>
        <v>0.20980199999999999</v>
      </c>
      <c r="H33" s="2">
        <f t="shared" si="5"/>
        <v>0.39420000000000005</v>
      </c>
      <c r="I33" s="2">
        <f t="shared" si="5"/>
        <v>0.1095</v>
      </c>
      <c r="J33" s="2">
        <f t="shared" si="5"/>
        <v>2.1900000000000001E-3</v>
      </c>
      <c r="K33" s="2">
        <f t="shared" si="5"/>
        <v>1.095E-2</v>
      </c>
      <c r="L33" s="2">
        <f t="shared" si="5"/>
        <v>4.3799999999999999E-2</v>
      </c>
      <c r="M33" s="2">
        <f t="shared" si="5"/>
        <v>4.4019000000000003E-2</v>
      </c>
      <c r="N33" s="2">
        <f t="shared" si="5"/>
        <v>0</v>
      </c>
      <c r="O33" s="2">
        <f t="shared" si="5"/>
        <v>0</v>
      </c>
      <c r="P33" s="2">
        <f t="shared" si="5"/>
        <v>30.879000000000005</v>
      </c>
      <c r="Q33" s="2">
        <f t="shared" si="10"/>
        <v>35.259000000000007</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23</v>
      </c>
      <c r="B34" s="23">
        <v>219</v>
      </c>
      <c r="C34" s="2">
        <f t="shared" si="6"/>
        <v>197.1</v>
      </c>
      <c r="D34" s="2">
        <f t="shared" si="7"/>
        <v>62.716124999999998</v>
      </c>
      <c r="E34" s="2">
        <f t="shared" si="8"/>
        <v>34.570245</v>
      </c>
      <c r="F34" s="2">
        <f t="shared" si="9"/>
        <v>6.5358360000000006</v>
      </c>
      <c r="G34" s="2">
        <f t="shared" si="5"/>
        <v>0.20980199999999999</v>
      </c>
      <c r="H34" s="2">
        <f t="shared" si="5"/>
        <v>0.39420000000000005</v>
      </c>
      <c r="I34" s="2">
        <f t="shared" si="5"/>
        <v>0.1095</v>
      </c>
      <c r="J34" s="2">
        <f t="shared" si="5"/>
        <v>2.1900000000000001E-3</v>
      </c>
      <c r="K34" s="2">
        <f t="shared" si="5"/>
        <v>1.095E-2</v>
      </c>
      <c r="L34" s="2">
        <f t="shared" si="5"/>
        <v>4.3799999999999999E-2</v>
      </c>
      <c r="M34" s="2">
        <f t="shared" si="5"/>
        <v>4.4019000000000003E-2</v>
      </c>
      <c r="N34" s="2">
        <f t="shared" si="5"/>
        <v>0</v>
      </c>
      <c r="O34" s="2">
        <f t="shared" si="5"/>
        <v>0</v>
      </c>
      <c r="P34" s="2">
        <f t="shared" si="5"/>
        <v>30.879000000000005</v>
      </c>
      <c r="Q34" s="2">
        <f t="shared" si="10"/>
        <v>35.259000000000007</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21</v>
      </c>
      <c r="B35" s="23">
        <v>219</v>
      </c>
      <c r="C35" s="2">
        <f t="shared" si="6"/>
        <v>197.1</v>
      </c>
      <c r="D35" s="2">
        <f t="shared" si="7"/>
        <v>62.716124999999998</v>
      </c>
      <c r="E35" s="2">
        <f t="shared" si="8"/>
        <v>34.570245</v>
      </c>
      <c r="F35" s="2">
        <f t="shared" si="9"/>
        <v>6.5358360000000006</v>
      </c>
      <c r="G35" s="2">
        <f t="shared" si="5"/>
        <v>0.20980199999999999</v>
      </c>
      <c r="H35" s="2">
        <f t="shared" si="5"/>
        <v>0.39420000000000005</v>
      </c>
      <c r="I35" s="2">
        <f t="shared" si="5"/>
        <v>0.1095</v>
      </c>
      <c r="J35" s="2">
        <f t="shared" si="5"/>
        <v>2.1900000000000001E-3</v>
      </c>
      <c r="K35" s="2">
        <f t="shared" si="5"/>
        <v>1.095E-2</v>
      </c>
      <c r="L35" s="2">
        <f t="shared" si="5"/>
        <v>4.3799999999999999E-2</v>
      </c>
      <c r="M35" s="2">
        <f t="shared" si="5"/>
        <v>4.4019000000000003E-2</v>
      </c>
      <c r="N35" s="2">
        <f t="shared" si="5"/>
        <v>0</v>
      </c>
      <c r="O35" s="2">
        <f t="shared" si="5"/>
        <v>0</v>
      </c>
      <c r="P35" s="2">
        <f t="shared" si="5"/>
        <v>30.879000000000005</v>
      </c>
      <c r="Q35" s="2">
        <f t="shared" si="10"/>
        <v>35.259000000000007</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40</v>
      </c>
      <c r="C57" s="16">
        <f t="shared" ref="C57:U57" si="13">D8</f>
        <v>46</v>
      </c>
      <c r="D57" s="16">
        <f t="shared" si="13"/>
        <v>43</v>
      </c>
      <c r="E57" s="16">
        <f t="shared" si="13"/>
        <v>23</v>
      </c>
      <c r="F57" s="16">
        <f t="shared" si="13"/>
        <v>21</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"&amp;(VLOOKUP(C14,Table2458[],6,FALSE))</f>
        <v>Medium/Clay I Grass</v>
      </c>
      <c r="C58" s="44" t="str">
        <f>D16&amp;" I "&amp;(VLOOKUP(D14,Table2458[],6,FALSE))</f>
        <v>Medium/Clay I Grass</v>
      </c>
      <c r="D58" s="21" t="str">
        <f>E16&amp;" I "&amp;(VLOOKUP(E14,Table2458[],6,FALSE))</f>
        <v>Medium/Clay I Grass</v>
      </c>
      <c r="E58" s="21" t="str">
        <f>F16&amp;" I "&amp;(VLOOKUP(F14,Table2458[],6,FALSE))</f>
        <v>Medium/Clay I Grass</v>
      </c>
      <c r="F58" s="21" t="str">
        <f>G16&amp;" I "&amp;(VLOOKUP(G14,Table2458[],6,FALSE))</f>
        <v>Medium/Clay I Grass</v>
      </c>
      <c r="G58" s="21" t="e">
        <f>H16&amp;" I "&amp;(VLOOKUP(H14,Table2458[],6,FALSE))</f>
        <v>#N/A</v>
      </c>
      <c r="H58" s="21" t="e">
        <f>I16&amp;" I "&amp;(VLOOKUP(I14,Table2458[],6,FALSE))</f>
        <v>#N/A</v>
      </c>
      <c r="I58" s="21" t="e">
        <f>J16&amp;" I "&amp;(VLOOKUP(J14,Table2458[],6,FALSE))</f>
        <v>#N/A</v>
      </c>
      <c r="J58" s="21" t="e">
        <f>K16&amp;" I "&amp;(VLOOKUP(K14,Table2458[],6,FALSE))</f>
        <v>#N/A</v>
      </c>
      <c r="K58" s="21" t="e">
        <f>L16&amp;" I "&amp;(VLOOKUP(L14,Table2458[],6,FALSE))</f>
        <v>#N/A</v>
      </c>
      <c r="L58" s="21" t="e">
        <f>M16&amp;" I "&amp;(VLOOKUP(M14,Table2458[],6,FALSE))</f>
        <v>#N/A</v>
      </c>
      <c r="M58" s="21" t="e">
        <f>N16&amp;" I "&amp;(VLOOKUP(N14,Table2458[],6,FALSE))</f>
        <v>#N/A</v>
      </c>
      <c r="N58" s="21" t="e">
        <f>O16&amp;" I "&amp;(VLOOKUP(O14,Table2458[],6,FALSE))</f>
        <v>#N/A</v>
      </c>
      <c r="O58" s="21" t="e">
        <f>P16&amp;" I "&amp;(VLOOKUP(P14,Table2458[],6,FALSE))</f>
        <v>#N/A</v>
      </c>
      <c r="P58" s="21" t="e">
        <f>Q16&amp;" I "&amp;(VLOOKUP(Q14,Table2458[],6,FALSE))</f>
        <v>#N/A</v>
      </c>
      <c r="Q58" s="21" t="e">
        <f>R16&amp;" I "&amp;(VLOOKUP(R14,Table2458[],6,FALSE))</f>
        <v>#N/A</v>
      </c>
      <c r="R58" s="21" t="e">
        <f>S16&amp;" I "&amp;(VLOOKUP(S14,Table2458[],6,FALSE))</f>
        <v>#N/A</v>
      </c>
      <c r="S58" s="21" t="e">
        <f>T16&amp;" I "&amp;(VLOOKUP(T14,Table2458[],6,FALSE))</f>
        <v>#N/A</v>
      </c>
      <c r="T58" s="21" t="e">
        <f>U16&amp;" I "&amp;(VLOOKUP(U14,Table2458[],6,FALSE))</f>
        <v>#N/A</v>
      </c>
      <c r="U58" s="21" t="e">
        <f>V16&amp;" I "&amp;(VLOOKUP(V14,Table2458[],6,FALSE))</f>
        <v>#N/A</v>
      </c>
    </row>
    <row r="59" spans="1:35" s="27" customFormat="1" hidden="1" x14ac:dyDescent="0.2">
      <c r="A59" s="92" t="s">
        <v>130</v>
      </c>
      <c r="B59" s="93">
        <f>VLOOKUP(C$14,Table2458[],5,FALSE)</f>
        <v>6.2</v>
      </c>
      <c r="C59" s="93">
        <f>VLOOKUP(D$14,Table2458[],5,FALSE)</f>
        <v>6.2</v>
      </c>
      <c r="D59" s="93">
        <f>VLOOKUP(E$14,Table2458[],5,FALSE)</f>
        <v>6.2</v>
      </c>
      <c r="E59" s="93">
        <f>VLOOKUP(F$14,Table2458[],5,FALSE)</f>
        <v>6.2</v>
      </c>
      <c r="F59" s="93">
        <f>VLOOKUP(G$14,Table2458[],5,FALSE)</f>
        <v>6.2</v>
      </c>
      <c r="G59" s="93" t="e">
        <f>VLOOKUP(H$14,Table2458[],5,FALSE)</f>
        <v>#N/A</v>
      </c>
      <c r="H59" s="93" t="e">
        <f>VLOOKUP(I$14,Table2458[],5,FALSE)</f>
        <v>#N/A</v>
      </c>
      <c r="I59" s="93" t="e">
        <f>VLOOKUP(J$14,Table2458[],5,FALSE)</f>
        <v>#N/A</v>
      </c>
      <c r="J59" s="93" t="e">
        <f>VLOOKUP(K$14,Table2458[],5,FALSE)</f>
        <v>#N/A</v>
      </c>
      <c r="K59" s="93" t="e">
        <f>VLOOKUP(L$14,Table2458[],5,FALSE)</f>
        <v>#N/A</v>
      </c>
      <c r="L59" s="93" t="e">
        <f>VLOOKUP(M$14,Table2458[],5,FALSE)</f>
        <v>#N/A</v>
      </c>
      <c r="M59" s="93" t="e">
        <f>VLOOKUP(N$14,Table2458[],5,FALSE)</f>
        <v>#N/A</v>
      </c>
      <c r="N59" s="93" t="e">
        <f>VLOOKUP(O$14,Table2458[],5,FALSE)</f>
        <v>#N/A</v>
      </c>
      <c r="O59" s="93" t="e">
        <f>VLOOKUP(P$14,Table2458[],5,FALSE)</f>
        <v>#N/A</v>
      </c>
      <c r="P59" s="93" t="e">
        <f>VLOOKUP(Q$14,Table2458[],5,FALSE)</f>
        <v>#N/A</v>
      </c>
      <c r="Q59" s="93" t="e">
        <f>VLOOKUP(R$14,Table2458[],5,FALSE)</f>
        <v>#N/A</v>
      </c>
      <c r="R59" s="93" t="e">
        <f>VLOOKUP(S$14,Table2458[],5,FALSE)</f>
        <v>#N/A</v>
      </c>
      <c r="S59" s="93" t="e">
        <f>VLOOKUP(T$14,Table2458[],5,FALSE)</f>
        <v>#N/A</v>
      </c>
      <c r="T59" s="93" t="e">
        <f>VLOOKUP(U$14,Table2458[],5,FALSE)</f>
        <v>#N/A</v>
      </c>
      <c r="U59" s="93" t="e">
        <f>VLOOKUP(V$14,Table2458[],5,FALSE)</f>
        <v>#N/A</v>
      </c>
    </row>
    <row r="60" spans="1:35" s="27" customFormat="1" hidden="1" x14ac:dyDescent="0.2">
      <c r="A60" s="92" t="s">
        <v>4</v>
      </c>
      <c r="B60" s="93">
        <f>C10</f>
        <v>6.7</v>
      </c>
      <c r="C60" s="93">
        <f t="shared" ref="C60:U60" si="14">D10</f>
        <v>6.5</v>
      </c>
      <c r="D60" s="93">
        <f t="shared" si="14"/>
        <v>5.8</v>
      </c>
      <c r="E60" s="93">
        <f t="shared" si="14"/>
        <v>6.3</v>
      </c>
      <c r="F60" s="93">
        <f t="shared" si="14"/>
        <v>6.3</v>
      </c>
      <c r="G60" s="93">
        <f t="shared" si="14"/>
        <v>0</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t="e">
        <f t="shared" si="15"/>
        <v>#N/A</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219</v>
      </c>
      <c r="C62" s="94">
        <f>B32</f>
        <v>219</v>
      </c>
      <c r="D62" s="94">
        <f>B33</f>
        <v>219</v>
      </c>
      <c r="E62" s="94">
        <f>B34</f>
        <v>219</v>
      </c>
      <c r="F62" s="94">
        <f>B35</f>
        <v>219</v>
      </c>
      <c r="G62" s="94">
        <f>B36</f>
        <v>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v>
      </c>
      <c r="C64" s="94">
        <f t="shared" ref="C64:U64" si="17">(C59-C60)*C61</f>
        <v>-1.7999999999999989</v>
      </c>
      <c r="D64" s="94">
        <f t="shared" si="17"/>
        <v>2.4000000000000021</v>
      </c>
      <c r="E64" s="94">
        <f t="shared" si="17"/>
        <v>-0.59999999999999787</v>
      </c>
      <c r="F64" s="94">
        <f t="shared" si="17"/>
        <v>-0.59999999999999787</v>
      </c>
      <c r="G64" s="94" t="e">
        <f t="shared" si="17"/>
        <v>#N/A</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UNDER</v>
      </c>
      <c r="E65" s="95" t="str">
        <f t="shared" si="18"/>
        <v>OVER</v>
      </c>
      <c r="F65" s="95" t="str">
        <f t="shared" si="18"/>
        <v>OVER</v>
      </c>
      <c r="G65" s="95" t="e">
        <f t="shared" si="18"/>
        <v>#N/A</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59" priority="32" operator="equal">
      <formula>"DECREASE"</formula>
    </cfRule>
    <cfRule type="cellIs" dxfId="158" priority="33" operator="equal">
      <formula>"INCREASE"</formula>
    </cfRule>
  </conditionalFormatting>
  <conditionalFormatting sqref="B62:U65 B31:B50">
    <cfRule type="cellIs" dxfId="157" priority="31" operator="greaterThan">
      <formula>$B$51</formula>
    </cfRule>
  </conditionalFormatting>
  <conditionalFormatting sqref="C31:C50">
    <cfRule type="cellIs" dxfId="156" priority="30" operator="greaterThan">
      <formula>$C$51</formula>
    </cfRule>
  </conditionalFormatting>
  <conditionalFormatting sqref="C18:V18">
    <cfRule type="cellIs" dxfId="155" priority="29" operator="equal">
      <formula>0</formula>
    </cfRule>
  </conditionalFormatting>
  <conditionalFormatting sqref="C17:V17">
    <cfRule type="cellIs" dxfId="154" priority="28" operator="equal">
      <formula>0</formula>
    </cfRule>
  </conditionalFormatting>
  <conditionalFormatting sqref="C19:V19">
    <cfRule type="cellIs" dxfId="153" priority="27" operator="equal">
      <formula>0</formula>
    </cfRule>
  </conditionalFormatting>
  <conditionalFormatting sqref="G31:G50">
    <cfRule type="cellIs" dxfId="152" priority="26" operator="greaterThan">
      <formula>$G$51</formula>
    </cfRule>
  </conditionalFormatting>
  <conditionalFormatting sqref="H31:H50">
    <cfRule type="cellIs" dxfId="151" priority="25" operator="greaterThan">
      <formula>$H$51</formula>
    </cfRule>
  </conditionalFormatting>
  <conditionalFormatting sqref="I31:I50">
    <cfRule type="cellIs" dxfId="150" priority="24" operator="greaterThan">
      <formula>$I$51</formula>
    </cfRule>
  </conditionalFormatting>
  <conditionalFormatting sqref="K31:K50">
    <cfRule type="cellIs" dxfId="149" priority="23" operator="greaterThan">
      <formula>$K$51</formula>
    </cfRule>
  </conditionalFormatting>
  <conditionalFormatting sqref="L31:L50">
    <cfRule type="cellIs" dxfId="148" priority="22" operator="greaterThan">
      <formula>$L$51</formula>
    </cfRule>
  </conditionalFormatting>
  <conditionalFormatting sqref="M31:M50">
    <cfRule type="cellIs" dxfId="147" priority="21" operator="greaterThan">
      <formula>$M$51</formula>
    </cfRule>
  </conditionalFormatting>
  <conditionalFormatting sqref="P31:P50">
    <cfRule type="cellIs" dxfId="146" priority="20" operator="greaterThan">
      <formula>$P$51</formula>
    </cfRule>
  </conditionalFormatting>
  <conditionalFormatting sqref="R31:R50">
    <cfRule type="cellIs" dxfId="145" priority="19" operator="greaterThan">
      <formula>$R$51</formula>
    </cfRule>
  </conditionalFormatting>
  <conditionalFormatting sqref="S31:S50">
    <cfRule type="cellIs" dxfId="144" priority="18" operator="greaterThan">
      <formula>$S$51</formula>
    </cfRule>
  </conditionalFormatting>
  <conditionalFormatting sqref="T31:T50">
    <cfRule type="cellIs" dxfId="143" priority="17" operator="greaterThan">
      <formula>$T$51</formula>
    </cfRule>
  </conditionalFormatting>
  <conditionalFormatting sqref="U31:U50">
    <cfRule type="cellIs" dxfId="142" priority="16" operator="greaterThan">
      <formula>$U$51</formula>
    </cfRule>
  </conditionalFormatting>
  <conditionalFormatting sqref="C22:V22">
    <cfRule type="cellIs" dxfId="141" priority="15" operator="equal">
      <formula>0</formula>
    </cfRule>
  </conditionalFormatting>
  <conditionalFormatting sqref="C24:V24">
    <cfRule type="cellIs" dxfId="140" priority="13" operator="equal">
      <formula>"DECREASE"</formula>
    </cfRule>
    <cfRule type="cellIs" dxfId="139" priority="14" operator="equal">
      <formula>"INCREASE"</formula>
    </cfRule>
  </conditionalFormatting>
  <conditionalFormatting sqref="C23:V23">
    <cfRule type="cellIs" dxfId="138" priority="12" operator="equal">
      <formula>0</formula>
    </cfRule>
  </conditionalFormatting>
  <conditionalFormatting sqref="C21:V21">
    <cfRule type="cellIs" dxfId="137" priority="8" operator="equal">
      <formula>0</formula>
    </cfRule>
  </conditionalFormatting>
  <conditionalFormatting sqref="B65:U65">
    <cfRule type="cellIs" dxfId="136" priority="6" operator="equal">
      <formula>"UNDER"</formula>
    </cfRule>
    <cfRule type="cellIs" dxfId="135" priority="7" operator="equal">
      <formula>"OVER"</formula>
    </cfRule>
  </conditionalFormatting>
  <conditionalFormatting sqref="I3">
    <cfRule type="cellIs" dxfId="134" priority="4" operator="greaterThan">
      <formula>4.1</formula>
    </cfRule>
  </conditionalFormatting>
  <conditionalFormatting sqref="J31:J50">
    <cfRule type="cellIs" dxfId="133" priority="3" operator="greaterThan">
      <formula>$J$51</formula>
    </cfRule>
  </conditionalFormatting>
  <conditionalFormatting sqref="I1">
    <cfRule type="cellIs" dxfId="132" priority="2" operator="lessThan">
      <formula>5</formula>
    </cfRule>
  </conditionalFormatting>
  <conditionalFormatting sqref="I2">
    <cfRule type="cellIs" dxfId="131" priority="1" operator="greaterThan">
      <formula>5000.1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5"/>
  <sheetViews>
    <sheetView zoomScale="90" zoomScaleNormal="90" workbookViewId="0">
      <selection activeCell="D41" sqref="D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2" t="s">
        <v>41</v>
      </c>
      <c r="B1" s="112"/>
      <c r="C1" s="128" t="str">
        <f>'Field data and Waste 1'!C1:D1</f>
        <v>PAN-012063</v>
      </c>
      <c r="D1" s="129"/>
      <c r="E1" s="37" t="s">
        <v>45</v>
      </c>
      <c r="F1" s="46">
        <f>'Field data and Waste 1'!F1</f>
        <v>43.3</v>
      </c>
      <c r="G1" s="124" t="s">
        <v>43</v>
      </c>
      <c r="H1" s="125"/>
      <c r="I1" s="103">
        <v>6.65</v>
      </c>
      <c r="AB1" s="26"/>
      <c r="AC1" s="26"/>
      <c r="AD1" s="43" t="s">
        <v>124</v>
      </c>
      <c r="AE1" s="25"/>
      <c r="AF1" s="25"/>
      <c r="AG1" s="26"/>
      <c r="AH1" s="26"/>
      <c r="AI1" s="47" t="s">
        <v>79</v>
      </c>
      <c r="AJ1" s="48" t="s">
        <v>91</v>
      </c>
      <c r="AK1" s="49" t="s">
        <v>92</v>
      </c>
      <c r="AL1" s="50" t="s">
        <v>123</v>
      </c>
      <c r="AM1" s="50" t="s">
        <v>129</v>
      </c>
      <c r="AN1" s="50" t="s">
        <v>109</v>
      </c>
    </row>
    <row r="2" spans="1:41" x14ac:dyDescent="0.2">
      <c r="A2" s="112" t="s">
        <v>84</v>
      </c>
      <c r="B2" s="112"/>
      <c r="C2" s="130" t="str">
        <f>'Field data and Waste 1'!C2:D2</f>
        <v>EPR-KP3594VE</v>
      </c>
      <c r="D2" s="131"/>
      <c r="E2" s="37" t="s">
        <v>106</v>
      </c>
      <c r="F2" s="103" t="s">
        <v>168</v>
      </c>
      <c r="G2" s="126" t="s">
        <v>107</v>
      </c>
      <c r="H2" s="127"/>
      <c r="I2" s="103">
        <v>2068</v>
      </c>
      <c r="AB2" s="43" t="s">
        <v>56</v>
      </c>
      <c r="AC2" s="25"/>
      <c r="AD2" s="43" t="s">
        <v>70</v>
      </c>
      <c r="AE2" s="25"/>
      <c r="AF2" s="25"/>
      <c r="AG2" s="51" t="s">
        <v>76</v>
      </c>
      <c r="AH2" s="26"/>
      <c r="AI2" s="52" t="s">
        <v>124</v>
      </c>
      <c r="AJ2" s="53">
        <v>0</v>
      </c>
      <c r="AK2" s="54">
        <v>0</v>
      </c>
      <c r="AL2" s="18">
        <v>0</v>
      </c>
      <c r="AM2" s="19">
        <v>0</v>
      </c>
      <c r="AN2" s="19">
        <v>0</v>
      </c>
    </row>
    <row r="3" spans="1:41" x14ac:dyDescent="0.2">
      <c r="A3" s="113" t="s">
        <v>42</v>
      </c>
      <c r="B3" s="114"/>
      <c r="C3" s="130" t="str">
        <f>'Field data and Waste 1'!C3:D3</f>
        <v>Trade Effluent Services Ltd</v>
      </c>
      <c r="D3" s="131"/>
      <c r="E3" s="37" t="s">
        <v>105</v>
      </c>
      <c r="F3" s="45" t="s">
        <v>78</v>
      </c>
      <c r="G3" s="124" t="s">
        <v>108</v>
      </c>
      <c r="H3" s="125"/>
      <c r="I3" s="103">
        <f>8880/10000</f>
        <v>0.88800000000000001</v>
      </c>
      <c r="AB3" s="43" t="s">
        <v>57</v>
      </c>
      <c r="AC3" s="25"/>
      <c r="AD3" s="43" t="s">
        <v>71</v>
      </c>
      <c r="AE3" s="25"/>
      <c r="AF3" s="25"/>
      <c r="AG3" s="51" t="s">
        <v>77</v>
      </c>
      <c r="AH3" s="26"/>
      <c r="AI3" s="55" t="s">
        <v>111</v>
      </c>
      <c r="AJ3" s="56">
        <v>1.7</v>
      </c>
      <c r="AK3" s="57">
        <v>6</v>
      </c>
      <c r="AL3" s="58">
        <v>1</v>
      </c>
      <c r="AM3" s="19">
        <v>6.2</v>
      </c>
      <c r="AN3" s="19" t="s">
        <v>110</v>
      </c>
    </row>
    <row r="4" spans="1:41" x14ac:dyDescent="0.2">
      <c r="A4" s="112" t="s">
        <v>0</v>
      </c>
      <c r="B4" s="112"/>
      <c r="C4" s="128" t="str">
        <f>'Field data and Waste 1'!C4:D4</f>
        <v>Brookhouse Farm, Hanmer, Whitchurch, SY13 3EG</v>
      </c>
      <c r="D4" s="129"/>
      <c r="E4" s="38" t="s">
        <v>1</v>
      </c>
      <c r="F4" s="103" t="s">
        <v>171</v>
      </c>
      <c r="G4" s="124"/>
      <c r="H4" s="125"/>
      <c r="I4" s="46"/>
      <c r="AB4" s="43" t="s">
        <v>52</v>
      </c>
      <c r="AC4" s="25"/>
      <c r="AD4" s="59" t="s">
        <v>72</v>
      </c>
      <c r="AE4" s="25"/>
      <c r="AF4" s="25"/>
      <c r="AG4" s="51" t="s">
        <v>78</v>
      </c>
      <c r="AH4" s="26"/>
      <c r="AI4" s="60" t="s">
        <v>122</v>
      </c>
      <c r="AJ4" s="61">
        <v>7</v>
      </c>
      <c r="AK4" s="62">
        <v>10.5</v>
      </c>
      <c r="AL4" s="19">
        <v>2</v>
      </c>
      <c r="AM4" s="19">
        <v>6.7</v>
      </c>
      <c r="AN4" s="19" t="s">
        <v>135</v>
      </c>
    </row>
    <row r="5" spans="1:41" x14ac:dyDescent="0.2">
      <c r="A5" s="112" t="s">
        <v>47</v>
      </c>
      <c r="B5" s="112"/>
      <c r="C5" s="128" t="str">
        <f>'Field data and Waste 1'!C5:D5</f>
        <v>Sion Sleep</v>
      </c>
      <c r="D5" s="129"/>
      <c r="E5" s="37"/>
      <c r="F5" s="46"/>
      <c r="G5" s="124"/>
      <c r="H5" s="125"/>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7" t="s">
        <v>63</v>
      </c>
      <c r="B7" s="10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2" t="s">
        <v>2</v>
      </c>
      <c r="B8" s="112"/>
      <c r="C8" s="67">
        <f>'Field data and Waste 1'!C8</f>
        <v>40</v>
      </c>
      <c r="D8" s="67">
        <f>'Field data and Waste 1'!D8</f>
        <v>46</v>
      </c>
      <c r="E8" s="67">
        <f>'Field data and Waste 1'!E8</f>
        <v>43</v>
      </c>
      <c r="F8" s="67">
        <f>'Field data and Waste 1'!F8</f>
        <v>23</v>
      </c>
      <c r="G8" s="67">
        <f>'Field data and Waste 1'!G8</f>
        <v>21</v>
      </c>
      <c r="H8" s="67">
        <f>'Field data and Waste 1'!H8</f>
        <v>0</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2" t="s">
        <v>3</v>
      </c>
      <c r="B9" s="112"/>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2" t="s">
        <v>4</v>
      </c>
      <c r="B10" s="112"/>
      <c r="C10" s="67">
        <f>'Field data and Waste 1'!C10</f>
        <v>6.7</v>
      </c>
      <c r="D10" s="67">
        <f>'Field data and Waste 1'!D10</f>
        <v>6.5</v>
      </c>
      <c r="E10" s="67">
        <f>'Field data and Waste 1'!E10</f>
        <v>5.8</v>
      </c>
      <c r="F10" s="67">
        <f>'Field data and Waste 1'!F10</f>
        <v>6.3</v>
      </c>
      <c r="G10" s="67">
        <f>'Field data and Waste 1'!G10</f>
        <v>6.3</v>
      </c>
      <c r="H10" s="67">
        <f>'Field data and Waste 1'!H10</f>
        <v>0</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2" t="s">
        <v>5</v>
      </c>
      <c r="B11" s="112"/>
      <c r="C11" s="67">
        <f>'Field data and Waste 1'!C11</f>
        <v>3</v>
      </c>
      <c r="D11" s="67">
        <f>'Field data and Waste 1'!D11</f>
        <v>3</v>
      </c>
      <c r="E11" s="67">
        <f>'Field data and Waste 1'!E11</f>
        <v>2</v>
      </c>
      <c r="F11" s="67">
        <f>'Field data and Waste 1'!F11</f>
        <v>4</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2" t="s">
        <v>6</v>
      </c>
      <c r="B12" s="112"/>
      <c r="C12" s="67">
        <f>'Field data and Waste 1'!C12</f>
        <v>2</v>
      </c>
      <c r="D12" s="67">
        <f>'Field data and Waste 1'!D12</f>
        <v>0</v>
      </c>
      <c r="E12" s="67">
        <f>'Field data and Waste 1'!E12</f>
        <v>1</v>
      </c>
      <c r="F12" s="67">
        <f>'Field data and Waste 1'!F12</f>
        <v>2</v>
      </c>
      <c r="G12" s="67">
        <f>'Field data and Waste 1'!G12</f>
        <v>1</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2" t="s">
        <v>7</v>
      </c>
      <c r="B13" s="112"/>
      <c r="C13" s="67">
        <f>'Field data and Waste 1'!C13</f>
        <v>3</v>
      </c>
      <c r="D13" s="67">
        <f>'Field data and Waste 1'!D13</f>
        <v>3</v>
      </c>
      <c r="E13" s="67">
        <f>'Field data and Waste 1'!E13</f>
        <v>3</v>
      </c>
      <c r="F13" s="67">
        <f>'Field data and Waste 1'!F13</f>
        <v>3</v>
      </c>
      <c r="G13" s="67">
        <f>'Field data and Waste 1'!G13</f>
        <v>3</v>
      </c>
      <c r="H13" s="67">
        <f>'Field data and Waste 1'!H13</f>
        <v>0</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6" t="s">
        <v>8</v>
      </c>
      <c r="B14" s="116"/>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f>'Field data and Waste 1'!H14</f>
        <v>0</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5" t="s">
        <v>9</v>
      </c>
      <c r="B15" s="115"/>
      <c r="C15" s="67">
        <f>'Field data and Waste 1'!C15</f>
        <v>38</v>
      </c>
      <c r="D15" s="67">
        <f>'Field data and Waste 1'!D15</f>
        <v>38</v>
      </c>
      <c r="E15" s="67">
        <f>'Field data and Waste 1'!E15</f>
        <v>38</v>
      </c>
      <c r="F15" s="67">
        <f>'Field data and Waste 1'!F15</f>
        <v>38</v>
      </c>
      <c r="G15" s="67">
        <f>'Field data and Waste 1'!G15</f>
        <v>38</v>
      </c>
      <c r="H15" s="67">
        <f>'Field data and Waste 1'!H15</f>
        <v>0</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7" t="s">
        <v>44</v>
      </c>
      <c r="B16" s="117"/>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f>'Field data and Waste 1'!H16</f>
        <v>0</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4" t="s">
        <v>69</v>
      </c>
      <c r="B17" s="105"/>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t="e">
        <f t="shared" si="0"/>
        <v>#N/A</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6" t="s">
        <v>23</v>
      </c>
      <c r="B18" s="107"/>
      <c r="C18" s="24">
        <f>$D31</f>
        <v>62.981880999999994</v>
      </c>
      <c r="D18" s="24">
        <f>$D32</f>
        <v>62.981880999999994</v>
      </c>
      <c r="E18" s="24">
        <f>$D33</f>
        <v>62.981880999999994</v>
      </c>
      <c r="F18" s="24">
        <f>$D34</f>
        <v>62.981880999999994</v>
      </c>
      <c r="G18" s="24">
        <f>$D35</f>
        <v>62.981880999999994</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6" t="s">
        <v>87</v>
      </c>
      <c r="B19" s="107"/>
      <c r="C19" s="24">
        <f>C18-C17</f>
        <v>-1.6181190000000001</v>
      </c>
      <c r="D19" s="24">
        <f t="shared" ref="D19:V19" si="1">D18-D17</f>
        <v>-1.6181190000000001</v>
      </c>
      <c r="E19" s="24">
        <f t="shared" si="1"/>
        <v>-1.6181190000000001</v>
      </c>
      <c r="F19" s="24">
        <f t="shared" si="1"/>
        <v>-1.6181190000000001</v>
      </c>
      <c r="G19" s="24">
        <f t="shared" si="1"/>
        <v>-1.6181190000000001</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8" t="s">
        <v>88</v>
      </c>
      <c r="B20" s="109"/>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4" t="s">
        <v>85</v>
      </c>
      <c r="B21" s="105"/>
      <c r="C21" s="39">
        <f t="shared" ref="C21:V21" si="2">(VLOOKUP(C$14,$AI2:$AK24,3,FALSE))*C$15</f>
        <v>228</v>
      </c>
      <c r="D21" s="39">
        <f t="shared" si="2"/>
        <v>228</v>
      </c>
      <c r="E21" s="39">
        <f t="shared" si="2"/>
        <v>228</v>
      </c>
      <c r="F21" s="39">
        <f t="shared" si="2"/>
        <v>228</v>
      </c>
      <c r="G21" s="39">
        <f t="shared" si="2"/>
        <v>228</v>
      </c>
      <c r="H21" s="39" t="e">
        <f t="shared" si="2"/>
        <v>#N/A</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6" t="s">
        <v>86</v>
      </c>
      <c r="B22" s="107"/>
      <c r="C22" s="24">
        <f>$E31</f>
        <v>8.3819800000000004</v>
      </c>
      <c r="D22" s="24">
        <f>$E32</f>
        <v>8.3819800000000004</v>
      </c>
      <c r="E22" s="24">
        <f>$E33</f>
        <v>8.3819800000000004</v>
      </c>
      <c r="F22" s="24">
        <f>$E34</f>
        <v>8.3819800000000004</v>
      </c>
      <c r="G22" s="24">
        <f>$E35</f>
        <v>8.3819800000000004</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6" t="s">
        <v>89</v>
      </c>
      <c r="B23" s="107"/>
      <c r="C23" s="24">
        <f>C22-C21</f>
        <v>-219.61802</v>
      </c>
      <c r="D23" s="24">
        <f t="shared" ref="D23:V23" si="3">D22-D21</f>
        <v>-219.61802</v>
      </c>
      <c r="E23" s="24">
        <f t="shared" si="3"/>
        <v>-219.61802</v>
      </c>
      <c r="F23" s="24">
        <f t="shared" si="3"/>
        <v>-219.61802</v>
      </c>
      <c r="G23" s="24">
        <f t="shared" si="3"/>
        <v>-219.61802</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8" t="s">
        <v>90</v>
      </c>
      <c r="B24" s="109"/>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e">
        <f t="shared" si="4"/>
        <v>#N/A</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5.04</v>
      </c>
      <c r="C28" s="23">
        <v>0.37</v>
      </c>
      <c r="D28" s="23">
        <v>743</v>
      </c>
      <c r="E28" s="23">
        <v>188</v>
      </c>
      <c r="F28" s="23">
        <v>234</v>
      </c>
      <c r="G28" s="23">
        <v>2.91</v>
      </c>
      <c r="H28" s="23">
        <v>12.3</v>
      </c>
      <c r="I28" s="23">
        <v>0.5</v>
      </c>
      <c r="J28" s="23">
        <v>0.01</v>
      </c>
      <c r="K28" s="30">
        <v>0.05</v>
      </c>
      <c r="L28" s="23">
        <v>0.58099999999999996</v>
      </c>
      <c r="M28" s="23">
        <v>1.1100000000000001</v>
      </c>
      <c r="N28" s="23"/>
      <c r="O28" s="23"/>
      <c r="P28" s="23">
        <v>780</v>
      </c>
      <c r="Q28" s="23">
        <v>482</v>
      </c>
      <c r="R28" s="23"/>
      <c r="S28" s="23"/>
      <c r="T28" s="23"/>
      <c r="U28" s="23"/>
    </row>
    <row r="29" spans="1:40" s="15" customFormat="1" ht="27" x14ac:dyDescent="0.25">
      <c r="A29" s="110"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1"/>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40</v>
      </c>
      <c r="B31" s="23">
        <v>37</v>
      </c>
      <c r="C31" s="2">
        <f>IF(C$27="%w/w SAR",((C$28*10)*$B31),IF(C$27="%w/w DM",(((C$28*10)*($B$28/100))*$B31),IF(C$27="kg/t SAR",(C$28*$B31),IF(C$27="kg/t DM",((C$28*($B$28/100))*$B31),IF(C$27="mg/kg SAR",((C$28*0.001)*$B31),IF(C$27="mg/kg DM",(((C$28*0.001)*($B$28/100))*$B31),0))))))</f>
        <v>136.9</v>
      </c>
      <c r="D31" s="2">
        <f>(IF(D$27="%w/w SAR",((D$28*10)*$B31),IF(D$27="%w/w DM",(((D$28*10)*($B$28/100))*$B31),IF(D$27="kg/t SAR",(D$28*$B31),IF(D$27="kg/t DM",((D$28*($B$28/100))*$B31),IF(D$27="mg/kg SAR",((D$28*0.001)*$B31),IF(D$27="mg/kg DM",(((D$28*0.001)*($B$28/100))*$B31),"0")))))))*2.291</f>
        <v>62.981880999999994</v>
      </c>
      <c r="E31" s="2">
        <f>(IF(E$27="%w/w SAR",((E$28*10)*$B31),IF(E$27="%w/w DM",(((E$28*10)*($B$28/100))*$B31),IF(E$27="kg/t SAR",(E$28*$B31),IF(E$27="kg/t DM",((E$28*($B$28/100))*$B31),IF(E$27="mg/kg SAR",((E$28*0.001)*$B31),IF(E$27="mg/kg DM",(((E$28*0.001)*($B$28/100))*$B31),"0")))))))*1.205</f>
        <v>8.3819800000000004</v>
      </c>
      <c r="F31" s="2">
        <f>(IF(F$27="%w/w SAR",((F$28*10)*$B31),IF(F$27="%w/w DM",(((F$28*10)*($B$28/100))*$B31),IF(F$27="kg/t SAR",(F$28*$B31),IF(F$27="kg/t DM",((F$28*($B$28/100))*$B31),IF(F$27="mg/kg SAR",((F$28*0.001)*$B31),IF(F$27="mg/kg DM",(((F$28*0.001)*($B$28/100))*$B31),"0")))))))*1.658</f>
        <v>14.354964000000001</v>
      </c>
      <c r="G31" s="2">
        <f t="shared" ref="G31:P46" si="5">IF(G$27="%w/w SAR",((G$28*10)*$B31),IF(G$27="%w/w DM",(((G$28*10)*($B$28/100))*$B31),IF(G$27="kg/t SAR",(G$28*$B31),IF(G$27="kg/t DM",((G$28*($B$28/100))*$B31),IF(G$27="mg/kg SAR",((G$28*0.001)*$B31),IF(G$27="mg/kg DM",(((G$28*0.001)*($B$28/100))*$B31),0))))))</f>
        <v>0.10767000000000002</v>
      </c>
      <c r="H31" s="2">
        <f t="shared" si="5"/>
        <v>0.4551</v>
      </c>
      <c r="I31" s="2">
        <f t="shared" si="5"/>
        <v>1.8499999999999999E-2</v>
      </c>
      <c r="J31" s="2">
        <f t="shared" si="5"/>
        <v>3.7000000000000005E-4</v>
      </c>
      <c r="K31" s="2">
        <f t="shared" si="5"/>
        <v>1.8500000000000001E-3</v>
      </c>
      <c r="L31" s="2">
        <f t="shared" si="5"/>
        <v>2.1496999999999995E-2</v>
      </c>
      <c r="M31" s="2">
        <f t="shared" si="5"/>
        <v>4.1070000000000002E-2</v>
      </c>
      <c r="N31" s="2">
        <f t="shared" si="5"/>
        <v>0</v>
      </c>
      <c r="O31" s="2">
        <f t="shared" si="5"/>
        <v>0</v>
      </c>
      <c r="P31" s="2">
        <f t="shared" si="5"/>
        <v>28.86</v>
      </c>
      <c r="Q31" s="2">
        <f>(IF(Q$27="%w/w SAR",((Q$28*10)*$B31),IF(Q$27="%w/w DM",(((Q$28*10)*($B$28/100))*$B31),IF(Q$27="kg/t SAR",(Q$28*$B31),IF(Q$27="kg/t DM",((Q$28*($B$28/100))*$B31),IF(Q$27="mg/kg SAR",((Q$28*0.001)*$B31),IF(Q$27="mg/kg DM",(((Q$28*0.001)*($B$28/100))*$B31),0)))))))*2.5</f>
        <v>44.585000000000001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46</v>
      </c>
      <c r="B32" s="23">
        <v>37</v>
      </c>
      <c r="C32" s="2">
        <f t="shared" ref="C32:C50" si="6">IF(C$27="%w/w SAR",((C$28*10)*$B32),IF(C$27="%w/w DM",(((C$28*10)*($B$28/100))*$B32),IF(C$27="kg/t SAR",(C$28*$B32),IF(C$27="kg/t DM",((C$28*($B$28/100))*$B32),IF(C$27="mg/kg SAR",((C$28*0.001)*$B32),IF(C$27="mg/kg DM",(((C$28*0.001)*($B$28/100))*$B32),0))))))</f>
        <v>136.9</v>
      </c>
      <c r="D32" s="2">
        <f t="shared" ref="D32:D50" si="7">(IF(D$27="%w/w SAR",((D$28*10)*$B32),IF(D$27="%w/w DM",(((D$28*10)*($B$28/100))*$B32),IF(D$27="kg/t SAR",(D$28*$B32),IF(D$27="kg/t DM",((D$28*($B$28/100))*$B32),IF(D$27="mg/kg SAR",((D$28*0.001)*$B32),IF(D$27="mg/kg DM",(((D$28*0.001)*($B$28/100))*$B32),"0")))))))*2.291</f>
        <v>62.981880999999994</v>
      </c>
      <c r="E32" s="2">
        <f t="shared" ref="E32:E50" si="8">(IF(E$27="%w/w SAR",((E$28*10)*$B32),IF(E$27="%w/w DM",(((E$28*10)*($B$28/100))*$B32),IF(E$27="kg/t SAR",(E$28*$B32),IF(E$27="kg/t DM",((E$28*($B$28/100))*$B32),IF(E$27="mg/kg SAR",((E$28*0.001)*$B32),IF(E$27="mg/kg DM",(((E$28*0.001)*($B$28/100))*$B32),"0")))))))*1.205</f>
        <v>8.3819800000000004</v>
      </c>
      <c r="F32" s="2">
        <f t="shared" ref="F32:F50" si="9">(IF(F$27="%w/w SAR",((F$28*10)*$B32),IF(F$27="%w/w DM",(((F$28*10)*($B$28/100))*$B32),IF(F$27="kg/t SAR",(F$28*$B32),IF(F$27="kg/t DM",((F$28*($B$28/100))*$B32),IF(F$27="mg/kg SAR",((F$28*0.001)*$B32),IF(F$27="mg/kg DM",(((F$28*0.001)*($B$28/100))*$B32),"0")))))))*1.658</f>
        <v>14.354964000000001</v>
      </c>
      <c r="G32" s="2">
        <f t="shared" si="5"/>
        <v>0.10767000000000002</v>
      </c>
      <c r="H32" s="2">
        <f t="shared" si="5"/>
        <v>0.4551</v>
      </c>
      <c r="I32" s="2">
        <f t="shared" si="5"/>
        <v>1.8499999999999999E-2</v>
      </c>
      <c r="J32" s="2">
        <f t="shared" si="5"/>
        <v>3.7000000000000005E-4</v>
      </c>
      <c r="K32" s="2">
        <f t="shared" si="5"/>
        <v>1.8500000000000001E-3</v>
      </c>
      <c r="L32" s="2">
        <f t="shared" si="5"/>
        <v>2.1496999999999995E-2</v>
      </c>
      <c r="M32" s="2">
        <f t="shared" si="5"/>
        <v>4.1070000000000002E-2</v>
      </c>
      <c r="N32" s="2">
        <f t="shared" si="5"/>
        <v>0</v>
      </c>
      <c r="O32" s="2">
        <f t="shared" si="5"/>
        <v>0</v>
      </c>
      <c r="P32" s="2">
        <f t="shared" si="5"/>
        <v>28.86</v>
      </c>
      <c r="Q32" s="2">
        <f t="shared" ref="Q32:Q50" si="10">(IF(Q$27="%w/w SAR",((Q$28*10)*$B32),IF(Q$27="%w/w DM",(((Q$28*10)*($B$28/100))*$B32),IF(Q$27="kg/t SAR",(Q$28*$B32),IF(Q$27="kg/t DM",((Q$28*($B$28/100))*$B32),IF(Q$27="mg/kg SAR",((Q$28*0.001)*$B32),IF(Q$27="mg/kg DM",(((Q$28*0.001)*($B$28/100))*$B32),0)))))))*2.5</f>
        <v>44.585000000000001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43</v>
      </c>
      <c r="B33" s="23">
        <v>37</v>
      </c>
      <c r="C33" s="2">
        <f t="shared" si="6"/>
        <v>136.9</v>
      </c>
      <c r="D33" s="2">
        <f t="shared" si="7"/>
        <v>62.981880999999994</v>
      </c>
      <c r="E33" s="2">
        <f t="shared" si="8"/>
        <v>8.3819800000000004</v>
      </c>
      <c r="F33" s="2">
        <f t="shared" si="9"/>
        <v>14.354964000000001</v>
      </c>
      <c r="G33" s="2">
        <f t="shared" si="5"/>
        <v>0.10767000000000002</v>
      </c>
      <c r="H33" s="2">
        <f t="shared" si="5"/>
        <v>0.4551</v>
      </c>
      <c r="I33" s="2">
        <f t="shared" si="5"/>
        <v>1.8499999999999999E-2</v>
      </c>
      <c r="J33" s="2">
        <f t="shared" si="5"/>
        <v>3.7000000000000005E-4</v>
      </c>
      <c r="K33" s="2">
        <f t="shared" si="5"/>
        <v>1.8500000000000001E-3</v>
      </c>
      <c r="L33" s="2">
        <f t="shared" si="5"/>
        <v>2.1496999999999995E-2</v>
      </c>
      <c r="M33" s="2">
        <f t="shared" si="5"/>
        <v>4.1070000000000002E-2</v>
      </c>
      <c r="N33" s="2">
        <f t="shared" si="5"/>
        <v>0</v>
      </c>
      <c r="O33" s="2">
        <f t="shared" si="5"/>
        <v>0</v>
      </c>
      <c r="P33" s="2">
        <f t="shared" si="5"/>
        <v>28.86</v>
      </c>
      <c r="Q33" s="2">
        <f t="shared" si="10"/>
        <v>44.585000000000001</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23</v>
      </c>
      <c r="B34" s="23">
        <v>37</v>
      </c>
      <c r="C34" s="2">
        <f t="shared" si="6"/>
        <v>136.9</v>
      </c>
      <c r="D34" s="2">
        <f t="shared" si="7"/>
        <v>62.981880999999994</v>
      </c>
      <c r="E34" s="2">
        <f t="shared" si="8"/>
        <v>8.3819800000000004</v>
      </c>
      <c r="F34" s="2">
        <f t="shared" si="9"/>
        <v>14.354964000000001</v>
      </c>
      <c r="G34" s="2">
        <f t="shared" si="5"/>
        <v>0.10767000000000002</v>
      </c>
      <c r="H34" s="2">
        <f t="shared" si="5"/>
        <v>0.4551</v>
      </c>
      <c r="I34" s="2">
        <f t="shared" si="5"/>
        <v>1.8499999999999999E-2</v>
      </c>
      <c r="J34" s="2">
        <f t="shared" si="5"/>
        <v>3.7000000000000005E-4</v>
      </c>
      <c r="K34" s="2">
        <f t="shared" si="5"/>
        <v>1.8500000000000001E-3</v>
      </c>
      <c r="L34" s="2">
        <f t="shared" si="5"/>
        <v>2.1496999999999995E-2</v>
      </c>
      <c r="M34" s="2">
        <f t="shared" si="5"/>
        <v>4.1070000000000002E-2</v>
      </c>
      <c r="N34" s="2">
        <f t="shared" si="5"/>
        <v>0</v>
      </c>
      <c r="O34" s="2">
        <f t="shared" si="5"/>
        <v>0</v>
      </c>
      <c r="P34" s="2">
        <f t="shared" si="5"/>
        <v>28.86</v>
      </c>
      <c r="Q34" s="2">
        <f t="shared" si="10"/>
        <v>44.585000000000001</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21</v>
      </c>
      <c r="B35" s="23">
        <v>37</v>
      </c>
      <c r="C35" s="2">
        <f t="shared" si="6"/>
        <v>136.9</v>
      </c>
      <c r="D35" s="2">
        <f t="shared" si="7"/>
        <v>62.981880999999994</v>
      </c>
      <c r="E35" s="2">
        <f t="shared" si="8"/>
        <v>8.3819800000000004</v>
      </c>
      <c r="F35" s="2">
        <f t="shared" si="9"/>
        <v>14.354964000000001</v>
      </c>
      <c r="G35" s="2">
        <f t="shared" si="5"/>
        <v>0.10767000000000002</v>
      </c>
      <c r="H35" s="2">
        <f t="shared" si="5"/>
        <v>0.4551</v>
      </c>
      <c r="I35" s="2">
        <f t="shared" si="5"/>
        <v>1.8499999999999999E-2</v>
      </c>
      <c r="J35" s="2">
        <f t="shared" si="5"/>
        <v>3.7000000000000005E-4</v>
      </c>
      <c r="K35" s="2">
        <f t="shared" si="5"/>
        <v>1.8500000000000001E-3</v>
      </c>
      <c r="L35" s="2">
        <f t="shared" si="5"/>
        <v>2.1496999999999995E-2</v>
      </c>
      <c r="M35" s="2">
        <f t="shared" si="5"/>
        <v>4.1070000000000002E-2</v>
      </c>
      <c r="N35" s="2">
        <f t="shared" si="5"/>
        <v>0</v>
      </c>
      <c r="O35" s="2">
        <f t="shared" si="5"/>
        <v>0</v>
      </c>
      <c r="P35" s="2">
        <f t="shared" si="5"/>
        <v>28.86</v>
      </c>
      <c r="Q35" s="2">
        <f t="shared" si="10"/>
        <v>44.585000000000001</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40</v>
      </c>
      <c r="C57" s="16">
        <f t="shared" ref="C57:U57" si="13">D8</f>
        <v>46</v>
      </c>
      <c r="D57" s="16">
        <f t="shared" si="13"/>
        <v>43</v>
      </c>
      <c r="E57" s="16">
        <f t="shared" si="13"/>
        <v>23</v>
      </c>
      <c r="F57" s="16">
        <f t="shared" si="13"/>
        <v>21</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"&amp;(VLOOKUP(C14,Table24581113[],6,FALSE))</f>
        <v>Medium/Clay I Grass</v>
      </c>
      <c r="C58" s="44" t="str">
        <f>D16&amp;" I "&amp;(VLOOKUP(D14,Table24581113[],6,FALSE))</f>
        <v>Medium/Clay I Grass</v>
      </c>
      <c r="D58" s="21" t="str">
        <f>E16&amp;" I "&amp;(VLOOKUP(E14,Table24581113[],6,FALSE))</f>
        <v>Medium/Clay I Grass</v>
      </c>
      <c r="E58" s="21" t="str">
        <f>F16&amp;" I "&amp;(VLOOKUP(F14,Table24581113[],6,FALSE))</f>
        <v>Medium/Clay I Grass</v>
      </c>
      <c r="F58" s="21" t="str">
        <f>G16&amp;" I "&amp;(VLOOKUP(G14,Table24581113[],6,FALSE))</f>
        <v>Medium/Clay I Grass</v>
      </c>
      <c r="G58" s="21" t="e">
        <f>H16&amp;" I "&amp;(VLOOKUP(H14,Table24581113[],6,FALSE))</f>
        <v>#N/A</v>
      </c>
      <c r="H58" s="21" t="e">
        <f>I16&amp;" I "&amp;(VLOOKUP(I14,Table24581113[],6,FALSE))</f>
        <v>#N/A</v>
      </c>
      <c r="I58" s="21" t="e">
        <f>J16&amp;" I "&amp;(VLOOKUP(J14,Table24581113[],6,FALSE))</f>
        <v>#N/A</v>
      </c>
      <c r="J58" s="21" t="e">
        <f>K16&amp;" I "&amp;(VLOOKUP(K14,Table24581113[],6,FALSE))</f>
        <v>#N/A</v>
      </c>
      <c r="K58" s="21" t="e">
        <f>L16&amp;" I "&amp;(VLOOKUP(L14,Table24581113[],6,FALSE))</f>
        <v>#N/A</v>
      </c>
      <c r="L58" s="21" t="e">
        <f>M16&amp;" I "&amp;(VLOOKUP(M14,Table24581113[],6,FALSE))</f>
        <v>#N/A</v>
      </c>
      <c r="M58" s="21" t="e">
        <f>N16&amp;" I "&amp;(VLOOKUP(N14,Table24581113[],6,FALSE))</f>
        <v>#N/A</v>
      </c>
      <c r="N58" s="21" t="e">
        <f>O16&amp;" I "&amp;(VLOOKUP(O14,Table24581113[],6,FALSE))</f>
        <v>#N/A</v>
      </c>
      <c r="O58" s="21" t="e">
        <f>P16&amp;" I "&amp;(VLOOKUP(P14,Table24581113[],6,FALSE))</f>
        <v>#N/A</v>
      </c>
      <c r="P58" s="21" t="e">
        <f>Q16&amp;" I "&amp;(VLOOKUP(Q14,Table24581113[],6,FALSE))</f>
        <v>#N/A</v>
      </c>
      <c r="Q58" s="21" t="e">
        <f>R16&amp;" I "&amp;(VLOOKUP(R14,Table24581113[],6,FALSE))</f>
        <v>#N/A</v>
      </c>
      <c r="R58" s="21" t="e">
        <f>S16&amp;" I "&amp;(VLOOKUP(S14,Table24581113[],6,FALSE))</f>
        <v>#N/A</v>
      </c>
      <c r="S58" s="21" t="e">
        <f>T16&amp;" I "&amp;(VLOOKUP(T14,Table24581113[],6,FALSE))</f>
        <v>#N/A</v>
      </c>
      <c r="T58" s="21" t="e">
        <f>U16&amp;" I "&amp;(VLOOKUP(U14,Table24581113[],6,FALSE))</f>
        <v>#N/A</v>
      </c>
      <c r="U58" s="21" t="e">
        <f>V16&amp;" I "&amp;(VLOOKUP(V14,Table24581113[],6,FALSE))</f>
        <v>#N/A</v>
      </c>
    </row>
    <row r="59" spans="1:35" s="27" customFormat="1" hidden="1" x14ac:dyDescent="0.2">
      <c r="A59" s="92" t="s">
        <v>130</v>
      </c>
      <c r="B59" s="93">
        <f>VLOOKUP(C$14,Table24581113[],5,FALSE)</f>
        <v>6.2</v>
      </c>
      <c r="C59" s="93">
        <f>VLOOKUP(D$14,Table24581113[],5,FALSE)</f>
        <v>6.2</v>
      </c>
      <c r="D59" s="93">
        <f>VLOOKUP(E$14,Table24581113[],5,FALSE)</f>
        <v>6.2</v>
      </c>
      <c r="E59" s="93">
        <f>VLOOKUP(F$14,Table24581113[],5,FALSE)</f>
        <v>6.2</v>
      </c>
      <c r="F59" s="93">
        <f>VLOOKUP(G$14,Table24581113[],5,FALSE)</f>
        <v>6.2</v>
      </c>
      <c r="G59" s="93" t="e">
        <f>VLOOKUP(H$14,Table24581113[],5,FALSE)</f>
        <v>#N/A</v>
      </c>
      <c r="H59" s="93" t="e">
        <f>VLOOKUP(I$14,Table24581113[],5,FALSE)</f>
        <v>#N/A</v>
      </c>
      <c r="I59" s="93" t="e">
        <f>VLOOKUP(J$14,Table24581113[],5,FALSE)</f>
        <v>#N/A</v>
      </c>
      <c r="J59" s="93" t="e">
        <f>VLOOKUP(K$14,Table24581113[],5,FALSE)</f>
        <v>#N/A</v>
      </c>
      <c r="K59" s="93" t="e">
        <f>VLOOKUP(L$14,Table24581113[],5,FALSE)</f>
        <v>#N/A</v>
      </c>
      <c r="L59" s="93" t="e">
        <f>VLOOKUP(M$14,Table24581113[],5,FALSE)</f>
        <v>#N/A</v>
      </c>
      <c r="M59" s="93" t="e">
        <f>VLOOKUP(N$14,Table24581113[],5,FALSE)</f>
        <v>#N/A</v>
      </c>
      <c r="N59" s="93" t="e">
        <f>VLOOKUP(O$14,Table24581113[],5,FALSE)</f>
        <v>#N/A</v>
      </c>
      <c r="O59" s="93" t="e">
        <f>VLOOKUP(P$14,Table24581113[],5,FALSE)</f>
        <v>#N/A</v>
      </c>
      <c r="P59" s="93" t="e">
        <f>VLOOKUP(Q$14,Table24581113[],5,FALSE)</f>
        <v>#N/A</v>
      </c>
      <c r="Q59" s="93" t="e">
        <f>VLOOKUP(R$14,Table24581113[],5,FALSE)</f>
        <v>#N/A</v>
      </c>
      <c r="R59" s="93" t="e">
        <f>VLOOKUP(S$14,Table24581113[],5,FALSE)</f>
        <v>#N/A</v>
      </c>
      <c r="S59" s="93" t="e">
        <f>VLOOKUP(T$14,Table24581113[],5,FALSE)</f>
        <v>#N/A</v>
      </c>
      <c r="T59" s="93" t="e">
        <f>VLOOKUP(U$14,Table24581113[],5,FALSE)</f>
        <v>#N/A</v>
      </c>
      <c r="U59" s="93" t="e">
        <f>VLOOKUP(V$14,Table24581113[],5,FALSE)</f>
        <v>#N/A</v>
      </c>
    </row>
    <row r="60" spans="1:35" s="27" customFormat="1" hidden="1" x14ac:dyDescent="0.2">
      <c r="A60" s="92" t="s">
        <v>4</v>
      </c>
      <c r="B60" s="93">
        <f>C10</f>
        <v>6.7</v>
      </c>
      <c r="C60" s="93">
        <f t="shared" ref="C60:U60" si="14">D10</f>
        <v>6.5</v>
      </c>
      <c r="D60" s="93">
        <f t="shared" si="14"/>
        <v>5.8</v>
      </c>
      <c r="E60" s="93">
        <f t="shared" si="14"/>
        <v>6.3</v>
      </c>
      <c r="F60" s="93">
        <f t="shared" si="14"/>
        <v>6.3</v>
      </c>
      <c r="G60" s="93">
        <f t="shared" si="14"/>
        <v>0</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t="e">
        <f t="shared" si="15"/>
        <v>#N/A</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37</v>
      </c>
      <c r="C62" s="94">
        <f>B32</f>
        <v>37</v>
      </c>
      <c r="D62" s="94">
        <f>B33</f>
        <v>37</v>
      </c>
      <c r="E62" s="94">
        <f>B34</f>
        <v>37</v>
      </c>
      <c r="F62" s="94">
        <f>B35</f>
        <v>37</v>
      </c>
      <c r="G62" s="94">
        <f>B36</f>
        <v>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v>
      </c>
      <c r="C64" s="94">
        <f t="shared" ref="C64:U64" si="17">(C59-C60)*C61</f>
        <v>-1.7999999999999989</v>
      </c>
      <c r="D64" s="94">
        <f t="shared" si="17"/>
        <v>2.4000000000000021</v>
      </c>
      <c r="E64" s="94">
        <f t="shared" si="17"/>
        <v>-0.59999999999999787</v>
      </c>
      <c r="F64" s="94">
        <f t="shared" si="17"/>
        <v>-0.59999999999999787</v>
      </c>
      <c r="G64" s="94" t="e">
        <f t="shared" si="17"/>
        <v>#N/A</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UNDER</v>
      </c>
      <c r="E65" s="95" t="str">
        <f t="shared" si="18"/>
        <v>OVER</v>
      </c>
      <c r="F65" s="95" t="str">
        <f t="shared" si="18"/>
        <v>OVER</v>
      </c>
      <c r="G65" s="95" t="e">
        <f t="shared" si="18"/>
        <v>#N/A</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19" priority="33" operator="equal">
      <formula>"DECREASE"</formula>
    </cfRule>
    <cfRule type="cellIs" dxfId="118" priority="34" operator="equal">
      <formula>"INCREASE"</formula>
    </cfRule>
  </conditionalFormatting>
  <conditionalFormatting sqref="B62:U65 B31:B50">
    <cfRule type="cellIs" dxfId="117" priority="32" operator="greaterThan">
      <formula>$B$51</formula>
    </cfRule>
  </conditionalFormatting>
  <conditionalFormatting sqref="C31:C50">
    <cfRule type="cellIs" dxfId="116" priority="31" operator="greaterThan">
      <formula>$C$51</formula>
    </cfRule>
  </conditionalFormatting>
  <conditionalFormatting sqref="C18:V18">
    <cfRule type="cellIs" dxfId="115" priority="30" operator="equal">
      <formula>0</formula>
    </cfRule>
  </conditionalFormatting>
  <conditionalFormatting sqref="C17:V17">
    <cfRule type="cellIs" dxfId="114" priority="29" operator="equal">
      <formula>0</formula>
    </cfRule>
  </conditionalFormatting>
  <conditionalFormatting sqref="C19:V19">
    <cfRule type="cellIs" dxfId="113" priority="28" operator="equal">
      <formula>0</formula>
    </cfRule>
  </conditionalFormatting>
  <conditionalFormatting sqref="G31:G50">
    <cfRule type="cellIs" dxfId="112" priority="27" operator="greaterThan">
      <formula>$G$51</formula>
    </cfRule>
  </conditionalFormatting>
  <conditionalFormatting sqref="H31:H50">
    <cfRule type="cellIs" dxfId="111" priority="26" operator="greaterThan">
      <formula>$H$51</formula>
    </cfRule>
  </conditionalFormatting>
  <conditionalFormatting sqref="I31:I50">
    <cfRule type="cellIs" dxfId="110" priority="25" operator="greaterThan">
      <formula>$I$51</formula>
    </cfRule>
  </conditionalFormatting>
  <conditionalFormatting sqref="K31:K50">
    <cfRule type="cellIs" dxfId="109" priority="24" operator="greaterThan">
      <formula>$K$51</formula>
    </cfRule>
  </conditionalFormatting>
  <conditionalFormatting sqref="L31:L50">
    <cfRule type="cellIs" dxfId="108" priority="23" operator="greaterThan">
      <formula>$L$51</formula>
    </cfRule>
  </conditionalFormatting>
  <conditionalFormatting sqref="M31:M50">
    <cfRule type="cellIs" dxfId="107" priority="22" operator="greaterThan">
      <formula>$M$51</formula>
    </cfRule>
  </conditionalFormatting>
  <conditionalFormatting sqref="P31:P50">
    <cfRule type="cellIs" dxfId="106" priority="21" operator="greaterThan">
      <formula>$P$51</formula>
    </cfRule>
  </conditionalFormatting>
  <conditionalFormatting sqref="R31:R50">
    <cfRule type="cellIs" dxfId="105" priority="20" operator="greaterThan">
      <formula>$R$51</formula>
    </cfRule>
  </conditionalFormatting>
  <conditionalFormatting sqref="S31:S50">
    <cfRule type="cellIs" dxfId="104" priority="19" operator="greaterThan">
      <formula>$S$51</formula>
    </cfRule>
  </conditionalFormatting>
  <conditionalFormatting sqref="T31:T50">
    <cfRule type="cellIs" dxfId="103" priority="18" operator="greaterThan">
      <formula>$T$51</formula>
    </cfRule>
  </conditionalFormatting>
  <conditionalFormatting sqref="U31:U50">
    <cfRule type="cellIs" dxfId="102" priority="17" operator="greaterThan">
      <formula>$U$51</formula>
    </cfRule>
  </conditionalFormatting>
  <conditionalFormatting sqref="C22:V22">
    <cfRule type="cellIs" dxfId="101" priority="16" operator="equal">
      <formula>0</formula>
    </cfRule>
  </conditionalFormatting>
  <conditionalFormatting sqref="C24:V24">
    <cfRule type="cellIs" dxfId="100" priority="14" operator="equal">
      <formula>"DECREASE"</formula>
    </cfRule>
    <cfRule type="cellIs" dxfId="99" priority="15" operator="equal">
      <formula>"INCREASE"</formula>
    </cfRule>
  </conditionalFormatting>
  <conditionalFormatting sqref="C23:V23">
    <cfRule type="cellIs" dxfId="98" priority="13" operator="equal">
      <formula>0</formula>
    </cfRule>
  </conditionalFormatting>
  <conditionalFormatting sqref="C21:V21">
    <cfRule type="cellIs" dxfId="97" priority="9" operator="equal">
      <formula>0</formula>
    </cfRule>
  </conditionalFormatting>
  <conditionalFormatting sqref="B65:U65">
    <cfRule type="cellIs" dxfId="96" priority="7" operator="equal">
      <formula>"UNDER"</formula>
    </cfRule>
    <cfRule type="cellIs" dxfId="95" priority="8" operator="equal">
      <formula>"OVER"</formula>
    </cfRule>
  </conditionalFormatting>
  <conditionalFormatting sqref="J31:J50">
    <cfRule type="cellIs" dxfId="94" priority="4" operator="greaterThan">
      <formula>$J$51</formula>
    </cfRule>
  </conditionalFormatting>
  <conditionalFormatting sqref="I1">
    <cfRule type="cellIs" dxfId="93" priority="3" operator="lessThan">
      <formula>5</formula>
    </cfRule>
  </conditionalFormatting>
  <conditionalFormatting sqref="I2">
    <cfRule type="cellIs" dxfId="92" priority="2" operator="greaterThan">
      <formula>5000.1</formula>
    </cfRule>
  </conditionalFormatting>
  <conditionalFormatting sqref="I3">
    <cfRule type="cellIs" dxfId="91" priority="1" operator="greaterThan">
      <formula>4.1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5"/>
  <sheetViews>
    <sheetView zoomScale="90" zoomScaleNormal="90" workbookViewId="0">
      <selection activeCell="D41" sqref="D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2" t="s">
        <v>41</v>
      </c>
      <c r="B1" s="112"/>
      <c r="C1" s="128" t="str">
        <f>'Field data and Waste 1'!C1:D1</f>
        <v>PAN-012063</v>
      </c>
      <c r="D1" s="129"/>
      <c r="E1" s="37" t="s">
        <v>45</v>
      </c>
      <c r="F1" s="46">
        <f>'Field data and Waste 1'!F1</f>
        <v>43.3</v>
      </c>
      <c r="G1" s="124" t="s">
        <v>43</v>
      </c>
      <c r="H1" s="125"/>
      <c r="I1" s="103">
        <v>4.0199999999999996</v>
      </c>
      <c r="AB1" s="26"/>
      <c r="AC1" s="26"/>
      <c r="AD1" s="43" t="s">
        <v>124</v>
      </c>
      <c r="AE1" s="25"/>
      <c r="AF1" s="25"/>
      <c r="AG1" s="26"/>
      <c r="AH1" s="26"/>
      <c r="AI1" s="47" t="s">
        <v>79</v>
      </c>
      <c r="AJ1" s="48" t="s">
        <v>91</v>
      </c>
      <c r="AK1" s="49" t="s">
        <v>92</v>
      </c>
      <c r="AL1" s="50" t="s">
        <v>123</v>
      </c>
      <c r="AM1" s="50" t="s">
        <v>129</v>
      </c>
      <c r="AN1" s="50" t="s">
        <v>109</v>
      </c>
    </row>
    <row r="2" spans="1:41" x14ac:dyDescent="0.2">
      <c r="A2" s="112" t="s">
        <v>84</v>
      </c>
      <c r="B2" s="112"/>
      <c r="C2" s="130" t="str">
        <f>'Field data and Waste 1'!C2:D2</f>
        <v>EPR-KP3594VE</v>
      </c>
      <c r="D2" s="131"/>
      <c r="E2" s="37" t="s">
        <v>106</v>
      </c>
      <c r="F2" s="103" t="s">
        <v>172</v>
      </c>
      <c r="G2" s="126" t="s">
        <v>107</v>
      </c>
      <c r="H2" s="127"/>
      <c r="I2" s="103">
        <v>611</v>
      </c>
      <c r="AB2" s="43" t="s">
        <v>56</v>
      </c>
      <c r="AC2" s="25"/>
      <c r="AD2" s="43" t="s">
        <v>70</v>
      </c>
      <c r="AE2" s="25"/>
      <c r="AF2" s="25"/>
      <c r="AG2" s="51" t="s">
        <v>76</v>
      </c>
      <c r="AH2" s="26"/>
      <c r="AI2" s="52" t="s">
        <v>124</v>
      </c>
      <c r="AJ2" s="53">
        <v>0</v>
      </c>
      <c r="AK2" s="54">
        <v>0</v>
      </c>
      <c r="AL2" s="18">
        <v>0</v>
      </c>
      <c r="AM2" s="19">
        <v>0</v>
      </c>
      <c r="AN2" s="19">
        <v>0</v>
      </c>
    </row>
    <row r="3" spans="1:41" x14ac:dyDescent="0.2">
      <c r="A3" s="113" t="s">
        <v>42</v>
      </c>
      <c r="B3" s="114"/>
      <c r="C3" s="130" t="str">
        <f>'Field data and Waste 1'!C3:D3</f>
        <v>Trade Effluent Services Ltd</v>
      </c>
      <c r="D3" s="131"/>
      <c r="E3" s="37" t="s">
        <v>105</v>
      </c>
      <c r="F3" s="45" t="s">
        <v>78</v>
      </c>
      <c r="G3" s="124" t="s">
        <v>108</v>
      </c>
      <c r="H3" s="125"/>
      <c r="I3" s="35"/>
      <c r="AB3" s="43" t="s">
        <v>57</v>
      </c>
      <c r="AC3" s="25"/>
      <c r="AD3" s="43" t="s">
        <v>71</v>
      </c>
      <c r="AE3" s="25"/>
      <c r="AF3" s="25"/>
      <c r="AG3" s="51" t="s">
        <v>77</v>
      </c>
      <c r="AH3" s="26"/>
      <c r="AI3" s="55" t="s">
        <v>111</v>
      </c>
      <c r="AJ3" s="56">
        <v>1.7</v>
      </c>
      <c r="AK3" s="57">
        <v>6</v>
      </c>
      <c r="AL3" s="58">
        <v>1</v>
      </c>
      <c r="AM3" s="19">
        <v>6.2</v>
      </c>
      <c r="AN3" s="19" t="s">
        <v>110</v>
      </c>
    </row>
    <row r="4" spans="1:41" x14ac:dyDescent="0.2">
      <c r="A4" s="112" t="s">
        <v>0</v>
      </c>
      <c r="B4" s="112"/>
      <c r="C4" s="128" t="str">
        <f>'Field data and Waste 1'!C4:D4</f>
        <v>Brookhouse Farm, Hanmer, Whitchurch, SY13 3EG</v>
      </c>
      <c r="D4" s="129"/>
      <c r="E4" s="38" t="s">
        <v>1</v>
      </c>
      <c r="F4" s="103" t="s">
        <v>173</v>
      </c>
      <c r="G4" s="124"/>
      <c r="H4" s="125"/>
      <c r="I4" s="46"/>
      <c r="AB4" s="43" t="s">
        <v>52</v>
      </c>
      <c r="AC4" s="25"/>
      <c r="AD4" s="59" t="s">
        <v>72</v>
      </c>
      <c r="AE4" s="25"/>
      <c r="AF4" s="25"/>
      <c r="AG4" s="51" t="s">
        <v>78</v>
      </c>
      <c r="AH4" s="26"/>
      <c r="AI4" s="60" t="s">
        <v>122</v>
      </c>
      <c r="AJ4" s="61">
        <v>7</v>
      </c>
      <c r="AK4" s="62">
        <v>10.5</v>
      </c>
      <c r="AL4" s="19">
        <v>2</v>
      </c>
      <c r="AM4" s="19">
        <v>6.7</v>
      </c>
      <c r="AN4" s="19" t="s">
        <v>135</v>
      </c>
    </row>
    <row r="5" spans="1:41" x14ac:dyDescent="0.2">
      <c r="A5" s="112" t="s">
        <v>47</v>
      </c>
      <c r="B5" s="112"/>
      <c r="C5" s="128" t="str">
        <f>'Field data and Waste 1'!C5:D5</f>
        <v>Sion Sleep</v>
      </c>
      <c r="D5" s="129"/>
      <c r="E5" s="37"/>
      <c r="F5" s="46"/>
      <c r="G5" s="124"/>
      <c r="H5" s="125"/>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7" t="s">
        <v>63</v>
      </c>
      <c r="B7" s="10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2" t="s">
        <v>2</v>
      </c>
      <c r="B8" s="112"/>
      <c r="C8" s="67">
        <f>'Field data and Waste 1'!C8</f>
        <v>40</v>
      </c>
      <c r="D8" s="67">
        <f>'Field data and Waste 1'!D8</f>
        <v>46</v>
      </c>
      <c r="E8" s="67">
        <f>'Field data and Waste 1'!E8</f>
        <v>43</v>
      </c>
      <c r="F8" s="67">
        <f>'Field data and Waste 1'!F8</f>
        <v>23</v>
      </c>
      <c r="G8" s="67">
        <f>'Field data and Waste 1'!G8</f>
        <v>21</v>
      </c>
      <c r="H8" s="67">
        <f>'Field data and Waste 1'!H8</f>
        <v>0</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2" t="s">
        <v>3</v>
      </c>
      <c r="B9" s="112"/>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2" t="s">
        <v>4</v>
      </c>
      <c r="B10" s="112"/>
      <c r="C10" s="67">
        <f>'Field data and Waste 1'!C10</f>
        <v>6.7</v>
      </c>
      <c r="D10" s="67">
        <f>'Field data and Waste 1'!D10</f>
        <v>6.5</v>
      </c>
      <c r="E10" s="67">
        <f>'Field data and Waste 1'!E10</f>
        <v>5.8</v>
      </c>
      <c r="F10" s="67">
        <f>'Field data and Waste 1'!F10</f>
        <v>6.3</v>
      </c>
      <c r="G10" s="67">
        <f>'Field data and Waste 1'!G10</f>
        <v>6.3</v>
      </c>
      <c r="H10" s="67">
        <f>'Field data and Waste 1'!H10</f>
        <v>0</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2" t="s">
        <v>5</v>
      </c>
      <c r="B11" s="112"/>
      <c r="C11" s="67">
        <f>'Field data and Waste 1'!C11</f>
        <v>3</v>
      </c>
      <c r="D11" s="67">
        <f>'Field data and Waste 1'!D11</f>
        <v>3</v>
      </c>
      <c r="E11" s="67">
        <f>'Field data and Waste 1'!E11</f>
        <v>2</v>
      </c>
      <c r="F11" s="67">
        <f>'Field data and Waste 1'!F11</f>
        <v>4</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2" t="s">
        <v>6</v>
      </c>
      <c r="B12" s="112"/>
      <c r="C12" s="67">
        <f>'Field data and Waste 1'!C12</f>
        <v>2</v>
      </c>
      <c r="D12" s="67">
        <f>'Field data and Waste 1'!D12</f>
        <v>0</v>
      </c>
      <c r="E12" s="67">
        <f>'Field data and Waste 1'!E12</f>
        <v>1</v>
      </c>
      <c r="F12" s="67">
        <f>'Field data and Waste 1'!F12</f>
        <v>2</v>
      </c>
      <c r="G12" s="67">
        <f>'Field data and Waste 1'!G12</f>
        <v>1</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2" t="s">
        <v>7</v>
      </c>
      <c r="B13" s="112"/>
      <c r="C13" s="67">
        <f>'Field data and Waste 1'!C13</f>
        <v>3</v>
      </c>
      <c r="D13" s="67">
        <f>'Field data and Waste 1'!D13</f>
        <v>3</v>
      </c>
      <c r="E13" s="67">
        <f>'Field data and Waste 1'!E13</f>
        <v>3</v>
      </c>
      <c r="F13" s="67">
        <f>'Field data and Waste 1'!F13</f>
        <v>3</v>
      </c>
      <c r="G13" s="67">
        <f>'Field data and Waste 1'!G13</f>
        <v>3</v>
      </c>
      <c r="H13" s="67">
        <f>'Field data and Waste 1'!H13</f>
        <v>0</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6" t="s">
        <v>8</v>
      </c>
      <c r="B14" s="116"/>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f>'Field data and Waste 1'!H14</f>
        <v>0</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5" t="s">
        <v>9</v>
      </c>
      <c r="B15" s="115"/>
      <c r="C15" s="67">
        <f>'Field data and Waste 1'!C15</f>
        <v>38</v>
      </c>
      <c r="D15" s="67">
        <f>'Field data and Waste 1'!D15</f>
        <v>38</v>
      </c>
      <c r="E15" s="67">
        <f>'Field data and Waste 1'!E15</f>
        <v>38</v>
      </c>
      <c r="F15" s="67">
        <f>'Field data and Waste 1'!F15</f>
        <v>38</v>
      </c>
      <c r="G15" s="67">
        <f>'Field data and Waste 1'!G15</f>
        <v>38</v>
      </c>
      <c r="H15" s="67">
        <f>'Field data and Waste 1'!H15</f>
        <v>0</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7" t="s">
        <v>44</v>
      </c>
      <c r="B16" s="117"/>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f>'Field data and Waste 1'!H16</f>
        <v>0</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4" t="s">
        <v>69</v>
      </c>
      <c r="B17" s="105"/>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t="e">
        <f t="shared" si="0"/>
        <v>#N/A</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6" t="s">
        <v>23</v>
      </c>
      <c r="B18" s="107"/>
      <c r="C18" s="24">
        <f>$D31</f>
        <v>34.250450000000001</v>
      </c>
      <c r="D18" s="24">
        <f>$D32</f>
        <v>34.250450000000001</v>
      </c>
      <c r="E18" s="24">
        <f>$D33</f>
        <v>34.250450000000001</v>
      </c>
      <c r="F18" s="24">
        <f>$D34</f>
        <v>34.250450000000001</v>
      </c>
      <c r="G18" s="24">
        <f>$D35</f>
        <v>34.250450000000001</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6" t="s">
        <v>87</v>
      </c>
      <c r="B19" s="107"/>
      <c r="C19" s="24">
        <f>C18-C17</f>
        <v>-30.349549999999994</v>
      </c>
      <c r="D19" s="24">
        <f t="shared" ref="D19:V19" si="1">D18-D17</f>
        <v>-30.349549999999994</v>
      </c>
      <c r="E19" s="24">
        <f t="shared" si="1"/>
        <v>-30.349549999999994</v>
      </c>
      <c r="F19" s="24">
        <f t="shared" si="1"/>
        <v>-30.349549999999994</v>
      </c>
      <c r="G19" s="24">
        <f t="shared" si="1"/>
        <v>-30.349549999999994</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8" t="s">
        <v>88</v>
      </c>
      <c r="B20" s="109"/>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4" t="s">
        <v>85</v>
      </c>
      <c r="B21" s="105"/>
      <c r="C21" s="39">
        <f t="shared" ref="C21:V21" si="2">(VLOOKUP(C$14,$AI2:$AK24,3,FALSE))*C$15</f>
        <v>228</v>
      </c>
      <c r="D21" s="39">
        <f t="shared" si="2"/>
        <v>228</v>
      </c>
      <c r="E21" s="39">
        <f t="shared" si="2"/>
        <v>228</v>
      </c>
      <c r="F21" s="39">
        <f t="shared" si="2"/>
        <v>228</v>
      </c>
      <c r="G21" s="39">
        <f t="shared" si="2"/>
        <v>228</v>
      </c>
      <c r="H21" s="39" t="e">
        <f t="shared" si="2"/>
        <v>#N/A</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6" t="s">
        <v>86</v>
      </c>
      <c r="B22" s="107"/>
      <c r="C22" s="24">
        <f>$E31</f>
        <v>24.130125</v>
      </c>
      <c r="D22" s="24">
        <f>$E32</f>
        <v>24.130125</v>
      </c>
      <c r="E22" s="24">
        <f>$E33</f>
        <v>24.130125</v>
      </c>
      <c r="F22" s="24">
        <f>$E34</f>
        <v>24.130125</v>
      </c>
      <c r="G22" s="24">
        <f>$E35</f>
        <v>24.130125</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6" t="s">
        <v>89</v>
      </c>
      <c r="B23" s="107"/>
      <c r="C23" s="24">
        <f>C22-C21</f>
        <v>-203.86987500000001</v>
      </c>
      <c r="D23" s="24">
        <f t="shared" ref="D23:V23" si="3">D22-D21</f>
        <v>-203.86987500000001</v>
      </c>
      <c r="E23" s="24">
        <f t="shared" si="3"/>
        <v>-203.86987500000001</v>
      </c>
      <c r="F23" s="24">
        <f t="shared" si="3"/>
        <v>-203.86987500000001</v>
      </c>
      <c r="G23" s="24">
        <f t="shared" si="3"/>
        <v>-203.86987500000001</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8" t="s">
        <v>90</v>
      </c>
      <c r="B24" s="109"/>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e">
        <f t="shared" si="4"/>
        <v>#N/A</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4.43</v>
      </c>
      <c r="C28" s="23">
        <v>0.06</v>
      </c>
      <c r="D28" s="23">
        <v>59.8</v>
      </c>
      <c r="E28" s="23">
        <v>80.099999999999994</v>
      </c>
      <c r="F28" s="23">
        <v>25.2</v>
      </c>
      <c r="G28" s="23">
        <v>0.2</v>
      </c>
      <c r="H28" s="23">
        <v>0.96399999999999997</v>
      </c>
      <c r="I28" s="23">
        <v>0.5</v>
      </c>
      <c r="J28" s="23">
        <v>0.01</v>
      </c>
      <c r="K28" s="30">
        <v>0.05</v>
      </c>
      <c r="L28" s="23">
        <v>0.2</v>
      </c>
      <c r="M28" s="23">
        <v>0.45500000000000002</v>
      </c>
      <c r="N28" s="23"/>
      <c r="O28" s="23"/>
      <c r="P28" s="23">
        <v>311</v>
      </c>
      <c r="Q28" s="23">
        <v>103</v>
      </c>
      <c r="R28" s="23"/>
      <c r="S28" s="23"/>
      <c r="T28" s="23"/>
      <c r="U28" s="23"/>
    </row>
    <row r="29" spans="1:40" s="15" customFormat="1" ht="27" x14ac:dyDescent="0.25">
      <c r="A29" s="110"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1"/>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40</v>
      </c>
      <c r="B31" s="23">
        <v>250</v>
      </c>
      <c r="C31" s="2">
        <f>IF(C$27="%w/w SAR",((C$28*10)*$B31),IF(C$27="%w/w DM",(((C$28*10)*($B$28/100))*$B31),IF(C$27="kg/t SAR",(C$28*$B31),IF(C$27="kg/t DM",((C$28*($B$28/100))*$B31),IF(C$27="mg/kg SAR",((C$28*0.001)*$B31),IF(C$27="mg/kg DM",(((C$28*0.001)*($B$28/100))*$B31),0))))))</f>
        <v>150</v>
      </c>
      <c r="D31" s="2">
        <f>(IF(D$27="%w/w SAR",((D$28*10)*$B31),IF(D$27="%w/w DM",(((D$28*10)*($B$28/100))*$B31),IF(D$27="kg/t SAR",(D$28*$B31),IF(D$27="kg/t DM",((D$28*($B$28/100))*$B31),IF(D$27="mg/kg SAR",((D$28*0.001)*$B31),IF(D$27="mg/kg DM",(((D$28*0.001)*($B$28/100))*$B31),"0")))))))*2.291</f>
        <v>34.250450000000001</v>
      </c>
      <c r="E31" s="2">
        <f>(IF(E$27="%w/w SAR",((E$28*10)*$B31),IF(E$27="%w/w DM",(((E$28*10)*($B$28/100))*$B31),IF(E$27="kg/t SAR",(E$28*$B31),IF(E$27="kg/t DM",((E$28*($B$28/100))*$B31),IF(E$27="mg/kg SAR",((E$28*0.001)*$B31),IF(E$27="mg/kg DM",(((E$28*0.001)*($B$28/100))*$B31),"0")))))))*1.205</f>
        <v>24.130125</v>
      </c>
      <c r="F31" s="2">
        <f>(IF(F$27="%w/w SAR",((F$28*10)*$B31),IF(F$27="%w/w DM",(((F$28*10)*($B$28/100))*$B31),IF(F$27="kg/t SAR",(F$28*$B31),IF(F$27="kg/t DM",((F$28*($B$28/100))*$B31),IF(F$27="mg/kg SAR",((F$28*0.001)*$B31),IF(F$27="mg/kg DM",(((F$28*0.001)*($B$28/100))*$B31),"0")))))))*1.658</f>
        <v>10.445399999999999</v>
      </c>
      <c r="G31" s="2">
        <f t="shared" ref="G31:P46" si="5">IF(G$27="%w/w SAR",((G$28*10)*$B31),IF(G$27="%w/w DM",(((G$28*10)*($B$28/100))*$B31),IF(G$27="kg/t SAR",(G$28*$B31),IF(G$27="kg/t DM",((G$28*($B$28/100))*$B31),IF(G$27="mg/kg SAR",((G$28*0.001)*$B31),IF(G$27="mg/kg DM",(((G$28*0.001)*($B$28/100))*$B31),0))))))</f>
        <v>0.05</v>
      </c>
      <c r="H31" s="2">
        <f t="shared" si="5"/>
        <v>0.24099999999999999</v>
      </c>
      <c r="I31" s="2">
        <f t="shared" si="5"/>
        <v>0.125</v>
      </c>
      <c r="J31" s="2">
        <f t="shared" si="5"/>
        <v>2.5000000000000001E-3</v>
      </c>
      <c r="K31" s="2">
        <f t="shared" si="5"/>
        <v>1.2500000000000001E-2</v>
      </c>
      <c r="L31" s="2">
        <f t="shared" si="5"/>
        <v>0.05</v>
      </c>
      <c r="M31" s="2">
        <f t="shared" si="5"/>
        <v>0.11375</v>
      </c>
      <c r="N31" s="2">
        <f t="shared" si="5"/>
        <v>0</v>
      </c>
      <c r="O31" s="2">
        <f t="shared" si="5"/>
        <v>0</v>
      </c>
      <c r="P31" s="2">
        <f t="shared" si="5"/>
        <v>77.75</v>
      </c>
      <c r="Q31" s="2">
        <f>(IF(Q$27="%w/w SAR",((Q$28*10)*$B31),IF(Q$27="%w/w DM",(((Q$28*10)*($B$28/100))*$B31),IF(Q$27="kg/t SAR",(Q$28*$B31),IF(Q$27="kg/t DM",((Q$28*($B$28/100))*$B31),IF(Q$27="mg/kg SAR",((Q$28*0.001)*$B31),IF(Q$27="mg/kg DM",(((Q$28*0.001)*($B$28/100))*$B31),0)))))))*2.5</f>
        <v>64.375000000000014</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46</v>
      </c>
      <c r="B32" s="23">
        <v>250</v>
      </c>
      <c r="C32" s="2">
        <f t="shared" ref="C32:C50" si="6">IF(C$27="%w/w SAR",((C$28*10)*$B32),IF(C$27="%w/w DM",(((C$28*10)*($B$28/100))*$B32),IF(C$27="kg/t SAR",(C$28*$B32),IF(C$27="kg/t DM",((C$28*($B$28/100))*$B32),IF(C$27="mg/kg SAR",((C$28*0.001)*$B32),IF(C$27="mg/kg DM",(((C$28*0.001)*($B$28/100))*$B32),0))))))</f>
        <v>150</v>
      </c>
      <c r="D32" s="2">
        <f t="shared" ref="D32:D50" si="7">(IF(D$27="%w/w SAR",((D$28*10)*$B32),IF(D$27="%w/w DM",(((D$28*10)*($B$28/100))*$B32),IF(D$27="kg/t SAR",(D$28*$B32),IF(D$27="kg/t DM",((D$28*($B$28/100))*$B32),IF(D$27="mg/kg SAR",((D$28*0.001)*$B32),IF(D$27="mg/kg DM",(((D$28*0.001)*($B$28/100))*$B32),"0")))))))*2.291</f>
        <v>34.250450000000001</v>
      </c>
      <c r="E32" s="2">
        <f t="shared" ref="E32:E50" si="8">(IF(E$27="%w/w SAR",((E$28*10)*$B32),IF(E$27="%w/w DM",(((E$28*10)*($B$28/100))*$B32),IF(E$27="kg/t SAR",(E$28*$B32),IF(E$27="kg/t DM",((E$28*($B$28/100))*$B32),IF(E$27="mg/kg SAR",((E$28*0.001)*$B32),IF(E$27="mg/kg DM",(((E$28*0.001)*($B$28/100))*$B32),"0")))))))*1.205</f>
        <v>24.130125</v>
      </c>
      <c r="F32" s="2">
        <f t="shared" ref="F32:F50" si="9">(IF(F$27="%w/w SAR",((F$28*10)*$B32),IF(F$27="%w/w DM",(((F$28*10)*($B$28/100))*$B32),IF(F$27="kg/t SAR",(F$28*$B32),IF(F$27="kg/t DM",((F$28*($B$28/100))*$B32),IF(F$27="mg/kg SAR",((F$28*0.001)*$B32),IF(F$27="mg/kg DM",(((F$28*0.001)*($B$28/100))*$B32),"0")))))))*1.658</f>
        <v>10.445399999999999</v>
      </c>
      <c r="G32" s="2">
        <f t="shared" si="5"/>
        <v>0.05</v>
      </c>
      <c r="H32" s="2">
        <f t="shared" si="5"/>
        <v>0.24099999999999999</v>
      </c>
      <c r="I32" s="2">
        <f t="shared" si="5"/>
        <v>0.125</v>
      </c>
      <c r="J32" s="2">
        <f t="shared" si="5"/>
        <v>2.5000000000000001E-3</v>
      </c>
      <c r="K32" s="2">
        <f t="shared" si="5"/>
        <v>1.2500000000000001E-2</v>
      </c>
      <c r="L32" s="2">
        <f t="shared" si="5"/>
        <v>0.05</v>
      </c>
      <c r="M32" s="2">
        <f t="shared" si="5"/>
        <v>0.11375</v>
      </c>
      <c r="N32" s="2">
        <f t="shared" si="5"/>
        <v>0</v>
      </c>
      <c r="O32" s="2">
        <f t="shared" si="5"/>
        <v>0</v>
      </c>
      <c r="P32" s="2">
        <f t="shared" si="5"/>
        <v>77.75</v>
      </c>
      <c r="Q32" s="2">
        <f t="shared" ref="Q32:Q50" si="10">(IF(Q$27="%w/w SAR",((Q$28*10)*$B32),IF(Q$27="%w/w DM",(((Q$28*10)*($B$28/100))*$B32),IF(Q$27="kg/t SAR",(Q$28*$B32),IF(Q$27="kg/t DM",((Q$28*($B$28/100))*$B32),IF(Q$27="mg/kg SAR",((Q$28*0.001)*$B32),IF(Q$27="mg/kg DM",(((Q$28*0.001)*($B$28/100))*$B32),0)))))))*2.5</f>
        <v>64.375000000000014</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43</v>
      </c>
      <c r="B33" s="23">
        <v>250</v>
      </c>
      <c r="C33" s="2">
        <f t="shared" si="6"/>
        <v>150</v>
      </c>
      <c r="D33" s="2">
        <f t="shared" si="7"/>
        <v>34.250450000000001</v>
      </c>
      <c r="E33" s="2">
        <f t="shared" si="8"/>
        <v>24.130125</v>
      </c>
      <c r="F33" s="2">
        <f t="shared" si="9"/>
        <v>10.445399999999999</v>
      </c>
      <c r="G33" s="2">
        <f t="shared" si="5"/>
        <v>0.05</v>
      </c>
      <c r="H33" s="2">
        <f t="shared" si="5"/>
        <v>0.24099999999999999</v>
      </c>
      <c r="I33" s="2">
        <f t="shared" si="5"/>
        <v>0.125</v>
      </c>
      <c r="J33" s="2">
        <f t="shared" si="5"/>
        <v>2.5000000000000001E-3</v>
      </c>
      <c r="K33" s="2">
        <f t="shared" si="5"/>
        <v>1.2500000000000001E-2</v>
      </c>
      <c r="L33" s="2">
        <f t="shared" si="5"/>
        <v>0.05</v>
      </c>
      <c r="M33" s="2">
        <f t="shared" si="5"/>
        <v>0.11375</v>
      </c>
      <c r="N33" s="2">
        <f t="shared" si="5"/>
        <v>0</v>
      </c>
      <c r="O33" s="2">
        <f t="shared" si="5"/>
        <v>0</v>
      </c>
      <c r="P33" s="2">
        <f t="shared" si="5"/>
        <v>77.75</v>
      </c>
      <c r="Q33" s="2">
        <f t="shared" si="10"/>
        <v>64.375000000000014</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23</v>
      </c>
      <c r="B34" s="23">
        <v>250</v>
      </c>
      <c r="C34" s="2">
        <f t="shared" si="6"/>
        <v>150</v>
      </c>
      <c r="D34" s="2">
        <f t="shared" si="7"/>
        <v>34.250450000000001</v>
      </c>
      <c r="E34" s="2">
        <f t="shared" si="8"/>
        <v>24.130125</v>
      </c>
      <c r="F34" s="2">
        <f t="shared" si="9"/>
        <v>10.445399999999999</v>
      </c>
      <c r="G34" s="2">
        <f t="shared" si="5"/>
        <v>0.05</v>
      </c>
      <c r="H34" s="2">
        <f t="shared" si="5"/>
        <v>0.24099999999999999</v>
      </c>
      <c r="I34" s="2">
        <f t="shared" si="5"/>
        <v>0.125</v>
      </c>
      <c r="J34" s="2">
        <f t="shared" si="5"/>
        <v>2.5000000000000001E-3</v>
      </c>
      <c r="K34" s="2">
        <f t="shared" si="5"/>
        <v>1.2500000000000001E-2</v>
      </c>
      <c r="L34" s="2">
        <f t="shared" si="5"/>
        <v>0.05</v>
      </c>
      <c r="M34" s="2">
        <f t="shared" si="5"/>
        <v>0.11375</v>
      </c>
      <c r="N34" s="2">
        <f t="shared" si="5"/>
        <v>0</v>
      </c>
      <c r="O34" s="2">
        <f t="shared" si="5"/>
        <v>0</v>
      </c>
      <c r="P34" s="2">
        <f t="shared" si="5"/>
        <v>77.75</v>
      </c>
      <c r="Q34" s="2">
        <f t="shared" si="10"/>
        <v>64.375000000000014</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21</v>
      </c>
      <c r="B35" s="23">
        <v>250</v>
      </c>
      <c r="C35" s="2">
        <f t="shared" si="6"/>
        <v>150</v>
      </c>
      <c r="D35" s="2">
        <f t="shared" si="7"/>
        <v>34.250450000000001</v>
      </c>
      <c r="E35" s="2">
        <f t="shared" si="8"/>
        <v>24.130125</v>
      </c>
      <c r="F35" s="2">
        <f t="shared" si="9"/>
        <v>10.445399999999999</v>
      </c>
      <c r="G35" s="2">
        <f t="shared" si="5"/>
        <v>0.05</v>
      </c>
      <c r="H35" s="2">
        <f t="shared" si="5"/>
        <v>0.24099999999999999</v>
      </c>
      <c r="I35" s="2">
        <f t="shared" si="5"/>
        <v>0.125</v>
      </c>
      <c r="J35" s="2">
        <f t="shared" si="5"/>
        <v>2.5000000000000001E-3</v>
      </c>
      <c r="K35" s="2">
        <f t="shared" si="5"/>
        <v>1.2500000000000001E-2</v>
      </c>
      <c r="L35" s="2">
        <f t="shared" si="5"/>
        <v>0.05</v>
      </c>
      <c r="M35" s="2">
        <f t="shared" si="5"/>
        <v>0.11375</v>
      </c>
      <c r="N35" s="2">
        <f t="shared" si="5"/>
        <v>0</v>
      </c>
      <c r="O35" s="2">
        <f t="shared" si="5"/>
        <v>0</v>
      </c>
      <c r="P35" s="2">
        <f t="shared" si="5"/>
        <v>77.75</v>
      </c>
      <c r="Q35" s="2">
        <f t="shared" si="10"/>
        <v>64.375000000000014</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40</v>
      </c>
      <c r="C57" s="16">
        <f t="shared" ref="C57:U57" si="13">D8</f>
        <v>46</v>
      </c>
      <c r="D57" s="16">
        <f t="shared" si="13"/>
        <v>43</v>
      </c>
      <c r="E57" s="16">
        <f t="shared" si="13"/>
        <v>23</v>
      </c>
      <c r="F57" s="16">
        <f t="shared" si="13"/>
        <v>21</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"&amp;(VLOOKUP(C14,Table24567[],6,FALSE))</f>
        <v>Medium/Clay I Grass</v>
      </c>
      <c r="C58" s="44" t="str">
        <f>D16&amp;" I "&amp;(VLOOKUP(D14,Table24567[],6,FALSE))</f>
        <v>Medium/Clay I Grass</v>
      </c>
      <c r="D58" s="21" t="str">
        <f>E16&amp;" I "&amp;(VLOOKUP(E14,Table24567[],6,FALSE))</f>
        <v>Medium/Clay I Grass</v>
      </c>
      <c r="E58" s="21" t="str">
        <f>F16&amp;" I "&amp;(VLOOKUP(F14,Table24567[],6,FALSE))</f>
        <v>Medium/Clay I Grass</v>
      </c>
      <c r="F58" s="21" t="str">
        <f>G16&amp;" I "&amp;(VLOOKUP(G14,Table24567[],6,FALSE))</f>
        <v>Medium/Clay I Grass</v>
      </c>
      <c r="G58" s="21" t="e">
        <f>H16&amp;" I "&amp;(VLOOKUP(H14,Table24567[],6,FALSE))</f>
        <v>#N/A</v>
      </c>
      <c r="H58" s="21" t="e">
        <f>I16&amp;" I "&amp;(VLOOKUP(I14,Table24567[],6,FALSE))</f>
        <v>#N/A</v>
      </c>
      <c r="I58" s="21" t="e">
        <f>J16&amp;" I "&amp;(VLOOKUP(J14,Table24567[],6,FALSE))</f>
        <v>#N/A</v>
      </c>
      <c r="J58" s="21" t="e">
        <f>K16&amp;" I "&amp;(VLOOKUP(K14,Table24567[],6,FALSE))</f>
        <v>#N/A</v>
      </c>
      <c r="K58" s="21" t="e">
        <f>L16&amp;" I "&amp;(VLOOKUP(L14,Table24567[],6,FALSE))</f>
        <v>#N/A</v>
      </c>
      <c r="L58" s="21" t="e">
        <f>M16&amp;" I "&amp;(VLOOKUP(M14,Table24567[],6,FALSE))</f>
        <v>#N/A</v>
      </c>
      <c r="M58" s="21" t="e">
        <f>N16&amp;" I "&amp;(VLOOKUP(N14,Table24567[],6,FALSE))</f>
        <v>#N/A</v>
      </c>
      <c r="N58" s="21" t="e">
        <f>O16&amp;" I "&amp;(VLOOKUP(O14,Table24567[],6,FALSE))</f>
        <v>#N/A</v>
      </c>
      <c r="O58" s="21" t="e">
        <f>P16&amp;" I "&amp;(VLOOKUP(P14,Table24567[],6,FALSE))</f>
        <v>#N/A</v>
      </c>
      <c r="P58" s="21" t="e">
        <f>Q16&amp;" I "&amp;(VLOOKUP(Q14,Table24567[],6,FALSE))</f>
        <v>#N/A</v>
      </c>
      <c r="Q58" s="21" t="e">
        <f>R16&amp;" I "&amp;(VLOOKUP(R14,Table24567[],6,FALSE))</f>
        <v>#N/A</v>
      </c>
      <c r="R58" s="21" t="e">
        <f>S16&amp;" I "&amp;(VLOOKUP(S14,Table24567[],6,FALSE))</f>
        <v>#N/A</v>
      </c>
      <c r="S58" s="21" t="e">
        <f>T16&amp;" I "&amp;(VLOOKUP(T14,Table24567[],6,FALSE))</f>
        <v>#N/A</v>
      </c>
      <c r="T58" s="21" t="e">
        <f>U16&amp;" I "&amp;(VLOOKUP(U14,Table24567[],6,FALSE))</f>
        <v>#N/A</v>
      </c>
      <c r="U58" s="21" t="e">
        <f>V16&amp;" I "&amp;(VLOOKUP(V14,Table24567[],6,FALSE))</f>
        <v>#N/A</v>
      </c>
    </row>
    <row r="59" spans="1:35" s="27" customFormat="1" hidden="1" x14ac:dyDescent="0.2">
      <c r="A59" s="92" t="s">
        <v>130</v>
      </c>
      <c r="B59" s="93">
        <f>VLOOKUP(C$14,Table24567[],5,FALSE)</f>
        <v>6.2</v>
      </c>
      <c r="C59" s="93">
        <f>VLOOKUP(D$14,Table24567[],5,FALSE)</f>
        <v>6.2</v>
      </c>
      <c r="D59" s="93">
        <f>VLOOKUP(E$14,Table24567[],5,FALSE)</f>
        <v>6.2</v>
      </c>
      <c r="E59" s="93">
        <f>VLOOKUP(F$14,Table24567[],5,FALSE)</f>
        <v>6.2</v>
      </c>
      <c r="F59" s="93">
        <f>VLOOKUP(G$14,Table24567[],5,FALSE)</f>
        <v>6.2</v>
      </c>
      <c r="G59" s="93" t="e">
        <f>VLOOKUP(H$14,Table24567[],5,FALSE)</f>
        <v>#N/A</v>
      </c>
      <c r="H59" s="93" t="e">
        <f>VLOOKUP(I$14,Table24567[],5,FALSE)</f>
        <v>#N/A</v>
      </c>
      <c r="I59" s="93" t="e">
        <f>VLOOKUP(J$14,Table24567[],5,FALSE)</f>
        <v>#N/A</v>
      </c>
      <c r="J59" s="93" t="e">
        <f>VLOOKUP(K$14,Table24567[],5,FALSE)</f>
        <v>#N/A</v>
      </c>
      <c r="K59" s="93" t="e">
        <f>VLOOKUP(L$14,Table24567[],5,FALSE)</f>
        <v>#N/A</v>
      </c>
      <c r="L59" s="93" t="e">
        <f>VLOOKUP(M$14,Table24567[],5,FALSE)</f>
        <v>#N/A</v>
      </c>
      <c r="M59" s="93" t="e">
        <f>VLOOKUP(N$14,Table24567[],5,FALSE)</f>
        <v>#N/A</v>
      </c>
      <c r="N59" s="93" t="e">
        <f>VLOOKUP(O$14,Table24567[],5,FALSE)</f>
        <v>#N/A</v>
      </c>
      <c r="O59" s="93" t="e">
        <f>VLOOKUP(P$14,Table24567[],5,FALSE)</f>
        <v>#N/A</v>
      </c>
      <c r="P59" s="93" t="e">
        <f>VLOOKUP(Q$14,Table24567[],5,FALSE)</f>
        <v>#N/A</v>
      </c>
      <c r="Q59" s="93" t="e">
        <f>VLOOKUP(R$14,Table24567[],5,FALSE)</f>
        <v>#N/A</v>
      </c>
      <c r="R59" s="93" t="e">
        <f>VLOOKUP(S$14,Table24567[],5,FALSE)</f>
        <v>#N/A</v>
      </c>
      <c r="S59" s="93" t="e">
        <f>VLOOKUP(T$14,Table24567[],5,FALSE)</f>
        <v>#N/A</v>
      </c>
      <c r="T59" s="93" t="e">
        <f>VLOOKUP(U$14,Table24567[],5,FALSE)</f>
        <v>#N/A</v>
      </c>
      <c r="U59" s="93" t="e">
        <f>VLOOKUP(V$14,Table24567[],5,FALSE)</f>
        <v>#N/A</v>
      </c>
    </row>
    <row r="60" spans="1:35" s="27" customFormat="1" hidden="1" x14ac:dyDescent="0.2">
      <c r="A60" s="92" t="s">
        <v>4</v>
      </c>
      <c r="B60" s="93">
        <f>C10</f>
        <v>6.7</v>
      </c>
      <c r="C60" s="93">
        <f t="shared" ref="C60:U60" si="14">D10</f>
        <v>6.5</v>
      </c>
      <c r="D60" s="93">
        <f t="shared" si="14"/>
        <v>5.8</v>
      </c>
      <c r="E60" s="93">
        <f t="shared" si="14"/>
        <v>6.3</v>
      </c>
      <c r="F60" s="93">
        <f t="shared" si="14"/>
        <v>6.3</v>
      </c>
      <c r="G60" s="93">
        <f t="shared" si="14"/>
        <v>0</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t="e">
        <f t="shared" si="15"/>
        <v>#N/A</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v>
      </c>
      <c r="C64" s="94">
        <f t="shared" ref="C64:U64" si="17">(C59-C60)*C61</f>
        <v>-1.7999999999999989</v>
      </c>
      <c r="D64" s="94">
        <f t="shared" si="17"/>
        <v>2.4000000000000021</v>
      </c>
      <c r="E64" s="94">
        <f t="shared" si="17"/>
        <v>-0.59999999999999787</v>
      </c>
      <c r="F64" s="94">
        <f t="shared" si="17"/>
        <v>-0.59999999999999787</v>
      </c>
      <c r="G64" s="94" t="e">
        <f t="shared" si="17"/>
        <v>#N/A</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UNDER</v>
      </c>
      <c r="E65" s="95" t="str">
        <f t="shared" si="18"/>
        <v>OVER</v>
      </c>
      <c r="F65" s="95" t="str">
        <f t="shared" si="18"/>
        <v>OVER</v>
      </c>
      <c r="G65" s="95" t="e">
        <f t="shared" si="18"/>
        <v>#N/A</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79" priority="32" operator="equal">
      <formula>"DECREASE"</formula>
    </cfRule>
    <cfRule type="cellIs" dxfId="78" priority="33" operator="equal">
      <formula>"INCREASE"</formula>
    </cfRule>
  </conditionalFormatting>
  <conditionalFormatting sqref="B62:U65 B31:B50">
    <cfRule type="cellIs" dxfId="77" priority="31" operator="greaterThan">
      <formula>$B$51</formula>
    </cfRule>
  </conditionalFormatting>
  <conditionalFormatting sqref="C31:C50">
    <cfRule type="cellIs" dxfId="76" priority="30" operator="greaterThan">
      <formula>$C$51</formula>
    </cfRule>
  </conditionalFormatting>
  <conditionalFormatting sqref="C18:V18">
    <cfRule type="cellIs" dxfId="75" priority="29" operator="equal">
      <formula>0</formula>
    </cfRule>
  </conditionalFormatting>
  <conditionalFormatting sqref="C17:V17">
    <cfRule type="cellIs" dxfId="74" priority="28" operator="equal">
      <formula>0</formula>
    </cfRule>
  </conditionalFormatting>
  <conditionalFormatting sqref="C19:V19">
    <cfRule type="cellIs" dxfId="73" priority="27" operator="equal">
      <formula>0</formula>
    </cfRule>
  </conditionalFormatting>
  <conditionalFormatting sqref="G31:G50">
    <cfRule type="cellIs" dxfId="72" priority="26" operator="greaterThan">
      <formula>$G$51</formula>
    </cfRule>
  </conditionalFormatting>
  <conditionalFormatting sqref="H31:H50">
    <cfRule type="cellIs" dxfId="71" priority="25" operator="greaterThan">
      <formula>$H$51</formula>
    </cfRule>
  </conditionalFormatting>
  <conditionalFormatting sqref="I31:I50">
    <cfRule type="cellIs" dxfId="70" priority="24" operator="greaterThan">
      <formula>$I$51</formula>
    </cfRule>
  </conditionalFormatting>
  <conditionalFormatting sqref="K31:K50">
    <cfRule type="cellIs" dxfId="69" priority="23" operator="greaterThan">
      <formula>$K$51</formula>
    </cfRule>
  </conditionalFormatting>
  <conditionalFormatting sqref="L31:L50">
    <cfRule type="cellIs" dxfId="68" priority="22" operator="greaterThan">
      <formula>$L$51</formula>
    </cfRule>
  </conditionalFormatting>
  <conditionalFormatting sqref="M31:M50">
    <cfRule type="cellIs" dxfId="67" priority="21" operator="greaterThan">
      <formula>$M$51</formula>
    </cfRule>
  </conditionalFormatting>
  <conditionalFormatting sqref="P31:P50">
    <cfRule type="cellIs" dxfId="66" priority="20" operator="greaterThan">
      <formula>$P$51</formula>
    </cfRule>
  </conditionalFormatting>
  <conditionalFormatting sqref="R31:R50">
    <cfRule type="cellIs" dxfId="65" priority="19" operator="greaterThan">
      <formula>$R$51</formula>
    </cfRule>
  </conditionalFormatting>
  <conditionalFormatting sqref="S31:S50">
    <cfRule type="cellIs" dxfId="64" priority="18" operator="greaterThan">
      <formula>$S$51</formula>
    </cfRule>
  </conditionalFormatting>
  <conditionalFormatting sqref="T31:T50">
    <cfRule type="cellIs" dxfId="63" priority="17" operator="greaterThan">
      <formula>$T$51</formula>
    </cfRule>
  </conditionalFormatting>
  <conditionalFormatting sqref="U31:U50">
    <cfRule type="cellIs" dxfId="62" priority="16" operator="greaterThan">
      <formula>$U$51</formula>
    </cfRule>
  </conditionalFormatting>
  <conditionalFormatting sqref="C22:V22">
    <cfRule type="cellIs" dxfId="61" priority="15" operator="equal">
      <formula>0</formula>
    </cfRule>
  </conditionalFormatting>
  <conditionalFormatting sqref="C24:V24">
    <cfRule type="cellIs" dxfId="60" priority="13" operator="equal">
      <formula>"DECREASE"</formula>
    </cfRule>
    <cfRule type="cellIs" dxfId="59" priority="14" operator="equal">
      <formula>"INCREASE"</formula>
    </cfRule>
  </conditionalFormatting>
  <conditionalFormatting sqref="C23:V23">
    <cfRule type="cellIs" dxfId="58" priority="12" operator="equal">
      <formula>0</formula>
    </cfRule>
  </conditionalFormatting>
  <conditionalFormatting sqref="C21:V21">
    <cfRule type="cellIs" dxfId="57" priority="8" operator="equal">
      <formula>0</formula>
    </cfRule>
  </conditionalFormatting>
  <conditionalFormatting sqref="B65:U65">
    <cfRule type="cellIs" dxfId="56" priority="6" operator="equal">
      <formula>"UNDER"</formula>
    </cfRule>
    <cfRule type="cellIs" dxfId="55" priority="7" operator="equal">
      <formula>"OVER"</formula>
    </cfRule>
  </conditionalFormatting>
  <conditionalFormatting sqref="I3">
    <cfRule type="cellIs" dxfId="54" priority="4" operator="greaterThan">
      <formula>4.1</formula>
    </cfRule>
  </conditionalFormatting>
  <conditionalFormatting sqref="J31:J50">
    <cfRule type="cellIs" dxfId="53" priority="3" operator="greaterThan">
      <formula>$J$51</formula>
    </cfRule>
  </conditionalFormatting>
  <conditionalFormatting sqref="I1">
    <cfRule type="cellIs" dxfId="52" priority="2" operator="lessThan">
      <formula>5</formula>
    </cfRule>
  </conditionalFormatting>
  <conditionalFormatting sqref="I2">
    <cfRule type="cellIs" dxfId="51" priority="1" operator="greaterThan">
      <formula>5000.1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5"/>
  <sheetViews>
    <sheetView tabSelected="1" zoomScale="90" zoomScaleNormal="90" workbookViewId="0">
      <selection activeCell="D41" sqref="D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2" t="s">
        <v>41</v>
      </c>
      <c r="B1" s="112"/>
      <c r="C1" s="128" t="str">
        <f>'Field data and Waste 1'!C1:D1</f>
        <v>PAN-012063</v>
      </c>
      <c r="D1" s="129"/>
      <c r="E1" s="37" t="s">
        <v>45</v>
      </c>
      <c r="F1" s="46">
        <f>'Field data and Waste 1'!F1</f>
        <v>43.3</v>
      </c>
      <c r="G1" s="124" t="s">
        <v>43</v>
      </c>
      <c r="H1" s="125"/>
      <c r="I1" s="103">
        <v>6.58</v>
      </c>
      <c r="AB1" s="26"/>
      <c r="AC1" s="26"/>
      <c r="AD1" s="43" t="s">
        <v>124</v>
      </c>
      <c r="AE1" s="25"/>
      <c r="AF1" s="25"/>
      <c r="AG1" s="26"/>
      <c r="AH1" s="26"/>
      <c r="AI1" s="47" t="s">
        <v>79</v>
      </c>
      <c r="AJ1" s="48" t="s">
        <v>91</v>
      </c>
      <c r="AK1" s="49" t="s">
        <v>92</v>
      </c>
      <c r="AL1" s="50" t="s">
        <v>123</v>
      </c>
      <c r="AM1" s="50" t="s">
        <v>129</v>
      </c>
      <c r="AN1" s="50" t="s">
        <v>109</v>
      </c>
    </row>
    <row r="2" spans="1:41" x14ac:dyDescent="0.2">
      <c r="A2" s="112" t="s">
        <v>84</v>
      </c>
      <c r="B2" s="112"/>
      <c r="C2" s="130" t="str">
        <f>'Field data and Waste 1'!C2:D2</f>
        <v>EPR-KP3594VE</v>
      </c>
      <c r="D2" s="131"/>
      <c r="E2" s="37" t="s">
        <v>106</v>
      </c>
      <c r="F2" s="103" t="s">
        <v>168</v>
      </c>
      <c r="G2" s="126" t="s">
        <v>107</v>
      </c>
      <c r="H2" s="127"/>
      <c r="I2" s="103">
        <v>341</v>
      </c>
      <c r="AB2" s="43" t="s">
        <v>56</v>
      </c>
      <c r="AC2" s="25"/>
      <c r="AD2" s="43" t="s">
        <v>70</v>
      </c>
      <c r="AE2" s="25"/>
      <c r="AF2" s="25"/>
      <c r="AG2" s="51" t="s">
        <v>76</v>
      </c>
      <c r="AH2" s="26"/>
      <c r="AI2" s="52" t="s">
        <v>124</v>
      </c>
      <c r="AJ2" s="53">
        <v>0</v>
      </c>
      <c r="AK2" s="54">
        <v>0</v>
      </c>
      <c r="AL2" s="18">
        <v>0</v>
      </c>
      <c r="AM2" s="19">
        <v>0</v>
      </c>
      <c r="AN2" s="19">
        <v>0</v>
      </c>
    </row>
    <row r="3" spans="1:41" x14ac:dyDescent="0.2">
      <c r="A3" s="113" t="s">
        <v>42</v>
      </c>
      <c r="B3" s="114"/>
      <c r="C3" s="130" t="str">
        <f>'Field data and Waste 1'!C3:D3</f>
        <v>Trade Effluent Services Ltd</v>
      </c>
      <c r="D3" s="131"/>
      <c r="E3" s="37" t="s">
        <v>105</v>
      </c>
      <c r="F3" s="45" t="s">
        <v>78</v>
      </c>
      <c r="G3" s="124" t="s">
        <v>108</v>
      </c>
      <c r="H3" s="125"/>
      <c r="I3" s="103">
        <v>2E-3</v>
      </c>
      <c r="AB3" s="43" t="s">
        <v>57</v>
      </c>
      <c r="AC3" s="25"/>
      <c r="AD3" s="43" t="s">
        <v>71</v>
      </c>
      <c r="AE3" s="25"/>
      <c r="AF3" s="25"/>
      <c r="AG3" s="51" t="s">
        <v>77</v>
      </c>
      <c r="AH3" s="26"/>
      <c r="AI3" s="55" t="s">
        <v>111</v>
      </c>
      <c r="AJ3" s="56">
        <v>1.7</v>
      </c>
      <c r="AK3" s="57">
        <v>6</v>
      </c>
      <c r="AL3" s="58">
        <v>1</v>
      </c>
      <c r="AM3" s="19">
        <v>6.2</v>
      </c>
      <c r="AN3" s="19" t="s">
        <v>110</v>
      </c>
    </row>
    <row r="4" spans="1:41" x14ac:dyDescent="0.2">
      <c r="A4" s="112" t="s">
        <v>0</v>
      </c>
      <c r="B4" s="112"/>
      <c r="C4" s="128" t="str">
        <f>'Field data and Waste 1'!C4:D4</f>
        <v>Brookhouse Farm, Hanmer, Whitchurch, SY13 3EG</v>
      </c>
      <c r="D4" s="129"/>
      <c r="E4" s="38" t="s">
        <v>1</v>
      </c>
      <c r="F4" s="103" t="s">
        <v>174</v>
      </c>
      <c r="G4" s="124"/>
      <c r="H4" s="125"/>
      <c r="I4" s="46"/>
      <c r="AB4" s="43" t="s">
        <v>52</v>
      </c>
      <c r="AC4" s="25"/>
      <c r="AD4" s="59" t="s">
        <v>72</v>
      </c>
      <c r="AE4" s="25"/>
      <c r="AF4" s="25"/>
      <c r="AG4" s="51" t="s">
        <v>78</v>
      </c>
      <c r="AH4" s="26"/>
      <c r="AI4" s="60" t="s">
        <v>122</v>
      </c>
      <c r="AJ4" s="61">
        <v>7</v>
      </c>
      <c r="AK4" s="62">
        <v>10.5</v>
      </c>
      <c r="AL4" s="19">
        <v>2</v>
      </c>
      <c r="AM4" s="19">
        <v>6.7</v>
      </c>
      <c r="AN4" s="19" t="s">
        <v>135</v>
      </c>
    </row>
    <row r="5" spans="1:41" x14ac:dyDescent="0.2">
      <c r="A5" s="112" t="s">
        <v>47</v>
      </c>
      <c r="B5" s="112"/>
      <c r="C5" s="128" t="str">
        <f>'Field data and Waste 1'!C5:D5</f>
        <v>Sion Sleep</v>
      </c>
      <c r="D5" s="129"/>
      <c r="E5" s="37"/>
      <c r="F5" s="46"/>
      <c r="G5" s="124"/>
      <c r="H5" s="125"/>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7" t="s">
        <v>63</v>
      </c>
      <c r="B7" s="10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2" t="s">
        <v>2</v>
      </c>
      <c r="B8" s="112"/>
      <c r="C8" s="67">
        <f>'Field data and Waste 1'!C8</f>
        <v>40</v>
      </c>
      <c r="D8" s="67">
        <f>'Field data and Waste 1'!D8</f>
        <v>46</v>
      </c>
      <c r="E8" s="67">
        <f>'Field data and Waste 1'!E8</f>
        <v>43</v>
      </c>
      <c r="F8" s="67">
        <f>'Field data and Waste 1'!F8</f>
        <v>23</v>
      </c>
      <c r="G8" s="67">
        <f>'Field data and Waste 1'!G8</f>
        <v>21</v>
      </c>
      <c r="H8" s="67">
        <f>'Field data and Waste 1'!H8</f>
        <v>0</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2" t="s">
        <v>3</v>
      </c>
      <c r="B9" s="112"/>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2" t="s">
        <v>4</v>
      </c>
      <c r="B10" s="112"/>
      <c r="C10" s="67">
        <f>'Field data and Waste 1'!C10</f>
        <v>6.7</v>
      </c>
      <c r="D10" s="67">
        <f>'Field data and Waste 1'!D10</f>
        <v>6.5</v>
      </c>
      <c r="E10" s="67">
        <f>'Field data and Waste 1'!E10</f>
        <v>5.8</v>
      </c>
      <c r="F10" s="67">
        <f>'Field data and Waste 1'!F10</f>
        <v>6.3</v>
      </c>
      <c r="G10" s="67">
        <f>'Field data and Waste 1'!G10</f>
        <v>6.3</v>
      </c>
      <c r="H10" s="67">
        <f>'Field data and Waste 1'!H10</f>
        <v>0</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2" t="s">
        <v>5</v>
      </c>
      <c r="B11" s="112"/>
      <c r="C11" s="67">
        <f>'Field data and Waste 1'!C11</f>
        <v>3</v>
      </c>
      <c r="D11" s="67">
        <f>'Field data and Waste 1'!D11</f>
        <v>3</v>
      </c>
      <c r="E11" s="67">
        <f>'Field data and Waste 1'!E11</f>
        <v>2</v>
      </c>
      <c r="F11" s="67">
        <f>'Field data and Waste 1'!F11</f>
        <v>4</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2" t="s">
        <v>6</v>
      </c>
      <c r="B12" s="112"/>
      <c r="C12" s="67">
        <f>'Field data and Waste 1'!C12</f>
        <v>2</v>
      </c>
      <c r="D12" s="67">
        <f>'Field data and Waste 1'!D12</f>
        <v>0</v>
      </c>
      <c r="E12" s="67">
        <f>'Field data and Waste 1'!E12</f>
        <v>1</v>
      </c>
      <c r="F12" s="67">
        <f>'Field data and Waste 1'!F12</f>
        <v>2</v>
      </c>
      <c r="G12" s="67">
        <f>'Field data and Waste 1'!G12</f>
        <v>1</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2" t="s">
        <v>7</v>
      </c>
      <c r="B13" s="112"/>
      <c r="C13" s="67">
        <f>'Field data and Waste 1'!C13</f>
        <v>3</v>
      </c>
      <c r="D13" s="67">
        <f>'Field data and Waste 1'!D13</f>
        <v>3</v>
      </c>
      <c r="E13" s="67">
        <f>'Field data and Waste 1'!E13</f>
        <v>3</v>
      </c>
      <c r="F13" s="67">
        <f>'Field data and Waste 1'!F13</f>
        <v>3</v>
      </c>
      <c r="G13" s="67">
        <f>'Field data and Waste 1'!G13</f>
        <v>3</v>
      </c>
      <c r="H13" s="67">
        <f>'Field data and Waste 1'!H13</f>
        <v>0</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6" t="s">
        <v>8</v>
      </c>
      <c r="B14" s="116"/>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f>'Field data and Waste 1'!H14</f>
        <v>0</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5" t="s">
        <v>9</v>
      </c>
      <c r="B15" s="115"/>
      <c r="C15" s="67">
        <f>'Field data and Waste 1'!C15</f>
        <v>38</v>
      </c>
      <c r="D15" s="67">
        <f>'Field data and Waste 1'!D15</f>
        <v>38</v>
      </c>
      <c r="E15" s="67">
        <f>'Field data and Waste 1'!E15</f>
        <v>38</v>
      </c>
      <c r="F15" s="67">
        <f>'Field data and Waste 1'!F15</f>
        <v>38</v>
      </c>
      <c r="G15" s="67">
        <f>'Field data and Waste 1'!G15</f>
        <v>38</v>
      </c>
      <c r="H15" s="67">
        <f>'Field data and Waste 1'!H15</f>
        <v>0</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7" t="s">
        <v>44</v>
      </c>
      <c r="B16" s="117"/>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f>'Field data and Waste 1'!H16</f>
        <v>0</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4" t="s">
        <v>69</v>
      </c>
      <c r="B17" s="105"/>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t="e">
        <f t="shared" si="0"/>
        <v>#N/A</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6" t="s">
        <v>23</v>
      </c>
      <c r="B18" s="107"/>
      <c r="C18" s="24">
        <f>$D31</f>
        <v>62.949807</v>
      </c>
      <c r="D18" s="24">
        <f>$D32</f>
        <v>62.949807</v>
      </c>
      <c r="E18" s="24">
        <f>$D33</f>
        <v>62.949807</v>
      </c>
      <c r="F18" s="24">
        <f>$D34</f>
        <v>62.949807</v>
      </c>
      <c r="G18" s="24">
        <f>$D35</f>
        <v>62.949807</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6" t="s">
        <v>87</v>
      </c>
      <c r="B19" s="107"/>
      <c r="C19" s="24">
        <f>C18-C17</f>
        <v>-1.6501929999999945</v>
      </c>
      <c r="D19" s="24">
        <f t="shared" ref="D19:V19" si="1">D18-D17</f>
        <v>-1.6501929999999945</v>
      </c>
      <c r="E19" s="24">
        <f t="shared" si="1"/>
        <v>-1.6501929999999945</v>
      </c>
      <c r="F19" s="24">
        <f t="shared" si="1"/>
        <v>-1.6501929999999945</v>
      </c>
      <c r="G19" s="24">
        <f t="shared" si="1"/>
        <v>-1.6501929999999945</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8" t="s">
        <v>88</v>
      </c>
      <c r="B20" s="109"/>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4" t="s">
        <v>85</v>
      </c>
      <c r="B21" s="105"/>
      <c r="C21" s="39">
        <f t="shared" ref="C21:V21" si="2">(VLOOKUP(C$14,$AI2:$AK24,3,FALSE))*C$15</f>
        <v>228</v>
      </c>
      <c r="D21" s="39">
        <f t="shared" si="2"/>
        <v>228</v>
      </c>
      <c r="E21" s="39">
        <f t="shared" si="2"/>
        <v>228</v>
      </c>
      <c r="F21" s="39">
        <f t="shared" si="2"/>
        <v>228</v>
      </c>
      <c r="G21" s="39">
        <f t="shared" si="2"/>
        <v>228</v>
      </c>
      <c r="H21" s="39" t="e">
        <f t="shared" si="2"/>
        <v>#N/A</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6" t="s">
        <v>86</v>
      </c>
      <c r="B22" s="107"/>
      <c r="C22" s="24">
        <f>$E31</f>
        <v>20.156035000000003</v>
      </c>
      <c r="D22" s="24">
        <f>$E32</f>
        <v>20.156035000000003</v>
      </c>
      <c r="E22" s="24">
        <f>$E33</f>
        <v>20.156035000000003</v>
      </c>
      <c r="F22" s="24">
        <f>$E34</f>
        <v>20.156035000000003</v>
      </c>
      <c r="G22" s="24">
        <f>$E35</f>
        <v>20.156035000000003</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6" t="s">
        <v>89</v>
      </c>
      <c r="B23" s="107"/>
      <c r="C23" s="24">
        <f>C22-C21</f>
        <v>-207.843965</v>
      </c>
      <c r="D23" s="24">
        <f t="shared" ref="D23:V23" si="3">D22-D21</f>
        <v>-207.843965</v>
      </c>
      <c r="E23" s="24">
        <f t="shared" si="3"/>
        <v>-207.843965</v>
      </c>
      <c r="F23" s="24">
        <f t="shared" si="3"/>
        <v>-207.843965</v>
      </c>
      <c r="G23" s="24">
        <f t="shared" si="3"/>
        <v>-207.843965</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8" t="s">
        <v>90</v>
      </c>
      <c r="B24" s="109"/>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e">
        <f t="shared" si="4"/>
        <v>#N/A</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4.54</v>
      </c>
      <c r="C28" s="23">
        <v>0.45</v>
      </c>
      <c r="D28" s="23">
        <v>639</v>
      </c>
      <c r="E28" s="23">
        <v>389</v>
      </c>
      <c r="F28" s="23">
        <v>96.6</v>
      </c>
      <c r="G28" s="23">
        <v>1.05</v>
      </c>
      <c r="H28" s="23">
        <v>6.71</v>
      </c>
      <c r="I28" s="23">
        <v>0.5</v>
      </c>
      <c r="J28" s="23">
        <v>0.01</v>
      </c>
      <c r="K28" s="30">
        <v>0.05</v>
      </c>
      <c r="L28" s="23">
        <v>0.29799999999999999</v>
      </c>
      <c r="M28" s="23">
        <v>0.66600000000000004</v>
      </c>
      <c r="N28" s="23"/>
      <c r="O28" s="23"/>
      <c r="P28" s="23">
        <v>106</v>
      </c>
      <c r="Q28" s="23">
        <v>257</v>
      </c>
      <c r="R28" s="23"/>
      <c r="S28" s="23"/>
      <c r="T28" s="23"/>
      <c r="U28" s="23"/>
    </row>
    <row r="29" spans="1:40" s="15" customFormat="1" ht="27" x14ac:dyDescent="0.25">
      <c r="A29" s="110"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1"/>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40</v>
      </c>
      <c r="B31" s="23">
        <v>43</v>
      </c>
      <c r="C31" s="2">
        <f>IF(C$27="%w/w SAR",((C$28*10)*$B31),IF(C$27="%w/w DM",(((C$28*10)*($B$28/100))*$B31),IF(C$27="kg/t SAR",(C$28*$B31),IF(C$27="kg/t DM",((C$28*($B$28/100))*$B31),IF(C$27="mg/kg SAR",((C$28*0.001)*$B31),IF(C$27="mg/kg DM",(((C$28*0.001)*($B$28/100))*$B31),0))))))</f>
        <v>193.5</v>
      </c>
      <c r="D31" s="2">
        <f>(IF(D$27="%w/w SAR",((D$28*10)*$B31),IF(D$27="%w/w DM",(((D$28*10)*($B$28/100))*$B31),IF(D$27="kg/t SAR",(D$28*$B31),IF(D$27="kg/t DM",((D$28*($B$28/100))*$B31),IF(D$27="mg/kg SAR",((D$28*0.001)*$B31),IF(D$27="mg/kg DM",(((D$28*0.001)*($B$28/100))*$B31),"0")))))))*2.291</f>
        <v>62.949807</v>
      </c>
      <c r="E31" s="2">
        <f>(IF(E$27="%w/w SAR",((E$28*10)*$B31),IF(E$27="%w/w DM",(((E$28*10)*($B$28/100))*$B31),IF(E$27="kg/t SAR",(E$28*$B31),IF(E$27="kg/t DM",((E$28*($B$28/100))*$B31),IF(E$27="mg/kg SAR",((E$28*0.001)*$B31),IF(E$27="mg/kg DM",(((E$28*0.001)*($B$28/100))*$B31),"0")))))))*1.205</f>
        <v>20.156035000000003</v>
      </c>
      <c r="F31" s="2">
        <f>(IF(F$27="%w/w SAR",((F$28*10)*$B31),IF(F$27="%w/w DM",(((F$28*10)*($B$28/100))*$B31),IF(F$27="kg/t SAR",(F$28*$B31),IF(F$27="kg/t DM",((F$28*($B$28/100))*$B31),IF(F$27="mg/kg SAR",((F$28*0.001)*$B31),IF(F$27="mg/kg DM",(((F$28*0.001)*($B$28/100))*$B31),"0")))))))*1.658</f>
        <v>6.8870003999999989</v>
      </c>
      <c r="G31" s="2">
        <f t="shared" ref="G31:P46" si="5">IF(G$27="%w/w SAR",((G$28*10)*$B31),IF(G$27="%w/w DM",(((G$28*10)*($B$28/100))*$B31),IF(G$27="kg/t SAR",(G$28*$B31),IF(G$27="kg/t DM",((G$28*($B$28/100))*$B31),IF(G$27="mg/kg SAR",((G$28*0.001)*$B31),IF(G$27="mg/kg DM",(((G$28*0.001)*($B$28/100))*$B31),0))))))</f>
        <v>4.515000000000001E-2</v>
      </c>
      <c r="H31" s="2">
        <f t="shared" si="5"/>
        <v>0.28853000000000001</v>
      </c>
      <c r="I31" s="2">
        <f t="shared" si="5"/>
        <v>2.1500000000000002E-2</v>
      </c>
      <c r="J31" s="2">
        <f t="shared" si="5"/>
        <v>4.3000000000000004E-4</v>
      </c>
      <c r="K31" s="2">
        <f t="shared" si="5"/>
        <v>2.15E-3</v>
      </c>
      <c r="L31" s="2">
        <f t="shared" si="5"/>
        <v>1.2813999999999999E-2</v>
      </c>
      <c r="M31" s="2">
        <f t="shared" si="5"/>
        <v>2.8638E-2</v>
      </c>
      <c r="N31" s="2">
        <f t="shared" si="5"/>
        <v>0</v>
      </c>
      <c r="O31" s="2">
        <f t="shared" si="5"/>
        <v>0</v>
      </c>
      <c r="P31" s="2">
        <f t="shared" si="5"/>
        <v>4.5579999999999998</v>
      </c>
      <c r="Q31" s="2">
        <f>(IF(Q$27="%w/w SAR",((Q$28*10)*$B31),IF(Q$27="%w/w DM",(((Q$28*10)*($B$28/100))*$B31),IF(Q$27="kg/t SAR",(Q$28*$B31),IF(Q$27="kg/t DM",((Q$28*($B$28/100))*$B31),IF(Q$27="mg/kg SAR",((Q$28*0.001)*$B31),IF(Q$27="mg/kg DM",(((Q$28*0.001)*($B$28/100))*$B31),0)))))))*2.5</f>
        <v>27.627500000000001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46</v>
      </c>
      <c r="B32" s="23">
        <v>43</v>
      </c>
      <c r="C32" s="2">
        <f t="shared" ref="C32:C50" si="6">IF(C$27="%w/w SAR",((C$28*10)*$B32),IF(C$27="%w/w DM",(((C$28*10)*($B$28/100))*$B32),IF(C$27="kg/t SAR",(C$28*$B32),IF(C$27="kg/t DM",((C$28*($B$28/100))*$B32),IF(C$27="mg/kg SAR",((C$28*0.001)*$B32),IF(C$27="mg/kg DM",(((C$28*0.001)*($B$28/100))*$B32),0))))))</f>
        <v>193.5</v>
      </c>
      <c r="D32" s="2">
        <f t="shared" ref="D32:D50" si="7">(IF(D$27="%w/w SAR",((D$28*10)*$B32),IF(D$27="%w/w DM",(((D$28*10)*($B$28/100))*$B32),IF(D$27="kg/t SAR",(D$28*$B32),IF(D$27="kg/t DM",((D$28*($B$28/100))*$B32),IF(D$27="mg/kg SAR",((D$28*0.001)*$B32),IF(D$27="mg/kg DM",(((D$28*0.001)*($B$28/100))*$B32),"0")))))))*2.291</f>
        <v>62.949807</v>
      </c>
      <c r="E32" s="2">
        <f t="shared" ref="E32:E50" si="8">(IF(E$27="%w/w SAR",((E$28*10)*$B32),IF(E$27="%w/w DM",(((E$28*10)*($B$28/100))*$B32),IF(E$27="kg/t SAR",(E$28*$B32),IF(E$27="kg/t DM",((E$28*($B$28/100))*$B32),IF(E$27="mg/kg SAR",((E$28*0.001)*$B32),IF(E$27="mg/kg DM",(((E$28*0.001)*($B$28/100))*$B32),"0")))))))*1.205</f>
        <v>20.156035000000003</v>
      </c>
      <c r="F32" s="2">
        <f t="shared" ref="F32:F50" si="9">(IF(F$27="%w/w SAR",((F$28*10)*$B32),IF(F$27="%w/w DM",(((F$28*10)*($B$28/100))*$B32),IF(F$27="kg/t SAR",(F$28*$B32),IF(F$27="kg/t DM",((F$28*($B$28/100))*$B32),IF(F$27="mg/kg SAR",((F$28*0.001)*$B32),IF(F$27="mg/kg DM",(((F$28*0.001)*($B$28/100))*$B32),"0")))))))*1.658</f>
        <v>6.8870003999999989</v>
      </c>
      <c r="G32" s="2">
        <f t="shared" si="5"/>
        <v>4.515000000000001E-2</v>
      </c>
      <c r="H32" s="2">
        <f t="shared" si="5"/>
        <v>0.28853000000000001</v>
      </c>
      <c r="I32" s="2">
        <f t="shared" si="5"/>
        <v>2.1500000000000002E-2</v>
      </c>
      <c r="J32" s="2">
        <f t="shared" si="5"/>
        <v>4.3000000000000004E-4</v>
      </c>
      <c r="K32" s="2">
        <f t="shared" si="5"/>
        <v>2.15E-3</v>
      </c>
      <c r="L32" s="2">
        <f t="shared" si="5"/>
        <v>1.2813999999999999E-2</v>
      </c>
      <c r="M32" s="2">
        <f t="shared" si="5"/>
        <v>2.8638E-2</v>
      </c>
      <c r="N32" s="2">
        <f t="shared" si="5"/>
        <v>0</v>
      </c>
      <c r="O32" s="2">
        <f t="shared" si="5"/>
        <v>0</v>
      </c>
      <c r="P32" s="2">
        <f t="shared" si="5"/>
        <v>4.5579999999999998</v>
      </c>
      <c r="Q32" s="2">
        <f t="shared" ref="Q32:Q50" si="10">(IF(Q$27="%w/w SAR",((Q$28*10)*$B32),IF(Q$27="%w/w DM",(((Q$28*10)*($B$28/100))*$B32),IF(Q$27="kg/t SAR",(Q$28*$B32),IF(Q$27="kg/t DM",((Q$28*($B$28/100))*$B32),IF(Q$27="mg/kg SAR",((Q$28*0.001)*$B32),IF(Q$27="mg/kg DM",(((Q$28*0.001)*($B$28/100))*$B32),0)))))))*2.5</f>
        <v>27.627500000000001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43</v>
      </c>
      <c r="B33" s="23">
        <v>43</v>
      </c>
      <c r="C33" s="2">
        <f t="shared" si="6"/>
        <v>193.5</v>
      </c>
      <c r="D33" s="2">
        <f t="shared" si="7"/>
        <v>62.949807</v>
      </c>
      <c r="E33" s="2">
        <f t="shared" si="8"/>
        <v>20.156035000000003</v>
      </c>
      <c r="F33" s="2">
        <f t="shared" si="9"/>
        <v>6.8870003999999989</v>
      </c>
      <c r="G33" s="2">
        <f t="shared" si="5"/>
        <v>4.515000000000001E-2</v>
      </c>
      <c r="H33" s="2">
        <f t="shared" si="5"/>
        <v>0.28853000000000001</v>
      </c>
      <c r="I33" s="2">
        <f t="shared" si="5"/>
        <v>2.1500000000000002E-2</v>
      </c>
      <c r="J33" s="2">
        <f t="shared" si="5"/>
        <v>4.3000000000000004E-4</v>
      </c>
      <c r="K33" s="2">
        <f t="shared" si="5"/>
        <v>2.15E-3</v>
      </c>
      <c r="L33" s="2">
        <f t="shared" si="5"/>
        <v>1.2813999999999999E-2</v>
      </c>
      <c r="M33" s="2">
        <f t="shared" si="5"/>
        <v>2.8638E-2</v>
      </c>
      <c r="N33" s="2">
        <f t="shared" si="5"/>
        <v>0</v>
      </c>
      <c r="O33" s="2">
        <f t="shared" si="5"/>
        <v>0</v>
      </c>
      <c r="P33" s="2">
        <f t="shared" si="5"/>
        <v>4.5579999999999998</v>
      </c>
      <c r="Q33" s="2">
        <f t="shared" si="10"/>
        <v>27.627500000000001</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23</v>
      </c>
      <c r="B34" s="23">
        <v>43</v>
      </c>
      <c r="C34" s="2">
        <f t="shared" si="6"/>
        <v>193.5</v>
      </c>
      <c r="D34" s="2">
        <f t="shared" si="7"/>
        <v>62.949807</v>
      </c>
      <c r="E34" s="2">
        <f t="shared" si="8"/>
        <v>20.156035000000003</v>
      </c>
      <c r="F34" s="2">
        <f t="shared" si="9"/>
        <v>6.8870003999999989</v>
      </c>
      <c r="G34" s="2">
        <f t="shared" si="5"/>
        <v>4.515000000000001E-2</v>
      </c>
      <c r="H34" s="2">
        <f t="shared" si="5"/>
        <v>0.28853000000000001</v>
      </c>
      <c r="I34" s="2">
        <f t="shared" si="5"/>
        <v>2.1500000000000002E-2</v>
      </c>
      <c r="J34" s="2">
        <f t="shared" si="5"/>
        <v>4.3000000000000004E-4</v>
      </c>
      <c r="K34" s="2">
        <f t="shared" si="5"/>
        <v>2.15E-3</v>
      </c>
      <c r="L34" s="2">
        <f t="shared" si="5"/>
        <v>1.2813999999999999E-2</v>
      </c>
      <c r="M34" s="2">
        <f t="shared" si="5"/>
        <v>2.8638E-2</v>
      </c>
      <c r="N34" s="2">
        <f t="shared" si="5"/>
        <v>0</v>
      </c>
      <c r="O34" s="2">
        <f t="shared" si="5"/>
        <v>0</v>
      </c>
      <c r="P34" s="2">
        <f t="shared" si="5"/>
        <v>4.5579999999999998</v>
      </c>
      <c r="Q34" s="2">
        <f t="shared" si="10"/>
        <v>27.627500000000001</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21</v>
      </c>
      <c r="B35" s="23">
        <v>43</v>
      </c>
      <c r="C35" s="2">
        <f t="shared" si="6"/>
        <v>193.5</v>
      </c>
      <c r="D35" s="2">
        <f t="shared" si="7"/>
        <v>62.949807</v>
      </c>
      <c r="E35" s="2">
        <f t="shared" si="8"/>
        <v>20.156035000000003</v>
      </c>
      <c r="F35" s="2">
        <f t="shared" si="9"/>
        <v>6.8870003999999989</v>
      </c>
      <c r="G35" s="2">
        <f t="shared" si="5"/>
        <v>4.515000000000001E-2</v>
      </c>
      <c r="H35" s="2">
        <f t="shared" si="5"/>
        <v>0.28853000000000001</v>
      </c>
      <c r="I35" s="2">
        <f t="shared" si="5"/>
        <v>2.1500000000000002E-2</v>
      </c>
      <c r="J35" s="2">
        <f t="shared" si="5"/>
        <v>4.3000000000000004E-4</v>
      </c>
      <c r="K35" s="2">
        <f t="shared" si="5"/>
        <v>2.15E-3</v>
      </c>
      <c r="L35" s="2">
        <f t="shared" si="5"/>
        <v>1.2813999999999999E-2</v>
      </c>
      <c r="M35" s="2">
        <f t="shared" si="5"/>
        <v>2.8638E-2</v>
      </c>
      <c r="N35" s="2">
        <f t="shared" si="5"/>
        <v>0</v>
      </c>
      <c r="O35" s="2">
        <f t="shared" si="5"/>
        <v>0</v>
      </c>
      <c r="P35" s="2">
        <f t="shared" si="5"/>
        <v>4.5579999999999998</v>
      </c>
      <c r="Q35" s="2">
        <f t="shared" si="10"/>
        <v>27.627500000000001</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40</v>
      </c>
      <c r="C57" s="16">
        <f t="shared" ref="C57:U57" si="13">D8</f>
        <v>46</v>
      </c>
      <c r="D57" s="16">
        <f t="shared" si="13"/>
        <v>43</v>
      </c>
      <c r="E57" s="16">
        <f t="shared" si="13"/>
        <v>23</v>
      </c>
      <c r="F57" s="16">
        <f t="shared" si="13"/>
        <v>21</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"&amp;(VLOOKUP(C14,Table2456[],6,FALSE))</f>
        <v>Medium/Clay I Grass</v>
      </c>
      <c r="C58" s="44" t="str">
        <f>D16&amp;" I "&amp;(VLOOKUP(D14,Table2456[],6,FALSE))</f>
        <v>Medium/Clay I Grass</v>
      </c>
      <c r="D58" s="21" t="str">
        <f>E16&amp;" I "&amp;(VLOOKUP(E14,Table2456[],6,FALSE))</f>
        <v>Medium/Clay I Grass</v>
      </c>
      <c r="E58" s="21" t="str">
        <f>F16&amp;" I "&amp;(VLOOKUP(F14,Table2456[],6,FALSE))</f>
        <v>Medium/Clay I Grass</v>
      </c>
      <c r="F58" s="21" t="str">
        <f>G16&amp;" I "&amp;(VLOOKUP(G14,Table2456[],6,FALSE))</f>
        <v>Medium/Clay I Grass</v>
      </c>
      <c r="G58" s="21" t="e">
        <f>H16&amp;" I "&amp;(VLOOKUP(H14,Table2456[],6,FALSE))</f>
        <v>#N/A</v>
      </c>
      <c r="H58" s="21" t="e">
        <f>I16&amp;" I "&amp;(VLOOKUP(I14,Table2456[],6,FALSE))</f>
        <v>#N/A</v>
      </c>
      <c r="I58" s="21" t="e">
        <f>J16&amp;" I "&amp;(VLOOKUP(J14,Table2456[],6,FALSE))</f>
        <v>#N/A</v>
      </c>
      <c r="J58" s="21" t="e">
        <f>K16&amp;" I "&amp;(VLOOKUP(K14,Table2456[],6,FALSE))</f>
        <v>#N/A</v>
      </c>
      <c r="K58" s="21" t="e">
        <f>L16&amp;" I "&amp;(VLOOKUP(L14,Table2456[],6,FALSE))</f>
        <v>#N/A</v>
      </c>
      <c r="L58" s="21" t="e">
        <f>M16&amp;" I "&amp;(VLOOKUP(M14,Table2456[],6,FALSE))</f>
        <v>#N/A</v>
      </c>
      <c r="M58" s="21" t="e">
        <f>N16&amp;" I "&amp;(VLOOKUP(N14,Table2456[],6,FALSE))</f>
        <v>#N/A</v>
      </c>
      <c r="N58" s="21" t="e">
        <f>O16&amp;" I "&amp;(VLOOKUP(O14,Table2456[],6,FALSE))</f>
        <v>#N/A</v>
      </c>
      <c r="O58" s="21" t="e">
        <f>P16&amp;" I "&amp;(VLOOKUP(P14,Table2456[],6,FALSE))</f>
        <v>#N/A</v>
      </c>
      <c r="P58" s="21" t="e">
        <f>Q16&amp;" I "&amp;(VLOOKUP(Q14,Table2456[],6,FALSE))</f>
        <v>#N/A</v>
      </c>
      <c r="Q58" s="21" t="e">
        <f>R16&amp;" I "&amp;(VLOOKUP(R14,Table2456[],6,FALSE))</f>
        <v>#N/A</v>
      </c>
      <c r="R58" s="21" t="e">
        <f>S16&amp;" I "&amp;(VLOOKUP(S14,Table2456[],6,FALSE))</f>
        <v>#N/A</v>
      </c>
      <c r="S58" s="21" t="e">
        <f>T16&amp;" I "&amp;(VLOOKUP(T14,Table2456[],6,FALSE))</f>
        <v>#N/A</v>
      </c>
      <c r="T58" s="21" t="e">
        <f>U16&amp;" I "&amp;(VLOOKUP(U14,Table2456[],6,FALSE))</f>
        <v>#N/A</v>
      </c>
      <c r="U58" s="21" t="e">
        <f>V16&amp;" I "&amp;(VLOOKUP(V14,Table2456[],6,FALSE))</f>
        <v>#N/A</v>
      </c>
    </row>
    <row r="59" spans="1:35" s="27" customFormat="1" hidden="1" x14ac:dyDescent="0.2">
      <c r="A59" s="92" t="s">
        <v>130</v>
      </c>
      <c r="B59" s="93">
        <f>VLOOKUP(C$14,Table2456[],5,FALSE)</f>
        <v>6.2</v>
      </c>
      <c r="C59" s="93">
        <f>VLOOKUP(D$14,Table2456[],5,FALSE)</f>
        <v>6.2</v>
      </c>
      <c r="D59" s="93">
        <f>VLOOKUP(E$14,Table2456[],5,FALSE)</f>
        <v>6.2</v>
      </c>
      <c r="E59" s="93">
        <f>VLOOKUP(F$14,Table2456[],5,FALSE)</f>
        <v>6.2</v>
      </c>
      <c r="F59" s="93">
        <f>VLOOKUP(G$14,Table2456[],5,FALSE)</f>
        <v>6.2</v>
      </c>
      <c r="G59" s="93" t="e">
        <f>VLOOKUP(H$14,Table2456[],5,FALSE)</f>
        <v>#N/A</v>
      </c>
      <c r="H59" s="93" t="e">
        <f>VLOOKUP(I$14,Table2456[],5,FALSE)</f>
        <v>#N/A</v>
      </c>
      <c r="I59" s="93" t="e">
        <f>VLOOKUP(J$14,Table2456[],5,FALSE)</f>
        <v>#N/A</v>
      </c>
      <c r="J59" s="93" t="e">
        <f>VLOOKUP(K$14,Table2456[],5,FALSE)</f>
        <v>#N/A</v>
      </c>
      <c r="K59" s="93" t="e">
        <f>VLOOKUP(L$14,Table2456[],5,FALSE)</f>
        <v>#N/A</v>
      </c>
      <c r="L59" s="93" t="e">
        <f>VLOOKUP(M$14,Table2456[],5,FALSE)</f>
        <v>#N/A</v>
      </c>
      <c r="M59" s="93" t="e">
        <f>VLOOKUP(N$14,Table2456[],5,FALSE)</f>
        <v>#N/A</v>
      </c>
      <c r="N59" s="93" t="e">
        <f>VLOOKUP(O$14,Table2456[],5,FALSE)</f>
        <v>#N/A</v>
      </c>
      <c r="O59" s="93" t="e">
        <f>VLOOKUP(P$14,Table2456[],5,FALSE)</f>
        <v>#N/A</v>
      </c>
      <c r="P59" s="93" t="e">
        <f>VLOOKUP(Q$14,Table2456[],5,FALSE)</f>
        <v>#N/A</v>
      </c>
      <c r="Q59" s="93" t="e">
        <f>VLOOKUP(R$14,Table2456[],5,FALSE)</f>
        <v>#N/A</v>
      </c>
      <c r="R59" s="93" t="e">
        <f>VLOOKUP(S$14,Table2456[],5,FALSE)</f>
        <v>#N/A</v>
      </c>
      <c r="S59" s="93" t="e">
        <f>VLOOKUP(T$14,Table2456[],5,FALSE)</f>
        <v>#N/A</v>
      </c>
      <c r="T59" s="93" t="e">
        <f>VLOOKUP(U$14,Table2456[],5,FALSE)</f>
        <v>#N/A</v>
      </c>
      <c r="U59" s="93" t="e">
        <f>VLOOKUP(V$14,Table2456[],5,FALSE)</f>
        <v>#N/A</v>
      </c>
    </row>
    <row r="60" spans="1:35" s="27" customFormat="1" hidden="1" x14ac:dyDescent="0.2">
      <c r="A60" s="92" t="s">
        <v>4</v>
      </c>
      <c r="B60" s="93">
        <f>C10</f>
        <v>6.7</v>
      </c>
      <c r="C60" s="93">
        <f t="shared" ref="C60:U60" si="14">D10</f>
        <v>6.5</v>
      </c>
      <c r="D60" s="93">
        <f t="shared" si="14"/>
        <v>5.8</v>
      </c>
      <c r="E60" s="93">
        <f t="shared" si="14"/>
        <v>6.3</v>
      </c>
      <c r="F60" s="93">
        <f t="shared" si="14"/>
        <v>6.3</v>
      </c>
      <c r="G60" s="93">
        <f t="shared" si="14"/>
        <v>0</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t="e">
        <f t="shared" si="15"/>
        <v>#N/A</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43</v>
      </c>
      <c r="C62" s="94">
        <f>B32</f>
        <v>43</v>
      </c>
      <c r="D62" s="94">
        <f>B33</f>
        <v>43</v>
      </c>
      <c r="E62" s="94">
        <f>B34</f>
        <v>43</v>
      </c>
      <c r="F62" s="94">
        <f>B35</f>
        <v>43</v>
      </c>
      <c r="G62" s="94">
        <f>B36</f>
        <v>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-3</v>
      </c>
      <c r="C64" s="94">
        <f t="shared" ref="C64:U64" si="17">(C59-C60)*C61</f>
        <v>-1.7999999999999989</v>
      </c>
      <c r="D64" s="94">
        <f t="shared" si="17"/>
        <v>2.4000000000000021</v>
      </c>
      <c r="E64" s="94">
        <f t="shared" si="17"/>
        <v>-0.59999999999999787</v>
      </c>
      <c r="F64" s="94">
        <f t="shared" si="17"/>
        <v>-0.59999999999999787</v>
      </c>
      <c r="G64" s="94" t="e">
        <f t="shared" si="17"/>
        <v>#N/A</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UNDER</v>
      </c>
      <c r="E65" s="95" t="str">
        <f t="shared" si="18"/>
        <v>OVER</v>
      </c>
      <c r="F65" s="95" t="str">
        <f t="shared" si="18"/>
        <v>OVER</v>
      </c>
      <c r="G65" s="95" t="e">
        <f t="shared" si="18"/>
        <v>#N/A</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9" priority="33" operator="equal">
      <formula>"DECREASE"</formula>
    </cfRule>
    <cfRule type="cellIs" dxfId="38" priority="34" operator="equal">
      <formula>"INCREASE"</formula>
    </cfRule>
  </conditionalFormatting>
  <conditionalFormatting sqref="B62:U65 B31:B50">
    <cfRule type="cellIs" dxfId="37" priority="32" operator="greaterThan">
      <formula>$B$51</formula>
    </cfRule>
  </conditionalFormatting>
  <conditionalFormatting sqref="C31:C50">
    <cfRule type="cellIs" dxfId="36" priority="31" operator="greaterThan">
      <formula>$C$51</formula>
    </cfRule>
  </conditionalFormatting>
  <conditionalFormatting sqref="C18:V18">
    <cfRule type="cellIs" dxfId="35" priority="30" operator="equal">
      <formula>0</formula>
    </cfRule>
  </conditionalFormatting>
  <conditionalFormatting sqref="C17:V17">
    <cfRule type="cellIs" dxfId="34" priority="29" operator="equal">
      <formula>0</formula>
    </cfRule>
  </conditionalFormatting>
  <conditionalFormatting sqref="C19:V19">
    <cfRule type="cellIs" dxfId="33" priority="28" operator="equal">
      <formula>0</formula>
    </cfRule>
  </conditionalFormatting>
  <conditionalFormatting sqref="G31:G50">
    <cfRule type="cellIs" dxfId="32" priority="27" operator="greaterThan">
      <formula>$G$51</formula>
    </cfRule>
  </conditionalFormatting>
  <conditionalFormatting sqref="H31:H50">
    <cfRule type="cellIs" dxfId="31" priority="26" operator="greaterThan">
      <formula>$H$51</formula>
    </cfRule>
  </conditionalFormatting>
  <conditionalFormatting sqref="I31:I50">
    <cfRule type="cellIs" dxfId="30" priority="25" operator="greaterThan">
      <formula>$I$51</formula>
    </cfRule>
  </conditionalFormatting>
  <conditionalFormatting sqref="K31:K50">
    <cfRule type="cellIs" dxfId="29" priority="24" operator="greaterThan">
      <formula>$K$51</formula>
    </cfRule>
  </conditionalFormatting>
  <conditionalFormatting sqref="L31:L50">
    <cfRule type="cellIs" dxfId="28" priority="23" operator="greaterThan">
      <formula>$L$51</formula>
    </cfRule>
  </conditionalFormatting>
  <conditionalFormatting sqref="M31:M50">
    <cfRule type="cellIs" dxfId="27" priority="22" operator="greaterThan">
      <formula>$M$51</formula>
    </cfRule>
  </conditionalFormatting>
  <conditionalFormatting sqref="P31:P50">
    <cfRule type="cellIs" dxfId="26" priority="21" operator="greaterThan">
      <formula>$P$51</formula>
    </cfRule>
  </conditionalFormatting>
  <conditionalFormatting sqref="R31:R50">
    <cfRule type="cellIs" dxfId="25" priority="20" operator="greaterThan">
      <formula>$R$51</formula>
    </cfRule>
  </conditionalFormatting>
  <conditionalFormatting sqref="S31:S50">
    <cfRule type="cellIs" dxfId="24" priority="19" operator="greaterThan">
      <formula>$S$51</formula>
    </cfRule>
  </conditionalFormatting>
  <conditionalFormatting sqref="T31:T50">
    <cfRule type="cellIs" dxfId="23" priority="18" operator="greaterThan">
      <formula>$T$51</formula>
    </cfRule>
  </conditionalFormatting>
  <conditionalFormatting sqref="U31:U50">
    <cfRule type="cellIs" dxfId="22" priority="17" operator="greaterThan">
      <formula>$U$51</formula>
    </cfRule>
  </conditionalFormatting>
  <conditionalFormatting sqref="C22:V22">
    <cfRule type="cellIs" dxfId="21" priority="16" operator="equal">
      <formula>0</formula>
    </cfRule>
  </conditionalFormatting>
  <conditionalFormatting sqref="C24:V24">
    <cfRule type="cellIs" dxfId="20" priority="14" operator="equal">
      <formula>"DECREASE"</formula>
    </cfRule>
    <cfRule type="cellIs" dxfId="19" priority="15" operator="equal">
      <formula>"INCREASE"</formula>
    </cfRule>
  </conditionalFormatting>
  <conditionalFormatting sqref="C23:V23">
    <cfRule type="cellIs" dxfId="18" priority="13" operator="equal">
      <formula>0</formula>
    </cfRule>
  </conditionalFormatting>
  <conditionalFormatting sqref="C21:V21">
    <cfRule type="cellIs" dxfId="17" priority="9" operator="equal">
      <formula>0</formula>
    </cfRule>
  </conditionalFormatting>
  <conditionalFormatting sqref="B65:U65">
    <cfRule type="cellIs" dxfId="16" priority="7" operator="equal">
      <formula>"UNDER"</formula>
    </cfRule>
    <cfRule type="cellIs" dxfId="15" priority="8" operator="equal">
      <formula>"OVER"</formula>
    </cfRule>
  </conditionalFormatting>
  <conditionalFormatting sqref="J31:J50">
    <cfRule type="cellIs" dxfId="14" priority="4" operator="greaterThan">
      <formula>$J$51</formula>
    </cfRule>
  </conditionalFormatting>
  <conditionalFormatting sqref="I1">
    <cfRule type="cellIs" dxfId="13" priority="3" operator="lessThan">
      <formula>5</formula>
    </cfRule>
  </conditionalFormatting>
  <conditionalFormatting sqref="I2">
    <cfRule type="cellIs" dxfId="12" priority="2" operator="greaterThan">
      <formula>5000.1</formula>
    </cfRule>
  </conditionalFormatting>
  <conditionalFormatting sqref="I3">
    <cfRule type="cellIs" dxfId="11" priority="1" operator="greaterThan">
      <formula>4.1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19" ma:contentTypeDescription="Permitting &amp; Compliance Excel Document" ma:contentTypeScope="" ma:versionID="e949f32680b2db90482006651f4fb850">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2021-01-05T00:00:00+00:00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Ltd</Customer_x0020_Name>
    <Surrendered_x002f_Expired_x0020_Date xmlns="859f7ad6-93f6-4205-b62b-a17f28acbbac" xsi:nil="true"/>
    <IconOverlay xmlns="http://schemas.microsoft.com/sharepoint/v4" xsi:nil="true"/>
  </documentManagement>
</p:properties>
</file>

<file path=customXml/itemProps1.xml><?xml version="1.0" encoding="utf-8"?>
<ds:datastoreItem xmlns:ds="http://schemas.openxmlformats.org/officeDocument/2006/customXml" ds:itemID="{7D079DDE-2FFD-4591-9F24-46FB303A9C77}"/>
</file>

<file path=customXml/itemProps2.xml><?xml version="1.0" encoding="utf-8"?>
<ds:datastoreItem xmlns:ds="http://schemas.openxmlformats.org/officeDocument/2006/customXml" ds:itemID="{F6532598-8CE6-4093-A1D3-35B54706E686}"/>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Field data and Waste 1</vt:lpstr>
      <vt:lpstr>Waste 2</vt:lpstr>
      <vt:lpstr>Waste 3</vt:lpstr>
      <vt:lpstr>Waste 4</vt:lpstr>
      <vt:lpstr>Waste 5</vt:lpstr>
      <vt:lpstr>Waste 6</vt:lpstr>
      <vt:lpstr>Waste 7</vt:lpstr>
      <vt:lpstr>Waste 8</vt:lpstr>
      <vt:lpstr>Waste 9</vt:lpstr>
      <vt:lpstr>Waste 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2021-01-05T08:21:30Z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c5d02f38-36ba-4635-aa6f-6336b9ffa7e7</vt:lpwstr>
  </property>
  <property fmtid="{D5CDD505-2E9C-101B-9397-08002B2CF9AE}" pid="4" name="_dlc_DocId">
    <vt:lpwstr>REGU-204-1689489</vt:lpwstr>
  </property>
  <property fmtid="{D5CDD505-2E9C-101B-9397-08002B2CF9AE}" pid="5" name="_dlc_DocIdUrl">
    <vt:lpwstr>https://cyfoethnaturiolcymru.sharepoint.com/teams/Regulatory/Permitting/_layouts/15/DocIdRedir.aspx?ID=REGU-204-1689489, REGU-204-1689489</vt:lpwstr>
  </property>
</Properties>
</file>