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348\"/>
    </mc:Choice>
  </mc:AlternateContent>
  <xr:revisionPtr revIDLastSave="0" documentId="13_ncr:1_{B85403F5-7923-4377-9B27-9C2A0AE84B06}" xr6:coauthVersionLast="45" xr6:coauthVersionMax="45" xr10:uidLastSave="{00000000-0000-0000-0000-000000000000}"/>
  <bookViews>
    <workbookView xWindow="-120" yWindow="-120" windowWidth="29040" windowHeight="15840" tabRatio="870" activeTab="8"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V22" i="30"/>
  <c r="U22" i="30"/>
  <c r="S22" i="30"/>
  <c r="O22" i="30"/>
  <c r="M22" i="30"/>
  <c r="K22" i="30"/>
  <c r="G22" i="30"/>
  <c r="E22" i="30"/>
  <c r="V20" i="30"/>
  <c r="U20" i="30"/>
  <c r="T20" i="30"/>
  <c r="S20" i="30"/>
  <c r="R20" i="30"/>
  <c r="V18" i="30"/>
  <c r="R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S22" i="29"/>
  <c r="Q22" i="29"/>
  <c r="O22" i="29"/>
  <c r="K22" i="29"/>
  <c r="I22" i="29"/>
  <c r="G22" i="29"/>
  <c r="V20" i="29"/>
  <c r="U20" i="29"/>
  <c r="T20" i="29"/>
  <c r="S20" i="29"/>
  <c r="R20" i="29"/>
  <c r="V18" i="29"/>
  <c r="U18" i="29"/>
  <c r="T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2" i="28"/>
  <c r="I22" i="28"/>
  <c r="V20" i="28"/>
  <c r="U20" i="28"/>
  <c r="T20" i="28"/>
  <c r="S20" i="28"/>
  <c r="R20" i="28"/>
  <c r="U18" i="28"/>
  <c r="Q18" i="28"/>
  <c r="O18" i="28"/>
  <c r="G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S22" i="27"/>
  <c r="K22" i="27"/>
  <c r="I22" i="27"/>
  <c r="V20" i="27"/>
  <c r="U20" i="27"/>
  <c r="T20" i="27"/>
  <c r="S20" i="27"/>
  <c r="R20" i="27"/>
  <c r="U18" i="27"/>
  <c r="T18" i="27"/>
  <c r="R18" i="27"/>
  <c r="M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D50" i="26"/>
  <c r="V18" i="26" s="1"/>
  <c r="C50" i="26"/>
  <c r="U49" i="26"/>
  <c r="T49" i="26"/>
  <c r="S49" i="26"/>
  <c r="R49" i="26"/>
  <c r="Q49" i="26"/>
  <c r="P49" i="26"/>
  <c r="O49" i="26"/>
  <c r="N49" i="26"/>
  <c r="M49" i="26"/>
  <c r="L49" i="26"/>
  <c r="K49" i="26"/>
  <c r="J49" i="26"/>
  <c r="I49" i="26"/>
  <c r="H49" i="26"/>
  <c r="G49" i="26"/>
  <c r="F49" i="26"/>
  <c r="E49" i="26"/>
  <c r="U22" i="26" s="1"/>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V22" i="26"/>
  <c r="O22" i="26"/>
  <c r="N22" i="26"/>
  <c r="V20" i="26"/>
  <c r="U20" i="26"/>
  <c r="T20" i="26"/>
  <c r="S20" i="26"/>
  <c r="R20" i="26"/>
  <c r="U18" i="26"/>
  <c r="S18" i="26"/>
  <c r="Q18" i="26"/>
  <c r="P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V22" i="24"/>
  <c r="S22" i="24"/>
  <c r="K22" i="24"/>
  <c r="V20" i="24"/>
  <c r="U20" i="24"/>
  <c r="T20" i="24"/>
  <c r="S20" i="24"/>
  <c r="R20" i="24"/>
  <c r="V18" i="24"/>
  <c r="U18" i="24"/>
  <c r="S18" i="24"/>
  <c r="O18" i="24"/>
  <c r="N18" i="24"/>
  <c r="M18" i="24"/>
  <c r="L18" i="24"/>
  <c r="G18" i="24"/>
  <c r="F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D43" i="23"/>
  <c r="O18" i="23" s="1"/>
  <c r="C43" i="23"/>
  <c r="U42" i="23"/>
  <c r="T42" i="23"/>
  <c r="S42" i="23"/>
  <c r="R42" i="23"/>
  <c r="Q42" i="23"/>
  <c r="P42" i="23"/>
  <c r="O42" i="23"/>
  <c r="N42" i="23"/>
  <c r="M42" i="23"/>
  <c r="L42" i="23"/>
  <c r="K42" i="23"/>
  <c r="J42" i="23"/>
  <c r="I42" i="23"/>
  <c r="H42" i="23"/>
  <c r="G42" i="23"/>
  <c r="F42" i="23"/>
  <c r="E42" i="23"/>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C38" i="23"/>
  <c r="U37" i="23"/>
  <c r="T37" i="23"/>
  <c r="S37" i="23"/>
  <c r="R37" i="23"/>
  <c r="Q37" i="23"/>
  <c r="P37" i="23"/>
  <c r="O37" i="23"/>
  <c r="N37" i="23"/>
  <c r="M37" i="23"/>
  <c r="L37" i="23"/>
  <c r="K37" i="23"/>
  <c r="J37" i="23"/>
  <c r="I37" i="23"/>
  <c r="H37" i="23"/>
  <c r="G37" i="23"/>
  <c r="F37" i="23"/>
  <c r="E37" i="23"/>
  <c r="D37" i="23"/>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V22" i="23"/>
  <c r="O22" i="23"/>
  <c r="N22" i="23"/>
  <c r="M22" i="23"/>
  <c r="I22" i="23"/>
  <c r="V20" i="23"/>
  <c r="U20" i="23"/>
  <c r="T20" i="23"/>
  <c r="S20" i="23"/>
  <c r="R20" i="23"/>
  <c r="R18" i="23"/>
  <c r="Q18" i="23"/>
  <c r="J18" i="23"/>
  <c r="I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D50" i="22"/>
  <c r="C50" i="22"/>
  <c r="U49" i="22"/>
  <c r="T49" i="22"/>
  <c r="S49" i="22"/>
  <c r="R49" i="22"/>
  <c r="Q49" i="22"/>
  <c r="P49" i="22"/>
  <c r="O49" i="22"/>
  <c r="N49" i="22"/>
  <c r="M49" i="22"/>
  <c r="L49" i="22"/>
  <c r="K49" i="22"/>
  <c r="J49" i="22"/>
  <c r="I49" i="22"/>
  <c r="H49" i="22"/>
  <c r="G49" i="22"/>
  <c r="F49" i="22"/>
  <c r="E49" i="22"/>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D37" i="22"/>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V24" i="22"/>
  <c r="U24" i="22"/>
  <c r="T24" i="22"/>
  <c r="S24" i="22"/>
  <c r="R24" i="22"/>
  <c r="V22" i="22"/>
  <c r="U22" i="22"/>
  <c r="S22" i="22"/>
  <c r="I22" i="22"/>
  <c r="V20" i="22"/>
  <c r="U20" i="22"/>
  <c r="T20" i="22"/>
  <c r="S20" i="22"/>
  <c r="R20" i="22"/>
  <c r="V18" i="22"/>
  <c r="S18" i="22"/>
  <c r="N18" i="22"/>
  <c r="I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F57"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N58" i="21" s="1"/>
  <c r="N61" i="21" s="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E62" i="21"/>
  <c r="D62" i="21"/>
  <c r="C62" i="21"/>
  <c r="B62" i="21"/>
  <c r="U60" i="21"/>
  <c r="P60" i="21"/>
  <c r="O60"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V18" i="21"/>
  <c r="L58" i="21" l="1"/>
  <c r="L61" i="21" s="1"/>
  <c r="G17" i="27"/>
  <c r="O17" i="27"/>
  <c r="O19" i="27" s="1"/>
  <c r="O20" i="27" s="1"/>
  <c r="D58" i="21"/>
  <c r="D61" i="21" s="1"/>
  <c r="U63" i="28"/>
  <c r="N63" i="28"/>
  <c r="F63" i="28"/>
  <c r="U63" i="24"/>
  <c r="F63" i="24"/>
  <c r="N63" i="24"/>
  <c r="T63" i="26"/>
  <c r="M63" i="26"/>
  <c r="F63" i="26"/>
  <c r="E63" i="26"/>
  <c r="U63" i="26"/>
  <c r="N63" i="26"/>
  <c r="Q59" i="24"/>
  <c r="R21" i="24"/>
  <c r="R23" i="24" s="1"/>
  <c r="R17" i="24"/>
  <c r="K59" i="21"/>
  <c r="L17" i="21"/>
  <c r="L21" i="21"/>
  <c r="L23" i="21" s="1"/>
  <c r="L24" i="21" s="1"/>
  <c r="I59" i="22"/>
  <c r="J17" i="22"/>
  <c r="J19" i="22" s="1"/>
  <c r="J20" i="22" s="1"/>
  <c r="J21" i="22"/>
  <c r="M57" i="21"/>
  <c r="J59" i="21"/>
  <c r="K21" i="21"/>
  <c r="K17" i="21"/>
  <c r="J59" i="22"/>
  <c r="K17" i="22"/>
  <c r="K19" i="22" s="1"/>
  <c r="K20" i="22" s="1"/>
  <c r="K21" i="22"/>
  <c r="K23" i="22" s="1"/>
  <c r="K24" i="22" s="1"/>
  <c r="R59" i="22"/>
  <c r="S17" i="22"/>
  <c r="S19" i="22" s="1"/>
  <c r="S21" i="22"/>
  <c r="D59" i="23"/>
  <c r="E17" i="23"/>
  <c r="E21" i="23"/>
  <c r="E23" i="23" s="1"/>
  <c r="E24" i="23" s="1"/>
  <c r="L59" i="23"/>
  <c r="M17" i="23"/>
  <c r="M19" i="23" s="1"/>
  <c r="M20" i="23" s="1"/>
  <c r="M21" i="23"/>
  <c r="M23" i="23" s="1"/>
  <c r="M24" i="23" s="1"/>
  <c r="T59" i="23"/>
  <c r="U17" i="23"/>
  <c r="U21" i="23"/>
  <c r="H17" i="24"/>
  <c r="H21" i="24"/>
  <c r="H23" i="24" s="1"/>
  <c r="H24" i="24" s="1"/>
  <c r="P17" i="24"/>
  <c r="P21" i="24"/>
  <c r="C59" i="26"/>
  <c r="D21" i="26"/>
  <c r="D23" i="26" s="1"/>
  <c r="D24" i="26" s="1"/>
  <c r="D17" i="26"/>
  <c r="D19" i="26" s="1"/>
  <c r="D20" i="26" s="1"/>
  <c r="K59" i="26"/>
  <c r="L21" i="26"/>
  <c r="L23" i="26" s="1"/>
  <c r="L24" i="26" s="1"/>
  <c r="L17" i="26"/>
  <c r="L19" i="26" s="1"/>
  <c r="L20" i="26" s="1"/>
  <c r="S59" i="26"/>
  <c r="T21" i="26"/>
  <c r="T17" i="26"/>
  <c r="J59" i="27"/>
  <c r="K17" i="27"/>
  <c r="K19" i="27" s="1"/>
  <c r="K20" i="27" s="1"/>
  <c r="R59" i="27"/>
  <c r="S17" i="27"/>
  <c r="J59" i="28"/>
  <c r="K21" i="28"/>
  <c r="K17" i="28"/>
  <c r="K19" i="28" s="1"/>
  <c r="K20" i="28" s="1"/>
  <c r="R59" i="28"/>
  <c r="S21" i="28"/>
  <c r="S23" i="28" s="1"/>
  <c r="S17" i="28"/>
  <c r="I59" i="29"/>
  <c r="J21" i="29"/>
  <c r="J17" i="29"/>
  <c r="J19" i="29" s="1"/>
  <c r="J20" i="29" s="1"/>
  <c r="Q59" i="29"/>
  <c r="R17" i="29"/>
  <c r="R21" i="29"/>
  <c r="H59" i="30"/>
  <c r="I21" i="30"/>
  <c r="I23" i="30" s="1"/>
  <c r="I24" i="30" s="1"/>
  <c r="I17" i="30"/>
  <c r="Q21" i="30"/>
  <c r="Q17" i="30"/>
  <c r="S59" i="21"/>
  <c r="T17" i="21"/>
  <c r="T21" i="21"/>
  <c r="Q59" i="22"/>
  <c r="R17" i="22"/>
  <c r="R19" i="22" s="1"/>
  <c r="R21" i="22"/>
  <c r="R59" i="21"/>
  <c r="S21" i="21"/>
  <c r="S17" i="21"/>
  <c r="Q59" i="21"/>
  <c r="R21" i="21"/>
  <c r="R17" i="21"/>
  <c r="I59" i="21"/>
  <c r="J21" i="21"/>
  <c r="J23" i="21" s="1"/>
  <c r="J24" i="21" s="1"/>
  <c r="J17" i="21"/>
  <c r="C59" i="22"/>
  <c r="D21" i="22"/>
  <c r="D17" i="22"/>
  <c r="D19" i="22" s="1"/>
  <c r="D20" i="22" s="1"/>
  <c r="K59" i="22"/>
  <c r="L21" i="22"/>
  <c r="L17" i="22"/>
  <c r="L19" i="22" s="1"/>
  <c r="L20" i="22" s="1"/>
  <c r="S59" i="22"/>
  <c r="T21" i="22"/>
  <c r="T17" i="22"/>
  <c r="E59" i="23"/>
  <c r="F21" i="23"/>
  <c r="F23" i="23" s="1"/>
  <c r="F24" i="23" s="1"/>
  <c r="F17" i="23"/>
  <c r="F19" i="23" s="1"/>
  <c r="F20" i="23" s="1"/>
  <c r="M59" i="23"/>
  <c r="N21" i="23"/>
  <c r="N23" i="23" s="1"/>
  <c r="N24" i="23" s="1"/>
  <c r="N17" i="23"/>
  <c r="N19" i="23" s="1"/>
  <c r="N20" i="23" s="1"/>
  <c r="U59" i="23"/>
  <c r="V21" i="23"/>
  <c r="V17" i="23"/>
  <c r="I17" i="24"/>
  <c r="I19" i="24" s="1"/>
  <c r="I20" i="24" s="1"/>
  <c r="I21" i="24"/>
  <c r="Q17" i="24"/>
  <c r="Q21" i="24"/>
  <c r="Q23" i="24" s="1"/>
  <c r="Q24" i="24" s="1"/>
  <c r="D59" i="26"/>
  <c r="E21" i="26"/>
  <c r="E23" i="26" s="1"/>
  <c r="E24" i="26" s="1"/>
  <c r="E17" i="26"/>
  <c r="L59" i="26"/>
  <c r="M21" i="26"/>
  <c r="M17" i="26"/>
  <c r="T59" i="26"/>
  <c r="U17" i="26"/>
  <c r="U19" i="26" s="1"/>
  <c r="U21" i="26"/>
  <c r="C59" i="27"/>
  <c r="D17" i="27"/>
  <c r="D19" i="27" s="1"/>
  <c r="D20" i="27" s="1"/>
  <c r="K59" i="27"/>
  <c r="L17" i="27"/>
  <c r="L19" i="27" s="1"/>
  <c r="L20" i="27" s="1"/>
  <c r="S59" i="27"/>
  <c r="T17" i="27"/>
  <c r="C59" i="28"/>
  <c r="D21" i="28"/>
  <c r="D23" i="28" s="1"/>
  <c r="D24" i="28" s="1"/>
  <c r="D17" i="28"/>
  <c r="D19" i="28" s="1"/>
  <c r="D20" i="28" s="1"/>
  <c r="K59" i="28"/>
  <c r="L21" i="28"/>
  <c r="L17" i="28"/>
  <c r="L19" i="28" s="1"/>
  <c r="L20" i="28" s="1"/>
  <c r="S59" i="28"/>
  <c r="T21" i="28"/>
  <c r="T17" i="28"/>
  <c r="T19" i="28" s="1"/>
  <c r="J59" i="29"/>
  <c r="K21" i="29"/>
  <c r="K17" i="29"/>
  <c r="R59" i="29"/>
  <c r="S21" i="29"/>
  <c r="S17" i="29"/>
  <c r="I59" i="30"/>
  <c r="J21" i="30"/>
  <c r="J23" i="30" s="1"/>
  <c r="J24" i="30" s="1"/>
  <c r="J17" i="30"/>
  <c r="J19" i="30" s="1"/>
  <c r="J20" i="30" s="1"/>
  <c r="Q59" i="30"/>
  <c r="R21" i="30"/>
  <c r="R17" i="30"/>
  <c r="D59" i="28"/>
  <c r="E17" i="28"/>
  <c r="E19" i="28" s="1"/>
  <c r="E20" i="28" s="1"/>
  <c r="E21" i="28"/>
  <c r="E23" i="28" s="1"/>
  <c r="E24" i="28" s="1"/>
  <c r="L59" i="28"/>
  <c r="M17" i="28"/>
  <c r="M21" i="28"/>
  <c r="T59" i="28"/>
  <c r="U17" i="28"/>
  <c r="U19" i="28" s="1"/>
  <c r="U21" i="28"/>
  <c r="C59" i="29"/>
  <c r="D17" i="29"/>
  <c r="D21" i="29"/>
  <c r="D23" i="29" s="1"/>
  <c r="D24" i="29" s="1"/>
  <c r="K59" i="29"/>
  <c r="L21" i="29"/>
  <c r="L17" i="29"/>
  <c r="L19" i="29" s="1"/>
  <c r="L20" i="29" s="1"/>
  <c r="S59" i="29"/>
  <c r="T21" i="29"/>
  <c r="T17" i="29"/>
  <c r="J59" i="30"/>
  <c r="K17" i="30"/>
  <c r="K19" i="30" s="1"/>
  <c r="K20" i="30" s="1"/>
  <c r="K21" i="30"/>
  <c r="K23" i="30" s="1"/>
  <c r="K24" i="30" s="1"/>
  <c r="R59" i="30"/>
  <c r="S17" i="30"/>
  <c r="S21" i="30"/>
  <c r="S23" i="30" s="1"/>
  <c r="O17" i="23"/>
  <c r="O19" i="23" s="1"/>
  <c r="O20" i="23" s="1"/>
  <c r="O21" i="23"/>
  <c r="O23" i="23" s="1"/>
  <c r="O24" i="23" s="1"/>
  <c r="T59" i="27"/>
  <c r="U17" i="27"/>
  <c r="O59" i="21"/>
  <c r="P21" i="21"/>
  <c r="P17" i="21"/>
  <c r="P19" i="21" s="1"/>
  <c r="P20" i="21" s="1"/>
  <c r="H21" i="21"/>
  <c r="H17" i="21"/>
  <c r="H19" i="21" s="1"/>
  <c r="H20" i="21" s="1"/>
  <c r="E59" i="22"/>
  <c r="F21" i="22"/>
  <c r="F23" i="22" s="1"/>
  <c r="F24" i="22" s="1"/>
  <c r="F17" i="22"/>
  <c r="M59" i="22"/>
  <c r="N21" i="22"/>
  <c r="N17" i="22"/>
  <c r="N19" i="22" s="1"/>
  <c r="N20" i="22" s="1"/>
  <c r="U59" i="22"/>
  <c r="V21" i="22"/>
  <c r="V17" i="22"/>
  <c r="V19" i="22" s="1"/>
  <c r="C18" i="22"/>
  <c r="H21" i="23"/>
  <c r="H23" i="23" s="1"/>
  <c r="H24" i="23" s="1"/>
  <c r="H17" i="23"/>
  <c r="P21" i="23"/>
  <c r="P23" i="23" s="1"/>
  <c r="P24" i="23" s="1"/>
  <c r="P17" i="23"/>
  <c r="P19" i="23" s="1"/>
  <c r="P20" i="23" s="1"/>
  <c r="J59" i="24"/>
  <c r="K21" i="24"/>
  <c r="K23" i="24" s="1"/>
  <c r="K24" i="24" s="1"/>
  <c r="K17" i="24"/>
  <c r="K19" i="24" s="1"/>
  <c r="K20" i="24" s="1"/>
  <c r="R59" i="24"/>
  <c r="S17" i="24"/>
  <c r="S21" i="24"/>
  <c r="G21" i="26"/>
  <c r="G23" i="26" s="1"/>
  <c r="G24" i="26" s="1"/>
  <c r="G17" i="26"/>
  <c r="G19" i="26" s="1"/>
  <c r="G20" i="26" s="1"/>
  <c r="O21" i="26"/>
  <c r="O17" i="26"/>
  <c r="O19" i="26" s="1"/>
  <c r="O20" i="26" s="1"/>
  <c r="E59" i="27"/>
  <c r="F17" i="27"/>
  <c r="F19" i="27" s="1"/>
  <c r="F20" i="27" s="1"/>
  <c r="M59" i="27"/>
  <c r="N17" i="27"/>
  <c r="N19" i="27" s="1"/>
  <c r="N20" i="27" s="1"/>
  <c r="U59" i="27"/>
  <c r="V17" i="27"/>
  <c r="E59" i="28"/>
  <c r="F17" i="28"/>
  <c r="F19" i="28" s="1"/>
  <c r="F20" i="28" s="1"/>
  <c r="F21" i="28"/>
  <c r="M59" i="28"/>
  <c r="N17" i="28"/>
  <c r="N19" i="28" s="1"/>
  <c r="N20" i="28" s="1"/>
  <c r="N21" i="28"/>
  <c r="N23" i="28" s="1"/>
  <c r="N24" i="28" s="1"/>
  <c r="U59" i="28"/>
  <c r="V17" i="28"/>
  <c r="V21" i="28"/>
  <c r="D59" i="29"/>
  <c r="E17" i="29"/>
  <c r="E19" i="29" s="1"/>
  <c r="E20" i="29" s="1"/>
  <c r="E21" i="29"/>
  <c r="E23" i="29" s="1"/>
  <c r="E24" i="29" s="1"/>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D59" i="22"/>
  <c r="E21" i="22"/>
  <c r="E23" i="22" s="1"/>
  <c r="E24" i="22" s="1"/>
  <c r="E17" i="22"/>
  <c r="E19" i="22" s="1"/>
  <c r="E20" i="22" s="1"/>
  <c r="G21" i="23"/>
  <c r="G23" i="23" s="1"/>
  <c r="G24" i="23" s="1"/>
  <c r="G17" i="23"/>
  <c r="G19" i="23" s="1"/>
  <c r="G20" i="23" s="1"/>
  <c r="M59" i="26"/>
  <c r="N21" i="26"/>
  <c r="N23" i="26" s="1"/>
  <c r="N24" i="26" s="1"/>
  <c r="N17" i="26"/>
  <c r="N19" i="26" s="1"/>
  <c r="N20" i="26" s="1"/>
  <c r="A34" i="21"/>
  <c r="H59" i="23"/>
  <c r="I21" i="23"/>
  <c r="I17" i="23"/>
  <c r="I19" i="23" s="1"/>
  <c r="I20" i="23" s="1"/>
  <c r="C59" i="24"/>
  <c r="D21" i="24"/>
  <c r="D17" i="24"/>
  <c r="D19" i="24" s="1"/>
  <c r="D20" i="24" s="1"/>
  <c r="S59" i="24"/>
  <c r="T21" i="24"/>
  <c r="T23" i="24" s="1"/>
  <c r="T17" i="24"/>
  <c r="H21" i="26"/>
  <c r="H17" i="26"/>
  <c r="H19" i="26" s="1"/>
  <c r="H20" i="26" s="1"/>
  <c r="P17" i="26"/>
  <c r="P19" i="26" s="1"/>
  <c r="P20" i="26" s="1"/>
  <c r="P21" i="26"/>
  <c r="P23" i="26" s="1"/>
  <c r="P24" i="26" s="1"/>
  <c r="F59" i="28"/>
  <c r="G17" i="28"/>
  <c r="G21" i="28"/>
  <c r="G23" i="28" s="1"/>
  <c r="G24" i="28" s="1"/>
  <c r="N59" i="28"/>
  <c r="O17" i="28"/>
  <c r="O19" i="28" s="1"/>
  <c r="O20" i="28" s="1"/>
  <c r="O21" i="28"/>
  <c r="O23" i="28" s="1"/>
  <c r="O24" i="28" s="1"/>
  <c r="E59" i="29"/>
  <c r="F17" i="29"/>
  <c r="F21" i="29"/>
  <c r="F23" i="29" s="1"/>
  <c r="F24" i="29" s="1"/>
  <c r="M59" i="29"/>
  <c r="N17" i="29"/>
  <c r="N19" i="29" s="1"/>
  <c r="N20" i="29" s="1"/>
  <c r="N21" i="29"/>
  <c r="U59" i="29"/>
  <c r="V17" i="29"/>
  <c r="V21" i="29"/>
  <c r="D59" i="30"/>
  <c r="D64" i="30" s="1"/>
  <c r="E17" i="30"/>
  <c r="E19" i="30" s="1"/>
  <c r="E20" i="30" s="1"/>
  <c r="E21" i="30"/>
  <c r="L59" i="30"/>
  <c r="M17" i="30"/>
  <c r="M19" i="30" s="1"/>
  <c r="M20" i="30" s="1"/>
  <c r="M21" i="30"/>
  <c r="M23" i="30" s="1"/>
  <c r="M24" i="30" s="1"/>
  <c r="T59" i="30"/>
  <c r="U17" i="30"/>
  <c r="U21" i="30"/>
  <c r="L59" i="22"/>
  <c r="L64" i="22" s="1"/>
  <c r="M21" i="22"/>
  <c r="M23" i="22" s="1"/>
  <c r="M24" i="22" s="1"/>
  <c r="M17" i="22"/>
  <c r="I59" i="24"/>
  <c r="J21" i="24"/>
  <c r="J23" i="24" s="1"/>
  <c r="J24" i="24" s="1"/>
  <c r="J17" i="24"/>
  <c r="U59" i="26"/>
  <c r="U64" i="26" s="1"/>
  <c r="U65" i="26" s="1"/>
  <c r="V17" i="26"/>
  <c r="V21" i="26"/>
  <c r="D59" i="27"/>
  <c r="E17" i="27"/>
  <c r="E19" i="27" s="1"/>
  <c r="E20" i="27" s="1"/>
  <c r="N59" i="21"/>
  <c r="O21" i="21"/>
  <c r="O23" i="21" s="1"/>
  <c r="O24" i="21" s="1"/>
  <c r="O17" i="21"/>
  <c r="O19" i="21" s="1"/>
  <c r="O20" i="21" s="1"/>
  <c r="G21" i="22"/>
  <c r="G23" i="22" s="1"/>
  <c r="G24" i="22" s="1"/>
  <c r="G17" i="22"/>
  <c r="G19" i="22" s="1"/>
  <c r="G20" i="22" s="1"/>
  <c r="P59" i="23"/>
  <c r="Q21" i="23"/>
  <c r="Q17" i="23"/>
  <c r="K59" i="24"/>
  <c r="L17" i="24"/>
  <c r="L19" i="24" s="1"/>
  <c r="L20" i="24" s="1"/>
  <c r="L21" i="24"/>
  <c r="L23" i="24" s="1"/>
  <c r="L24" i="24" s="1"/>
  <c r="O58" i="21"/>
  <c r="O61" i="21" s="1"/>
  <c r="G58" i="21"/>
  <c r="G61" i="21" s="1"/>
  <c r="U59" i="21"/>
  <c r="V17" i="21"/>
  <c r="V21" i="21"/>
  <c r="M59" i="21"/>
  <c r="N17" i="21"/>
  <c r="N19" i="21" s="1"/>
  <c r="N20" i="21" s="1"/>
  <c r="N21" i="21"/>
  <c r="E59" i="21"/>
  <c r="F17" i="21"/>
  <c r="F21" i="21"/>
  <c r="F23" i="21" s="1"/>
  <c r="F24" i="21" s="1"/>
  <c r="G59" i="22"/>
  <c r="H21" i="22"/>
  <c r="H23" i="22" s="1"/>
  <c r="H24" i="22" s="1"/>
  <c r="H17" i="22"/>
  <c r="O59" i="22"/>
  <c r="P21" i="22"/>
  <c r="P17" i="22"/>
  <c r="P19" i="22" s="1"/>
  <c r="P20" i="22" s="1"/>
  <c r="I59" i="23"/>
  <c r="J21" i="23"/>
  <c r="J23" i="23" s="1"/>
  <c r="J24" i="23" s="1"/>
  <c r="J17" i="23"/>
  <c r="J19" i="23" s="1"/>
  <c r="J20" i="23" s="1"/>
  <c r="Q59" i="23"/>
  <c r="R17" i="23"/>
  <c r="R21" i="23"/>
  <c r="D59" i="24"/>
  <c r="E21" i="24"/>
  <c r="E23" i="24" s="1"/>
  <c r="E24" i="24" s="1"/>
  <c r="E17" i="24"/>
  <c r="E19" i="24" s="1"/>
  <c r="E20" i="24" s="1"/>
  <c r="L59" i="24"/>
  <c r="M21" i="24"/>
  <c r="M23" i="24" s="1"/>
  <c r="M24" i="24" s="1"/>
  <c r="M17" i="24"/>
  <c r="M19" i="24" s="1"/>
  <c r="M20" i="24" s="1"/>
  <c r="T59" i="24"/>
  <c r="U21" i="24"/>
  <c r="U17" i="24"/>
  <c r="H59" i="26"/>
  <c r="I17" i="26"/>
  <c r="I21" i="26"/>
  <c r="I23" i="26" s="1"/>
  <c r="I24" i="26" s="1"/>
  <c r="P59" i="26"/>
  <c r="Q17" i="26"/>
  <c r="Q21" i="26"/>
  <c r="H17" i="27"/>
  <c r="P17" i="27"/>
  <c r="H21" i="28"/>
  <c r="H23" i="28" s="1"/>
  <c r="H24" i="28" s="1"/>
  <c r="H17" i="28"/>
  <c r="H19" i="28" s="1"/>
  <c r="H20" i="28" s="1"/>
  <c r="P21" i="28"/>
  <c r="P23" i="28" s="1"/>
  <c r="P24" i="28" s="1"/>
  <c r="P17" i="28"/>
  <c r="G17" i="29"/>
  <c r="G21" i="29"/>
  <c r="O17" i="29"/>
  <c r="O19" i="29" s="1"/>
  <c r="O20" i="29" s="1"/>
  <c r="O21" i="29"/>
  <c r="O23" i="29" s="1"/>
  <c r="O24" i="29" s="1"/>
  <c r="E59" i="30"/>
  <c r="F21" i="30"/>
  <c r="F17" i="30"/>
  <c r="F19" i="30" s="1"/>
  <c r="F20" i="30" s="1"/>
  <c r="M59" i="30"/>
  <c r="N21" i="30"/>
  <c r="N23" i="30" s="1"/>
  <c r="N24" i="30" s="1"/>
  <c r="N17" i="30"/>
  <c r="N19" i="30" s="1"/>
  <c r="N20" i="30" s="1"/>
  <c r="U59" i="30"/>
  <c r="V21" i="30"/>
  <c r="V17" i="30"/>
  <c r="V19" i="30" s="1"/>
  <c r="I21" i="21"/>
  <c r="I17" i="21"/>
  <c r="I19" i="21" s="1"/>
  <c r="I20" i="21" s="1"/>
  <c r="T59" i="22"/>
  <c r="U17" i="22"/>
  <c r="U21" i="22"/>
  <c r="E59" i="26"/>
  <c r="F21" i="26"/>
  <c r="F23" i="26" s="1"/>
  <c r="F24" i="26" s="1"/>
  <c r="F17" i="26"/>
  <c r="L59" i="27"/>
  <c r="M17" i="27"/>
  <c r="M19" i="27" s="1"/>
  <c r="M20" i="27" s="1"/>
  <c r="F59" i="21"/>
  <c r="G21" i="21"/>
  <c r="G17" i="21"/>
  <c r="G19" i="21" s="1"/>
  <c r="G20" i="21" s="1"/>
  <c r="O21" i="22"/>
  <c r="O23" i="22" s="1"/>
  <c r="O24" i="22" s="1"/>
  <c r="O17" i="22"/>
  <c r="O19" i="22" s="1"/>
  <c r="O20" i="22" s="1"/>
  <c r="F63" i="21"/>
  <c r="F58" i="21"/>
  <c r="F61" i="21" s="1"/>
  <c r="T59" i="21"/>
  <c r="U17" i="21"/>
  <c r="U19" i="21" s="1"/>
  <c r="U21" i="21"/>
  <c r="M17" i="21"/>
  <c r="M19" i="21" s="1"/>
  <c r="M20" i="21" s="1"/>
  <c r="M21" i="21"/>
  <c r="M23" i="21" s="1"/>
  <c r="M24" i="21" s="1"/>
  <c r="E17" i="21"/>
  <c r="E19" i="21" s="1"/>
  <c r="E20" i="21" s="1"/>
  <c r="E21" i="21"/>
  <c r="E23" i="21" s="1"/>
  <c r="E24" i="21" s="1"/>
  <c r="H59" i="22"/>
  <c r="I17" i="22"/>
  <c r="I19" i="22" s="1"/>
  <c r="I20" i="22" s="1"/>
  <c r="I21" i="22"/>
  <c r="P59" i="22"/>
  <c r="Q17" i="22"/>
  <c r="Q21" i="22"/>
  <c r="C22" i="22"/>
  <c r="J59" i="23"/>
  <c r="K17" i="23"/>
  <c r="K21" i="23"/>
  <c r="K23" i="23" s="1"/>
  <c r="K24" i="23" s="1"/>
  <c r="R59" i="23"/>
  <c r="S17" i="23"/>
  <c r="S21" i="23"/>
  <c r="E59" i="24"/>
  <c r="F21" i="24"/>
  <c r="F17" i="24"/>
  <c r="M59" i="24"/>
  <c r="M64" i="24" s="1"/>
  <c r="N17" i="24"/>
  <c r="N19" i="24" s="1"/>
  <c r="N20" i="24" s="1"/>
  <c r="N21" i="24"/>
  <c r="N23" i="24" s="1"/>
  <c r="N24" i="24" s="1"/>
  <c r="U59" i="24"/>
  <c r="V21" i="24"/>
  <c r="V17" i="24"/>
  <c r="I58" i="26"/>
  <c r="I61" i="26" s="1"/>
  <c r="J17" i="26"/>
  <c r="J19" i="26" s="1"/>
  <c r="J20" i="26" s="1"/>
  <c r="J21" i="26"/>
  <c r="J23" i="26" s="1"/>
  <c r="J24" i="26" s="1"/>
  <c r="Q58" i="26"/>
  <c r="Q61" i="26" s="1"/>
  <c r="R17" i="26"/>
  <c r="R19" i="26" s="1"/>
  <c r="R21" i="26"/>
  <c r="I17" i="27"/>
  <c r="Q17" i="27"/>
  <c r="I21" i="28"/>
  <c r="I17" i="28"/>
  <c r="I19" i="28" s="1"/>
  <c r="I20" i="28" s="1"/>
  <c r="Q21" i="28"/>
  <c r="Q17" i="28"/>
  <c r="Q19" i="28" s="1"/>
  <c r="Q20" i="28" s="1"/>
  <c r="H21" i="29"/>
  <c r="H23" i="29" s="1"/>
  <c r="H24" i="29" s="1"/>
  <c r="H17" i="29"/>
  <c r="H19" i="29" s="1"/>
  <c r="H20" i="29" s="1"/>
  <c r="P21" i="29"/>
  <c r="P17" i="29"/>
  <c r="P19" i="29" s="1"/>
  <c r="P20" i="29" s="1"/>
  <c r="G21" i="30"/>
  <c r="G23" i="30" s="1"/>
  <c r="G24" i="30" s="1"/>
  <c r="G17" i="30"/>
  <c r="G19" i="30" s="1"/>
  <c r="G20" i="30" s="1"/>
  <c r="O21" i="30"/>
  <c r="O17" i="30"/>
  <c r="O19" i="30" s="1"/>
  <c r="O20" i="30" s="1"/>
  <c r="P59" i="21"/>
  <c r="Q21" i="21"/>
  <c r="Q17" i="21"/>
  <c r="C59" i="21"/>
  <c r="D17" i="21"/>
  <c r="D19" i="21" s="1"/>
  <c r="D20" i="21" s="1"/>
  <c r="D21" i="21"/>
  <c r="D23" i="21" s="1"/>
  <c r="D24" i="21" s="1"/>
  <c r="C59" i="23"/>
  <c r="D17" i="23"/>
  <c r="D19" i="23" s="1"/>
  <c r="D20" i="23" s="1"/>
  <c r="D21" i="23"/>
  <c r="D23" i="23" s="1"/>
  <c r="D24" i="23" s="1"/>
  <c r="K59" i="23"/>
  <c r="L17" i="23"/>
  <c r="L19" i="23" s="1"/>
  <c r="L20" i="23" s="1"/>
  <c r="L21" i="23"/>
  <c r="L23" i="23" s="1"/>
  <c r="L24" i="23" s="1"/>
  <c r="S59" i="23"/>
  <c r="T17" i="23"/>
  <c r="T21" i="23"/>
  <c r="G17" i="24"/>
  <c r="G19" i="24" s="1"/>
  <c r="G20" i="24" s="1"/>
  <c r="G21" i="24"/>
  <c r="G23" i="24" s="1"/>
  <c r="G24" i="24" s="1"/>
  <c r="O17" i="24"/>
  <c r="O19" i="24" s="1"/>
  <c r="O20" i="24" s="1"/>
  <c r="O21" i="24"/>
  <c r="O23" i="24" s="1"/>
  <c r="O24" i="24" s="1"/>
  <c r="J59" i="26"/>
  <c r="K17" i="26"/>
  <c r="K21" i="26"/>
  <c r="K23" i="26" s="1"/>
  <c r="K24" i="26" s="1"/>
  <c r="R59" i="26"/>
  <c r="S17" i="26"/>
  <c r="S21" i="26"/>
  <c r="I59" i="27"/>
  <c r="J17" i="27"/>
  <c r="J19" i="27" s="1"/>
  <c r="J20" i="27" s="1"/>
  <c r="Q59" i="27"/>
  <c r="R17" i="27"/>
  <c r="I59" i="28"/>
  <c r="J21" i="28"/>
  <c r="J23" i="28" s="1"/>
  <c r="J24" i="28" s="1"/>
  <c r="J17" i="28"/>
  <c r="J19" i="28" s="1"/>
  <c r="J20" i="28" s="1"/>
  <c r="Q59" i="28"/>
  <c r="R21" i="28"/>
  <c r="R17" i="28"/>
  <c r="I21" i="29"/>
  <c r="I23" i="29" s="1"/>
  <c r="I24" i="29" s="1"/>
  <c r="I17" i="29"/>
  <c r="Q21" i="29"/>
  <c r="Q23" i="29" s="1"/>
  <c r="Q24" i="29" s="1"/>
  <c r="Q17" i="29"/>
  <c r="H21" i="30"/>
  <c r="H23" i="30" s="1"/>
  <c r="H24" i="30" s="1"/>
  <c r="H17" i="30"/>
  <c r="P21" i="30"/>
  <c r="P23" i="30" s="1"/>
  <c r="P24" i="30" s="1"/>
  <c r="P17" i="30"/>
  <c r="P19" i="30" s="1"/>
  <c r="P20" i="30"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S58" i="21"/>
  <c r="S61" i="21" s="1"/>
  <c r="C58" i="21"/>
  <c r="C61" i="21" s="1"/>
  <c r="K58" i="21"/>
  <c r="K61" i="21" s="1"/>
  <c r="R19" i="24"/>
  <c r="I21" i="27"/>
  <c r="I23" i="27" s="1"/>
  <c r="I24" i="27" s="1"/>
  <c r="Q21" i="27"/>
  <c r="U23" i="21"/>
  <c r="U24" i="21" s="1"/>
  <c r="R58" i="21"/>
  <c r="R61" i="21" s="1"/>
  <c r="S23" i="21"/>
  <c r="S24" i="21" s="1"/>
  <c r="O57" i="21"/>
  <c r="A43" i="21"/>
  <c r="J58" i="21"/>
  <c r="J61" i="21" s="1"/>
  <c r="R23" i="22"/>
  <c r="D58" i="29"/>
  <c r="D61" i="29" s="1"/>
  <c r="H23" i="26"/>
  <c r="H24" i="26" s="1"/>
  <c r="G21" i="27"/>
  <c r="G23" i="27" s="1"/>
  <c r="G24" i="27" s="1"/>
  <c r="O21" i="27"/>
  <c r="O23" i="27" s="1"/>
  <c r="O24" i="27" s="1"/>
  <c r="D58" i="30"/>
  <c r="D61" i="30" s="1"/>
  <c r="L58" i="30"/>
  <c r="L61" i="30" s="1"/>
  <c r="R58" i="23"/>
  <c r="R61" i="23" s="1"/>
  <c r="H21" i="27"/>
  <c r="H23" i="27" s="1"/>
  <c r="H24" i="27" s="1"/>
  <c r="P21" i="27"/>
  <c r="G23" i="29"/>
  <c r="G24" i="29" s="1"/>
  <c r="J58" i="22"/>
  <c r="J61" i="22" s="1"/>
  <c r="J58" i="26"/>
  <c r="J61" i="26" s="1"/>
  <c r="J64" i="26" s="1"/>
  <c r="R19" i="23"/>
  <c r="J58" i="27"/>
  <c r="J61" i="27" s="1"/>
  <c r="R58" i="27"/>
  <c r="R61" i="27" s="1"/>
  <c r="R64" i="27" s="1"/>
  <c r="R58" i="28"/>
  <c r="R61" i="28" s="1"/>
  <c r="R64" i="28" s="1"/>
  <c r="F58" i="22"/>
  <c r="F61" i="22" s="1"/>
  <c r="N58" i="22"/>
  <c r="N61" i="22" s="1"/>
  <c r="F58" i="23"/>
  <c r="F61" i="23" s="1"/>
  <c r="N58" i="23"/>
  <c r="N61" i="23" s="1"/>
  <c r="L21" i="27"/>
  <c r="L23" i="27" s="1"/>
  <c r="L24" i="27" s="1"/>
  <c r="T21" i="27"/>
  <c r="H57" i="29"/>
  <c r="R23" i="30"/>
  <c r="P58" i="21"/>
  <c r="P61" i="21" s="1"/>
  <c r="P64" i="21" s="1"/>
  <c r="H58" i="21"/>
  <c r="H61" i="21" s="1"/>
  <c r="N59" i="23"/>
  <c r="R58" i="26"/>
  <c r="R61" i="26" s="1"/>
  <c r="R64" i="26" s="1"/>
  <c r="R57" i="21"/>
  <c r="H58" i="22"/>
  <c r="H61" i="22" s="1"/>
  <c r="H64" i="22" s="1"/>
  <c r="P58" i="22"/>
  <c r="P61" i="22" s="1"/>
  <c r="P64" i="22" s="1"/>
  <c r="F59" i="22"/>
  <c r="K58" i="29"/>
  <c r="K61" i="29" s="1"/>
  <c r="K64" i="29" s="1"/>
  <c r="I58" i="23"/>
  <c r="I61" i="23" s="1"/>
  <c r="I64" i="23" s="1"/>
  <c r="Q58" i="23"/>
  <c r="Q61" i="23" s="1"/>
  <c r="Q64" i="23" s="1"/>
  <c r="L58" i="29"/>
  <c r="L61" i="29" s="1"/>
  <c r="T58" i="29"/>
  <c r="T61" i="29" s="1"/>
  <c r="Q23" i="30"/>
  <c r="Q24" i="30" s="1"/>
  <c r="E23" i="30"/>
  <c r="E24" i="30" s="1"/>
  <c r="U23" i="30"/>
  <c r="J58" i="28"/>
  <c r="J61" i="28" s="1"/>
  <c r="R58" i="22"/>
  <c r="R61" i="22" s="1"/>
  <c r="R64" i="22" s="1"/>
  <c r="J58" i="23"/>
  <c r="J61" i="23" s="1"/>
  <c r="J58" i="24"/>
  <c r="J61" i="24" s="1"/>
  <c r="J64" i="24" s="1"/>
  <c r="R58" i="24"/>
  <c r="R61" i="24" s="1"/>
  <c r="R64" i="24" s="1"/>
  <c r="F57" i="24"/>
  <c r="T58" i="30"/>
  <c r="T61" i="30" s="1"/>
  <c r="T64" i="30" s="1"/>
  <c r="C58" i="23"/>
  <c r="C61" i="23" s="1"/>
  <c r="K58" i="23"/>
  <c r="K61" i="23" s="1"/>
  <c r="K64" i="23" s="1"/>
  <c r="S58" i="23"/>
  <c r="S61" i="23" s="1"/>
  <c r="F58" i="26"/>
  <c r="F61" i="26" s="1"/>
  <c r="D58" i="27"/>
  <c r="D61" i="27" s="1"/>
  <c r="L58" i="27"/>
  <c r="L61" i="27" s="1"/>
  <c r="L64" i="27" s="1"/>
  <c r="L65" i="27" s="1"/>
  <c r="T58" i="27"/>
  <c r="T61" i="27" s="1"/>
  <c r="T64" i="27" s="1"/>
  <c r="J58" i="30"/>
  <c r="J61" i="30" s="1"/>
  <c r="J64" i="30" s="1"/>
  <c r="R58" i="30"/>
  <c r="R61" i="30" s="1"/>
  <c r="R64" i="30" s="1"/>
  <c r="P57" i="30"/>
  <c r="J57" i="21"/>
  <c r="H59" i="21"/>
  <c r="Q23" i="22"/>
  <c r="Q24" i="22" s="1"/>
  <c r="Q19" i="24"/>
  <c r="Q20" i="24" s="1"/>
  <c r="R21" i="27"/>
  <c r="R23" i="27" s="1"/>
  <c r="E58" i="27"/>
  <c r="E61" i="27" s="1"/>
  <c r="M58" i="27"/>
  <c r="M61" i="27" s="1"/>
  <c r="U58" i="27"/>
  <c r="U61" i="27" s="1"/>
  <c r="U64" i="27" s="1"/>
  <c r="U65" i="27" s="1"/>
  <c r="I58" i="29"/>
  <c r="I61" i="29" s="1"/>
  <c r="I64" i="29" s="1"/>
  <c r="Q58" i="29"/>
  <c r="Q61" i="29" s="1"/>
  <c r="Q64" i="29" s="1"/>
  <c r="F58" i="30"/>
  <c r="F61" i="30" s="1"/>
  <c r="N58" i="30"/>
  <c r="N61" i="30" s="1"/>
  <c r="G59" i="21"/>
  <c r="G58" i="22"/>
  <c r="G61" i="22" s="1"/>
  <c r="O58" i="22"/>
  <c r="O61" i="22" s="1"/>
  <c r="O64" i="22" s="1"/>
  <c r="F59" i="23"/>
  <c r="C58" i="24"/>
  <c r="C61" i="24" s="1"/>
  <c r="K58" i="24"/>
  <c r="K61" i="24" s="1"/>
  <c r="K64" i="24" s="1"/>
  <c r="S58" i="24"/>
  <c r="S61" i="24" s="1"/>
  <c r="S64" i="24" s="1"/>
  <c r="N57" i="24"/>
  <c r="G58" i="26"/>
  <c r="G61" i="26" s="1"/>
  <c r="O58" i="26"/>
  <c r="O61" i="26" s="1"/>
  <c r="F58" i="27"/>
  <c r="F61" i="27" s="1"/>
  <c r="N58" i="27"/>
  <c r="N61" i="27" s="1"/>
  <c r="C58" i="28"/>
  <c r="C61" i="28" s="1"/>
  <c r="C64" i="28" s="1"/>
  <c r="K58" i="28"/>
  <c r="K61" i="28" s="1"/>
  <c r="S58" i="28"/>
  <c r="S61" i="28" s="1"/>
  <c r="S64" i="28" s="1"/>
  <c r="J58" i="29"/>
  <c r="J61" i="29" s="1"/>
  <c r="R58" i="29"/>
  <c r="R61" i="29" s="1"/>
  <c r="R64" i="29" s="1"/>
  <c r="P57" i="29"/>
  <c r="T23" i="30"/>
  <c r="G58" i="30"/>
  <c r="G61" i="30" s="1"/>
  <c r="O58" i="30"/>
  <c r="O61" i="30" s="1"/>
  <c r="Q57" i="30"/>
  <c r="A36" i="22"/>
  <c r="G58" i="27"/>
  <c r="G61" i="27" s="1"/>
  <c r="T58" i="28"/>
  <c r="T61" i="28" s="1"/>
  <c r="C58" i="29"/>
  <c r="C61" i="29" s="1"/>
  <c r="C64" i="29" s="1"/>
  <c r="H58" i="30"/>
  <c r="H61" i="30" s="1"/>
  <c r="N59" i="30"/>
  <c r="K19" i="21"/>
  <c r="K20" i="21" s="1"/>
  <c r="Q57" i="21"/>
  <c r="B58" i="21"/>
  <c r="B61" i="21" s="1"/>
  <c r="I58" i="22"/>
  <c r="I61" i="22" s="1"/>
  <c r="I64" i="22" s="1"/>
  <c r="Q58" i="22"/>
  <c r="Q61" i="22" s="1"/>
  <c r="Q64" i="22" s="1"/>
  <c r="I23" i="23"/>
  <c r="I24" i="23" s="1"/>
  <c r="Q23" i="23"/>
  <c r="Q24" i="23" s="1"/>
  <c r="D58" i="23"/>
  <c r="D61" i="23" s="1"/>
  <c r="D64" i="23" s="1"/>
  <c r="L58" i="23"/>
  <c r="L61" i="23" s="1"/>
  <c r="L64" i="23" s="1"/>
  <c r="T58" i="23"/>
  <c r="T61" i="23" s="1"/>
  <c r="E58" i="24"/>
  <c r="E61" i="24" s="1"/>
  <c r="E64" i="24" s="1"/>
  <c r="M58" i="24"/>
  <c r="M61" i="24" s="1"/>
  <c r="U58" i="24"/>
  <c r="U61" i="24" s="1"/>
  <c r="U64" i="24" s="1"/>
  <c r="U65" i="24" s="1"/>
  <c r="N59" i="26"/>
  <c r="H58" i="27"/>
  <c r="H61" i="27" s="1"/>
  <c r="P58" i="27"/>
  <c r="P61" i="27" s="1"/>
  <c r="F57" i="27"/>
  <c r="E58" i="28"/>
  <c r="E61" i="28" s="1"/>
  <c r="E64" i="28" s="1"/>
  <c r="M58" i="28"/>
  <c r="M61" i="28" s="1"/>
  <c r="U58" i="28"/>
  <c r="U61" i="28" s="1"/>
  <c r="U64" i="28" s="1"/>
  <c r="U65" i="28" s="1"/>
  <c r="T64" i="29"/>
  <c r="I58" i="30"/>
  <c r="I61" i="30" s="1"/>
  <c r="Q58" i="30"/>
  <c r="Q61" i="30" s="1"/>
  <c r="Q64" i="30" s="1"/>
  <c r="P59" i="30"/>
  <c r="L58" i="24"/>
  <c r="L61" i="24" s="1"/>
  <c r="P58" i="26"/>
  <c r="P61" i="26" s="1"/>
  <c r="F59" i="26"/>
  <c r="F64" i="26" s="1"/>
  <c r="O58" i="27"/>
  <c r="O61" i="27" s="1"/>
  <c r="V19" i="21"/>
  <c r="A38" i="21"/>
  <c r="F57" i="22"/>
  <c r="N59" i="22"/>
  <c r="E58" i="23"/>
  <c r="E61" i="23" s="1"/>
  <c r="E64" i="23" s="1"/>
  <c r="M58" i="23"/>
  <c r="M61" i="23" s="1"/>
  <c r="U58" i="23"/>
  <c r="U61" i="23" s="1"/>
  <c r="U64" i="23" s="1"/>
  <c r="V19" i="23"/>
  <c r="F58" i="24"/>
  <c r="F61" i="24" s="1"/>
  <c r="N58" i="24"/>
  <c r="N61" i="24" s="1"/>
  <c r="F59" i="24"/>
  <c r="I58" i="27"/>
  <c r="I61" i="27" s="1"/>
  <c r="I64" i="27" s="1"/>
  <c r="Q58" i="27"/>
  <c r="Q61" i="27" s="1"/>
  <c r="H57" i="27"/>
  <c r="F59" i="27"/>
  <c r="F58" i="28"/>
  <c r="F61" i="28" s="1"/>
  <c r="N58" i="28"/>
  <c r="N61" i="28" s="1"/>
  <c r="N64" i="28" s="1"/>
  <c r="N65" i="28" s="1"/>
  <c r="E58" i="29"/>
  <c r="E61" i="29" s="1"/>
  <c r="M58" i="29"/>
  <c r="M61" i="29" s="1"/>
  <c r="M64" i="29" s="1"/>
  <c r="U58" i="29"/>
  <c r="U61" i="29" s="1"/>
  <c r="U64" i="29" s="1"/>
  <c r="U65" i="29" s="1"/>
  <c r="F57" i="30"/>
  <c r="N58" i="26"/>
  <c r="N61" i="26" s="1"/>
  <c r="T58" i="24"/>
  <c r="T61" i="24" s="1"/>
  <c r="T64" i="24" s="1"/>
  <c r="H58" i="26"/>
  <c r="H61" i="26" s="1"/>
  <c r="L58" i="28"/>
  <c r="L61" i="28" s="1"/>
  <c r="S58" i="29"/>
  <c r="S61" i="29" s="1"/>
  <c r="P23" i="22"/>
  <c r="P24" i="22" s="1"/>
  <c r="C58" i="22"/>
  <c r="C61" i="22" s="1"/>
  <c r="K58" i="22"/>
  <c r="K61" i="22" s="1"/>
  <c r="K64" i="22" s="1"/>
  <c r="S58" i="22"/>
  <c r="S61" i="22" s="1"/>
  <c r="S64" i="22" s="1"/>
  <c r="F57" i="23"/>
  <c r="D23" i="24"/>
  <c r="D24" i="24" s="1"/>
  <c r="G58" i="24"/>
  <c r="G61" i="24" s="1"/>
  <c r="O58" i="24"/>
  <c r="O61" i="24" s="1"/>
  <c r="N59" i="24"/>
  <c r="C58" i="26"/>
  <c r="C61" i="26" s="1"/>
  <c r="C64" i="26" s="1"/>
  <c r="K58" i="26"/>
  <c r="K61" i="26" s="1"/>
  <c r="K64" i="26" s="1"/>
  <c r="S58" i="26"/>
  <c r="S61" i="26" s="1"/>
  <c r="P23" i="27"/>
  <c r="P24" i="27" s="1"/>
  <c r="N57" i="27"/>
  <c r="H59" i="27"/>
  <c r="G58" i="28"/>
  <c r="G61" i="28" s="1"/>
  <c r="O58" i="28"/>
  <c r="O61" i="28" s="1"/>
  <c r="R23" i="28"/>
  <c r="F57" i="28"/>
  <c r="F58" i="29"/>
  <c r="F61" i="29" s="1"/>
  <c r="N58" i="29"/>
  <c r="N61" i="29" s="1"/>
  <c r="H59" i="29"/>
  <c r="C58" i="30"/>
  <c r="C61" i="30" s="1"/>
  <c r="K58" i="30"/>
  <c r="K61" i="30" s="1"/>
  <c r="K64" i="30" s="1"/>
  <c r="S58" i="30"/>
  <c r="S61" i="30" s="1"/>
  <c r="S64" i="30" s="1"/>
  <c r="H57" i="30"/>
  <c r="F19" i="21"/>
  <c r="F20" i="21" s="1"/>
  <c r="D58" i="24"/>
  <c r="D61" i="24" s="1"/>
  <c r="D64" i="24" s="1"/>
  <c r="D58" i="28"/>
  <c r="D61" i="28" s="1"/>
  <c r="P58" i="30"/>
  <c r="P61" i="30" s="1"/>
  <c r="Q58" i="21"/>
  <c r="Q61" i="21" s="1"/>
  <c r="I58" i="21"/>
  <c r="I61" i="21" s="1"/>
  <c r="I23" i="22"/>
  <c r="I24" i="22" s="1"/>
  <c r="D58" i="22"/>
  <c r="D61" i="22" s="1"/>
  <c r="L58" i="22"/>
  <c r="L61" i="22" s="1"/>
  <c r="T58" i="22"/>
  <c r="T61"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T64" i="26" s="1"/>
  <c r="T65" i="26" s="1"/>
  <c r="F57" i="26"/>
  <c r="C58" i="27"/>
  <c r="C61" i="27" s="1"/>
  <c r="C64" i="27" s="1"/>
  <c r="K58" i="27"/>
  <c r="K61" i="27" s="1"/>
  <c r="K64" i="27" s="1"/>
  <c r="S58" i="27"/>
  <c r="S61" i="27" s="1"/>
  <c r="S64" i="27" s="1"/>
  <c r="P57" i="27"/>
  <c r="N59" i="27"/>
  <c r="I23" i="28"/>
  <c r="I24" i="28" s="1"/>
  <c r="Q23" i="28"/>
  <c r="Q24" i="28" s="1"/>
  <c r="H58" i="28"/>
  <c r="H61" i="28" s="1"/>
  <c r="P58" i="28"/>
  <c r="P61" i="28" s="1"/>
  <c r="N57" i="28"/>
  <c r="L23" i="29"/>
  <c r="L24" i="29" s="1"/>
  <c r="T23" i="29"/>
  <c r="G58" i="29"/>
  <c r="G61" i="29" s="1"/>
  <c r="O58" i="29"/>
  <c r="O61" i="29" s="1"/>
  <c r="P59" i="29"/>
  <c r="I57" i="30"/>
  <c r="G57" i="21"/>
  <c r="E58" i="22"/>
  <c r="E61" i="22" s="1"/>
  <c r="M58" i="22"/>
  <c r="M61" i="22" s="1"/>
  <c r="U58" i="22"/>
  <c r="U61" i="22" s="1"/>
  <c r="U64" i="22" s="1"/>
  <c r="A45" i="22"/>
  <c r="O57" i="22"/>
  <c r="H58" i="23"/>
  <c r="H61" i="23" s="1"/>
  <c r="H64" i="23" s="1"/>
  <c r="P58" i="23"/>
  <c r="P61" i="23" s="1"/>
  <c r="I58" i="24"/>
  <c r="I61" i="24" s="1"/>
  <c r="I64" i="24" s="1"/>
  <c r="Q58" i="24"/>
  <c r="Q61" i="24" s="1"/>
  <c r="Q64" i="24" s="1"/>
  <c r="E58" i="26"/>
  <c r="E61" i="26" s="1"/>
  <c r="M58" i="26"/>
  <c r="M61" i="26" s="1"/>
  <c r="M64" i="26" s="1"/>
  <c r="M65" i="26" s="1"/>
  <c r="U58" i="26"/>
  <c r="U61" i="26" s="1"/>
  <c r="N57" i="26"/>
  <c r="P59" i="27"/>
  <c r="I58" i="28"/>
  <c r="I61" i="28" s="1"/>
  <c r="Q58" i="28"/>
  <c r="Q61" i="28" s="1"/>
  <c r="Q64" i="28" s="1"/>
  <c r="H58" i="29"/>
  <c r="H61" i="29" s="1"/>
  <c r="P58" i="29"/>
  <c r="P61" i="29" s="1"/>
  <c r="P23" i="29"/>
  <c r="P24" i="29" s="1"/>
  <c r="E58" i="30"/>
  <c r="E61" i="30" s="1"/>
  <c r="M58" i="30"/>
  <c r="M61" i="30" s="1"/>
  <c r="U58" i="30"/>
  <c r="U61" i="30" s="1"/>
  <c r="U64" i="30" s="1"/>
  <c r="U65" i="30" s="1"/>
  <c r="N57" i="30"/>
  <c r="F59" i="30"/>
  <c r="B58" i="30"/>
  <c r="B61" i="30" s="1"/>
  <c r="B58" i="24"/>
  <c r="B61" i="24" s="1"/>
  <c r="B58" i="26"/>
  <c r="B61" i="26" s="1"/>
  <c r="B58" i="27"/>
  <c r="B61" i="27" s="1"/>
  <c r="B58" i="23"/>
  <c r="B61" i="23" s="1"/>
  <c r="B58" i="28"/>
  <c r="B61" i="28" s="1"/>
  <c r="B58" i="22"/>
  <c r="B61" i="22" s="1"/>
  <c r="B58" i="29"/>
  <c r="B61" i="29" s="1"/>
  <c r="I64" i="30"/>
  <c r="O23" i="30"/>
  <c r="O24" i="30" s="1"/>
  <c r="R19" i="30"/>
  <c r="F63" i="30"/>
  <c r="N63" i="30"/>
  <c r="S19" i="30"/>
  <c r="A31" i="30"/>
  <c r="A33" i="30"/>
  <c r="A39" i="30"/>
  <c r="A41" i="30"/>
  <c r="A47" i="30"/>
  <c r="A49" i="30"/>
  <c r="G57" i="30"/>
  <c r="O57" i="30"/>
  <c r="G59" i="30"/>
  <c r="G64" i="30" s="1"/>
  <c r="O59" i="30"/>
  <c r="G63" i="30"/>
  <c r="O63" i="30"/>
  <c r="P63" i="30"/>
  <c r="I63" i="30"/>
  <c r="Q63" i="30"/>
  <c r="T19" i="30"/>
  <c r="F23" i="30"/>
  <c r="F24" i="30" s="1"/>
  <c r="V23" i="30"/>
  <c r="B63" i="30"/>
  <c r="J63" i="30"/>
  <c r="R63" i="30"/>
  <c r="A32" i="30"/>
  <c r="A34" i="30"/>
  <c r="A40" i="30"/>
  <c r="A42" i="30"/>
  <c r="A48" i="30"/>
  <c r="A50" i="30"/>
  <c r="C63" i="30"/>
  <c r="K63" i="30"/>
  <c r="S63" i="30"/>
  <c r="H19" i="30"/>
  <c r="H20" i="30" s="1"/>
  <c r="D63" i="30"/>
  <c r="L63" i="30"/>
  <c r="T63" i="30"/>
  <c r="H63" i="30"/>
  <c r="U19" i="30"/>
  <c r="I19" i="30"/>
  <c r="I20" i="30" s="1"/>
  <c r="Q19" i="30"/>
  <c r="Q20" i="30" s="1"/>
  <c r="E63" i="30"/>
  <c r="M63" i="30"/>
  <c r="T19" i="29"/>
  <c r="P63" i="29"/>
  <c r="R19" i="29"/>
  <c r="J23" i="29"/>
  <c r="J24" i="29" s="1"/>
  <c r="R23" i="29"/>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D19" i="29"/>
  <c r="D20" i="29" s="1"/>
  <c r="U19" i="29"/>
  <c r="M23" i="29"/>
  <c r="M24" i="29" s="1"/>
  <c r="U23" i="29"/>
  <c r="I57" i="29"/>
  <c r="Q57" i="29"/>
  <c r="I63" i="29"/>
  <c r="Q63" i="29"/>
  <c r="F19" i="29"/>
  <c r="F20" i="29" s="1"/>
  <c r="V19" i="29"/>
  <c r="N23" i="29"/>
  <c r="N24" i="29" s="1"/>
  <c r="V23" i="29"/>
  <c r="B63" i="29"/>
  <c r="J63" i="29"/>
  <c r="R63" i="29"/>
  <c r="G19" i="29"/>
  <c r="G20" i="29" s="1"/>
  <c r="A32" i="29"/>
  <c r="A34" i="29"/>
  <c r="A40" i="29"/>
  <c r="A42" i="29"/>
  <c r="A48" i="29"/>
  <c r="A50" i="29"/>
  <c r="C63" i="29"/>
  <c r="K63" i="29"/>
  <c r="S63" i="29"/>
  <c r="D63" i="29"/>
  <c r="L63" i="29"/>
  <c r="T63" i="29"/>
  <c r="I19" i="29"/>
  <c r="I20" i="29" s="1"/>
  <c r="Q19" i="29"/>
  <c r="Q20" i="29" s="1"/>
  <c r="E63" i="29"/>
  <c r="M63" i="29"/>
  <c r="T64" i="28"/>
  <c r="S19" i="28"/>
  <c r="K23" i="28"/>
  <c r="K24" i="28" s="1"/>
  <c r="A31" i="28"/>
  <c r="A33" i="28"/>
  <c r="A37" i="28"/>
  <c r="A39" i="28"/>
  <c r="A41" i="28"/>
  <c r="A45" i="28"/>
  <c r="A47" i="28"/>
  <c r="A49" i="28"/>
  <c r="G57" i="28"/>
  <c r="O57" i="28"/>
  <c r="G59" i="28"/>
  <c r="O59" i="28"/>
  <c r="G63" i="28"/>
  <c r="O63" i="28"/>
  <c r="L23" i="28"/>
  <c r="L24" i="28" s="1"/>
  <c r="T23" i="28"/>
  <c r="H59" i="28"/>
  <c r="P59" i="28"/>
  <c r="P64" i="28" s="1"/>
  <c r="H63" i="28"/>
  <c r="P63" i="28"/>
  <c r="M19" i="28"/>
  <c r="M20" i="28" s="1"/>
  <c r="M23" i="28"/>
  <c r="M24" i="28" s="1"/>
  <c r="U23" i="28"/>
  <c r="I57" i="28"/>
  <c r="Q57" i="28"/>
  <c r="I63" i="28"/>
  <c r="Q63" i="28"/>
  <c r="R19" i="28"/>
  <c r="V19" i="28"/>
  <c r="F23" i="28"/>
  <c r="F24" i="28" s="1"/>
  <c r="V23" i="28"/>
  <c r="B63" i="28"/>
  <c r="J63" i="28"/>
  <c r="R63" i="28"/>
  <c r="G19" i="28"/>
  <c r="G20" i="28" s="1"/>
  <c r="A32" i="28"/>
  <c r="A34" i="28"/>
  <c r="A40" i="28"/>
  <c r="A42" i="28"/>
  <c r="A48" i="28"/>
  <c r="A50" i="28"/>
  <c r="C63" i="28"/>
  <c r="K63" i="28"/>
  <c r="S63" i="28"/>
  <c r="P19" i="28"/>
  <c r="P20" i="28" s="1"/>
  <c r="D63" i="28"/>
  <c r="L63" i="28"/>
  <c r="T63" i="28"/>
  <c r="E63" i="28"/>
  <c r="M63" i="28"/>
  <c r="Q23" i="27"/>
  <c r="Q24" i="27" s="1"/>
  <c r="T23" i="27"/>
  <c r="R19" i="27"/>
  <c r="J21" i="27"/>
  <c r="J23" i="27" s="1"/>
  <c r="J24" i="27" s="1"/>
  <c r="F63" i="27"/>
  <c r="N63" i="27"/>
  <c r="S19" i="27"/>
  <c r="K21" i="27"/>
  <c r="K23" i="27" s="1"/>
  <c r="K24" i="27" s="1"/>
  <c r="S21" i="27"/>
  <c r="S23" i="27" s="1"/>
  <c r="A31" i="27"/>
  <c r="A33" i="27"/>
  <c r="A39" i="27"/>
  <c r="A41" i="27"/>
  <c r="A47" i="27"/>
  <c r="A49" i="27"/>
  <c r="G57" i="27"/>
  <c r="O57" i="27"/>
  <c r="G59" i="27"/>
  <c r="O59" i="27"/>
  <c r="G63" i="27"/>
  <c r="O63" i="27"/>
  <c r="T19"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G19" i="27"/>
  <c r="G20" i="27" s="1"/>
  <c r="A32" i="27"/>
  <c r="A34" i="27"/>
  <c r="A40" i="27"/>
  <c r="A42" i="27"/>
  <c r="A48" i="27"/>
  <c r="A50" i="27"/>
  <c r="C63" i="27"/>
  <c r="K63" i="27"/>
  <c r="S63" i="27"/>
  <c r="H19" i="27"/>
  <c r="H20" i="27" s="1"/>
  <c r="P19" i="27"/>
  <c r="P20" i="27" s="1"/>
  <c r="D63" i="27"/>
  <c r="L63" i="27"/>
  <c r="T63" i="27"/>
  <c r="H63" i="27"/>
  <c r="I19" i="27"/>
  <c r="I20" i="27" s="1"/>
  <c r="Q19" i="27"/>
  <c r="Q20" i="27" s="1"/>
  <c r="E63" i="27"/>
  <c r="M63" i="27"/>
  <c r="S64" i="26"/>
  <c r="O23" i="26"/>
  <c r="O24" i="26" s="1"/>
  <c r="R23" i="26"/>
  <c r="P64" i="26"/>
  <c r="K19" i="26"/>
  <c r="K20" i="26" s="1"/>
  <c r="S19" i="26"/>
  <c r="S23" i="26"/>
  <c r="A31" i="26"/>
  <c r="A33" i="26"/>
  <c r="A37" i="26"/>
  <c r="A39" i="26"/>
  <c r="A41" i="26"/>
  <c r="A45" i="26"/>
  <c r="A47" i="26"/>
  <c r="A49" i="26"/>
  <c r="G57" i="26"/>
  <c r="O57" i="26"/>
  <c r="G59" i="26"/>
  <c r="O59" i="26"/>
  <c r="G63" i="26"/>
  <c r="O63" i="26"/>
  <c r="T19" i="26"/>
  <c r="T23" i="26"/>
  <c r="H63" i="26"/>
  <c r="P63" i="26"/>
  <c r="E19" i="26"/>
  <c r="E20" i="26" s="1"/>
  <c r="M19" i="26"/>
  <c r="M20" i="26" s="1"/>
  <c r="M23" i="26"/>
  <c r="M24" i="26" s="1"/>
  <c r="U23" i="26"/>
  <c r="I57" i="26"/>
  <c r="Q57" i="26"/>
  <c r="I59" i="26"/>
  <c r="I64" i="26" s="1"/>
  <c r="Q59" i="26"/>
  <c r="Q64" i="26" s="1"/>
  <c r="I63" i="26"/>
  <c r="Q63" i="26"/>
  <c r="F19" i="26"/>
  <c r="F20" i="26" s="1"/>
  <c r="V19" i="26"/>
  <c r="V23" i="26"/>
  <c r="B63" i="26"/>
  <c r="J63" i="26"/>
  <c r="R63" i="26"/>
  <c r="A32" i="26"/>
  <c r="A34" i="26"/>
  <c r="A40" i="26"/>
  <c r="A42" i="26"/>
  <c r="A48" i="26"/>
  <c r="A50" i="26"/>
  <c r="C63" i="26"/>
  <c r="K63" i="26"/>
  <c r="S63" i="26"/>
  <c r="D63" i="26"/>
  <c r="L63" i="26"/>
  <c r="I19" i="26"/>
  <c r="I20" i="26" s="1"/>
  <c r="Q19" i="26"/>
  <c r="Q20" i="26" s="1"/>
  <c r="P23" i="24"/>
  <c r="P24" i="24" s="1"/>
  <c r="J19" i="24"/>
  <c r="J20" i="24" s="1"/>
  <c r="S19" i="24"/>
  <c r="S23" i="24"/>
  <c r="A31" i="24"/>
  <c r="A33" i="24"/>
  <c r="A37" i="24"/>
  <c r="A39" i="24"/>
  <c r="A41" i="24"/>
  <c r="A45" i="24"/>
  <c r="A47" i="24"/>
  <c r="A49" i="24"/>
  <c r="G57" i="24"/>
  <c r="O57" i="24"/>
  <c r="G59" i="24"/>
  <c r="O59" i="24"/>
  <c r="O64" i="24" s="1"/>
  <c r="G63" i="24"/>
  <c r="O63" i="24"/>
  <c r="T19" i="24"/>
  <c r="H59" i="24"/>
  <c r="P59" i="24"/>
  <c r="P64" i="24" s="1"/>
  <c r="H63" i="24"/>
  <c r="P63" i="24"/>
  <c r="U19" i="24"/>
  <c r="U23" i="24"/>
  <c r="I57" i="24"/>
  <c r="Q57" i="24"/>
  <c r="I63" i="24"/>
  <c r="Q63" i="24"/>
  <c r="F19" i="24"/>
  <c r="F20" i="24" s="1"/>
  <c r="V19" i="24"/>
  <c r="F23" i="24"/>
  <c r="F24" i="24" s="1"/>
  <c r="V23" i="24"/>
  <c r="B63" i="24"/>
  <c r="J63" i="24"/>
  <c r="R63" i="24"/>
  <c r="A32" i="24"/>
  <c r="A34" i="24"/>
  <c r="A40" i="24"/>
  <c r="A42" i="24"/>
  <c r="A48" i="24"/>
  <c r="A50" i="24"/>
  <c r="C63" i="24"/>
  <c r="K63" i="24"/>
  <c r="S63" i="24"/>
  <c r="H19" i="24"/>
  <c r="H20"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S64" i="23"/>
  <c r="R23" i="23"/>
  <c r="K19" i="23"/>
  <c r="K20" i="23" s="1"/>
  <c r="S19" i="23"/>
  <c r="S23" i="23"/>
  <c r="A31" i="23"/>
  <c r="A33" i="23"/>
  <c r="A37" i="23"/>
  <c r="A39" i="23"/>
  <c r="A41" i="23"/>
  <c r="A45" i="23"/>
  <c r="A47" i="23"/>
  <c r="A49" i="23"/>
  <c r="G57" i="23"/>
  <c r="O57" i="23"/>
  <c r="G59" i="23"/>
  <c r="O59" i="23"/>
  <c r="T19" i="23"/>
  <c r="T23" i="23"/>
  <c r="E19" i="23"/>
  <c r="E20" i="23" s="1"/>
  <c r="U19" i="23"/>
  <c r="U23" i="23"/>
  <c r="I57" i="23"/>
  <c r="Q57" i="23"/>
  <c r="V23" i="23"/>
  <c r="A32" i="23"/>
  <c r="A34" i="23"/>
  <c r="A40" i="23"/>
  <c r="A42" i="23"/>
  <c r="A48" i="23"/>
  <c r="A50" i="23"/>
  <c r="H19" i="23"/>
  <c r="H20" i="23" s="1"/>
  <c r="Q19" i="23"/>
  <c r="Q20" i="23" s="1"/>
  <c r="U63" i="22"/>
  <c r="M63" i="22"/>
  <c r="E63" i="22"/>
  <c r="F63" i="22"/>
  <c r="T63" i="22"/>
  <c r="L63" i="22"/>
  <c r="D63" i="22"/>
  <c r="S63" i="22"/>
  <c r="K63" i="22"/>
  <c r="C63" i="22"/>
  <c r="N63" i="22"/>
  <c r="R63" i="22"/>
  <c r="J63" i="22"/>
  <c r="B63" i="22"/>
  <c r="Q63" i="22"/>
  <c r="I63" i="22"/>
  <c r="P63" i="22"/>
  <c r="H63" i="22"/>
  <c r="O63" i="22"/>
  <c r="G63" i="22"/>
  <c r="S23" i="22"/>
  <c r="T19" i="22"/>
  <c r="D23" i="22"/>
  <c r="D24" i="22" s="1"/>
  <c r="L23" i="22"/>
  <c r="L24" i="22" s="1"/>
  <c r="T23" i="22"/>
  <c r="J23" i="22"/>
  <c r="J24" i="22" s="1"/>
  <c r="A31" i="22"/>
  <c r="A33" i="22"/>
  <c r="A41" i="22"/>
  <c r="A47" i="22"/>
  <c r="M19" i="22"/>
  <c r="M20" i="22" s="1"/>
  <c r="U19" i="22"/>
  <c r="U23" i="22"/>
  <c r="I57" i="22"/>
  <c r="Q57" i="22"/>
  <c r="A39" i="22"/>
  <c r="A49" i="22"/>
  <c r="F19" i="22"/>
  <c r="F20" i="22" s="1"/>
  <c r="N23" i="22"/>
  <c r="N24" i="22" s="1"/>
  <c r="V23" i="22"/>
  <c r="A32" i="22"/>
  <c r="A34" i="22"/>
  <c r="A40" i="22"/>
  <c r="A42" i="22"/>
  <c r="A48" i="22"/>
  <c r="A50" i="22"/>
  <c r="H19" i="22"/>
  <c r="H20" i="22" s="1"/>
  <c r="Q19" i="22"/>
  <c r="Q20" i="22" s="1"/>
  <c r="N64" i="21"/>
  <c r="N65" i="21" s="1"/>
  <c r="H23" i="21"/>
  <c r="H24" i="21" s="1"/>
  <c r="P23" i="21"/>
  <c r="P24" i="21" s="1"/>
  <c r="T23" i="21"/>
  <c r="T24" i="21" s="1"/>
  <c r="N23" i="21"/>
  <c r="N24" i="21" s="1"/>
  <c r="V23" i="21"/>
  <c r="V24" i="21" s="1"/>
  <c r="A33" i="21"/>
  <c r="A37" i="21"/>
  <c r="A41" i="21"/>
  <c r="A45" i="21"/>
  <c r="A49" i="21"/>
  <c r="E58" i="21"/>
  <c r="E61" i="21" s="1"/>
  <c r="M58" i="21"/>
  <c r="M61" i="21" s="1"/>
  <c r="M64" i="21" s="1"/>
  <c r="U58" i="21"/>
  <c r="U61" i="21" s="1"/>
  <c r="U64" i="21" s="1"/>
  <c r="U65" i="21" s="1"/>
  <c r="S19" i="21"/>
  <c r="I23" i="21"/>
  <c r="I24" i="21" s="1"/>
  <c r="Q23" i="21"/>
  <c r="Q24" i="21" s="1"/>
  <c r="G23" i="21"/>
  <c r="G24" i="21" s="1"/>
  <c r="K23" i="21"/>
  <c r="K24" i="21" s="1"/>
  <c r="C57" i="21"/>
  <c r="K57" i="21"/>
  <c r="S57" i="21"/>
  <c r="Q19" i="21"/>
  <c r="Q20" i="21" s="1"/>
  <c r="R23" i="21"/>
  <c r="R24" i="21" s="1"/>
  <c r="J19" i="21"/>
  <c r="J20" i="21" s="1"/>
  <c r="L19" i="21"/>
  <c r="L20" i="21" s="1"/>
  <c r="T19" i="21"/>
  <c r="R19" i="21"/>
  <c r="A31" i="21"/>
  <c r="Q64" i="21"/>
  <c r="D64" i="21"/>
  <c r="L64" i="21"/>
  <c r="T64" i="21"/>
  <c r="R64" i="21"/>
  <c r="K64" i="21"/>
  <c r="S64" i="21"/>
  <c r="S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M64" i="23" l="1"/>
  <c r="M65" i="23" s="1"/>
  <c r="M64" i="28"/>
  <c r="M65" i="28" s="1"/>
  <c r="J64" i="23"/>
  <c r="D64" i="22"/>
  <c r="B64" i="23"/>
  <c r="P64" i="27"/>
  <c r="I64" i="28"/>
  <c r="P64" i="23"/>
  <c r="P65" i="23" s="1"/>
  <c r="D64" i="28"/>
  <c r="D65" i="28" s="1"/>
  <c r="J64" i="28"/>
  <c r="J65" i="28" s="1"/>
  <c r="N64" i="22"/>
  <c r="J64" i="22"/>
  <c r="D64" i="29"/>
  <c r="D65" i="29" s="1"/>
  <c r="C64" i="22"/>
  <c r="C65" i="22" s="1"/>
  <c r="B64" i="30"/>
  <c r="H64" i="29"/>
  <c r="H65" i="29" s="1"/>
  <c r="K64" i="28"/>
  <c r="E64" i="29"/>
  <c r="C64" i="24"/>
  <c r="N65" i="22"/>
  <c r="F65" i="26"/>
  <c r="D65" i="30"/>
  <c r="C19" i="22"/>
  <c r="C20" i="22" s="1"/>
  <c r="C23" i="22"/>
  <c r="C24" i="22" s="1"/>
  <c r="H64" i="28"/>
  <c r="H65" i="28" s="1"/>
  <c r="L64" i="28"/>
  <c r="L65" i="28" s="1"/>
  <c r="O64" i="21"/>
  <c r="O65" i="21" s="1"/>
  <c r="N64" i="23"/>
  <c r="N65" i="23" s="1"/>
  <c r="M64" i="30"/>
  <c r="M65" i="30" s="1"/>
  <c r="M64" i="27"/>
  <c r="M65" i="27" s="1"/>
  <c r="M64" i="22"/>
  <c r="M65" i="22" s="1"/>
  <c r="L64" i="24"/>
  <c r="L65" i="24" s="1"/>
  <c r="L64" i="29"/>
  <c r="L65" i="29" s="1"/>
  <c r="H64" i="30"/>
  <c r="H65" i="30" s="1"/>
  <c r="H64" i="27"/>
  <c r="H65" i="27" s="1"/>
  <c r="H64" i="26"/>
  <c r="J64" i="21"/>
  <c r="J65" i="21" s="1"/>
  <c r="J64" i="29"/>
  <c r="G64" i="28"/>
  <c r="G65" i="28" s="1"/>
  <c r="G64" i="22"/>
  <c r="G65" i="22" s="1"/>
  <c r="G64" i="21"/>
  <c r="G65" i="21" s="1"/>
  <c r="G64" i="24"/>
  <c r="E64" i="26"/>
  <c r="E65" i="26" s="1"/>
  <c r="C64" i="23"/>
  <c r="C65" i="23" s="1"/>
  <c r="C64" i="21"/>
  <c r="D64" i="26"/>
  <c r="D65" i="26" s="1"/>
  <c r="D64" i="27"/>
  <c r="D65" i="27" s="1"/>
  <c r="B64" i="24"/>
  <c r="B65" i="24" s="1"/>
  <c r="F64" i="21"/>
  <c r="F65" i="21" s="1"/>
  <c r="F64" i="23"/>
  <c r="F65" i="23" s="1"/>
  <c r="F64" i="24"/>
  <c r="F65" i="24" s="1"/>
  <c r="F64" i="30"/>
  <c r="F65" i="30" s="1"/>
  <c r="F64" i="28"/>
  <c r="F65" i="28" s="1"/>
  <c r="H64" i="24"/>
  <c r="H65" i="24" s="1"/>
  <c r="Q64" i="27"/>
  <c r="Q65" i="30"/>
  <c r="L64" i="30"/>
  <c r="L65" i="30" s="1"/>
  <c r="E64" i="22"/>
  <c r="E65" i="22" s="1"/>
  <c r="S64" i="29"/>
  <c r="E64" i="30"/>
  <c r="E65" i="30" s="1"/>
  <c r="I64" i="21"/>
  <c r="I65" i="21" s="1"/>
  <c r="E64" i="21"/>
  <c r="E65" i="21" s="1"/>
  <c r="H64" i="21"/>
  <c r="H65" i="21" s="1"/>
  <c r="S65" i="27"/>
  <c r="C64" i="30"/>
  <c r="C65" i="30" s="1"/>
  <c r="E64" i="27"/>
  <c r="E65" i="27" s="1"/>
  <c r="T64" i="23"/>
  <c r="J64" i="27"/>
  <c r="J65" i="27" s="1"/>
  <c r="T64" i="22"/>
  <c r="R64" i="23"/>
  <c r="B64" i="22"/>
  <c r="B65" i="22" s="1"/>
  <c r="B64" i="29"/>
  <c r="B65" i="29" s="1"/>
  <c r="B64" i="28"/>
  <c r="B65" i="28" s="1"/>
  <c r="B64" i="27"/>
  <c r="B65" i="27" s="1"/>
  <c r="B64" i="26"/>
  <c r="B65" i="26" s="1"/>
  <c r="B64" i="21"/>
  <c r="B65" i="21" s="1"/>
  <c r="T65" i="29"/>
  <c r="P65" i="22"/>
  <c r="O64" i="27"/>
  <c r="O65" i="27" s="1"/>
  <c r="O64" i="28"/>
  <c r="O65" i="28" s="1"/>
  <c r="N64" i="27"/>
  <c r="N65" i="27" s="1"/>
  <c r="N64" i="30"/>
  <c r="N65" i="30" s="1"/>
  <c r="G64" i="26"/>
  <c r="G65" i="26" s="1"/>
  <c r="G64" i="29"/>
  <c r="G65" i="29" s="1"/>
  <c r="F64" i="22"/>
  <c r="F65" i="22" s="1"/>
  <c r="O64" i="26"/>
  <c r="O65" i="26" s="1"/>
  <c r="K65" i="23"/>
  <c r="R65" i="22"/>
  <c r="L65" i="22"/>
  <c r="T65" i="24"/>
  <c r="U65" i="23"/>
  <c r="P64" i="30"/>
  <c r="P65" i="30" s="1"/>
  <c r="J65" i="22"/>
  <c r="T65" i="23"/>
  <c r="Q65" i="21"/>
  <c r="P65" i="21"/>
  <c r="K65" i="27"/>
  <c r="G64" i="23"/>
  <c r="G65" i="23" s="1"/>
  <c r="Q65" i="24"/>
  <c r="K65" i="26"/>
  <c r="R65" i="27"/>
  <c r="C65" i="27"/>
  <c r="H65" i="23"/>
  <c r="O65" i="24"/>
  <c r="G64" i="27"/>
  <c r="G65" i="27" s="1"/>
  <c r="G65" i="30"/>
  <c r="J65" i="30"/>
  <c r="F64" i="27"/>
  <c r="F65" i="27" s="1"/>
  <c r="T65" i="27"/>
  <c r="Q65" i="22"/>
  <c r="J65" i="26"/>
  <c r="T65" i="21"/>
  <c r="S65" i="23"/>
  <c r="S65" i="24"/>
  <c r="L65" i="21"/>
  <c r="D65" i="22"/>
  <c r="R65" i="23"/>
  <c r="S65" i="26"/>
  <c r="L65" i="26"/>
  <c r="T65" i="30"/>
  <c r="C65" i="29"/>
  <c r="H65" i="22"/>
  <c r="R65" i="28"/>
  <c r="N64" i="26"/>
  <c r="N65" i="26" s="1"/>
  <c r="O64" i="29"/>
  <c r="O65" i="29" s="1"/>
  <c r="P64" i="29"/>
  <c r="P65" i="29" s="1"/>
  <c r="S64" i="1"/>
  <c r="R65" i="26"/>
  <c r="N64" i="29"/>
  <c r="N65" i="29" s="1"/>
  <c r="R65" i="30"/>
  <c r="D65" i="23"/>
  <c r="L65" i="23"/>
  <c r="O65" i="22"/>
  <c r="R64" i="1"/>
  <c r="J65" i="23"/>
  <c r="Q64" i="1"/>
  <c r="U64" i="1"/>
  <c r="P64" i="1"/>
  <c r="C65" i="24"/>
  <c r="J65" i="24"/>
  <c r="Q65" i="29"/>
  <c r="C65" i="28"/>
  <c r="F64" i="29"/>
  <c r="F65" i="29" s="1"/>
  <c r="O64" i="23"/>
  <c r="O65" i="23" s="1"/>
  <c r="O64" i="30"/>
  <c r="O65" i="30" s="1"/>
  <c r="N64" i="24"/>
  <c r="N65" i="24" s="1"/>
  <c r="B65" i="23"/>
  <c r="B65" i="30"/>
  <c r="S65" i="30"/>
  <c r="K65" i="30"/>
  <c r="I65" i="30"/>
  <c r="E65" i="29"/>
  <c r="R65" i="29"/>
  <c r="J65" i="29"/>
  <c r="M65" i="29"/>
  <c r="I65" i="29"/>
  <c r="S65" i="29"/>
  <c r="K65" i="29"/>
  <c r="T65" i="28"/>
  <c r="E65" i="28"/>
  <c r="P65" i="28"/>
  <c r="Q65" i="28"/>
  <c r="I65" i="28"/>
  <c r="S65" i="28"/>
  <c r="K65" i="28"/>
  <c r="Q65" i="27"/>
  <c r="I65" i="27"/>
  <c r="P65" i="27"/>
  <c r="Q65" i="26"/>
  <c r="P65" i="26"/>
  <c r="C65" i="26"/>
  <c r="I65" i="26"/>
  <c r="H65" i="26"/>
  <c r="G65" i="24"/>
  <c r="R65" i="24"/>
  <c r="I65" i="24"/>
  <c r="P65" i="24"/>
  <c r="D65" i="24"/>
  <c r="K65" i="24"/>
  <c r="M65" i="24"/>
  <c r="E65" i="24"/>
  <c r="Q65" i="23"/>
  <c r="I65" i="23"/>
  <c r="E65" i="23"/>
  <c r="I65" i="22"/>
  <c r="U65" i="22"/>
  <c r="S65" i="22"/>
  <c r="K65" i="22"/>
  <c r="T65" i="22"/>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<sst xmlns="http://schemas.openxmlformats.org/spreadsheetml/2006/main" count="2175" uniqueCount="173">
  <si>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</si>
  <si>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</si>
  <si>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</si>
  <si>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</si>
  <si>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</si>
  <si>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</si>
  <si>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</si>
  <si>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</si>
  <si>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</si>
  <si>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</si>
  <si>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</si>
  <si>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</si>
  <si>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</si>
  <si>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</si>
  <si>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</si>
  <si>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</si>
  <si>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</si>
  <si>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</si>
  <si>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</si>
  <si>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</si>
  <si>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</si>
  <si>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</si>
  <si>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</si>
  <si>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</si>
  <si>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</si>
  <si>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</si>
  <si>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</si>
  <si>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</si>
  <si>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</si>
  <si>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</si>
  <si>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</si>
  <si>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</si>
  <si>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</si>
  <si>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</si>
  <si>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</si>
  <si>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</si>
  <si>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</si>
  <si>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</si>
  <si>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</si>
  <si>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</si>
  <si>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</si>
  <si>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</si>
  <si>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</si>
  <si>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</si>
  <si>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</si>
  <si>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</si>
  <si>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</si>
  <si>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</si>
  <si>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</si>
  <si>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</si>
  <si>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</si>
  <si>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</si>
  <si>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</si>
  <si>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</si>
  <si>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</si>
  <si>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</si>
  <si>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</si>
  <si>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</si>
  <si>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</si>
  <si>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</si>
  <si>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</si>
  <si>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</si>
  <si>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</si>
  <si>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</si>
  <si>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</si>
  <si>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</si>
  <si>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</si>
  <si>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</si>
  <si>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</si>
  <si>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</si>
  <si>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</si>
  <si>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</si>
  <si>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</si>
  <si>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</si>
  <si>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</si>
  <si>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</si>
  <si>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</si>
  <si>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</si>
  <si>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</si>
  <si>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</si>
  <si>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</si>
  <si>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</si>
  <si>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</si>
  <si>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</si>
  <si>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</si>
  <si>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</si>
  <si>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</si>
  <si>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</si>
  <si>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</si>
  <si>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</si>
  <si>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</si>
  <si>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</si>
  <si>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</si>
  <si>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</si>
  <si>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</si>
  <si>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</si>
  <si>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</si>
  <si>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</si>
  <si>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</si>
  <si>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</si>
  <si>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</si>
  <si>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</si>
  <si>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</si>
  <si>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</si>
  <si>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</si>
  <si>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</si>
  <si>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</si>
  <si>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</si>
  <si>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</si>
  <si>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</si>
  <si>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</si>
  <si>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</si>
  <si>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</si>
  <si>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</si>
  <si>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</si>
  <si>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</si>
  <si>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</si>
  <si>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</si>
  <si>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</si>
  <si>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</si>
  <si>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</si>
  <si>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</si>
  <si>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</si>
  <si>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</si>
  <si>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</si>
  <si>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</si>
  <si>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</si>
  <si>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</si>
  <si>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</si>
  <si>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</si>
  <si>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</si>
  <si>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</si>
  <si>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</si>
  <si>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</si>
  <si>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</si>
  <si>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</si>
  <si>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</si>
  <si>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</si>
  <si>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</si>
  <si>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</si>
  <si>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</si>
  <si>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</si>
  <si>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</si>
  <si>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</si>
  <si>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</si>
  <si>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</si>
  <si>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</si>
  <si>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</si>
  <si>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</si>
  <si>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</si>
  <si>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</si>
  <si>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</si>
  <si>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PAN-013348</t>
  </si>
  <si>
    <t>EPR-KP3594VE</t>
  </si>
  <si>
    <t>Trade Effluent Services Ltd</t>
  </si>
  <si>
    <t>Dyke Farm, Padeswood Lane, Mold, CH7 4HZ</t>
  </si>
  <si>
    <t>Sion Sleep</t>
  </si>
  <si>
    <t xml:space="preserve">Croda Goole </t>
  </si>
  <si>
    <t>Croda Widnes</t>
  </si>
  <si>
    <t>D Wise</t>
  </si>
  <si>
    <t>Encirc</t>
  </si>
  <si>
    <t>Highbury Poultry</t>
  </si>
  <si>
    <t>Maelor Foods</t>
  </si>
  <si>
    <t>Rowan Foods</t>
  </si>
  <si>
    <t>Secanim</t>
  </si>
  <si>
    <t>02 02 04</t>
  </si>
  <si>
    <t>07 07 12</t>
  </si>
  <si>
    <t>02 07 05</t>
  </si>
  <si>
    <t>02 05 01</t>
  </si>
  <si>
    <t>02 03 05</t>
  </si>
  <si>
    <t>Kelloggs</t>
  </si>
  <si>
    <t>Moderate</t>
  </si>
  <si>
    <t>Beechdean Ice Cream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</si>
</sst>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F5" sqref="F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8" t="s">
        <v>41</v>
      </c>
      <c r="B1" s="118"/>
      <c r="C1" s="104" t="s">
        <v>152</v>
      </c>
      <c r="D1" s="105"/>
      <c r="E1" s="37" t="s">
        <v>45</v>
      </c>
      <c r="F1" s="35">
        <v>48.4</v>
      </c>
      <c r="G1" s="106" t="s">
        <v>43</v>
      </c>
      <c r="H1" s="107"/>
      <c r="I1" s="35">
        <v>8</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168</v>
      </c>
      <c r="G2" s="108" t="s">
        <v>107</v>
      </c>
      <c r="H2" s="109"/>
      <c r="I2" s="35">
        <v>330</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v>0.23599999999999999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172</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12</v>
      </c>
      <c r="D8" s="23">
        <v>13</v>
      </c>
      <c r="E8" s="23">
        <v>14</v>
      </c>
      <c r="F8" s="23">
        <v>15</v>
      </c>
      <c r="G8" s="23">
        <v>16</v>
      </c>
      <c r="H8" s="23">
        <v>17</v>
      </c>
      <c r="I8" s="23">
        <v>18</v>
      </c>
      <c r="J8" s="23">
        <v>19</v>
      </c>
      <c r="K8" s="23">
        <v>20</v>
      </c>
      <c r="L8" s="23">
        <v>21</v>
      </c>
      <c r="M8" s="23">
        <v>22</v>
      </c>
      <c r="N8" s="23">
        <v>23</v>
      </c>
      <c r="O8" s="23">
        <v>24</v>
      </c>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v>1</v>
      </c>
      <c r="D9" s="23">
        <v>1</v>
      </c>
      <c r="E9" s="23" t="s">
        <v>171</v>
      </c>
      <c r="F9" s="23" t="s">
        <v>171</v>
      </c>
      <c r="G9" s="23" t="s">
        <v>171</v>
      </c>
      <c r="H9" s="23" t="s">
        <v>171</v>
      </c>
      <c r="I9" s="23" t="s">
        <v>171</v>
      </c>
      <c r="J9" s="23" t="s">
        <v>171</v>
      </c>
      <c r="K9" s="23" t="s">
        <v>171</v>
      </c>
      <c r="L9" s="23" t="s">
        <v>171</v>
      </c>
      <c r="M9" s="23" t="s">
        <v>171</v>
      </c>
      <c r="N9" s="23">
        <v>1</v>
      </c>
      <c r="O9" s="23">
        <v>1</v>
      </c>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5.8</v>
      </c>
      <c r="D10" s="23">
        <v>6.3</v>
      </c>
      <c r="E10" s="23">
        <v>6.3</v>
      </c>
      <c r="F10" s="23">
        <v>6</v>
      </c>
      <c r="G10" s="23">
        <v>6</v>
      </c>
      <c r="H10" s="23">
        <v>6.4</v>
      </c>
      <c r="I10" s="23">
        <v>6.2</v>
      </c>
      <c r="J10" s="23">
        <v>6.1</v>
      </c>
      <c r="K10" s="23">
        <v>5.6</v>
      </c>
      <c r="L10" s="23">
        <v>6</v>
      </c>
      <c r="M10" s="23">
        <v>5.4</v>
      </c>
      <c r="N10" s="23">
        <v>6.3</v>
      </c>
      <c r="O10" s="23">
        <v>5.9</v>
      </c>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2</v>
      </c>
      <c r="D11" s="23">
        <v>2</v>
      </c>
      <c r="E11" s="23">
        <v>1</v>
      </c>
      <c r="F11" s="23">
        <v>0</v>
      </c>
      <c r="G11" s="23">
        <v>0</v>
      </c>
      <c r="H11" s="23">
        <v>0</v>
      </c>
      <c r="I11" s="23">
        <v>0</v>
      </c>
      <c r="J11" s="23">
        <v>0</v>
      </c>
      <c r="K11" s="23">
        <v>0</v>
      </c>
      <c r="L11" s="23">
        <v>0</v>
      </c>
      <c r="M11" s="23">
        <v>0</v>
      </c>
      <c r="N11" s="23">
        <v>2</v>
      </c>
      <c r="O11" s="23">
        <v>2</v>
      </c>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0</v>
      </c>
      <c r="D12" s="23">
        <v>1</v>
      </c>
      <c r="E12" s="23">
        <v>0</v>
      </c>
      <c r="F12" s="23">
        <v>0</v>
      </c>
      <c r="G12" s="23">
        <v>0</v>
      </c>
      <c r="H12" s="23">
        <v>0</v>
      </c>
      <c r="I12" s="23">
        <v>1</v>
      </c>
      <c r="J12" s="23">
        <v>0</v>
      </c>
      <c r="K12" s="23">
        <v>0</v>
      </c>
      <c r="L12" s="23">
        <v>1</v>
      </c>
      <c r="M12" s="23">
        <v>1</v>
      </c>
      <c r="N12" s="23">
        <v>2</v>
      </c>
      <c r="O12" s="23">
        <v>1</v>
      </c>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2</v>
      </c>
      <c r="D13" s="23">
        <v>3</v>
      </c>
      <c r="E13" s="23">
        <v>2</v>
      </c>
      <c r="F13" s="23">
        <v>3</v>
      </c>
      <c r="G13" s="23">
        <v>2</v>
      </c>
      <c r="H13" s="23">
        <v>2</v>
      </c>
      <c r="I13" s="23">
        <v>2</v>
      </c>
      <c r="J13" s="23">
        <v>2</v>
      </c>
      <c r="K13" s="23">
        <v>2</v>
      </c>
      <c r="L13" s="23">
        <v>3</v>
      </c>
      <c r="M13" s="23">
        <v>3</v>
      </c>
      <c r="N13" s="23">
        <v>2</v>
      </c>
      <c r="O13" s="23">
        <v>2</v>
      </c>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68</v>
      </c>
      <c r="D14" s="36" t="s">
        <v>68</v>
      </c>
      <c r="E14" s="36" t="s">
        <v>111</v>
      </c>
      <c r="F14" s="36" t="s">
        <v>111</v>
      </c>
      <c r="G14" s="36" t="s">
        <v>111</v>
      </c>
      <c r="H14" s="36" t="s">
        <v>111</v>
      </c>
      <c r="I14" s="36" t="s">
        <v>111</v>
      </c>
      <c r="J14" s="36" t="s">
        <v>111</v>
      </c>
      <c r="K14" s="36" t="s">
        <v>111</v>
      </c>
      <c r="L14" s="36" t="s">
        <v>111</v>
      </c>
      <c r="M14" s="36" t="s">
        <v>111</v>
      </c>
      <c r="N14" s="36" t="s">
        <v>68</v>
      </c>
      <c r="O14" s="36" t="s">
        <v>68</v>
      </c>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5.5</v>
      </c>
      <c r="D15" s="23">
        <v>5.5</v>
      </c>
      <c r="E15" s="23">
        <v>38</v>
      </c>
      <c r="F15" s="23">
        <v>38</v>
      </c>
      <c r="G15" s="23">
        <v>38</v>
      </c>
      <c r="H15" s="23">
        <v>38</v>
      </c>
      <c r="I15" s="23">
        <v>38</v>
      </c>
      <c r="J15" s="23">
        <v>38</v>
      </c>
      <c r="K15" s="23">
        <v>38</v>
      </c>
      <c r="L15" s="23">
        <v>38</v>
      </c>
      <c r="M15" s="23">
        <v>38</v>
      </c>
      <c r="N15" s="23">
        <v>5.5</v>
      </c>
      <c r="O15" s="23">
        <v>5.5</v>
      </c>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20.619000000000003</v>
      </c>
      <c r="D18" s="24">
        <f>$D32</f>
        <v>20.619000000000003</v>
      </c>
      <c r="E18" s="24">
        <f>$D33</f>
        <v>20.619000000000003</v>
      </c>
      <c r="F18" s="24">
        <f>$D34</f>
        <v>20.619000000000003</v>
      </c>
      <c r="G18" s="24">
        <f>$D35</f>
        <v>20.619000000000003</v>
      </c>
      <c r="H18" s="24">
        <f>$D36</f>
        <v>20.619000000000003</v>
      </c>
      <c r="I18" s="24">
        <f>$D37</f>
        <v>20.619000000000003</v>
      </c>
      <c r="J18" s="24">
        <f>$D38</f>
        <v>20.619000000000003</v>
      </c>
      <c r="K18" s="24">
        <f>$D39</f>
        <v>20.619000000000003</v>
      </c>
      <c r="L18" s="24">
        <f>$D40</f>
        <v>20.619000000000003</v>
      </c>
      <c r="M18" s="24">
        <f>$D41</f>
        <v>20.619000000000003</v>
      </c>
      <c r="N18" s="24">
        <f>$D42</f>
        <v>20.619000000000003</v>
      </c>
      <c r="O18" s="24">
        <f>$D43</f>
        <v>20.619000000000003</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-26.130999999999997</v>
      </c>
      <c r="D19" s="24">
        <f t="shared" ref="D19:V19" si="1">D18-D17</f>
        <v>-26.130999999999997</v>
      </c>
      <c r="E19" s="24">
        <f t="shared" si="1"/>
        <v>-43.980999999999995</v>
      </c>
      <c r="F19" s="24">
        <f t="shared" si="1"/>
        <v>-43.980999999999995</v>
      </c>
      <c r="G19" s="24">
        <f t="shared" si="1"/>
        <v>-43.980999999999995</v>
      </c>
      <c r="H19" s="24">
        <f t="shared" si="1"/>
        <v>-43.980999999999995</v>
      </c>
      <c r="I19" s="24">
        <f t="shared" si="1"/>
        <v>-43.980999999999995</v>
      </c>
      <c r="J19" s="24">
        <f t="shared" si="1"/>
        <v>-43.980999999999995</v>
      </c>
      <c r="K19" s="24">
        <f t="shared" si="1"/>
        <v>-43.980999999999995</v>
      </c>
      <c r="L19" s="24">
        <f t="shared" si="1"/>
        <v>-43.980999999999995</v>
      </c>
      <c r="M19" s="24">
        <f t="shared" si="1"/>
        <v>-43.980999999999995</v>
      </c>
      <c r="N19" s="24">
        <f t="shared" si="1"/>
        <v>-26.130999999999997</v>
      </c>
      <c r="O19" s="24">
        <f t="shared" si="1"/>
        <v>-26.130999999999997</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26.630500000000005</v>
      </c>
      <c r="D22" s="24">
        <f>$E32</f>
        <v>26.630500000000005</v>
      </c>
      <c r="E22" s="24">
        <f>$E33</f>
        <v>26.630500000000005</v>
      </c>
      <c r="F22" s="24">
        <f>$E34</f>
        <v>26.630500000000005</v>
      </c>
      <c r="G22" s="24">
        <f>$E35</f>
        <v>26.630500000000005</v>
      </c>
      <c r="H22" s="24">
        <f>$E36</f>
        <v>26.630500000000005</v>
      </c>
      <c r="I22" s="24">
        <f>$E37</f>
        <v>26.630500000000005</v>
      </c>
      <c r="J22" s="24">
        <f>$E38</f>
        <v>26.630500000000005</v>
      </c>
      <c r="K22" s="24">
        <f>$E39</f>
        <v>26.630500000000005</v>
      </c>
      <c r="L22" s="24">
        <f>$E40</f>
        <v>26.630500000000005</v>
      </c>
      <c r="M22" s="24">
        <f>$E41</f>
        <v>26.630500000000005</v>
      </c>
      <c r="N22" s="24">
        <f>$E42</f>
        <v>26.630500000000005</v>
      </c>
      <c r="O22" s="24">
        <f>$E43</f>
        <v>26.630500000000005</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-39.369499999999995</v>
      </c>
      <c r="D23" s="24">
        <f t="shared" ref="D23:V23" si="3">D22-D21</f>
        <v>-39.369499999999995</v>
      </c>
      <c r="E23" s="24">
        <f t="shared" si="3"/>
        <v>-201.36949999999999</v>
      </c>
      <c r="F23" s="24">
        <f t="shared" si="3"/>
        <v>-201.36949999999999</v>
      </c>
      <c r="G23" s="24">
        <f t="shared" si="3"/>
        <v>-201.36949999999999</v>
      </c>
      <c r="H23" s="24">
        <f t="shared" si="3"/>
        <v>-201.36949999999999</v>
      </c>
      <c r="I23" s="24">
        <f t="shared" si="3"/>
        <v>-201.36949999999999</v>
      </c>
      <c r="J23" s="24">
        <f t="shared" si="3"/>
        <v>-201.36949999999999</v>
      </c>
      <c r="K23" s="24">
        <f t="shared" si="3"/>
        <v>-201.36949999999999</v>
      </c>
      <c r="L23" s="24">
        <f t="shared" si="3"/>
        <v>-201.36949999999999</v>
      </c>
      <c r="M23" s="24">
        <f t="shared" si="3"/>
        <v>-201.36949999999999</v>
      </c>
      <c r="N23" s="24">
        <f t="shared" si="3"/>
        <v>-39.369499999999995</v>
      </c>
      <c r="O23" s="24">
        <f t="shared" si="3"/>
        <v>-39.369499999999995</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1.28</v>
      </c>
      <c r="C28" s="23">
        <v>0.02</v>
      </c>
      <c r="D28" s="23">
        <v>36</v>
      </c>
      <c r="E28" s="23">
        <v>88.4</v>
      </c>
      <c r="F28" s="23">
        <v>13.2</v>
      </c>
      <c r="G28" s="23">
        <v>0.2</v>
      </c>
      <c r="H28" s="23">
        <v>0.5</v>
      </c>
      <c r="I28" s="23">
        <v>0.5</v>
      </c>
      <c r="J28" s="23">
        <v>0.01</v>
      </c>
      <c r="K28" s="30">
        <v>0.05</v>
      </c>
      <c r="L28" s="23">
        <v>0.2</v>
      </c>
      <c r="M28" s="23">
        <v>0.2</v>
      </c>
      <c r="N28" s="23"/>
      <c r="O28" s="23"/>
      <c r="P28" s="23">
        <v>445</v>
      </c>
      <c r="Q28" s="23">
        <v>40.200000000000003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20.619000000000003</v>
      </c>
      <c r="E31" s="2">
        <f>(IF(E$27="%w/w SAR",((E$28*10)*$B31),IF(E$27="%w/w DM",(((E$28*10)*($B$28/100))*$B31),IF(E$27="kg/t SAR",(E$28*$B31),IF(E$27="kg/t DM",((E$28*($B$28/100))*$B31),IF(E$27="mg/kg SAR",((E$28*0.001)*$B31),IF(E$27="mg/kg DM",(((E$28*0.001)*($B$28/100))*$B31),"0")))))))*1.205</f>
        <v>26.630500000000005</v>
      </c>
      <c r="F31" s="2">
        <f>(IF(F$27="%w/w SAR",((F$28*10)*$B31),IF(F$27="%w/w DM",(((F$28*10)*($B$28/100))*$B31),IF(F$27="kg/t SAR",(F$28*$B31),IF(F$27="kg/t DM",((F$28*($B$28/100))*$B31),IF(F$27="mg/kg SAR",((F$28*0.001)*$B31),IF(F$27="mg/kg DM",(((F$28*0.001)*($B$28/100))*$B31),"0")))))))*1.658</f>
        <v>5.4713999999999992</v>
      </c>
      <c r="G31" s="2">
        <f t="shared" ref="G31:P31"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111.25</v>
      </c>
      <c r="Q31" s="2">
        <f>(IF(Q$27="%w/w SAR",((Q$28*10)*$B31),IF(Q$27="%w/w DM",(((Q$28*10)*($B$28/100))*$B31),IF(Q$27="kg/t SAR",(Q$28*$B31),IF(Q$27="kg/t DM",((Q$28*($B$28/100))*$B31),IF(Q$27="mg/kg SAR",((Q$28*0.001)*$B31),IF(Q$27="mg/kg DM",(((Q$28*0.001)*($B$28/100))*$B31),0)))))))*2.5</f>
        <v>25.125000000000007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20.619000000000003</v>
      </c>
      <c r="E32" s="2">
        <f t="shared" ref="E32:E50" si="8">(IF(E$27="%w/w SAR",((E$28*10)*$B32),IF(E$27="%w/w DM",(((E$28*10)*($B$28/100))*$B32),IF(E$27="kg/t SAR",(E$28*$B32),IF(E$27="kg/t DM",((E$28*($B$28/100))*$B32),IF(E$27="mg/kg SAR",((E$28*0.001)*$B32),IF(E$27="mg/kg DM",(((E$28*0.001)*($B$28/100))*$B32),"0")))))))*1.205</f>
        <v>26.630500000000005</v>
      </c>
      <c r="F32" s="2">
        <f t="shared" ref="F32:F50" si="9">(IF(F$27="%w/w SAR",((F$28*10)*$B32),IF(F$27="%w/w DM",(((F$28*10)*($B$28/100))*$B32),IF(F$27="kg/t SAR",(F$28*$B32),IF(F$27="kg/t DM",((F$28*($B$28/100))*$B32),IF(F$27="mg/kg SAR",((F$28*0.001)*$B32),IF(F$27="mg/kg DM",(((F$28*0.001)*($B$28/100))*$B32),"0")))))))*1.658</f>
        <v>5.4713999999999992</v>
      </c>
      <c r="G32" s="2">
        <f t="shared" ref="G32:P50" si="10">IF(G$27="%w/w SAR",((G$28*10)*$B32),IF(G$27="%w/w DM",(((G$28*10)*($B$28/100))*$B32),IF(G$27="kg/t SAR",(G$28*$B32),IF(G$27="kg/t DM",((G$28*($B$28/100))*$B32),IF(G$27="mg/kg SAR",((G$28*0.001)*$B32),IF(G$27="mg/kg DM",(((G$28*0.001)*($B$28/100))*$B32),0))))))</f>
        <v>0.05</v>
      </c>
      <c r="H32" s="2">
        <f t="shared" si="10"/>
        <v>0.125</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111.25</v>
      </c>
      <c r="Q32" s="2">
        <f t="shared" ref="Q32:Q50" si="11">(IF(Q$27="%w/w SAR",((Q$28*10)*$B32),IF(Q$27="%w/w DM",(((Q$28*10)*($B$28/100))*$B32),IF(Q$27="kg/t SAR",(Q$28*$B32),IF(Q$27="kg/t DM",((Q$28*($B$28/100))*$B32),IF(Q$27="mg/kg SAR",((Q$28*0.001)*$B32),IF(Q$27="mg/kg DM",(((Q$28*0.001)*($B$28/100))*$B32),0)))))))*2.5</f>
        <v>25.125000000000007</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14</v>
      </c>
      <c r="B33" s="23">
        <v>250</v>
      </c>
      <c r="C33" s="2">
        <f t="shared" si="6"/>
        <v>50</v>
      </c>
      <c r="D33" s="2">
        <f t="shared" si="7"/>
        <v>20.619000000000003</v>
      </c>
      <c r="E33" s="2">
        <f t="shared" si="8"/>
        <v>26.630500000000005</v>
      </c>
      <c r="F33" s="2">
        <f t="shared" si="9"/>
        <v>5.4713999999999992</v>
      </c>
      <c r="G33" s="2">
        <f t="shared" si="10"/>
        <v>0.05</v>
      </c>
      <c r="H33" s="2">
        <f t="shared" si="10"/>
        <v>0.125</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111.25</v>
      </c>
      <c r="Q33" s="2">
        <f t="shared" si="11"/>
        <v>25.125000000000007</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15</v>
      </c>
      <c r="B34" s="23">
        <v>250</v>
      </c>
      <c r="C34" s="2">
        <f t="shared" si="6"/>
        <v>50</v>
      </c>
      <c r="D34" s="2">
        <f t="shared" si="7"/>
        <v>20.619000000000003</v>
      </c>
      <c r="E34" s="2">
        <f t="shared" si="8"/>
        <v>26.630500000000005</v>
      </c>
      <c r="F34" s="2">
        <f t="shared" si="9"/>
        <v>5.4713999999999992</v>
      </c>
      <c r="G34" s="2">
        <f t="shared" si="10"/>
        <v>0.05</v>
      </c>
      <c r="H34" s="2">
        <f t="shared" si="10"/>
        <v>0.125</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111.25</v>
      </c>
      <c r="Q34" s="2">
        <f t="shared" si="11"/>
        <v>25.125000000000007</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16</v>
      </c>
      <c r="B35" s="23">
        <v>250</v>
      </c>
      <c r="C35" s="2">
        <f t="shared" si="6"/>
        <v>50</v>
      </c>
      <c r="D35" s="2">
        <f t="shared" si="7"/>
        <v>20.619000000000003</v>
      </c>
      <c r="E35" s="2">
        <f t="shared" si="8"/>
        <v>26.630500000000005</v>
      </c>
      <c r="F35" s="2">
        <f t="shared" si="9"/>
        <v>5.4713999999999992</v>
      </c>
      <c r="G35" s="2">
        <f t="shared" si="10"/>
        <v>0.05</v>
      </c>
      <c r="H35" s="2">
        <f t="shared" si="10"/>
        <v>0.125</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111.25</v>
      </c>
      <c r="Q35" s="2">
        <f t="shared" si="11"/>
        <v>25.125000000000007</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17</v>
      </c>
      <c r="B36" s="23">
        <v>250</v>
      </c>
      <c r="C36" s="2">
        <f t="shared" si="6"/>
        <v>50</v>
      </c>
      <c r="D36" s="2">
        <f t="shared" si="7"/>
        <v>20.619000000000003</v>
      </c>
      <c r="E36" s="2">
        <f t="shared" si="8"/>
        <v>26.630500000000005</v>
      </c>
      <c r="F36" s="2">
        <f t="shared" si="9"/>
        <v>5.4713999999999992</v>
      </c>
      <c r="G36" s="2">
        <f t="shared" si="10"/>
        <v>0.05</v>
      </c>
      <c r="H36" s="2">
        <f t="shared" si="10"/>
        <v>0.125</v>
      </c>
      <c r="I36" s="2">
        <f t="shared" si="10"/>
        <v>0.125</v>
      </c>
      <c r="J36" s="2">
        <f t="shared" si="10"/>
        <v>2.5000000000000001E-3</v>
      </c>
      <c r="K36" s="2">
        <f t="shared" si="10"/>
        <v>1.2500000000000001E-2</v>
      </c>
      <c r="L36" s="2">
        <f t="shared" si="10"/>
        <v>0.05</v>
      </c>
      <c r="M36" s="2">
        <f t="shared" si="10"/>
        <v>0.05</v>
      </c>
      <c r="N36" s="2">
        <f t="shared" si="10"/>
        <v>0</v>
      </c>
      <c r="O36" s="2">
        <f t="shared" si="10"/>
        <v>0</v>
      </c>
      <c r="P36" s="2">
        <f t="shared" si="10"/>
        <v>111.25</v>
      </c>
      <c r="Q36" s="2">
        <f t="shared" si="11"/>
        <v>25.125000000000007</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18</v>
      </c>
      <c r="B37" s="23">
        <v>250</v>
      </c>
      <c r="C37" s="2">
        <f t="shared" si="6"/>
        <v>50</v>
      </c>
      <c r="D37" s="2">
        <f t="shared" si="7"/>
        <v>20.619000000000003</v>
      </c>
      <c r="E37" s="2">
        <f t="shared" si="8"/>
        <v>26.630500000000005</v>
      </c>
      <c r="F37" s="2">
        <f t="shared" si="9"/>
        <v>5.4713999999999992</v>
      </c>
      <c r="G37" s="2">
        <f t="shared" si="10"/>
        <v>0.05</v>
      </c>
      <c r="H37" s="2">
        <f t="shared" si="10"/>
        <v>0.125</v>
      </c>
      <c r="I37" s="2">
        <f t="shared" si="10"/>
        <v>0.125</v>
      </c>
      <c r="J37" s="2">
        <f t="shared" si="10"/>
        <v>2.5000000000000001E-3</v>
      </c>
      <c r="K37" s="2">
        <f t="shared" si="10"/>
        <v>1.2500000000000001E-2</v>
      </c>
      <c r="L37" s="2">
        <f t="shared" si="10"/>
        <v>0.05</v>
      </c>
      <c r="M37" s="2">
        <f t="shared" si="10"/>
        <v>0.05</v>
      </c>
      <c r="N37" s="2">
        <f t="shared" si="10"/>
        <v>0</v>
      </c>
      <c r="O37" s="2">
        <f t="shared" si="10"/>
        <v>0</v>
      </c>
      <c r="P37" s="2">
        <f t="shared" si="10"/>
        <v>111.25</v>
      </c>
      <c r="Q37" s="2">
        <f t="shared" si="11"/>
        <v>25.125000000000007</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19</v>
      </c>
      <c r="B38" s="23">
        <v>250</v>
      </c>
      <c r="C38" s="2">
        <f t="shared" si="6"/>
        <v>50</v>
      </c>
      <c r="D38" s="2">
        <f t="shared" si="7"/>
        <v>20.619000000000003</v>
      </c>
      <c r="E38" s="2">
        <f t="shared" si="8"/>
        <v>26.630500000000005</v>
      </c>
      <c r="F38" s="2">
        <f t="shared" si="9"/>
        <v>5.4713999999999992</v>
      </c>
      <c r="G38" s="2">
        <f t="shared" si="10"/>
        <v>0.05</v>
      </c>
      <c r="H38" s="2">
        <f t="shared" si="10"/>
        <v>0.125</v>
      </c>
      <c r="I38" s="2">
        <f t="shared" si="10"/>
        <v>0.125</v>
      </c>
      <c r="J38" s="2">
        <f t="shared" si="10"/>
        <v>2.5000000000000001E-3</v>
      </c>
      <c r="K38" s="2">
        <f t="shared" si="10"/>
        <v>1.2500000000000001E-2</v>
      </c>
      <c r="L38" s="2">
        <f t="shared" si="10"/>
        <v>0.05</v>
      </c>
      <c r="M38" s="2">
        <f t="shared" si="10"/>
        <v>0.05</v>
      </c>
      <c r="N38" s="2">
        <f t="shared" si="10"/>
        <v>0</v>
      </c>
      <c r="O38" s="2">
        <f t="shared" si="10"/>
        <v>0</v>
      </c>
      <c r="P38" s="2">
        <f t="shared" si="10"/>
        <v>111.25</v>
      </c>
      <c r="Q38" s="2">
        <f t="shared" si="11"/>
        <v>25.125000000000007</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20</v>
      </c>
      <c r="B39" s="23">
        <v>250</v>
      </c>
      <c r="C39" s="2">
        <f t="shared" si="6"/>
        <v>50</v>
      </c>
      <c r="D39" s="2">
        <f t="shared" si="7"/>
        <v>20.619000000000003</v>
      </c>
      <c r="E39" s="2">
        <f t="shared" si="8"/>
        <v>26.630500000000005</v>
      </c>
      <c r="F39" s="2">
        <f t="shared" si="9"/>
        <v>5.4713999999999992</v>
      </c>
      <c r="G39" s="2">
        <f t="shared" si="10"/>
        <v>0.05</v>
      </c>
      <c r="H39" s="2">
        <f t="shared" si="10"/>
        <v>0.125</v>
      </c>
      <c r="I39" s="2">
        <f t="shared" si="10"/>
        <v>0.125</v>
      </c>
      <c r="J39" s="2">
        <f t="shared" si="10"/>
        <v>2.5000000000000001E-3</v>
      </c>
      <c r="K39" s="2">
        <f t="shared" si="10"/>
        <v>1.2500000000000001E-2</v>
      </c>
      <c r="L39" s="2">
        <f t="shared" si="10"/>
        <v>0.05</v>
      </c>
      <c r="M39" s="2">
        <f t="shared" si="10"/>
        <v>0.05</v>
      </c>
      <c r="N39" s="2">
        <f t="shared" si="10"/>
        <v>0</v>
      </c>
      <c r="O39" s="2">
        <f t="shared" si="10"/>
        <v>0</v>
      </c>
      <c r="P39" s="2">
        <f t="shared" si="10"/>
        <v>111.25</v>
      </c>
      <c r="Q39" s="2">
        <f t="shared" si="11"/>
        <v>25.125000000000007</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21</v>
      </c>
      <c r="B40" s="23">
        <v>250</v>
      </c>
      <c r="C40" s="2">
        <f t="shared" si="6"/>
        <v>50</v>
      </c>
      <c r="D40" s="2">
        <f t="shared" si="7"/>
        <v>20.619000000000003</v>
      </c>
      <c r="E40" s="2">
        <f t="shared" si="8"/>
        <v>26.630500000000005</v>
      </c>
      <c r="F40" s="2">
        <f t="shared" si="9"/>
        <v>5.4713999999999992</v>
      </c>
      <c r="G40" s="2">
        <f t="shared" si="10"/>
        <v>0.05</v>
      </c>
      <c r="H40" s="2">
        <f t="shared" si="10"/>
        <v>0.125</v>
      </c>
      <c r="I40" s="2">
        <f t="shared" si="10"/>
        <v>0.125</v>
      </c>
      <c r="J40" s="2">
        <f t="shared" si="10"/>
        <v>2.5000000000000001E-3</v>
      </c>
      <c r="K40" s="2">
        <f t="shared" si="10"/>
        <v>1.2500000000000001E-2</v>
      </c>
      <c r="L40" s="2">
        <f t="shared" si="10"/>
        <v>0.05</v>
      </c>
      <c r="M40" s="2">
        <f t="shared" si="10"/>
        <v>0.05</v>
      </c>
      <c r="N40" s="2">
        <f t="shared" si="10"/>
        <v>0</v>
      </c>
      <c r="O40" s="2">
        <f t="shared" si="10"/>
        <v>0</v>
      </c>
      <c r="P40" s="2">
        <f t="shared" si="10"/>
        <v>111.25</v>
      </c>
      <c r="Q40" s="2">
        <f t="shared" si="11"/>
        <v>25.125000000000007</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22</v>
      </c>
      <c r="B41" s="23">
        <v>250</v>
      </c>
      <c r="C41" s="2">
        <f t="shared" si="6"/>
        <v>50</v>
      </c>
      <c r="D41" s="2">
        <f t="shared" si="7"/>
        <v>20.619000000000003</v>
      </c>
      <c r="E41" s="2">
        <f t="shared" si="8"/>
        <v>26.630500000000005</v>
      </c>
      <c r="F41" s="2">
        <f t="shared" si="9"/>
        <v>5.4713999999999992</v>
      </c>
      <c r="G41" s="2">
        <f t="shared" si="10"/>
        <v>0.05</v>
      </c>
      <c r="H41" s="2">
        <f t="shared" si="10"/>
        <v>0.125</v>
      </c>
      <c r="I41" s="2">
        <f t="shared" si="10"/>
        <v>0.125</v>
      </c>
      <c r="J41" s="2">
        <f t="shared" si="10"/>
        <v>2.5000000000000001E-3</v>
      </c>
      <c r="K41" s="2">
        <f t="shared" si="10"/>
        <v>1.2500000000000001E-2</v>
      </c>
      <c r="L41" s="2">
        <f t="shared" si="10"/>
        <v>0.05</v>
      </c>
      <c r="M41" s="2">
        <f t="shared" si="10"/>
        <v>0.05</v>
      </c>
      <c r="N41" s="2">
        <f t="shared" si="10"/>
        <v>0</v>
      </c>
      <c r="O41" s="2">
        <f t="shared" si="10"/>
        <v>0</v>
      </c>
      <c r="P41" s="2">
        <f t="shared" si="10"/>
        <v>111.25</v>
      </c>
      <c r="Q41" s="2">
        <f t="shared" si="11"/>
        <v>25.125000000000007</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23</v>
      </c>
      <c r="B42" s="23">
        <v>250</v>
      </c>
      <c r="C42" s="2">
        <f t="shared" si="6"/>
        <v>50</v>
      </c>
      <c r="D42" s="2">
        <f t="shared" si="7"/>
        <v>20.619000000000003</v>
      </c>
      <c r="E42" s="2">
        <f t="shared" si="8"/>
        <v>26.630500000000005</v>
      </c>
      <c r="F42" s="2">
        <f t="shared" si="9"/>
        <v>5.4713999999999992</v>
      </c>
      <c r="G42" s="2">
        <f t="shared" si="10"/>
        <v>0.05</v>
      </c>
      <c r="H42" s="2">
        <f t="shared" si="10"/>
        <v>0.125</v>
      </c>
      <c r="I42" s="2">
        <f t="shared" si="10"/>
        <v>0.125</v>
      </c>
      <c r="J42" s="2">
        <f t="shared" si="10"/>
        <v>2.5000000000000001E-3</v>
      </c>
      <c r="K42" s="2">
        <f t="shared" si="10"/>
        <v>1.2500000000000001E-2</v>
      </c>
      <c r="L42" s="2">
        <f t="shared" si="10"/>
        <v>0.05</v>
      </c>
      <c r="M42" s="2">
        <f t="shared" si="10"/>
        <v>0.05</v>
      </c>
      <c r="N42" s="2">
        <f t="shared" si="10"/>
        <v>0</v>
      </c>
      <c r="O42" s="2">
        <f t="shared" si="10"/>
        <v>0</v>
      </c>
      <c r="P42" s="2">
        <f t="shared" si="10"/>
        <v>111.25</v>
      </c>
      <c r="Q42" s="2">
        <f t="shared" si="11"/>
        <v>25.125000000000007</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24</v>
      </c>
      <c r="B43" s="23">
        <v>250</v>
      </c>
      <c r="C43" s="2">
        <f t="shared" si="6"/>
        <v>50</v>
      </c>
      <c r="D43" s="2">
        <f t="shared" si="7"/>
        <v>20.619000000000003</v>
      </c>
      <c r="E43" s="2">
        <f t="shared" si="8"/>
        <v>26.630500000000005</v>
      </c>
      <c r="F43" s="2">
        <f t="shared" si="9"/>
        <v>5.4713999999999992</v>
      </c>
      <c r="G43" s="2">
        <f t="shared" si="10"/>
        <v>0.05</v>
      </c>
      <c r="H43" s="2">
        <f t="shared" si="10"/>
        <v>0.125</v>
      </c>
      <c r="I43" s="2">
        <f t="shared" si="10"/>
        <v>0.125</v>
      </c>
      <c r="J43" s="2">
        <f t="shared" si="10"/>
        <v>2.5000000000000001E-3</v>
      </c>
      <c r="K43" s="2">
        <f t="shared" si="10"/>
        <v>1.2500000000000001E-2</v>
      </c>
      <c r="L43" s="2">
        <f t="shared" si="10"/>
        <v>0.05</v>
      </c>
      <c r="M43" s="2">
        <f t="shared" si="10"/>
        <v>0.05</v>
      </c>
      <c r="N43" s="2">
        <f t="shared" si="10"/>
        <v>0</v>
      </c>
      <c r="O43" s="2">
        <f t="shared" si="10"/>
        <v>0</v>
      </c>
      <c r="P43" s="2">
        <f t="shared" si="10"/>
        <v>111.25</v>
      </c>
      <c r="Q43" s="2">
        <f t="shared" si="11"/>
        <v>25.125000000000007</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Arable</v>
      </c>
      <c r="C58" s="44" t="str">
        <f>D16&amp;" I "&amp;(VLOOKUP(D14,Table24[],6,FALSE))</f>
        <v>Medium/Clay I Arable</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Arable</v>
      </c>
      <c r="N58" s="21" t="str">
        <f>O16&amp;" I "&amp;(VLOOKUP(O14,Table24[],6,FALSE))</f>
        <v>Medium/Clay I Arable</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6.7</v>
      </c>
      <c r="N59" s="93">
        <f>VLOOKUP(O$14,Table24[],5,FALSE)</f>
        <v>6.7</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9" priority="41" operator="equal">
      <formula>"DECREASE"</formula>
    </cfRule>
    <cfRule type="cellIs" dxfId="398" priority="42" operator="equal">
      <formula>"INCREASE"</formula>
    </cfRule>
  </conditionalFormatting>
  <conditionalFormatting sqref="B62:U65 B31:B50">
    <cfRule type="cellIs" dxfId="397" priority="40" operator="greaterThan">
      <formula>$B$51</formula>
    </cfRule>
  </conditionalFormatting>
  <conditionalFormatting sqref="C31:C50">
    <cfRule type="cellIs" dxfId="396" priority="39" operator="greaterThan">
      <formula>$C$51</formula>
    </cfRule>
  </conditionalFormatting>
  <conditionalFormatting sqref="C18:V18">
    <cfRule type="cellIs" dxfId="395" priority="35" operator="equal">
      <formula>0</formula>
    </cfRule>
  </conditionalFormatting>
  <conditionalFormatting sqref="C17:V17">
    <cfRule type="cellIs" dxfId="394" priority="33" operator="equal">
      <formula>0</formula>
    </cfRule>
  </conditionalFormatting>
  <conditionalFormatting sqref="C19:V19">
    <cfRule type="cellIs" dxfId="393" priority="32" operator="equal">
      <formula>0</formula>
    </cfRule>
  </conditionalFormatting>
  <conditionalFormatting sqref="G31:G50">
    <cfRule type="cellIs" dxfId="392" priority="29" operator="greaterThan">
      <formula>$G$51</formula>
    </cfRule>
  </conditionalFormatting>
  <conditionalFormatting sqref="H31:H50">
    <cfRule type="cellIs" dxfId="391" priority="28" operator="greaterThan">
      <formula>$H$51</formula>
    </cfRule>
  </conditionalFormatting>
  <conditionalFormatting sqref="I31:I50">
    <cfRule type="cellIs" dxfId="390" priority="27" operator="greaterThan">
      <formula>$I$51</formula>
    </cfRule>
  </conditionalFormatting>
  <conditionalFormatting sqref="K31:K50">
    <cfRule type="cellIs" dxfId="389" priority="25" operator="greaterThan">
      <formula>$K$51</formula>
    </cfRule>
  </conditionalFormatting>
  <conditionalFormatting sqref="L31:L50">
    <cfRule type="cellIs" dxfId="388" priority="24" operator="greaterThan">
      <formula>$L$51</formula>
    </cfRule>
  </conditionalFormatting>
  <conditionalFormatting sqref="M31:M50">
    <cfRule type="cellIs" dxfId="387" priority="23" operator="greaterThan">
      <formula>$M$51</formula>
    </cfRule>
  </conditionalFormatting>
  <conditionalFormatting sqref="P31:P50">
    <cfRule type="cellIs" dxfId="386" priority="22" operator="greaterThan">
      <formula>$P$51</formula>
    </cfRule>
  </conditionalFormatting>
  <conditionalFormatting sqref="R31:R50">
    <cfRule type="cellIs" dxfId="385" priority="21" operator="greaterThan">
      <formula>$R$51</formula>
    </cfRule>
  </conditionalFormatting>
  <conditionalFormatting sqref="S31:S50">
    <cfRule type="cellIs" dxfId="384" priority="20" operator="greaterThan">
      <formula>$S$51</formula>
    </cfRule>
  </conditionalFormatting>
  <conditionalFormatting sqref="T31:T50">
    <cfRule type="cellIs" dxfId="383" priority="19" operator="greaterThan">
      <formula>$T$51</formula>
    </cfRule>
  </conditionalFormatting>
  <conditionalFormatting sqref="U31:U50">
    <cfRule type="cellIs" dxfId="382" priority="18" operator="greaterThan">
      <formula>$U$51</formula>
    </cfRule>
  </conditionalFormatting>
  <conditionalFormatting sqref="C22:V22">
    <cfRule type="cellIs" dxfId="381" priority="16" operator="equal">
      <formula>0</formula>
    </cfRule>
  </conditionalFormatting>
  <conditionalFormatting sqref="C24:V24">
    <cfRule type="cellIs" dxfId="380" priority="14" operator="equal">
      <formula>"DECREASE"</formula>
    </cfRule>
    <cfRule type="cellIs" dxfId="379" priority="15" operator="equal">
      <formula>"INCREASE"</formula>
    </cfRule>
  </conditionalFormatting>
  <conditionalFormatting sqref="C23:V23">
    <cfRule type="cellIs" dxfId="378" priority="13" operator="equal">
      <formula>0</formula>
    </cfRule>
  </conditionalFormatting>
  <conditionalFormatting sqref="I1">
    <cfRule type="cellIs" dxfId="377" priority="9" operator="lessThan">
      <formula>5</formula>
    </cfRule>
  </conditionalFormatting>
  <conditionalFormatting sqref="I2">
    <cfRule type="cellIs" dxfId="376" priority="8" operator="greaterThan">
      <formula>5000.1</formula>
    </cfRule>
  </conditionalFormatting>
  <conditionalFormatting sqref="I3">
    <cfRule type="cellIs" dxfId="375" priority="7" operator="greaterThan">
      <formula>4.1</formula>
    </cfRule>
  </conditionalFormatting>
  <conditionalFormatting sqref="C21:V21">
    <cfRule type="cellIs" dxfId="374" priority="6" operator="equal">
      <formula>0</formula>
    </cfRule>
  </conditionalFormatting>
  <conditionalFormatting sqref="B65:U65">
    <cfRule type="cellIs" dxfId="373" priority="2" operator="equal">
      <formula>"UNDER"</formula>
    </cfRule>
    <cfRule type="cellIs" dxfId="372" priority="3" operator="equal">
      <formula>"OVER"</formula>
    </cfRule>
  </conditionalFormatting>
  <conditionalFormatting sqref="J31:J50">
    <cfRule type="cellIs" dxfId="37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6.89</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166</v>
      </c>
      <c r="G2" s="108" t="s">
        <v>107</v>
      </c>
      <c r="H2" s="109"/>
      <c r="I2" s="35">
        <v>3182</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157</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44.711156000000003</v>
      </c>
      <c r="D18" s="24">
        <f>$D32</f>
        <v>44.711156000000003</v>
      </c>
      <c r="E18" s="24">
        <f>$D33</f>
        <v>44.711156000000003</v>
      </c>
      <c r="F18" s="24">
        <f>$D34</f>
        <v>44.711156000000003</v>
      </c>
      <c r="G18" s="24">
        <f>$D35</f>
        <v>44.711156000000003</v>
      </c>
      <c r="H18" s="24">
        <f>$D36</f>
        <v>44.711156000000003</v>
      </c>
      <c r="I18" s="24">
        <f>$D37</f>
        <v>44.711156000000003</v>
      </c>
      <c r="J18" s="24">
        <f>$D38</f>
        <v>44.711156000000003</v>
      </c>
      <c r="K18" s="24">
        <f>$D39</f>
        <v>44.711156000000003</v>
      </c>
      <c r="L18" s="24">
        <f>$D40</f>
        <v>44.711156000000003</v>
      </c>
      <c r="M18" s="24">
        <f>$D41</f>
        <v>44.711156000000003</v>
      </c>
      <c r="N18" s="24">
        <f>$D42</f>
        <v>44.711156000000003</v>
      </c>
      <c r="O18" s="24">
        <f>$D43</f>
        <v>44.711156000000003</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-2.0388439999999974</v>
      </c>
      <c r="D19" s="24">
        <f t="shared" ref="D19:V19" si="1">D18-D17</f>
        <v>-2.0388439999999974</v>
      </c>
      <c r="E19" s="24">
        <f t="shared" si="1"/>
        <v>-19.888843999999992</v>
      </c>
      <c r="F19" s="24">
        <f t="shared" si="1"/>
        <v>-19.888843999999992</v>
      </c>
      <c r="G19" s="24">
        <f t="shared" si="1"/>
        <v>-19.888843999999992</v>
      </c>
      <c r="H19" s="24">
        <f t="shared" si="1"/>
        <v>-19.888843999999992</v>
      </c>
      <c r="I19" s="24">
        <f t="shared" si="1"/>
        <v>-19.888843999999992</v>
      </c>
      <c r="J19" s="24">
        <f t="shared" si="1"/>
        <v>-19.888843999999992</v>
      </c>
      <c r="K19" s="24">
        <f t="shared" si="1"/>
        <v>-19.888843999999992</v>
      </c>
      <c r="L19" s="24">
        <f t="shared" si="1"/>
        <v>-19.888843999999992</v>
      </c>
      <c r="M19" s="24">
        <f t="shared" si="1"/>
        <v>-19.888843999999992</v>
      </c>
      <c r="N19" s="24">
        <f t="shared" si="1"/>
        <v>-2.0388439999999974</v>
      </c>
      <c r="O19" s="24">
        <f t="shared" si="1"/>
        <v>-2.0388439999999974</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9.9870400000000004</v>
      </c>
      <c r="D22" s="24">
        <f>$E32</f>
        <v>9.9870400000000004</v>
      </c>
      <c r="E22" s="24">
        <f>$E33</f>
        <v>9.9870400000000004</v>
      </c>
      <c r="F22" s="24">
        <f>$E34</f>
        <v>9.9870400000000004</v>
      </c>
      <c r="G22" s="24">
        <f>$E35</f>
        <v>9.9870400000000004</v>
      </c>
      <c r="H22" s="24">
        <f>$E36</f>
        <v>9.9870400000000004</v>
      </c>
      <c r="I22" s="24">
        <f>$E37</f>
        <v>9.9870400000000004</v>
      </c>
      <c r="J22" s="24">
        <f>$E38</f>
        <v>9.9870400000000004</v>
      </c>
      <c r="K22" s="24">
        <f>$E39</f>
        <v>9.9870400000000004</v>
      </c>
      <c r="L22" s="24">
        <f>$E40</f>
        <v>9.9870400000000004</v>
      </c>
      <c r="M22" s="24">
        <f>$E41</f>
        <v>9.9870400000000004</v>
      </c>
      <c r="N22" s="24">
        <f>$E42</f>
        <v>9.9870400000000004</v>
      </c>
      <c r="O22" s="24">
        <f>$E43</f>
        <v>9.9870400000000004</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-56.01296</v>
      </c>
      <c r="D23" s="24">
        <f t="shared" ref="D23:V23" si="3">D22-D21</f>
        <v>-56.01296</v>
      </c>
      <c r="E23" s="24">
        <f t="shared" si="3"/>
        <v>-218.01295999999999</v>
      </c>
      <c r="F23" s="24">
        <f t="shared" si="3"/>
        <v>-218.01295999999999</v>
      </c>
      <c r="G23" s="24">
        <f t="shared" si="3"/>
        <v>-218.01295999999999</v>
      </c>
      <c r="H23" s="24">
        <f t="shared" si="3"/>
        <v>-218.01295999999999</v>
      </c>
      <c r="I23" s="24">
        <f t="shared" si="3"/>
        <v>-218.01295999999999</v>
      </c>
      <c r="J23" s="24">
        <f t="shared" si="3"/>
        <v>-218.01295999999999</v>
      </c>
      <c r="K23" s="24">
        <f t="shared" si="3"/>
        <v>-218.01295999999999</v>
      </c>
      <c r="L23" s="24">
        <f t="shared" si="3"/>
        <v>-218.01295999999999</v>
      </c>
      <c r="M23" s="24">
        <f t="shared" si="3"/>
        <v>-218.01295999999999</v>
      </c>
      <c r="N23" s="24">
        <f t="shared" si="3"/>
        <v>-56.01296</v>
      </c>
      <c r="O23" s="24">
        <f t="shared" si="3"/>
        <v>-56.01296</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4.3099999999999996</v>
      </c>
      <c r="C28" s="23">
        <v>0.26</v>
      </c>
      <c r="D28" s="23">
        <v>697</v>
      </c>
      <c r="E28" s="23">
        <v>296</v>
      </c>
      <c r="F28" s="23">
        <v>88.2</v>
      </c>
      <c r="G28" s="23">
        <v>0.91</v>
      </c>
      <c r="H28" s="23">
        <v>15.7</v>
      </c>
      <c r="I28" s="23">
        <v>0.5</v>
      </c>
      <c r="J28" s="23">
        <v>0.01</v>
      </c>
      <c r="K28" s="30">
        <v>0.05</v>
      </c>
      <c r="L28" s="23">
        <v>0.62</v>
      </c>
      <c r="M28" s="23">
        <v>3.9</v>
      </c>
      <c r="N28" s="23"/>
      <c r="O28" s="23"/>
      <c r="P28" s="23">
        <v>4202</v>
      </c>
      <c r="Q28" s="23">
        <v>2220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28</v>
      </c>
      <c r="C31" s="2">
        <f>IF(C$27="%w/w SAR",((C$28*10)*$B31),IF(C$27="%w/w DM",(((C$28*10)*($B$28/100))*$B31),IF(C$27="kg/t SAR",(C$28*$B31),IF(C$27="kg/t DM",((C$28*($B$28/100))*$B31),IF(C$27="mg/kg SAR",((C$28*0.001)*$B31),IF(C$27="mg/kg DM",(((C$28*0.001)*($B$28/100))*$B31),0))))))</f>
        <v>72.8</v>
      </c>
      <c r="D31" s="2">
        <f>(IF(D$27="%w/w SAR",((D$28*10)*$B31),IF(D$27="%w/w DM",(((D$28*10)*($B$28/100))*$B31),IF(D$27="kg/t SAR",(D$28*$B31),IF(D$27="kg/t DM",((D$28*($B$28/100))*$B31),IF(D$27="mg/kg SAR",((D$28*0.001)*$B31),IF(D$27="mg/kg DM",(((D$28*0.001)*($B$28/100))*$B31),"0")))))))*2.291</f>
        <v>44.711156000000003</v>
      </c>
      <c r="E31" s="2">
        <f>(IF(E$27="%w/w SAR",((E$28*10)*$B31),IF(E$27="%w/w DM",(((E$28*10)*($B$28/100))*$B31),IF(E$27="kg/t SAR",(E$28*$B31),IF(E$27="kg/t DM",((E$28*($B$28/100))*$B31),IF(E$27="mg/kg SAR",((E$28*0.001)*$B31),IF(E$27="mg/kg DM",(((E$28*0.001)*($B$28/100))*$B31),"0")))))))*1.205</f>
        <v>9.9870400000000004</v>
      </c>
      <c r="F31" s="2">
        <f>(IF(F$27="%w/w SAR",((F$28*10)*$B31),IF(F$27="%w/w DM",(((F$28*10)*($B$28/100))*$B31),IF(F$27="kg/t SAR",(F$28*$B31),IF(F$27="kg/t DM",((F$28*($B$28/100))*$B31),IF(F$27="mg/kg SAR",((F$28*0.001)*$B31),IF(F$27="mg/kg DM",(((F$28*0.001)*($B$28/100))*$B31),"0")))))))*1.658</f>
        <v>4.0945967999999997</v>
      </c>
      <c r="G31" s="2">
        <f t="shared" ref="G31:P46" si="5">IF(G$27="%w/w SAR",((G$28*10)*$B31),IF(G$27="%w/w DM",(((G$28*10)*($B$28/100))*$B31),IF(G$27="kg/t SAR",(G$28*$B31),IF(G$27="kg/t DM",((G$28*($B$28/100))*$B31),IF(G$27="mg/kg SAR",((G$28*0.001)*$B31),IF(G$27="mg/kg DM",(((G$28*0.001)*($B$28/100))*$B31),0))))))</f>
        <v>2.5479999999999999E-2</v>
      </c>
      <c r="H31" s="2">
        <f t="shared" si="5"/>
        <v>0.43959999999999999</v>
      </c>
      <c r="I31" s="2">
        <f t="shared" si="5"/>
        <v>1.4E-2</v>
      </c>
      <c r="J31" s="2">
        <f t="shared" si="5"/>
        <v>2.8000000000000003E-4</v>
      </c>
      <c r="K31" s="2">
        <f t="shared" si="5"/>
        <v>1.4E-3</v>
      </c>
      <c r="L31" s="2">
        <f t="shared" si="5"/>
        <v>1.736E-2</v>
      </c>
      <c r="M31" s="2">
        <f t="shared" si="5"/>
        <v>0.10919999999999999</v>
      </c>
      <c r="N31" s="2">
        <f t="shared" si="5"/>
        <v>0</v>
      </c>
      <c r="O31" s="2">
        <f t="shared" si="5"/>
        <v>0</v>
      </c>
      <c r="P31" s="2">
        <f t="shared" si="5"/>
        <v>117.65600000000001</v>
      </c>
      <c r="Q31" s="2">
        <f>(IF(Q$27="%w/w SAR",((Q$28*10)*$B31),IF(Q$27="%w/w DM",(((Q$28*10)*($B$28/100))*$B31),IF(Q$27="kg/t SAR",(Q$28*$B31),IF(Q$27="kg/t DM",((Q$28*($B$28/100))*$B31),IF(Q$27="mg/kg SAR",((Q$28*0.001)*$B31),IF(Q$27="mg/kg DM",(((Q$28*0.001)*($B$28/100))*$B31),0)))))))*2.5</f>
        <v>155.4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28</v>
      </c>
      <c r="C32" s="2">
        <f t="shared" ref="C32:C50" si="6">IF(C$27="%w/w SAR",((C$28*10)*$B32),IF(C$27="%w/w DM",(((C$28*10)*($B$28/100))*$B32),IF(C$27="kg/t SAR",(C$28*$B32),IF(C$27="kg/t DM",((C$28*($B$28/100))*$B32),IF(C$27="mg/kg SAR",((C$28*0.001)*$B32),IF(C$27="mg/kg DM",(((C$28*0.001)*($B$28/100))*$B32),0))))))</f>
        <v>72.8</v>
      </c>
      <c r="D32" s="2">
        <f t="shared" ref="D32:D50" si="7">(IF(D$27="%w/w SAR",((D$28*10)*$B32),IF(D$27="%w/w DM",(((D$28*10)*($B$28/100))*$B32),IF(D$27="kg/t SAR",(D$28*$B32),IF(D$27="kg/t DM",((D$28*($B$28/100))*$B32),IF(D$27="mg/kg SAR",((D$28*0.001)*$B32),IF(D$27="mg/kg DM",(((D$28*0.001)*($B$28/100))*$B32),"0")))))))*2.291</f>
        <v>44.711156000000003</v>
      </c>
      <c r="E32" s="2">
        <f t="shared" ref="E32:E50" si="8">(IF(E$27="%w/w SAR",((E$28*10)*$B32),IF(E$27="%w/w DM",(((E$28*10)*($B$28/100))*$B32),IF(E$27="kg/t SAR",(E$28*$B32),IF(E$27="kg/t DM",((E$28*($B$28/100))*$B32),IF(E$27="mg/kg SAR",((E$28*0.001)*$B32),IF(E$27="mg/kg DM",(((E$28*0.001)*($B$28/100))*$B32),"0")))))))*1.205</f>
        <v>9.9870400000000004</v>
      </c>
      <c r="F32" s="2">
        <f t="shared" ref="F32:F50" si="9">(IF(F$27="%w/w SAR",((F$28*10)*$B32),IF(F$27="%w/w DM",(((F$28*10)*($B$28/100))*$B32),IF(F$27="kg/t SAR",(F$28*$B32),IF(F$27="kg/t DM",((F$28*($B$28/100))*$B32),IF(F$27="mg/kg SAR",((F$28*0.001)*$B32),IF(F$27="mg/kg DM",(((F$28*0.001)*($B$28/100))*$B32),"0")))))))*1.658</f>
        <v>4.0945967999999997</v>
      </c>
      <c r="G32" s="2">
        <f t="shared" si="5"/>
        <v>2.5479999999999999E-2</v>
      </c>
      <c r="H32" s="2">
        <f t="shared" si="5"/>
        <v>0.43959999999999999</v>
      </c>
      <c r="I32" s="2">
        <f t="shared" si="5"/>
        <v>1.4E-2</v>
      </c>
      <c r="J32" s="2">
        <f t="shared" si="5"/>
        <v>2.8000000000000003E-4</v>
      </c>
      <c r="K32" s="2">
        <f t="shared" si="5"/>
        <v>1.4E-3</v>
      </c>
      <c r="L32" s="2">
        <f t="shared" si="5"/>
        <v>1.736E-2</v>
      </c>
      <c r="M32" s="2">
        <f t="shared" si="5"/>
        <v>0.10919999999999999</v>
      </c>
      <c r="N32" s="2">
        <f t="shared" si="5"/>
        <v>0</v>
      </c>
      <c r="O32" s="2">
        <f t="shared" si="5"/>
        <v>0</v>
      </c>
      <c r="P32" s="2">
        <f t="shared" si="5"/>
        <v>117.65600000000001</v>
      </c>
      <c r="Q32" s="2">
        <f t="shared" ref="Q32:Q50" si="10">(IF(Q$27="%w/w SAR",((Q$28*10)*$B32),IF(Q$27="%w/w DM",(((Q$28*10)*($B$28/100))*$B32),IF(Q$27="kg/t SAR",(Q$28*$B32),IF(Q$27="kg/t DM",((Q$28*($B$28/100))*$B32),IF(Q$27="mg/kg SAR",((Q$28*0.001)*$B32),IF(Q$27="mg/kg DM",(((Q$28*0.001)*($B$28/100))*$B32),0)))))))*2.5</f>
        <v>155.4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28</v>
      </c>
      <c r="C33" s="2">
        <f t="shared" si="6"/>
        <v>72.8</v>
      </c>
      <c r="D33" s="2">
        <f t="shared" si="7"/>
        <v>44.711156000000003</v>
      </c>
      <c r="E33" s="2">
        <f t="shared" si="8"/>
        <v>9.9870400000000004</v>
      </c>
      <c r="F33" s="2">
        <f t="shared" si="9"/>
        <v>4.0945967999999997</v>
      </c>
      <c r="G33" s="2">
        <f t="shared" si="5"/>
        <v>2.5479999999999999E-2</v>
      </c>
      <c r="H33" s="2">
        <f t="shared" si="5"/>
        <v>0.43959999999999999</v>
      </c>
      <c r="I33" s="2">
        <f t="shared" si="5"/>
        <v>1.4E-2</v>
      </c>
      <c r="J33" s="2">
        <f t="shared" si="5"/>
        <v>2.8000000000000003E-4</v>
      </c>
      <c r="K33" s="2">
        <f t="shared" si="5"/>
        <v>1.4E-3</v>
      </c>
      <c r="L33" s="2">
        <f t="shared" si="5"/>
        <v>1.736E-2</v>
      </c>
      <c r="M33" s="2">
        <f t="shared" si="5"/>
        <v>0.10919999999999999</v>
      </c>
      <c r="N33" s="2">
        <f t="shared" si="5"/>
        <v>0</v>
      </c>
      <c r="O33" s="2">
        <f t="shared" si="5"/>
        <v>0</v>
      </c>
      <c r="P33" s="2">
        <f t="shared" si="5"/>
        <v>117.65600000000001</v>
      </c>
      <c r="Q33" s="2">
        <f t="shared" si="10"/>
        <v>155.4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28</v>
      </c>
      <c r="C34" s="2">
        <f t="shared" si="6"/>
        <v>72.8</v>
      </c>
      <c r="D34" s="2">
        <f t="shared" si="7"/>
        <v>44.711156000000003</v>
      </c>
      <c r="E34" s="2">
        <f t="shared" si="8"/>
        <v>9.9870400000000004</v>
      </c>
      <c r="F34" s="2">
        <f t="shared" si="9"/>
        <v>4.0945967999999997</v>
      </c>
      <c r="G34" s="2">
        <f t="shared" si="5"/>
        <v>2.5479999999999999E-2</v>
      </c>
      <c r="H34" s="2">
        <f t="shared" si="5"/>
        <v>0.43959999999999999</v>
      </c>
      <c r="I34" s="2">
        <f t="shared" si="5"/>
        <v>1.4E-2</v>
      </c>
      <c r="J34" s="2">
        <f t="shared" si="5"/>
        <v>2.8000000000000003E-4</v>
      </c>
      <c r="K34" s="2">
        <f t="shared" si="5"/>
        <v>1.4E-3</v>
      </c>
      <c r="L34" s="2">
        <f t="shared" si="5"/>
        <v>1.736E-2</v>
      </c>
      <c r="M34" s="2">
        <f t="shared" si="5"/>
        <v>0.10919999999999999</v>
      </c>
      <c r="N34" s="2">
        <f t="shared" si="5"/>
        <v>0</v>
      </c>
      <c r="O34" s="2">
        <f t="shared" si="5"/>
        <v>0</v>
      </c>
      <c r="P34" s="2">
        <f t="shared" si="5"/>
        <v>117.65600000000001</v>
      </c>
      <c r="Q34" s="2">
        <f t="shared" si="10"/>
        <v>155.4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28</v>
      </c>
      <c r="C35" s="2">
        <f t="shared" si="6"/>
        <v>72.8</v>
      </c>
      <c r="D35" s="2">
        <f t="shared" si="7"/>
        <v>44.711156000000003</v>
      </c>
      <c r="E35" s="2">
        <f t="shared" si="8"/>
        <v>9.9870400000000004</v>
      </c>
      <c r="F35" s="2">
        <f t="shared" si="9"/>
        <v>4.0945967999999997</v>
      </c>
      <c r="G35" s="2">
        <f t="shared" si="5"/>
        <v>2.5479999999999999E-2</v>
      </c>
      <c r="H35" s="2">
        <f t="shared" si="5"/>
        <v>0.43959999999999999</v>
      </c>
      <c r="I35" s="2">
        <f t="shared" si="5"/>
        <v>1.4E-2</v>
      </c>
      <c r="J35" s="2">
        <f t="shared" si="5"/>
        <v>2.8000000000000003E-4</v>
      </c>
      <c r="K35" s="2">
        <f t="shared" si="5"/>
        <v>1.4E-3</v>
      </c>
      <c r="L35" s="2">
        <f t="shared" si="5"/>
        <v>1.736E-2</v>
      </c>
      <c r="M35" s="2">
        <f t="shared" si="5"/>
        <v>0.10919999999999999</v>
      </c>
      <c r="N35" s="2">
        <f t="shared" si="5"/>
        <v>0</v>
      </c>
      <c r="O35" s="2">
        <f t="shared" si="5"/>
        <v>0</v>
      </c>
      <c r="P35" s="2">
        <f t="shared" si="5"/>
        <v>117.65600000000001</v>
      </c>
      <c r="Q35" s="2">
        <f t="shared" si="10"/>
        <v>155.4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28</v>
      </c>
      <c r="C36" s="2">
        <f t="shared" si="6"/>
        <v>72.8</v>
      </c>
      <c r="D36" s="2">
        <f t="shared" si="7"/>
        <v>44.711156000000003</v>
      </c>
      <c r="E36" s="2">
        <f t="shared" si="8"/>
        <v>9.9870400000000004</v>
      </c>
      <c r="F36" s="2">
        <f t="shared" si="9"/>
        <v>4.0945967999999997</v>
      </c>
      <c r="G36" s="2">
        <f t="shared" si="5"/>
        <v>2.5479999999999999E-2</v>
      </c>
      <c r="H36" s="2">
        <f t="shared" si="5"/>
        <v>0.43959999999999999</v>
      </c>
      <c r="I36" s="2">
        <f t="shared" si="5"/>
        <v>1.4E-2</v>
      </c>
      <c r="J36" s="2">
        <f t="shared" si="5"/>
        <v>2.8000000000000003E-4</v>
      </c>
      <c r="K36" s="2">
        <f t="shared" si="5"/>
        <v>1.4E-3</v>
      </c>
      <c r="L36" s="2">
        <f t="shared" si="5"/>
        <v>1.736E-2</v>
      </c>
      <c r="M36" s="2">
        <f t="shared" si="5"/>
        <v>0.10919999999999999</v>
      </c>
      <c r="N36" s="2">
        <f t="shared" si="5"/>
        <v>0</v>
      </c>
      <c r="O36" s="2">
        <f t="shared" si="5"/>
        <v>0</v>
      </c>
      <c r="P36" s="2">
        <f t="shared" si="5"/>
        <v>117.65600000000001</v>
      </c>
      <c r="Q36" s="2">
        <f t="shared" si="10"/>
        <v>155.4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28</v>
      </c>
      <c r="C37" s="2">
        <f t="shared" si="6"/>
        <v>72.8</v>
      </c>
      <c r="D37" s="2">
        <f t="shared" si="7"/>
        <v>44.711156000000003</v>
      </c>
      <c r="E37" s="2">
        <f t="shared" si="8"/>
        <v>9.9870400000000004</v>
      </c>
      <c r="F37" s="2">
        <f t="shared" si="9"/>
        <v>4.0945967999999997</v>
      </c>
      <c r="G37" s="2">
        <f t="shared" si="5"/>
        <v>2.5479999999999999E-2</v>
      </c>
      <c r="H37" s="2">
        <f t="shared" si="5"/>
        <v>0.43959999999999999</v>
      </c>
      <c r="I37" s="2">
        <f t="shared" si="5"/>
        <v>1.4E-2</v>
      </c>
      <c r="J37" s="2">
        <f t="shared" si="5"/>
        <v>2.8000000000000003E-4</v>
      </c>
      <c r="K37" s="2">
        <f t="shared" si="5"/>
        <v>1.4E-3</v>
      </c>
      <c r="L37" s="2">
        <f t="shared" si="5"/>
        <v>1.736E-2</v>
      </c>
      <c r="M37" s="2">
        <f t="shared" si="5"/>
        <v>0.10919999999999999</v>
      </c>
      <c r="N37" s="2">
        <f t="shared" si="5"/>
        <v>0</v>
      </c>
      <c r="O37" s="2">
        <f t="shared" si="5"/>
        <v>0</v>
      </c>
      <c r="P37" s="2">
        <f t="shared" si="5"/>
        <v>117.65600000000001</v>
      </c>
      <c r="Q37" s="2">
        <f t="shared" si="10"/>
        <v>155.4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28</v>
      </c>
      <c r="C38" s="2">
        <f t="shared" si="6"/>
        <v>72.8</v>
      </c>
      <c r="D38" s="2">
        <f t="shared" si="7"/>
        <v>44.711156000000003</v>
      </c>
      <c r="E38" s="2">
        <f t="shared" si="8"/>
        <v>9.9870400000000004</v>
      </c>
      <c r="F38" s="2">
        <f t="shared" si="9"/>
        <v>4.0945967999999997</v>
      </c>
      <c r="G38" s="2">
        <f t="shared" si="5"/>
        <v>2.5479999999999999E-2</v>
      </c>
      <c r="H38" s="2">
        <f t="shared" si="5"/>
        <v>0.43959999999999999</v>
      </c>
      <c r="I38" s="2">
        <f t="shared" si="5"/>
        <v>1.4E-2</v>
      </c>
      <c r="J38" s="2">
        <f t="shared" si="5"/>
        <v>2.8000000000000003E-4</v>
      </c>
      <c r="K38" s="2">
        <f t="shared" si="5"/>
        <v>1.4E-3</v>
      </c>
      <c r="L38" s="2">
        <f t="shared" si="5"/>
        <v>1.736E-2</v>
      </c>
      <c r="M38" s="2">
        <f t="shared" si="5"/>
        <v>0.10919999999999999</v>
      </c>
      <c r="N38" s="2">
        <f t="shared" si="5"/>
        <v>0</v>
      </c>
      <c r="O38" s="2">
        <f t="shared" si="5"/>
        <v>0</v>
      </c>
      <c r="P38" s="2">
        <f t="shared" si="5"/>
        <v>117.65600000000001</v>
      </c>
      <c r="Q38" s="2">
        <f t="shared" si="10"/>
        <v>155.4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28</v>
      </c>
      <c r="C39" s="2">
        <f t="shared" si="6"/>
        <v>72.8</v>
      </c>
      <c r="D39" s="2">
        <f t="shared" si="7"/>
        <v>44.711156000000003</v>
      </c>
      <c r="E39" s="2">
        <f t="shared" si="8"/>
        <v>9.9870400000000004</v>
      </c>
      <c r="F39" s="2">
        <f t="shared" si="9"/>
        <v>4.0945967999999997</v>
      </c>
      <c r="G39" s="2">
        <f t="shared" si="5"/>
        <v>2.5479999999999999E-2</v>
      </c>
      <c r="H39" s="2">
        <f t="shared" si="5"/>
        <v>0.43959999999999999</v>
      </c>
      <c r="I39" s="2">
        <f t="shared" si="5"/>
        <v>1.4E-2</v>
      </c>
      <c r="J39" s="2">
        <f t="shared" si="5"/>
        <v>2.8000000000000003E-4</v>
      </c>
      <c r="K39" s="2">
        <f t="shared" si="5"/>
        <v>1.4E-3</v>
      </c>
      <c r="L39" s="2">
        <f t="shared" si="5"/>
        <v>1.736E-2</v>
      </c>
      <c r="M39" s="2">
        <f t="shared" si="5"/>
        <v>0.10919999999999999</v>
      </c>
      <c r="N39" s="2">
        <f t="shared" si="5"/>
        <v>0</v>
      </c>
      <c r="O39" s="2">
        <f t="shared" si="5"/>
        <v>0</v>
      </c>
      <c r="P39" s="2">
        <f t="shared" si="5"/>
        <v>117.65600000000001</v>
      </c>
      <c r="Q39" s="2">
        <f t="shared" si="10"/>
        <v>155.4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28</v>
      </c>
      <c r="C40" s="2">
        <f t="shared" si="6"/>
        <v>72.8</v>
      </c>
      <c r="D40" s="2">
        <f t="shared" si="7"/>
        <v>44.711156000000003</v>
      </c>
      <c r="E40" s="2">
        <f t="shared" si="8"/>
        <v>9.9870400000000004</v>
      </c>
      <c r="F40" s="2">
        <f t="shared" si="9"/>
        <v>4.0945967999999997</v>
      </c>
      <c r="G40" s="2">
        <f t="shared" si="5"/>
        <v>2.5479999999999999E-2</v>
      </c>
      <c r="H40" s="2">
        <f t="shared" si="5"/>
        <v>0.43959999999999999</v>
      </c>
      <c r="I40" s="2">
        <f t="shared" si="5"/>
        <v>1.4E-2</v>
      </c>
      <c r="J40" s="2">
        <f t="shared" si="5"/>
        <v>2.8000000000000003E-4</v>
      </c>
      <c r="K40" s="2">
        <f t="shared" si="5"/>
        <v>1.4E-3</v>
      </c>
      <c r="L40" s="2">
        <f t="shared" si="5"/>
        <v>1.736E-2</v>
      </c>
      <c r="M40" s="2">
        <f t="shared" si="5"/>
        <v>0.10919999999999999</v>
      </c>
      <c r="N40" s="2">
        <f t="shared" si="5"/>
        <v>0</v>
      </c>
      <c r="O40" s="2">
        <f t="shared" si="5"/>
        <v>0</v>
      </c>
      <c r="P40" s="2">
        <f t="shared" si="5"/>
        <v>117.65600000000001</v>
      </c>
      <c r="Q40" s="2">
        <f t="shared" si="10"/>
        <v>155.4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28</v>
      </c>
      <c r="C41" s="2">
        <f t="shared" si="6"/>
        <v>72.8</v>
      </c>
      <c r="D41" s="2">
        <f t="shared" si="7"/>
        <v>44.711156000000003</v>
      </c>
      <c r="E41" s="2">
        <f t="shared" si="8"/>
        <v>9.9870400000000004</v>
      </c>
      <c r="F41" s="2">
        <f t="shared" si="9"/>
        <v>4.0945967999999997</v>
      </c>
      <c r="G41" s="2">
        <f t="shared" si="5"/>
        <v>2.5479999999999999E-2</v>
      </c>
      <c r="H41" s="2">
        <f t="shared" si="5"/>
        <v>0.43959999999999999</v>
      </c>
      <c r="I41" s="2">
        <f t="shared" si="5"/>
        <v>1.4E-2</v>
      </c>
      <c r="J41" s="2">
        <f t="shared" si="5"/>
        <v>2.8000000000000003E-4</v>
      </c>
      <c r="K41" s="2">
        <f t="shared" si="5"/>
        <v>1.4E-3</v>
      </c>
      <c r="L41" s="2">
        <f t="shared" si="5"/>
        <v>1.736E-2</v>
      </c>
      <c r="M41" s="2">
        <f t="shared" si="5"/>
        <v>0.10919999999999999</v>
      </c>
      <c r="N41" s="2">
        <f t="shared" si="5"/>
        <v>0</v>
      </c>
      <c r="O41" s="2">
        <f t="shared" si="5"/>
        <v>0</v>
      </c>
      <c r="P41" s="2">
        <f t="shared" si="5"/>
        <v>117.65600000000001</v>
      </c>
      <c r="Q41" s="2">
        <f t="shared" si="10"/>
        <v>155.4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28</v>
      </c>
      <c r="C42" s="2">
        <f t="shared" si="6"/>
        <v>72.8</v>
      </c>
      <c r="D42" s="2">
        <f t="shared" si="7"/>
        <v>44.711156000000003</v>
      </c>
      <c r="E42" s="2">
        <f t="shared" si="8"/>
        <v>9.9870400000000004</v>
      </c>
      <c r="F42" s="2">
        <f t="shared" si="9"/>
        <v>4.0945967999999997</v>
      </c>
      <c r="G42" s="2">
        <f t="shared" si="5"/>
        <v>2.5479999999999999E-2</v>
      </c>
      <c r="H42" s="2">
        <f t="shared" si="5"/>
        <v>0.43959999999999999</v>
      </c>
      <c r="I42" s="2">
        <f t="shared" si="5"/>
        <v>1.4E-2</v>
      </c>
      <c r="J42" s="2">
        <f t="shared" si="5"/>
        <v>2.8000000000000003E-4</v>
      </c>
      <c r="K42" s="2">
        <f t="shared" si="5"/>
        <v>1.4E-3</v>
      </c>
      <c r="L42" s="2">
        <f t="shared" si="5"/>
        <v>1.736E-2</v>
      </c>
      <c r="M42" s="2">
        <f t="shared" si="5"/>
        <v>0.10919999999999999</v>
      </c>
      <c r="N42" s="2">
        <f t="shared" si="5"/>
        <v>0</v>
      </c>
      <c r="O42" s="2">
        <f t="shared" si="5"/>
        <v>0</v>
      </c>
      <c r="P42" s="2">
        <f t="shared" si="5"/>
        <v>117.65600000000001</v>
      </c>
      <c r="Q42" s="2">
        <f t="shared" si="10"/>
        <v>155.4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28</v>
      </c>
      <c r="C43" s="2">
        <f t="shared" si="6"/>
        <v>72.8</v>
      </c>
      <c r="D43" s="2">
        <f t="shared" si="7"/>
        <v>44.711156000000003</v>
      </c>
      <c r="E43" s="2">
        <f t="shared" si="8"/>
        <v>9.9870400000000004</v>
      </c>
      <c r="F43" s="2">
        <f t="shared" si="9"/>
        <v>4.0945967999999997</v>
      </c>
      <c r="G43" s="2">
        <f t="shared" si="5"/>
        <v>2.5479999999999999E-2</v>
      </c>
      <c r="H43" s="2">
        <f t="shared" si="5"/>
        <v>0.43959999999999999</v>
      </c>
      <c r="I43" s="2">
        <f t="shared" si="5"/>
        <v>1.4E-2</v>
      </c>
      <c r="J43" s="2">
        <f t="shared" si="5"/>
        <v>2.8000000000000003E-4</v>
      </c>
      <c r="K43" s="2">
        <f t="shared" si="5"/>
        <v>1.4E-3</v>
      </c>
      <c r="L43" s="2">
        <f t="shared" si="5"/>
        <v>1.736E-2</v>
      </c>
      <c r="M43" s="2">
        <f t="shared" si="5"/>
        <v>0.10919999999999999</v>
      </c>
      <c r="N43" s="2">
        <f t="shared" si="5"/>
        <v>0</v>
      </c>
      <c r="O43" s="2">
        <f t="shared" si="5"/>
        <v>0</v>
      </c>
      <c r="P43" s="2">
        <f t="shared" si="5"/>
        <v>117.65600000000001</v>
      </c>
      <c r="Q43" s="2">
        <f t="shared" si="10"/>
        <v>155.4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Arable</v>
      </c>
      <c r="C58" s="44" t="str">
        <f>D16&amp;" I "&amp;(VLOOKUP(D14,Table245[],6,FALSE))</f>
        <v>Medium/Clay I Arable</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Arable</v>
      </c>
      <c r="N58" s="21" t="str">
        <f>O16&amp;" I "&amp;(VLOOKUP(O14,Table245[],6,FALSE))</f>
        <v>Medium/Clay I Arable</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6.7</v>
      </c>
      <c r="N59" s="93">
        <f>VLOOKUP(O$14,Table245[],5,FALSE)</f>
        <v>6.7</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28</v>
      </c>
      <c r="C62" s="94">
        <f>B32</f>
        <v>28</v>
      </c>
      <c r="D62" s="94">
        <f>B33</f>
        <v>28</v>
      </c>
      <c r="E62" s="94">
        <f>B34</f>
        <v>28</v>
      </c>
      <c r="F62" s="94">
        <f>B35</f>
        <v>28</v>
      </c>
      <c r="G62" s="94">
        <f>B36</f>
        <v>28</v>
      </c>
      <c r="H62" s="94">
        <f>B37</f>
        <v>28</v>
      </c>
      <c r="I62" s="94">
        <f>B38</f>
        <v>28</v>
      </c>
      <c r="J62" s="94">
        <f>B39</f>
        <v>28</v>
      </c>
      <c r="K62" s="94">
        <f>B40</f>
        <v>28</v>
      </c>
      <c r="L62" s="94">
        <f>B41</f>
        <v>28</v>
      </c>
      <c r="M62" s="94">
        <f>B42</f>
        <v>28</v>
      </c>
      <c r="N62" s="94">
        <f>B43</f>
        <v>28</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9" priority="30" operator="equal">
      <formula>"DECREASE"</formula>
    </cfRule>
    <cfRule type="cellIs" dxfId="358" priority="31" operator="equal">
      <formula>"INCREASE"</formula>
    </cfRule>
  </conditionalFormatting>
  <conditionalFormatting sqref="B62:U65 B31:B50">
    <cfRule type="cellIs" dxfId="357" priority="29" operator="greaterThan">
      <formula>$B$51</formula>
    </cfRule>
  </conditionalFormatting>
  <conditionalFormatting sqref="C31:C50">
    <cfRule type="cellIs" dxfId="356" priority="28" operator="greaterThan">
      <formula>$C$51</formula>
    </cfRule>
  </conditionalFormatting>
  <conditionalFormatting sqref="C18:V18">
    <cfRule type="cellIs" dxfId="355" priority="27" operator="equal">
      <formula>0</formula>
    </cfRule>
  </conditionalFormatting>
  <conditionalFormatting sqref="C17:V17">
    <cfRule type="cellIs" dxfId="354" priority="26" operator="equal">
      <formula>0</formula>
    </cfRule>
  </conditionalFormatting>
  <conditionalFormatting sqref="C19:V19">
    <cfRule type="cellIs" dxfId="353" priority="25" operator="equal">
      <formula>0</formula>
    </cfRule>
  </conditionalFormatting>
  <conditionalFormatting sqref="G31:G50">
    <cfRule type="cellIs" dxfId="352" priority="24" operator="greaterThan">
      <formula>$G$51</formula>
    </cfRule>
  </conditionalFormatting>
  <conditionalFormatting sqref="H31:H50">
    <cfRule type="cellIs" dxfId="351" priority="23" operator="greaterThan">
      <formula>$H$51</formula>
    </cfRule>
  </conditionalFormatting>
  <conditionalFormatting sqref="I31:I50">
    <cfRule type="cellIs" dxfId="350" priority="22" operator="greaterThan">
      <formula>$I$51</formula>
    </cfRule>
  </conditionalFormatting>
  <conditionalFormatting sqref="K31:K50">
    <cfRule type="cellIs" dxfId="349" priority="21" operator="greaterThan">
      <formula>$K$51</formula>
    </cfRule>
  </conditionalFormatting>
  <conditionalFormatting sqref="L31:L50">
    <cfRule type="cellIs" dxfId="348" priority="20" operator="greaterThan">
      <formula>$L$51</formula>
    </cfRule>
  </conditionalFormatting>
  <conditionalFormatting sqref="M31:M50">
    <cfRule type="cellIs" dxfId="347" priority="19" operator="greaterThan">
      <formula>$M$51</formula>
    </cfRule>
  </conditionalFormatting>
  <conditionalFormatting sqref="P31:P50">
    <cfRule type="cellIs" dxfId="346" priority="18" operator="greaterThan">
      <formula>$P$51</formula>
    </cfRule>
  </conditionalFormatting>
  <conditionalFormatting sqref="R31:R50">
    <cfRule type="cellIs" dxfId="345" priority="17" operator="greaterThan">
      <formula>$R$51</formula>
    </cfRule>
  </conditionalFormatting>
  <conditionalFormatting sqref="S31:S50">
    <cfRule type="cellIs" dxfId="344" priority="16" operator="greaterThan">
      <formula>$S$51</formula>
    </cfRule>
  </conditionalFormatting>
  <conditionalFormatting sqref="T31:T50">
    <cfRule type="cellIs" dxfId="343" priority="15" operator="greaterThan">
      <formula>$T$51</formula>
    </cfRule>
  </conditionalFormatting>
  <conditionalFormatting sqref="U31:U50">
    <cfRule type="cellIs" dxfId="342" priority="14" operator="greaterThan">
      <formula>$U$51</formula>
    </cfRule>
  </conditionalFormatting>
  <conditionalFormatting sqref="C22:V22">
    <cfRule type="cellIs" dxfId="341" priority="13" operator="equal">
      <formula>0</formula>
    </cfRule>
  </conditionalFormatting>
  <conditionalFormatting sqref="C24:V24">
    <cfRule type="cellIs" dxfId="340" priority="11" operator="equal">
      <formula>"DECREASE"</formula>
    </cfRule>
    <cfRule type="cellIs" dxfId="339" priority="12" operator="equal">
      <formula>"INCREASE"</formula>
    </cfRule>
  </conditionalFormatting>
  <conditionalFormatting sqref="C23:V23">
    <cfRule type="cellIs" dxfId="338" priority="10" operator="equal">
      <formula>0</formula>
    </cfRule>
  </conditionalFormatting>
  <conditionalFormatting sqref="I1">
    <cfRule type="cellIs" dxfId="337" priority="9" operator="lessThan">
      <formula>5</formula>
    </cfRule>
  </conditionalFormatting>
  <conditionalFormatting sqref="C21:V21">
    <cfRule type="cellIs" dxfId="336" priority="6" operator="equal">
      <formula>0</formula>
    </cfRule>
  </conditionalFormatting>
  <conditionalFormatting sqref="B65:U65">
    <cfRule type="cellIs" dxfId="335" priority="4" operator="equal">
      <formula>"UNDER"</formula>
    </cfRule>
    <cfRule type="cellIs" dxfId="334" priority="5" operator="equal">
      <formula>"OVER"</formula>
    </cfRule>
  </conditionalFormatting>
  <conditionalFormatting sqref="I2">
    <cfRule type="cellIs" dxfId="333" priority="3" operator="greaterThan">
      <formula>5000.1</formula>
    </cfRule>
  </conditionalFormatting>
  <conditionalFormatting sqref="I3">
    <cfRule type="cellIs" dxfId="332" priority="2" operator="greaterThan">
      <formula>4.1</formula>
    </cfRule>
  </conditionalFormatting>
  <conditionalFormatting sqref="J31:J50">
    <cfRule type="cellIs" dxfId="33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169</v>
      </c>
      <c r="G2" s="108" t="s">
        <v>107</v>
      </c>
      <c r="H2" s="109"/>
      <c r="I2" s="35">
        <v>1731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0.42799999999999999</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158</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33.517330000000001</v>
      </c>
      <c r="D18" s="24">
        <f>$D32</f>
        <v>33.517330000000001</v>
      </c>
      <c r="E18" s="24">
        <f>$D33</f>
        <v>33.517330000000001</v>
      </c>
      <c r="F18" s="24">
        <f>$D34</f>
        <v>33.517330000000001</v>
      </c>
      <c r="G18" s="24">
        <f>$D35</f>
        <v>33.517330000000001</v>
      </c>
      <c r="H18" s="24">
        <f>$D36</f>
        <v>33.517330000000001</v>
      </c>
      <c r="I18" s="24">
        <f>$D37</f>
        <v>33.517330000000001</v>
      </c>
      <c r="J18" s="24">
        <f>$D38</f>
        <v>33.517330000000001</v>
      </c>
      <c r="K18" s="24">
        <f>$D39</f>
        <v>33.517330000000001</v>
      </c>
      <c r="L18" s="24">
        <f>$D40</f>
        <v>33.517330000000001</v>
      </c>
      <c r="M18" s="24">
        <f>$D41</f>
        <v>33.517330000000001</v>
      </c>
      <c r="N18" s="24">
        <f>$D42</f>
        <v>33.517330000000001</v>
      </c>
      <c r="O18" s="24">
        <f>$D43</f>
        <v>33.517330000000001</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-13.232669999999999</v>
      </c>
      <c r="D19" s="24">
        <f t="shared" ref="D19:V19" si="1">D18-D17</f>
        <v>-13.232669999999999</v>
      </c>
      <c r="E19" s="24">
        <f t="shared" si="1"/>
        <v>-31.082669999999993</v>
      </c>
      <c r="F19" s="24">
        <f t="shared" si="1"/>
        <v>-31.082669999999993</v>
      </c>
      <c r="G19" s="24">
        <f t="shared" si="1"/>
        <v>-31.082669999999993</v>
      </c>
      <c r="H19" s="24">
        <f t="shared" si="1"/>
        <v>-31.082669999999993</v>
      </c>
      <c r="I19" s="24">
        <f t="shared" si="1"/>
        <v>-31.082669999999993</v>
      </c>
      <c r="J19" s="24">
        <f t="shared" si="1"/>
        <v>-31.082669999999993</v>
      </c>
      <c r="K19" s="24">
        <f t="shared" si="1"/>
        <v>-31.082669999999993</v>
      </c>
      <c r="L19" s="24">
        <f t="shared" si="1"/>
        <v>-31.082669999999993</v>
      </c>
      <c r="M19" s="24">
        <f t="shared" si="1"/>
        <v>-31.082669999999993</v>
      </c>
      <c r="N19" s="24">
        <f t="shared" si="1"/>
        <v>-13.232669999999999</v>
      </c>
      <c r="O19" s="24">
        <f t="shared" si="1"/>
        <v>-13.232669999999999</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(VLOOKUP(D$14,$AI2:$AK24,3,FALSE))*D$15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5.1495675000000007</v>
      </c>
      <c r="D22" s="24">
        <f>$E32</f>
        <v>5.1495675000000007</v>
      </c>
      <c r="E22" s="24">
        <f>$E33</f>
        <v>5.1495675000000007</v>
      </c>
      <c r="F22" s="24">
        <f>$E34</f>
        <v>5.1495675000000007</v>
      </c>
      <c r="G22" s="24">
        <f>$E35</f>
        <v>5.1495675000000007</v>
      </c>
      <c r="H22" s="24">
        <f>$E36</f>
        <v>5.1495675000000007</v>
      </c>
      <c r="I22" s="24">
        <f>$E37</f>
        <v>5.1495675000000007</v>
      </c>
      <c r="J22" s="24">
        <f>$E38</f>
        <v>5.1495675000000007</v>
      </c>
      <c r="K22" s="24">
        <f>$E39</f>
        <v>5.1495675000000007</v>
      </c>
      <c r="L22" s="24">
        <f>$E40</f>
        <v>5.1495675000000007</v>
      </c>
      <c r="M22" s="24">
        <f>$E41</f>
        <v>5.1495675000000007</v>
      </c>
      <c r="N22" s="24">
        <f>$E42</f>
        <v>5.1495675000000007</v>
      </c>
      <c r="O22" s="24">
        <f>$E43</f>
        <v>5.1495675000000007</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-60.850432499999997</v>
      </c>
      <c r="D23" s="24">
        <f t="shared" ref="D23:V23" si="3">D22-D21</f>
        <v>-60.850432499999997</v>
      </c>
      <c r="E23" s="24">
        <f t="shared" si="3"/>
        <v>-222.85043250000001</v>
      </c>
      <c r="F23" s="24">
        <f t="shared" si="3"/>
        <v>-222.85043250000001</v>
      </c>
      <c r="G23" s="24">
        <f t="shared" si="3"/>
        <v>-222.85043250000001</v>
      </c>
      <c r="H23" s="24">
        <f t="shared" si="3"/>
        <v>-222.85043250000001</v>
      </c>
      <c r="I23" s="24">
        <f t="shared" si="3"/>
        <v>-222.85043250000001</v>
      </c>
      <c r="J23" s="24">
        <f t="shared" si="3"/>
        <v>-222.85043250000001</v>
      </c>
      <c r="K23" s="24">
        <f t="shared" si="3"/>
        <v>-222.85043250000001</v>
      </c>
      <c r="L23" s="24">
        <f t="shared" si="3"/>
        <v>-222.85043250000001</v>
      </c>
      <c r="M23" s="24">
        <f t="shared" si="3"/>
        <v>-222.85043250000001</v>
      </c>
      <c r="N23" s="24">
        <f t="shared" si="3"/>
        <v>-60.850432499999997</v>
      </c>
      <c r="O23" s="24">
        <f t="shared" si="3"/>
        <v>-60.850432499999997</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12.7</v>
      </c>
      <c r="C28" s="23">
        <v>0.45</v>
      </c>
      <c r="D28" s="23">
        <v>266</v>
      </c>
      <c r="E28" s="23">
        <v>77.7</v>
      </c>
      <c r="F28" s="23">
        <v>366</v>
      </c>
      <c r="G28" s="23">
        <v>1.98</v>
      </c>
      <c r="H28" s="23">
        <v>8.23</v>
      </c>
      <c r="I28" s="23">
        <v>0.5</v>
      </c>
      <c r="J28" s="23">
        <v>1.4999999999999999E-2</v>
      </c>
      <c r="K28" s="30">
        <v>0.05</v>
      </c>
      <c r="L28" s="23">
        <v>0.30299999999999999</v>
      </c>
      <c r="M28" s="23">
        <v>0.67</v>
      </c>
      <c r="N28" s="23"/>
      <c r="O28" s="23"/>
      <c r="P28" s="23">
        <v>625</v>
      </c>
      <c r="Q28" s="23">
        <v>406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55</v>
      </c>
      <c r="C31" s="2">
        <f>IF(C$27="%w/w SAR",((C$28*10)*$B31),IF(C$27="%w/w DM",(((C$28*10)*($B$28/100))*$B31),IF(C$27="kg/t SAR",(C$28*$B31),IF(C$27="kg/t DM",((C$28*($B$28/100))*$B31),IF(C$27="mg/kg SAR",((C$28*0.001)*$B31),IF(C$27="mg/kg DM",(((C$28*0.001)*($B$28/100))*$B31),0))))))</f>
        <v>247.5</v>
      </c>
      <c r="D31" s="2">
        <f>(IF(D$27="%w/w SAR",((D$28*10)*$B31),IF(D$27="%w/w DM",(((D$28*10)*($B$28/100))*$B31),IF(D$27="kg/t SAR",(D$28*$B31),IF(D$27="kg/t DM",((D$28*($B$28/100))*$B31),IF(D$27="mg/kg SAR",((D$28*0.001)*$B31),IF(D$27="mg/kg DM",(((D$28*0.001)*($B$28/100))*$B31),"0")))))))*2.291</f>
        <v>33.517330000000001</v>
      </c>
      <c r="E31" s="2">
        <f>(IF(E$27="%w/w SAR",((E$28*10)*$B31),IF(E$27="%w/w DM",(((E$28*10)*($B$28/100))*$B31),IF(E$27="kg/t SAR",(E$28*$B31),IF(E$27="kg/t DM",((E$28*($B$28/100))*$B31),IF(E$27="mg/kg SAR",((E$28*0.001)*$B31),IF(E$27="mg/kg DM",(((E$28*0.001)*($B$28/100))*$B31),"0")))))))*1.205</f>
        <v>5.1495675000000007</v>
      </c>
      <c r="F31" s="2">
        <f>(IF(F$27="%w/w SAR",((F$28*10)*$B31),IF(F$27="%w/w DM",(((F$28*10)*($B$28/100))*$B31),IF(F$27="kg/t SAR",(F$28*$B31),IF(F$27="kg/t DM",((F$28*($B$28/100))*$B31),IF(F$27="mg/kg SAR",((F$28*0.001)*$B31),IF(F$27="mg/kg DM",(((F$28*0.001)*($B$28/100))*$B31),"0")))))))*1.658</f>
        <v>33.375539999999994</v>
      </c>
      <c r="G31" s="2">
        <f t="shared" ref="G31:P46" si="5">IF(G$27="%w/w SAR",((G$28*10)*$B31),IF(G$27="%w/w DM",(((G$28*10)*($B$28/100))*$B31),IF(G$27="kg/t SAR",(G$28*$B31),IF(G$27="kg/t DM",((G$28*($B$28/100))*$B31),IF(G$27="mg/kg SAR",((G$28*0.001)*$B31),IF(G$27="mg/kg DM",(((G$28*0.001)*($B$28/100))*$B31),0))))))</f>
        <v>0.1089</v>
      </c>
      <c r="H31" s="2">
        <f t="shared" si="5"/>
        <v>0.45265000000000005</v>
      </c>
      <c r="I31" s="2">
        <f t="shared" si="5"/>
        <v>2.75E-2</v>
      </c>
      <c r="J31" s="2">
        <f t="shared" si="5"/>
        <v>8.25E-4</v>
      </c>
      <c r="K31" s="2">
        <f t="shared" si="5"/>
        <v>2.7500000000000003E-3</v>
      </c>
      <c r="L31" s="2">
        <f t="shared" si="5"/>
        <v>1.6664999999999999E-2</v>
      </c>
      <c r="M31" s="2">
        <f t="shared" si="5"/>
        <v>3.6850000000000001E-2</v>
      </c>
      <c r="N31" s="2">
        <f t="shared" si="5"/>
        <v>0</v>
      </c>
      <c r="O31" s="2">
        <f t="shared" si="5"/>
        <v>0</v>
      </c>
      <c r="P31" s="2">
        <f t="shared" si="5"/>
        <v>34.375</v>
      </c>
      <c r="Q31" s="2">
        <f>(IF(Q$27="%w/w SAR",((Q$28*10)*$B31),IF(Q$27="%w/w DM",(((Q$28*10)*($B$28/100))*$B31),IF(Q$27="kg/t SAR",(Q$28*$B31),IF(Q$27="kg/t DM",((Q$28*($B$28/100))*$B31),IF(Q$27="mg/kg SAR",((Q$28*0.001)*$B31),IF(Q$27="mg/kg DM",(((Q$28*0.001)*($B$28/100))*$B31),0)))))))*2.5</f>
        <v>55.825000000000003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55</v>
      </c>
      <c r="C32" s="2">
        <f t="shared" ref="C32:C50" si="6">IF(C$27="%w/w SAR",((C$28*10)*$B32),IF(C$27="%w/w DM",(((C$28*10)*($B$28/100))*$B32),IF(C$27="kg/t SAR",(C$28*$B32),IF(C$27="kg/t DM",((C$28*($B$28/100))*$B32),IF(C$27="mg/kg SAR",((C$28*0.001)*$B32),IF(C$27="mg/kg DM",(((C$28*0.001)*($B$28/100))*$B32),0))))))</f>
        <v>247.5</v>
      </c>
      <c r="D32" s="2">
        <f t="shared" ref="D32:D50" si="7">(IF(D$27="%w/w SAR",((D$28*10)*$B32),IF(D$27="%w/w DM",(((D$28*10)*($B$28/100))*$B32),IF(D$27="kg/t SAR",(D$28*$B32),IF(D$27="kg/t DM",((D$28*($B$28/100))*$B32),IF(D$27="mg/kg SAR",((D$28*0.001)*$B32),IF(D$27="mg/kg DM",(((D$28*0.001)*($B$28/100))*$B32),"0")))))))*2.291</f>
        <v>33.517330000000001</v>
      </c>
      <c r="E32" s="2">
        <f t="shared" ref="E32:E50" si="8">(IF(E$27="%w/w SAR",((E$28*10)*$B32),IF(E$27="%w/w DM",(((E$28*10)*($B$28/100))*$B32),IF(E$27="kg/t SAR",(E$28*$B32),IF(E$27="kg/t DM",((E$28*($B$28/100))*$B32),IF(E$27="mg/kg SAR",((E$28*0.001)*$B32),IF(E$27="mg/kg DM",(((E$28*0.001)*($B$28/100))*$B32),"0")))))))*1.205</f>
        <v>5.1495675000000007</v>
      </c>
      <c r="F32" s="2">
        <f t="shared" ref="F32:F50" si="9">(IF(F$27="%w/w SAR",((F$28*10)*$B32),IF(F$27="%w/w DM",(((F$28*10)*($B$28/100))*$B32),IF(F$27="kg/t SAR",(F$28*$B32),IF(F$27="kg/t DM",((F$28*($B$28/100))*$B32),IF(F$27="mg/kg SAR",((F$28*0.001)*$B32),IF(F$27="mg/kg DM",(((F$28*0.001)*($B$28/100))*$B32),"0")))))))*1.658</f>
        <v>33.375539999999994</v>
      </c>
      <c r="G32" s="2">
        <f t="shared" si="5"/>
        <v>0.1089</v>
      </c>
      <c r="H32" s="2">
        <f t="shared" si="5"/>
        <v>0.45265000000000005</v>
      </c>
      <c r="I32" s="2">
        <f t="shared" si="5"/>
        <v>2.75E-2</v>
      </c>
      <c r="J32" s="2">
        <f t="shared" si="5"/>
        <v>8.25E-4</v>
      </c>
      <c r="K32" s="2">
        <f t="shared" si="5"/>
        <v>2.7500000000000003E-3</v>
      </c>
      <c r="L32" s="2">
        <f t="shared" si="5"/>
        <v>1.6664999999999999E-2</v>
      </c>
      <c r="M32" s="2">
        <f t="shared" si="5"/>
        <v>3.6850000000000001E-2</v>
      </c>
      <c r="N32" s="2">
        <f t="shared" si="5"/>
        <v>0</v>
      </c>
      <c r="O32" s="2">
        <f t="shared" si="5"/>
        <v>0</v>
      </c>
      <c r="P32" s="2">
        <f t="shared" si="5"/>
        <v>34.375</v>
      </c>
      <c r="Q32" s="2">
        <f t="shared" ref="Q32:Q50" si="10">(IF(Q$27="%w/w SAR",((Q$28*10)*$B32),IF(Q$27="%w/w DM",(((Q$28*10)*($B$28/100))*$B32),IF(Q$27="kg/t SAR",(Q$28*$B32),IF(Q$27="kg/t DM",((Q$28*($B$28/100))*$B32),IF(Q$27="mg/kg SAR",((Q$28*0.001)*$B32),IF(Q$27="mg/kg DM",(((Q$28*0.001)*($B$28/100))*$B32),0)))))))*2.5</f>
        <v>55.825000000000003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55</v>
      </c>
      <c r="C33" s="2">
        <f t="shared" si="6"/>
        <v>247.5</v>
      </c>
      <c r="D33" s="2">
        <f t="shared" si="7"/>
        <v>33.517330000000001</v>
      </c>
      <c r="E33" s="2">
        <f t="shared" si="8"/>
        <v>5.1495675000000007</v>
      </c>
      <c r="F33" s="2">
        <f t="shared" si="9"/>
        <v>33.375539999999994</v>
      </c>
      <c r="G33" s="2">
        <f t="shared" si="5"/>
        <v>0.1089</v>
      </c>
      <c r="H33" s="2">
        <f t="shared" si="5"/>
        <v>0.45265000000000005</v>
      </c>
      <c r="I33" s="2">
        <f t="shared" si="5"/>
        <v>2.75E-2</v>
      </c>
      <c r="J33" s="2">
        <f t="shared" si="5"/>
        <v>8.25E-4</v>
      </c>
      <c r="K33" s="2">
        <f t="shared" si="5"/>
        <v>2.7500000000000003E-3</v>
      </c>
      <c r="L33" s="2">
        <f t="shared" si="5"/>
        <v>1.6664999999999999E-2</v>
      </c>
      <c r="M33" s="2">
        <f t="shared" si="5"/>
        <v>3.6850000000000001E-2</v>
      </c>
      <c r="N33" s="2">
        <f t="shared" si="5"/>
        <v>0</v>
      </c>
      <c r="O33" s="2">
        <f t="shared" si="5"/>
        <v>0</v>
      </c>
      <c r="P33" s="2">
        <f t="shared" si="5"/>
        <v>34.375</v>
      </c>
      <c r="Q33" s="2">
        <f t="shared" si="10"/>
        <v>55.825000000000003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55</v>
      </c>
      <c r="C34" s="2">
        <f t="shared" si="6"/>
        <v>247.5</v>
      </c>
      <c r="D34" s="2">
        <f t="shared" si="7"/>
        <v>33.517330000000001</v>
      </c>
      <c r="E34" s="2">
        <f t="shared" si="8"/>
        <v>5.1495675000000007</v>
      </c>
      <c r="F34" s="2">
        <f t="shared" si="9"/>
        <v>33.375539999999994</v>
      </c>
      <c r="G34" s="2">
        <f t="shared" si="5"/>
        <v>0.1089</v>
      </c>
      <c r="H34" s="2">
        <f t="shared" si="5"/>
        <v>0.45265000000000005</v>
      </c>
      <c r="I34" s="2">
        <f t="shared" si="5"/>
        <v>2.75E-2</v>
      </c>
      <c r="J34" s="2">
        <f t="shared" si="5"/>
        <v>8.25E-4</v>
      </c>
      <c r="K34" s="2">
        <f t="shared" si="5"/>
        <v>2.7500000000000003E-3</v>
      </c>
      <c r="L34" s="2">
        <f t="shared" si="5"/>
        <v>1.6664999999999999E-2</v>
      </c>
      <c r="M34" s="2">
        <f t="shared" si="5"/>
        <v>3.6850000000000001E-2</v>
      </c>
      <c r="N34" s="2">
        <f t="shared" si="5"/>
        <v>0</v>
      </c>
      <c r="O34" s="2">
        <f t="shared" si="5"/>
        <v>0</v>
      </c>
      <c r="P34" s="2">
        <f t="shared" si="5"/>
        <v>34.375</v>
      </c>
      <c r="Q34" s="2">
        <f t="shared" si="10"/>
        <v>55.825000000000003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55</v>
      </c>
      <c r="C35" s="2">
        <f t="shared" si="6"/>
        <v>247.5</v>
      </c>
      <c r="D35" s="2">
        <f t="shared" si="7"/>
        <v>33.517330000000001</v>
      </c>
      <c r="E35" s="2">
        <f t="shared" si="8"/>
        <v>5.1495675000000007</v>
      </c>
      <c r="F35" s="2">
        <f t="shared" si="9"/>
        <v>33.375539999999994</v>
      </c>
      <c r="G35" s="2">
        <f t="shared" si="5"/>
        <v>0.1089</v>
      </c>
      <c r="H35" s="2">
        <f t="shared" si="5"/>
        <v>0.45265000000000005</v>
      </c>
      <c r="I35" s="2">
        <f t="shared" si="5"/>
        <v>2.75E-2</v>
      </c>
      <c r="J35" s="2">
        <f t="shared" si="5"/>
        <v>8.25E-4</v>
      </c>
      <c r="K35" s="2">
        <f t="shared" si="5"/>
        <v>2.7500000000000003E-3</v>
      </c>
      <c r="L35" s="2">
        <f t="shared" si="5"/>
        <v>1.6664999999999999E-2</v>
      </c>
      <c r="M35" s="2">
        <f t="shared" si="5"/>
        <v>3.6850000000000001E-2</v>
      </c>
      <c r="N35" s="2">
        <f t="shared" si="5"/>
        <v>0</v>
      </c>
      <c r="O35" s="2">
        <f t="shared" si="5"/>
        <v>0</v>
      </c>
      <c r="P35" s="2">
        <f t="shared" si="5"/>
        <v>34.375</v>
      </c>
      <c r="Q35" s="2">
        <f t="shared" si="10"/>
        <v>55.825000000000003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55</v>
      </c>
      <c r="C36" s="2">
        <f t="shared" si="6"/>
        <v>247.5</v>
      </c>
      <c r="D36" s="2">
        <f t="shared" si="7"/>
        <v>33.517330000000001</v>
      </c>
      <c r="E36" s="2">
        <f t="shared" si="8"/>
        <v>5.1495675000000007</v>
      </c>
      <c r="F36" s="2">
        <f t="shared" si="9"/>
        <v>33.375539999999994</v>
      </c>
      <c r="G36" s="2">
        <f t="shared" si="5"/>
        <v>0.1089</v>
      </c>
      <c r="H36" s="2">
        <f t="shared" si="5"/>
        <v>0.45265000000000005</v>
      </c>
      <c r="I36" s="2">
        <f t="shared" si="5"/>
        <v>2.75E-2</v>
      </c>
      <c r="J36" s="2">
        <f t="shared" si="5"/>
        <v>8.25E-4</v>
      </c>
      <c r="K36" s="2">
        <f t="shared" si="5"/>
        <v>2.7500000000000003E-3</v>
      </c>
      <c r="L36" s="2">
        <f t="shared" si="5"/>
        <v>1.6664999999999999E-2</v>
      </c>
      <c r="M36" s="2">
        <f t="shared" si="5"/>
        <v>3.6850000000000001E-2</v>
      </c>
      <c r="N36" s="2">
        <f t="shared" si="5"/>
        <v>0</v>
      </c>
      <c r="O36" s="2">
        <f t="shared" si="5"/>
        <v>0</v>
      </c>
      <c r="P36" s="2">
        <f t="shared" si="5"/>
        <v>34.375</v>
      </c>
      <c r="Q36" s="2">
        <f t="shared" si="10"/>
        <v>55.825000000000003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55</v>
      </c>
      <c r="C37" s="2">
        <f t="shared" si="6"/>
        <v>247.5</v>
      </c>
      <c r="D37" s="2">
        <f t="shared" si="7"/>
        <v>33.517330000000001</v>
      </c>
      <c r="E37" s="2">
        <f t="shared" si="8"/>
        <v>5.1495675000000007</v>
      </c>
      <c r="F37" s="2">
        <f t="shared" si="9"/>
        <v>33.375539999999994</v>
      </c>
      <c r="G37" s="2">
        <f t="shared" si="5"/>
        <v>0.1089</v>
      </c>
      <c r="H37" s="2">
        <f t="shared" si="5"/>
        <v>0.45265000000000005</v>
      </c>
      <c r="I37" s="2">
        <f t="shared" si="5"/>
        <v>2.75E-2</v>
      </c>
      <c r="J37" s="2">
        <f t="shared" si="5"/>
        <v>8.25E-4</v>
      </c>
      <c r="K37" s="2">
        <f t="shared" si="5"/>
        <v>2.7500000000000003E-3</v>
      </c>
      <c r="L37" s="2">
        <f t="shared" si="5"/>
        <v>1.6664999999999999E-2</v>
      </c>
      <c r="M37" s="2">
        <f t="shared" si="5"/>
        <v>3.6850000000000001E-2</v>
      </c>
      <c r="N37" s="2">
        <f t="shared" si="5"/>
        <v>0</v>
      </c>
      <c r="O37" s="2">
        <f t="shared" si="5"/>
        <v>0</v>
      </c>
      <c r="P37" s="2">
        <f t="shared" si="5"/>
        <v>34.375</v>
      </c>
      <c r="Q37" s="2">
        <f t="shared" si="10"/>
        <v>55.825000000000003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55</v>
      </c>
      <c r="C38" s="2">
        <f t="shared" si="6"/>
        <v>247.5</v>
      </c>
      <c r="D38" s="2">
        <f t="shared" si="7"/>
        <v>33.517330000000001</v>
      </c>
      <c r="E38" s="2">
        <f t="shared" si="8"/>
        <v>5.1495675000000007</v>
      </c>
      <c r="F38" s="2">
        <f t="shared" si="9"/>
        <v>33.375539999999994</v>
      </c>
      <c r="G38" s="2">
        <f t="shared" si="5"/>
        <v>0.1089</v>
      </c>
      <c r="H38" s="2">
        <f t="shared" si="5"/>
        <v>0.45265000000000005</v>
      </c>
      <c r="I38" s="2">
        <f t="shared" si="5"/>
        <v>2.75E-2</v>
      </c>
      <c r="J38" s="2">
        <f t="shared" si="5"/>
        <v>8.25E-4</v>
      </c>
      <c r="K38" s="2">
        <f t="shared" si="5"/>
        <v>2.7500000000000003E-3</v>
      </c>
      <c r="L38" s="2">
        <f t="shared" si="5"/>
        <v>1.6664999999999999E-2</v>
      </c>
      <c r="M38" s="2">
        <f t="shared" si="5"/>
        <v>3.6850000000000001E-2</v>
      </c>
      <c r="N38" s="2">
        <f t="shared" si="5"/>
        <v>0</v>
      </c>
      <c r="O38" s="2">
        <f t="shared" si="5"/>
        <v>0</v>
      </c>
      <c r="P38" s="2">
        <f t="shared" si="5"/>
        <v>34.375</v>
      </c>
      <c r="Q38" s="2">
        <f t="shared" si="10"/>
        <v>55.825000000000003</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55</v>
      </c>
      <c r="C39" s="2">
        <f t="shared" si="6"/>
        <v>247.5</v>
      </c>
      <c r="D39" s="2">
        <f t="shared" si="7"/>
        <v>33.517330000000001</v>
      </c>
      <c r="E39" s="2">
        <f t="shared" si="8"/>
        <v>5.1495675000000007</v>
      </c>
      <c r="F39" s="2">
        <f t="shared" si="9"/>
        <v>33.375539999999994</v>
      </c>
      <c r="G39" s="2">
        <f t="shared" si="5"/>
        <v>0.1089</v>
      </c>
      <c r="H39" s="2">
        <f t="shared" si="5"/>
        <v>0.45265000000000005</v>
      </c>
      <c r="I39" s="2">
        <f t="shared" si="5"/>
        <v>2.75E-2</v>
      </c>
      <c r="J39" s="2">
        <f t="shared" si="5"/>
        <v>8.25E-4</v>
      </c>
      <c r="K39" s="2">
        <f t="shared" si="5"/>
        <v>2.7500000000000003E-3</v>
      </c>
      <c r="L39" s="2">
        <f t="shared" si="5"/>
        <v>1.6664999999999999E-2</v>
      </c>
      <c r="M39" s="2">
        <f t="shared" si="5"/>
        <v>3.6850000000000001E-2</v>
      </c>
      <c r="N39" s="2">
        <f t="shared" si="5"/>
        <v>0</v>
      </c>
      <c r="O39" s="2">
        <f t="shared" si="5"/>
        <v>0</v>
      </c>
      <c r="P39" s="2">
        <f t="shared" si="5"/>
        <v>34.375</v>
      </c>
      <c r="Q39" s="2">
        <f t="shared" si="10"/>
        <v>55.825000000000003</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55</v>
      </c>
      <c r="C40" s="2">
        <f t="shared" si="6"/>
        <v>247.5</v>
      </c>
      <c r="D40" s="2">
        <f t="shared" si="7"/>
        <v>33.517330000000001</v>
      </c>
      <c r="E40" s="2">
        <f t="shared" si="8"/>
        <v>5.1495675000000007</v>
      </c>
      <c r="F40" s="2">
        <f t="shared" si="9"/>
        <v>33.375539999999994</v>
      </c>
      <c r="G40" s="2">
        <f t="shared" si="5"/>
        <v>0.1089</v>
      </c>
      <c r="H40" s="2">
        <f t="shared" si="5"/>
        <v>0.45265000000000005</v>
      </c>
      <c r="I40" s="2">
        <f t="shared" si="5"/>
        <v>2.75E-2</v>
      </c>
      <c r="J40" s="2">
        <f t="shared" si="5"/>
        <v>8.25E-4</v>
      </c>
      <c r="K40" s="2">
        <f t="shared" si="5"/>
        <v>2.7500000000000003E-3</v>
      </c>
      <c r="L40" s="2">
        <f t="shared" si="5"/>
        <v>1.6664999999999999E-2</v>
      </c>
      <c r="M40" s="2">
        <f t="shared" si="5"/>
        <v>3.6850000000000001E-2</v>
      </c>
      <c r="N40" s="2">
        <f t="shared" si="5"/>
        <v>0</v>
      </c>
      <c r="O40" s="2">
        <f t="shared" si="5"/>
        <v>0</v>
      </c>
      <c r="P40" s="2">
        <f t="shared" si="5"/>
        <v>34.375</v>
      </c>
      <c r="Q40" s="2">
        <f t="shared" si="10"/>
        <v>55.825000000000003</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55</v>
      </c>
      <c r="C41" s="2">
        <f t="shared" si="6"/>
        <v>247.5</v>
      </c>
      <c r="D41" s="2">
        <f t="shared" si="7"/>
        <v>33.517330000000001</v>
      </c>
      <c r="E41" s="2">
        <f t="shared" si="8"/>
        <v>5.1495675000000007</v>
      </c>
      <c r="F41" s="2">
        <f t="shared" si="9"/>
        <v>33.375539999999994</v>
      </c>
      <c r="G41" s="2">
        <f t="shared" si="5"/>
        <v>0.1089</v>
      </c>
      <c r="H41" s="2">
        <f t="shared" si="5"/>
        <v>0.45265000000000005</v>
      </c>
      <c r="I41" s="2">
        <f t="shared" si="5"/>
        <v>2.75E-2</v>
      </c>
      <c r="J41" s="2">
        <f t="shared" si="5"/>
        <v>8.25E-4</v>
      </c>
      <c r="K41" s="2">
        <f t="shared" si="5"/>
        <v>2.7500000000000003E-3</v>
      </c>
      <c r="L41" s="2">
        <f t="shared" si="5"/>
        <v>1.6664999999999999E-2</v>
      </c>
      <c r="M41" s="2">
        <f t="shared" si="5"/>
        <v>3.6850000000000001E-2</v>
      </c>
      <c r="N41" s="2">
        <f t="shared" si="5"/>
        <v>0</v>
      </c>
      <c r="O41" s="2">
        <f t="shared" si="5"/>
        <v>0</v>
      </c>
      <c r="P41" s="2">
        <f t="shared" si="5"/>
        <v>34.375</v>
      </c>
      <c r="Q41" s="2">
        <f t="shared" si="10"/>
        <v>55.825000000000003</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55</v>
      </c>
      <c r="C42" s="2">
        <f t="shared" si="6"/>
        <v>247.5</v>
      </c>
      <c r="D42" s="2">
        <f t="shared" si="7"/>
        <v>33.517330000000001</v>
      </c>
      <c r="E42" s="2">
        <f t="shared" si="8"/>
        <v>5.1495675000000007</v>
      </c>
      <c r="F42" s="2">
        <f t="shared" si="9"/>
        <v>33.375539999999994</v>
      </c>
      <c r="G42" s="2">
        <f t="shared" si="5"/>
        <v>0.1089</v>
      </c>
      <c r="H42" s="2">
        <f t="shared" si="5"/>
        <v>0.45265000000000005</v>
      </c>
      <c r="I42" s="2">
        <f t="shared" si="5"/>
        <v>2.75E-2</v>
      </c>
      <c r="J42" s="2">
        <f t="shared" si="5"/>
        <v>8.25E-4</v>
      </c>
      <c r="K42" s="2">
        <f t="shared" si="5"/>
        <v>2.7500000000000003E-3</v>
      </c>
      <c r="L42" s="2">
        <f t="shared" si="5"/>
        <v>1.6664999999999999E-2</v>
      </c>
      <c r="M42" s="2">
        <f t="shared" si="5"/>
        <v>3.6850000000000001E-2</v>
      </c>
      <c r="N42" s="2">
        <f t="shared" si="5"/>
        <v>0</v>
      </c>
      <c r="O42" s="2">
        <f t="shared" si="5"/>
        <v>0</v>
      </c>
      <c r="P42" s="2">
        <f t="shared" si="5"/>
        <v>34.375</v>
      </c>
      <c r="Q42" s="2">
        <f t="shared" si="10"/>
        <v>55.825000000000003</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55</v>
      </c>
      <c r="C43" s="2">
        <f t="shared" si="6"/>
        <v>247.5</v>
      </c>
      <c r="D43" s="2">
        <f t="shared" si="7"/>
        <v>33.517330000000001</v>
      </c>
      <c r="E43" s="2">
        <f t="shared" si="8"/>
        <v>5.1495675000000007</v>
      </c>
      <c r="F43" s="2">
        <f t="shared" si="9"/>
        <v>33.375539999999994</v>
      </c>
      <c r="G43" s="2">
        <f t="shared" si="5"/>
        <v>0.1089</v>
      </c>
      <c r="H43" s="2">
        <f t="shared" si="5"/>
        <v>0.45265000000000005</v>
      </c>
      <c r="I43" s="2">
        <f t="shared" si="5"/>
        <v>2.75E-2</v>
      </c>
      <c r="J43" s="2">
        <f t="shared" si="5"/>
        <v>8.25E-4</v>
      </c>
      <c r="K43" s="2">
        <f t="shared" si="5"/>
        <v>2.7500000000000003E-3</v>
      </c>
      <c r="L43" s="2">
        <f t="shared" si="5"/>
        <v>1.6664999999999999E-2</v>
      </c>
      <c r="M43" s="2">
        <f t="shared" si="5"/>
        <v>3.6850000000000001E-2</v>
      </c>
      <c r="N43" s="2">
        <f t="shared" si="5"/>
        <v>0</v>
      </c>
      <c r="O43" s="2">
        <f t="shared" si="5"/>
        <v>0</v>
      </c>
      <c r="P43" s="2">
        <f t="shared" si="5"/>
        <v>34.375</v>
      </c>
      <c r="Q43" s="2">
        <f t="shared" si="10"/>
        <v>55.825000000000003</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Arable</v>
      </c>
      <c r="C58" s="44" t="str">
        <f>D16&amp;" I "&amp;(VLOOKUP(D14,Table245811[],6,FALSE))</f>
        <v>Medium/Clay I Arable</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Arable</v>
      </c>
      <c r="N58" s="21" t="str">
        <f>O16&amp;" I "&amp;(VLOOKUP(O14,Table245811[],6,FALSE))</f>
        <v>Medium/Clay I Arable</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6.7</v>
      </c>
      <c r="C59" s="93">
        <f>VLOOKUP(D$14,Table245811[],5,FALSE)</f>
        <v>6.7</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6.7</v>
      </c>
      <c r="N59" s="93">
        <f>VLOOKUP(O$14,Table245811[],5,FALSE)</f>
        <v>6.7</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55</v>
      </c>
      <c r="C62" s="94">
        <f>B32</f>
        <v>55</v>
      </c>
      <c r="D62" s="94">
        <f>B33</f>
        <v>55</v>
      </c>
      <c r="E62" s="94">
        <f>B34</f>
        <v>55</v>
      </c>
      <c r="F62" s="94">
        <f>B35</f>
        <v>55</v>
      </c>
      <c r="G62" s="94">
        <f>B36</f>
        <v>55</v>
      </c>
      <c r="H62" s="94">
        <f>B37</f>
        <v>55</v>
      </c>
      <c r="I62" s="94">
        <f>B38</f>
        <v>55</v>
      </c>
      <c r="J62" s="94">
        <f>B39</f>
        <v>55</v>
      </c>
      <c r="K62" s="94">
        <f>B40</f>
        <v>55</v>
      </c>
      <c r="L62" s="94">
        <f>B41</f>
        <v>55</v>
      </c>
      <c r="M62" s="94">
        <f>B42</f>
        <v>55</v>
      </c>
      <c r="N62" s="94">
        <f>B43</f>
        <v>55</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9" priority="30" operator="equal">
      <formula>"DECREASE"</formula>
    </cfRule>
    <cfRule type="cellIs" dxfId="318" priority="31" operator="equal">
      <formula>"INCREASE"</formula>
    </cfRule>
  </conditionalFormatting>
  <conditionalFormatting sqref="B62:U65 B31:B50">
    <cfRule type="cellIs" dxfId="317" priority="29" operator="greaterThan">
      <formula>$B$51</formula>
    </cfRule>
  </conditionalFormatting>
  <conditionalFormatting sqref="C31:C50">
    <cfRule type="cellIs" dxfId="316" priority="28" operator="greaterThan">
      <formula>$C$51</formula>
    </cfRule>
  </conditionalFormatting>
  <conditionalFormatting sqref="C18:V18">
    <cfRule type="cellIs" dxfId="315" priority="27" operator="equal">
      <formula>0</formula>
    </cfRule>
  </conditionalFormatting>
  <conditionalFormatting sqref="C17:V17">
    <cfRule type="cellIs" dxfId="314" priority="26" operator="equal">
      <formula>0</formula>
    </cfRule>
  </conditionalFormatting>
  <conditionalFormatting sqref="C19:V19">
    <cfRule type="cellIs" dxfId="313" priority="25" operator="equal">
      <formula>0</formula>
    </cfRule>
  </conditionalFormatting>
  <conditionalFormatting sqref="G31:G50">
    <cfRule type="cellIs" dxfId="312" priority="24" operator="greaterThan">
      <formula>$G$51</formula>
    </cfRule>
  </conditionalFormatting>
  <conditionalFormatting sqref="H31:H50">
    <cfRule type="cellIs" dxfId="311" priority="23" operator="greaterThan">
      <formula>$H$51</formula>
    </cfRule>
  </conditionalFormatting>
  <conditionalFormatting sqref="I31:I50">
    <cfRule type="cellIs" dxfId="310" priority="22" operator="greaterThan">
      <formula>$I$51</formula>
    </cfRule>
  </conditionalFormatting>
  <conditionalFormatting sqref="K31:K50">
    <cfRule type="cellIs" dxfId="309" priority="21" operator="greaterThan">
      <formula>$K$51</formula>
    </cfRule>
  </conditionalFormatting>
  <conditionalFormatting sqref="L31:L50">
    <cfRule type="cellIs" dxfId="308" priority="20" operator="greaterThan">
      <formula>$L$51</formula>
    </cfRule>
  </conditionalFormatting>
  <conditionalFormatting sqref="M31:M50">
    <cfRule type="cellIs" dxfId="307" priority="19" operator="greaterThan">
      <formula>$M$51</formula>
    </cfRule>
  </conditionalFormatting>
  <conditionalFormatting sqref="P31:P50">
    <cfRule type="cellIs" dxfId="306" priority="18" operator="greaterThan">
      <formula>$P$51</formula>
    </cfRule>
  </conditionalFormatting>
  <conditionalFormatting sqref="R31:R50">
    <cfRule type="cellIs" dxfId="305" priority="17" operator="greaterThan">
      <formula>$R$51</formula>
    </cfRule>
  </conditionalFormatting>
  <conditionalFormatting sqref="S31:S50">
    <cfRule type="cellIs" dxfId="304" priority="16" operator="greaterThan">
      <formula>$S$51</formula>
    </cfRule>
  </conditionalFormatting>
  <conditionalFormatting sqref="T31:T50">
    <cfRule type="cellIs" dxfId="303" priority="15" operator="greaterThan">
      <formula>$T$51</formula>
    </cfRule>
  </conditionalFormatting>
  <conditionalFormatting sqref="U31:U50">
    <cfRule type="cellIs" dxfId="302" priority="14" operator="greaterThan">
      <formula>$U$51</formula>
    </cfRule>
  </conditionalFormatting>
  <conditionalFormatting sqref="C22:V22">
    <cfRule type="cellIs" dxfId="301" priority="13" operator="equal">
      <formula>0</formula>
    </cfRule>
  </conditionalFormatting>
  <conditionalFormatting sqref="C24:V24">
    <cfRule type="cellIs" dxfId="300" priority="11" operator="equal">
      <formula>"DECREASE"</formula>
    </cfRule>
    <cfRule type="cellIs" dxfId="299" priority="12" operator="equal">
      <formula>"INCREASE"</formula>
    </cfRule>
  </conditionalFormatting>
  <conditionalFormatting sqref="C23:V23">
    <cfRule type="cellIs" dxfId="298" priority="10" operator="equal">
      <formula>0</formula>
    </cfRule>
  </conditionalFormatting>
  <conditionalFormatting sqref="I1">
    <cfRule type="cellIs" dxfId="297" priority="9" operator="lessThan">
      <formula>5</formula>
    </cfRule>
  </conditionalFormatting>
  <conditionalFormatting sqref="C21:V21">
    <cfRule type="cellIs" dxfId="296" priority="6" operator="equal">
      <formula>0</formula>
    </cfRule>
  </conditionalFormatting>
  <conditionalFormatting sqref="B65:U65">
    <cfRule type="cellIs" dxfId="295" priority="4" operator="equal">
      <formula>"UNDER"</formula>
    </cfRule>
    <cfRule type="cellIs" dxfId="294" priority="5" operator="equal">
      <formula>"OVER"</formula>
    </cfRule>
  </conditionalFormatting>
  <conditionalFormatting sqref="I2">
    <cfRule type="cellIs" dxfId="293" priority="3" operator="greaterThan">
      <formula>5000.1</formula>
    </cfRule>
  </conditionalFormatting>
  <conditionalFormatting sqref="I3">
    <cfRule type="cellIs" dxfId="292" priority="2" operator="greaterThan">
      <formula>4.1</formula>
    </cfRule>
  </conditionalFormatting>
  <conditionalFormatting sqref="J31:J50">
    <cfRule type="cellIs" dxfId="29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B44" sqref="B44:B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11.1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165</v>
      </c>
      <c r="G2" s="108" t="s">
        <v>107</v>
      </c>
      <c r="H2" s="109"/>
      <c r="I2" s="35">
        <v>768</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0.14530000000000001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159</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35.052300000000002</v>
      </c>
      <c r="D18" s="24">
        <f>$D32</f>
        <v>35.052300000000002</v>
      </c>
      <c r="E18" s="24">
        <f>$D33</f>
        <v>35.052300000000002</v>
      </c>
      <c r="F18" s="24">
        <f>$D34</f>
        <v>35.052300000000002</v>
      </c>
      <c r="G18" s="24">
        <f>$D35</f>
        <v>35.052300000000002</v>
      </c>
      <c r="H18" s="24">
        <f>$D36</f>
        <v>35.052300000000002</v>
      </c>
      <c r="I18" s="24">
        <f>$D37</f>
        <v>35.052300000000002</v>
      </c>
      <c r="J18" s="24">
        <f>$D38</f>
        <v>35.052300000000002</v>
      </c>
      <c r="K18" s="24">
        <f>$D39</f>
        <v>35.052300000000002</v>
      </c>
      <c r="L18" s="24">
        <f>$D40</f>
        <v>35.052300000000002</v>
      </c>
      <c r="M18" s="24">
        <f>$D41</f>
        <v>35.052300000000002</v>
      </c>
      <c r="N18" s="24">
        <f>$D42</f>
        <v>35.052300000000002</v>
      </c>
      <c r="O18" s="24">
        <f>$D43</f>
        <v>35.052300000000002</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-11.697699999999998</v>
      </c>
      <c r="D19" s="24">
        <f t="shared" ref="D19:V19" si="1">D18-D17</f>
        <v>-11.697699999999998</v>
      </c>
      <c r="E19" s="24">
        <f t="shared" si="1"/>
        <v>-29.547699999999992</v>
      </c>
      <c r="F19" s="24">
        <f t="shared" si="1"/>
        <v>-29.547699999999992</v>
      </c>
      <c r="G19" s="24">
        <f t="shared" si="1"/>
        <v>-29.547699999999992</v>
      </c>
      <c r="H19" s="24">
        <f t="shared" si="1"/>
        <v>-29.547699999999992</v>
      </c>
      <c r="I19" s="24">
        <f t="shared" si="1"/>
        <v>-29.547699999999992</v>
      </c>
      <c r="J19" s="24">
        <f t="shared" si="1"/>
        <v>-29.547699999999992</v>
      </c>
      <c r="K19" s="24">
        <f t="shared" si="1"/>
        <v>-29.547699999999992</v>
      </c>
      <c r="L19" s="24">
        <f t="shared" si="1"/>
        <v>-29.547699999999992</v>
      </c>
      <c r="M19" s="24">
        <f t="shared" si="1"/>
        <v>-29.547699999999992</v>
      </c>
      <c r="N19" s="24">
        <f t="shared" si="1"/>
        <v>-11.697699999999998</v>
      </c>
      <c r="O19" s="24">
        <f t="shared" si="1"/>
        <v>-11.697699999999998</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17.382125000000002</v>
      </c>
      <c r="D22" s="24">
        <f>$E32</f>
        <v>17.382125000000002</v>
      </c>
      <c r="E22" s="24">
        <f>$E33</f>
        <v>17.382125000000002</v>
      </c>
      <c r="F22" s="24">
        <f>$E34</f>
        <v>17.382125000000002</v>
      </c>
      <c r="G22" s="24">
        <f>$E35</f>
        <v>17.382125000000002</v>
      </c>
      <c r="H22" s="24">
        <f>$E36</f>
        <v>17.382125000000002</v>
      </c>
      <c r="I22" s="24">
        <f>$E37</f>
        <v>17.382125000000002</v>
      </c>
      <c r="J22" s="24">
        <f>$E38</f>
        <v>17.382125000000002</v>
      </c>
      <c r="K22" s="24">
        <f>$E39</f>
        <v>17.382125000000002</v>
      </c>
      <c r="L22" s="24">
        <f>$E40</f>
        <v>17.382125000000002</v>
      </c>
      <c r="M22" s="24">
        <f>$E41</f>
        <v>17.382125000000002</v>
      </c>
      <c r="N22" s="24">
        <f>$E42</f>
        <v>17.382125000000002</v>
      </c>
      <c r="O22" s="24">
        <f>$E43</f>
        <v>17.382125000000002</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-48.617874999999998</v>
      </c>
      <c r="D23" s="24">
        <f t="shared" ref="D23:V23" si="3">D22-D21</f>
        <v>-48.617874999999998</v>
      </c>
      <c r="E23" s="24">
        <f t="shared" si="3"/>
        <v>-210.617875</v>
      </c>
      <c r="F23" s="24">
        <f t="shared" si="3"/>
        <v>-210.617875</v>
      </c>
      <c r="G23" s="24">
        <f t="shared" si="3"/>
        <v>-210.617875</v>
      </c>
      <c r="H23" s="24">
        <f t="shared" si="3"/>
        <v>-210.617875</v>
      </c>
      <c r="I23" s="24">
        <f t="shared" si="3"/>
        <v>-210.617875</v>
      </c>
      <c r="J23" s="24">
        <f t="shared" si="3"/>
        <v>-210.617875</v>
      </c>
      <c r="K23" s="24">
        <f t="shared" si="3"/>
        <v>-210.617875</v>
      </c>
      <c r="L23" s="24">
        <f t="shared" si="3"/>
        <v>-210.617875</v>
      </c>
      <c r="M23" s="24">
        <f t="shared" si="3"/>
        <v>-210.617875</v>
      </c>
      <c r="N23" s="24">
        <f t="shared" si="3"/>
        <v>-48.617874999999998</v>
      </c>
      <c r="O23" s="24">
        <f t="shared" si="3"/>
        <v>-48.617874999999998</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v>
      </c>
      <c r="C28" s="23">
        <v>0.06</v>
      </c>
      <c r="D28" s="23">
        <v>61.2</v>
      </c>
      <c r="E28" s="23">
        <v>57.7</v>
      </c>
      <c r="F28" s="23">
        <v>10</v>
      </c>
      <c r="G28" s="23">
        <v>5.48</v>
      </c>
      <c r="H28" s="23">
        <v>2.63</v>
      </c>
      <c r="I28" s="23">
        <v>1.91</v>
      </c>
      <c r="J28" s="23">
        <v>0.01</v>
      </c>
      <c r="K28" s="30">
        <v>0.05</v>
      </c>
      <c r="L28" s="23">
        <v>0.2</v>
      </c>
      <c r="M28" s="23">
        <v>0.2</v>
      </c>
      <c r="N28" s="23"/>
      <c r="O28" s="23"/>
      <c r="P28" s="23">
        <v>859</v>
      </c>
      <c r="Q28" s="23">
        <v>82.1</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35.052300000000002</v>
      </c>
      <c r="E31" s="2">
        <f>(IF(E$27="%w/w SAR",((E$28*10)*$B31),IF(E$27="%w/w DM",(((E$28*10)*($B$28/100))*$B31),IF(E$27="kg/t SAR",(E$28*$B31),IF(E$27="kg/t DM",((E$28*($B$28/100))*$B31),IF(E$27="mg/kg SAR",((E$28*0.001)*$B31),IF(E$27="mg/kg DM",(((E$28*0.001)*($B$28/100))*$B31),"0")))))))*1.205</f>
        <v>17.382125000000002</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1.37</v>
      </c>
      <c r="H31" s="2">
        <f t="shared" si="5"/>
        <v>0.65749999999999997</v>
      </c>
      <c r="I31" s="2">
        <f t="shared" si="5"/>
        <v>0.47749999999999998</v>
      </c>
      <c r="J31" s="2">
        <f t="shared" si="5"/>
        <v>2.5000000000000001E-3</v>
      </c>
      <c r="K31" s="2">
        <f t="shared" si="5"/>
        <v>1.2500000000000001E-2</v>
      </c>
      <c r="L31" s="2">
        <f t="shared" si="5"/>
        <v>0.05</v>
      </c>
      <c r="M31" s="2">
        <f t="shared" si="5"/>
        <v>0.05</v>
      </c>
      <c r="N31" s="2">
        <f t="shared" si="5"/>
        <v>0</v>
      </c>
      <c r="O31" s="2">
        <f t="shared" si="5"/>
        <v>0</v>
      </c>
      <c r="P31" s="2">
        <f t="shared" si="5"/>
        <v>214.75</v>
      </c>
      <c r="Q31" s="2">
        <f>(IF(Q$27="%w/w SAR",((Q$28*10)*$B31),IF(Q$27="%w/w DM",(((Q$28*10)*($B$28/100))*$B31),IF(Q$27="kg/t SAR",(Q$28*$B31),IF(Q$27="kg/t DM",((Q$28*($B$28/100))*$B31),IF(Q$27="mg/kg SAR",((Q$28*0.001)*$B31),IF(Q$27="mg/kg DM",(((Q$28*0.001)*($B$28/100))*$B31),0)))))))*2.5</f>
        <v>51.3125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35.052300000000002</v>
      </c>
      <c r="E32" s="2">
        <f t="shared" ref="E32:E50" si="8">(IF(E$27="%w/w SAR",((E$28*10)*$B32),IF(E$27="%w/w DM",(((E$28*10)*($B$28/100))*$B32),IF(E$27="kg/t SAR",(E$28*$B32),IF(E$27="kg/t DM",((E$28*($B$28/100))*$B32),IF(E$27="mg/kg SAR",((E$28*0.001)*$B32),IF(E$27="mg/kg DM",(((E$28*0.001)*($B$28/100))*$B32),"0")))))))*1.205</f>
        <v>17.382125000000002</v>
      </c>
      <c r="F32" s="2">
        <f t="shared" ref="F32:F50" si="9">(IF(F$27="%w/w SAR",((F$28*10)*$B32),IF(F$27="%w/w DM",(((F$28*10)*($B$28/100))*$B32),IF(F$27="kg/t SAR",(F$28*$B32),IF(F$27="kg/t DM",((F$28*($B$28/100))*$B32),IF(F$27="mg/kg SAR",((F$28*0.001)*$B32),IF(F$27="mg/kg DM",(((F$28*0.001)*($B$28/100))*$B32),"0")))))))*1.658</f>
        <v>4.1449999999999996</v>
      </c>
      <c r="G32" s="2">
        <f t="shared" si="5"/>
        <v>1.37</v>
      </c>
      <c r="H32" s="2">
        <f t="shared" si="5"/>
        <v>0.65749999999999997</v>
      </c>
      <c r="I32" s="2">
        <f t="shared" si="5"/>
        <v>0.47749999999999998</v>
      </c>
      <c r="J32" s="2">
        <f t="shared" si="5"/>
        <v>2.5000000000000001E-3</v>
      </c>
      <c r="K32" s="2">
        <f t="shared" si="5"/>
        <v>1.2500000000000001E-2</v>
      </c>
      <c r="L32" s="2">
        <f t="shared" si="5"/>
        <v>0.05</v>
      </c>
      <c r="M32" s="2">
        <f t="shared" si="5"/>
        <v>0.05</v>
      </c>
      <c r="N32" s="2">
        <f t="shared" si="5"/>
        <v>0</v>
      </c>
      <c r="O32" s="2">
        <f t="shared" si="5"/>
        <v>0</v>
      </c>
      <c r="P32" s="2">
        <f t="shared" si="5"/>
        <v>214.75</v>
      </c>
      <c r="Q32" s="2">
        <f t="shared" ref="Q32:Q50" si="10">(IF(Q$27="%w/w SAR",((Q$28*10)*$B32),IF(Q$27="%w/w DM",(((Q$28*10)*($B$28/100))*$B32),IF(Q$27="kg/t SAR",(Q$28*$B32),IF(Q$27="kg/t DM",((Q$28*($B$28/100))*$B32),IF(Q$27="mg/kg SAR",((Q$28*0.001)*$B32),IF(Q$27="mg/kg DM",(((Q$28*0.001)*($B$28/100))*$B32),0)))))))*2.5</f>
        <v>51.3125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250</v>
      </c>
      <c r="C33" s="2">
        <f t="shared" si="6"/>
        <v>150</v>
      </c>
      <c r="D33" s="2">
        <f t="shared" si="7"/>
        <v>35.052300000000002</v>
      </c>
      <c r="E33" s="2">
        <f t="shared" si="8"/>
        <v>17.382125000000002</v>
      </c>
      <c r="F33" s="2">
        <f t="shared" si="9"/>
        <v>4.1449999999999996</v>
      </c>
      <c r="G33" s="2">
        <f t="shared" si="5"/>
        <v>1.37</v>
      </c>
      <c r="H33" s="2">
        <f t="shared" si="5"/>
        <v>0.65749999999999997</v>
      </c>
      <c r="I33" s="2">
        <f t="shared" si="5"/>
        <v>0.47749999999999998</v>
      </c>
      <c r="J33" s="2">
        <f t="shared" si="5"/>
        <v>2.5000000000000001E-3</v>
      </c>
      <c r="K33" s="2">
        <f t="shared" si="5"/>
        <v>1.2500000000000001E-2</v>
      </c>
      <c r="L33" s="2">
        <f t="shared" si="5"/>
        <v>0.05</v>
      </c>
      <c r="M33" s="2">
        <f t="shared" si="5"/>
        <v>0.05</v>
      </c>
      <c r="N33" s="2">
        <f t="shared" si="5"/>
        <v>0</v>
      </c>
      <c r="O33" s="2">
        <f t="shared" si="5"/>
        <v>0</v>
      </c>
      <c r="P33" s="2">
        <f t="shared" si="5"/>
        <v>214.75</v>
      </c>
      <c r="Q33" s="2">
        <f t="shared" si="10"/>
        <v>51.3125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250</v>
      </c>
      <c r="C34" s="2">
        <f t="shared" si="6"/>
        <v>150</v>
      </c>
      <c r="D34" s="2">
        <f t="shared" si="7"/>
        <v>35.052300000000002</v>
      </c>
      <c r="E34" s="2">
        <f t="shared" si="8"/>
        <v>17.382125000000002</v>
      </c>
      <c r="F34" s="2">
        <f t="shared" si="9"/>
        <v>4.1449999999999996</v>
      </c>
      <c r="G34" s="2">
        <f t="shared" si="5"/>
        <v>1.37</v>
      </c>
      <c r="H34" s="2">
        <f t="shared" si="5"/>
        <v>0.65749999999999997</v>
      </c>
      <c r="I34" s="2">
        <f t="shared" si="5"/>
        <v>0.47749999999999998</v>
      </c>
      <c r="J34" s="2">
        <f t="shared" si="5"/>
        <v>2.5000000000000001E-3</v>
      </c>
      <c r="K34" s="2">
        <f t="shared" si="5"/>
        <v>1.2500000000000001E-2</v>
      </c>
      <c r="L34" s="2">
        <f t="shared" si="5"/>
        <v>0.05</v>
      </c>
      <c r="M34" s="2">
        <f t="shared" si="5"/>
        <v>0.05</v>
      </c>
      <c r="N34" s="2">
        <f t="shared" si="5"/>
        <v>0</v>
      </c>
      <c r="O34" s="2">
        <f t="shared" si="5"/>
        <v>0</v>
      </c>
      <c r="P34" s="2">
        <f t="shared" si="5"/>
        <v>214.75</v>
      </c>
      <c r="Q34" s="2">
        <f t="shared" si="10"/>
        <v>51.3125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250</v>
      </c>
      <c r="C35" s="2">
        <f t="shared" si="6"/>
        <v>150</v>
      </c>
      <c r="D35" s="2">
        <f t="shared" si="7"/>
        <v>35.052300000000002</v>
      </c>
      <c r="E35" s="2">
        <f t="shared" si="8"/>
        <v>17.382125000000002</v>
      </c>
      <c r="F35" s="2">
        <f t="shared" si="9"/>
        <v>4.1449999999999996</v>
      </c>
      <c r="G35" s="2">
        <f t="shared" si="5"/>
        <v>1.37</v>
      </c>
      <c r="H35" s="2">
        <f t="shared" si="5"/>
        <v>0.65749999999999997</v>
      </c>
      <c r="I35" s="2">
        <f t="shared" si="5"/>
        <v>0.47749999999999998</v>
      </c>
      <c r="J35" s="2">
        <f t="shared" si="5"/>
        <v>2.5000000000000001E-3</v>
      </c>
      <c r="K35" s="2">
        <f t="shared" si="5"/>
        <v>1.2500000000000001E-2</v>
      </c>
      <c r="L35" s="2">
        <f t="shared" si="5"/>
        <v>0.05</v>
      </c>
      <c r="M35" s="2">
        <f t="shared" si="5"/>
        <v>0.05</v>
      </c>
      <c r="N35" s="2">
        <f t="shared" si="5"/>
        <v>0</v>
      </c>
      <c r="O35" s="2">
        <f t="shared" si="5"/>
        <v>0</v>
      </c>
      <c r="P35" s="2">
        <f t="shared" si="5"/>
        <v>214.75</v>
      </c>
      <c r="Q35" s="2">
        <f t="shared" si="10"/>
        <v>51.3125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250</v>
      </c>
      <c r="C36" s="2">
        <f t="shared" si="6"/>
        <v>150</v>
      </c>
      <c r="D36" s="2">
        <f t="shared" si="7"/>
        <v>35.052300000000002</v>
      </c>
      <c r="E36" s="2">
        <f t="shared" si="8"/>
        <v>17.382125000000002</v>
      </c>
      <c r="F36" s="2">
        <f t="shared" si="9"/>
        <v>4.1449999999999996</v>
      </c>
      <c r="G36" s="2">
        <f t="shared" si="5"/>
        <v>1.37</v>
      </c>
      <c r="H36" s="2">
        <f t="shared" si="5"/>
        <v>0.65749999999999997</v>
      </c>
      <c r="I36" s="2">
        <f t="shared" si="5"/>
        <v>0.47749999999999998</v>
      </c>
      <c r="J36" s="2">
        <f t="shared" si="5"/>
        <v>2.5000000000000001E-3</v>
      </c>
      <c r="K36" s="2">
        <f t="shared" si="5"/>
        <v>1.2500000000000001E-2</v>
      </c>
      <c r="L36" s="2">
        <f t="shared" si="5"/>
        <v>0.05</v>
      </c>
      <c r="M36" s="2">
        <f t="shared" si="5"/>
        <v>0.05</v>
      </c>
      <c r="N36" s="2">
        <f t="shared" si="5"/>
        <v>0</v>
      </c>
      <c r="O36" s="2">
        <f t="shared" si="5"/>
        <v>0</v>
      </c>
      <c r="P36" s="2">
        <f t="shared" si="5"/>
        <v>214.75</v>
      </c>
      <c r="Q36" s="2">
        <f t="shared" si="10"/>
        <v>51.3125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250</v>
      </c>
      <c r="C37" s="2">
        <f t="shared" si="6"/>
        <v>150</v>
      </c>
      <c r="D37" s="2">
        <f t="shared" si="7"/>
        <v>35.052300000000002</v>
      </c>
      <c r="E37" s="2">
        <f t="shared" si="8"/>
        <v>17.382125000000002</v>
      </c>
      <c r="F37" s="2">
        <f t="shared" si="9"/>
        <v>4.1449999999999996</v>
      </c>
      <c r="G37" s="2">
        <f t="shared" si="5"/>
        <v>1.37</v>
      </c>
      <c r="H37" s="2">
        <f t="shared" si="5"/>
        <v>0.65749999999999997</v>
      </c>
      <c r="I37" s="2">
        <f t="shared" si="5"/>
        <v>0.47749999999999998</v>
      </c>
      <c r="J37" s="2">
        <f t="shared" si="5"/>
        <v>2.5000000000000001E-3</v>
      </c>
      <c r="K37" s="2">
        <f t="shared" si="5"/>
        <v>1.2500000000000001E-2</v>
      </c>
      <c r="L37" s="2">
        <f t="shared" si="5"/>
        <v>0.05</v>
      </c>
      <c r="M37" s="2">
        <f t="shared" si="5"/>
        <v>0.05</v>
      </c>
      <c r="N37" s="2">
        <f t="shared" si="5"/>
        <v>0</v>
      </c>
      <c r="O37" s="2">
        <f t="shared" si="5"/>
        <v>0</v>
      </c>
      <c r="P37" s="2">
        <f t="shared" si="5"/>
        <v>214.75</v>
      </c>
      <c r="Q37" s="2">
        <f t="shared" si="10"/>
        <v>51.3125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250</v>
      </c>
      <c r="C38" s="2">
        <f t="shared" si="6"/>
        <v>150</v>
      </c>
      <c r="D38" s="2">
        <f t="shared" si="7"/>
        <v>35.052300000000002</v>
      </c>
      <c r="E38" s="2">
        <f t="shared" si="8"/>
        <v>17.382125000000002</v>
      </c>
      <c r="F38" s="2">
        <f t="shared" si="9"/>
        <v>4.1449999999999996</v>
      </c>
      <c r="G38" s="2">
        <f t="shared" si="5"/>
        <v>1.37</v>
      </c>
      <c r="H38" s="2">
        <f t="shared" si="5"/>
        <v>0.65749999999999997</v>
      </c>
      <c r="I38" s="2">
        <f t="shared" si="5"/>
        <v>0.47749999999999998</v>
      </c>
      <c r="J38" s="2">
        <f t="shared" si="5"/>
        <v>2.5000000000000001E-3</v>
      </c>
      <c r="K38" s="2">
        <f t="shared" si="5"/>
        <v>1.2500000000000001E-2</v>
      </c>
      <c r="L38" s="2">
        <f t="shared" si="5"/>
        <v>0.05</v>
      </c>
      <c r="M38" s="2">
        <f t="shared" si="5"/>
        <v>0.05</v>
      </c>
      <c r="N38" s="2">
        <f t="shared" si="5"/>
        <v>0</v>
      </c>
      <c r="O38" s="2">
        <f t="shared" si="5"/>
        <v>0</v>
      </c>
      <c r="P38" s="2">
        <f t="shared" si="5"/>
        <v>214.75</v>
      </c>
      <c r="Q38" s="2">
        <f t="shared" si="10"/>
        <v>51.3125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250</v>
      </c>
      <c r="C39" s="2">
        <f t="shared" si="6"/>
        <v>150</v>
      </c>
      <c r="D39" s="2">
        <f t="shared" si="7"/>
        <v>35.052300000000002</v>
      </c>
      <c r="E39" s="2">
        <f t="shared" si="8"/>
        <v>17.382125000000002</v>
      </c>
      <c r="F39" s="2">
        <f t="shared" si="9"/>
        <v>4.1449999999999996</v>
      </c>
      <c r="G39" s="2">
        <f t="shared" si="5"/>
        <v>1.37</v>
      </c>
      <c r="H39" s="2">
        <f t="shared" si="5"/>
        <v>0.65749999999999997</v>
      </c>
      <c r="I39" s="2">
        <f t="shared" si="5"/>
        <v>0.47749999999999998</v>
      </c>
      <c r="J39" s="2">
        <f t="shared" si="5"/>
        <v>2.5000000000000001E-3</v>
      </c>
      <c r="K39" s="2">
        <f t="shared" si="5"/>
        <v>1.2500000000000001E-2</v>
      </c>
      <c r="L39" s="2">
        <f t="shared" si="5"/>
        <v>0.05</v>
      </c>
      <c r="M39" s="2">
        <f t="shared" si="5"/>
        <v>0.05</v>
      </c>
      <c r="N39" s="2">
        <f t="shared" si="5"/>
        <v>0</v>
      </c>
      <c r="O39" s="2">
        <f t="shared" si="5"/>
        <v>0</v>
      </c>
      <c r="P39" s="2">
        <f t="shared" si="5"/>
        <v>214.75</v>
      </c>
      <c r="Q39" s="2">
        <f t="shared" si="10"/>
        <v>51.3125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250</v>
      </c>
      <c r="C40" s="2">
        <f t="shared" si="6"/>
        <v>150</v>
      </c>
      <c r="D40" s="2">
        <f t="shared" si="7"/>
        <v>35.052300000000002</v>
      </c>
      <c r="E40" s="2">
        <f t="shared" si="8"/>
        <v>17.382125000000002</v>
      </c>
      <c r="F40" s="2">
        <f t="shared" si="9"/>
        <v>4.1449999999999996</v>
      </c>
      <c r="G40" s="2">
        <f t="shared" si="5"/>
        <v>1.37</v>
      </c>
      <c r="H40" s="2">
        <f t="shared" si="5"/>
        <v>0.65749999999999997</v>
      </c>
      <c r="I40" s="2">
        <f t="shared" si="5"/>
        <v>0.47749999999999998</v>
      </c>
      <c r="J40" s="2">
        <f t="shared" si="5"/>
        <v>2.5000000000000001E-3</v>
      </c>
      <c r="K40" s="2">
        <f t="shared" si="5"/>
        <v>1.2500000000000001E-2</v>
      </c>
      <c r="L40" s="2">
        <f t="shared" si="5"/>
        <v>0.05</v>
      </c>
      <c r="M40" s="2">
        <f t="shared" si="5"/>
        <v>0.05</v>
      </c>
      <c r="N40" s="2">
        <f t="shared" si="5"/>
        <v>0</v>
      </c>
      <c r="O40" s="2">
        <f t="shared" si="5"/>
        <v>0</v>
      </c>
      <c r="P40" s="2">
        <f t="shared" si="5"/>
        <v>214.75</v>
      </c>
      <c r="Q40" s="2">
        <f t="shared" si="10"/>
        <v>51.3125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250</v>
      </c>
      <c r="C41" s="2">
        <f t="shared" si="6"/>
        <v>150</v>
      </c>
      <c r="D41" s="2">
        <f t="shared" si="7"/>
        <v>35.052300000000002</v>
      </c>
      <c r="E41" s="2">
        <f t="shared" si="8"/>
        <v>17.382125000000002</v>
      </c>
      <c r="F41" s="2">
        <f t="shared" si="9"/>
        <v>4.1449999999999996</v>
      </c>
      <c r="G41" s="2">
        <f t="shared" si="5"/>
        <v>1.37</v>
      </c>
      <c r="H41" s="2">
        <f t="shared" si="5"/>
        <v>0.65749999999999997</v>
      </c>
      <c r="I41" s="2">
        <f t="shared" si="5"/>
        <v>0.47749999999999998</v>
      </c>
      <c r="J41" s="2">
        <f t="shared" si="5"/>
        <v>2.5000000000000001E-3</v>
      </c>
      <c r="K41" s="2">
        <f t="shared" si="5"/>
        <v>1.2500000000000001E-2</v>
      </c>
      <c r="L41" s="2">
        <f t="shared" si="5"/>
        <v>0.05</v>
      </c>
      <c r="M41" s="2">
        <f t="shared" si="5"/>
        <v>0.05</v>
      </c>
      <c r="N41" s="2">
        <f t="shared" si="5"/>
        <v>0</v>
      </c>
      <c r="O41" s="2">
        <f t="shared" si="5"/>
        <v>0</v>
      </c>
      <c r="P41" s="2">
        <f t="shared" si="5"/>
        <v>214.75</v>
      </c>
      <c r="Q41" s="2">
        <f t="shared" si="10"/>
        <v>51.3125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250</v>
      </c>
      <c r="C42" s="2">
        <f t="shared" si="6"/>
        <v>150</v>
      </c>
      <c r="D42" s="2">
        <f t="shared" si="7"/>
        <v>35.052300000000002</v>
      </c>
      <c r="E42" s="2">
        <f t="shared" si="8"/>
        <v>17.382125000000002</v>
      </c>
      <c r="F42" s="2">
        <f t="shared" si="9"/>
        <v>4.1449999999999996</v>
      </c>
      <c r="G42" s="2">
        <f t="shared" si="5"/>
        <v>1.37</v>
      </c>
      <c r="H42" s="2">
        <f t="shared" si="5"/>
        <v>0.65749999999999997</v>
      </c>
      <c r="I42" s="2">
        <f t="shared" si="5"/>
        <v>0.47749999999999998</v>
      </c>
      <c r="J42" s="2">
        <f t="shared" si="5"/>
        <v>2.5000000000000001E-3</v>
      </c>
      <c r="K42" s="2">
        <f t="shared" si="5"/>
        <v>1.2500000000000001E-2</v>
      </c>
      <c r="L42" s="2">
        <f t="shared" si="5"/>
        <v>0.05</v>
      </c>
      <c r="M42" s="2">
        <f t="shared" si="5"/>
        <v>0.05</v>
      </c>
      <c r="N42" s="2">
        <f t="shared" si="5"/>
        <v>0</v>
      </c>
      <c r="O42" s="2">
        <f t="shared" si="5"/>
        <v>0</v>
      </c>
      <c r="P42" s="2">
        <f t="shared" si="5"/>
        <v>214.75</v>
      </c>
      <c r="Q42" s="2">
        <f t="shared" si="10"/>
        <v>51.3125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250</v>
      </c>
      <c r="C43" s="2">
        <f t="shared" si="6"/>
        <v>150</v>
      </c>
      <c r="D43" s="2">
        <f t="shared" si="7"/>
        <v>35.052300000000002</v>
      </c>
      <c r="E43" s="2">
        <f t="shared" si="8"/>
        <v>17.382125000000002</v>
      </c>
      <c r="F43" s="2">
        <f t="shared" si="9"/>
        <v>4.1449999999999996</v>
      </c>
      <c r="G43" s="2">
        <f t="shared" si="5"/>
        <v>1.37</v>
      </c>
      <c r="H43" s="2">
        <f t="shared" si="5"/>
        <v>0.65749999999999997</v>
      </c>
      <c r="I43" s="2">
        <f t="shared" si="5"/>
        <v>0.47749999999999998</v>
      </c>
      <c r="J43" s="2">
        <f t="shared" si="5"/>
        <v>2.5000000000000001E-3</v>
      </c>
      <c r="K43" s="2">
        <f t="shared" si="5"/>
        <v>1.2500000000000001E-2</v>
      </c>
      <c r="L43" s="2">
        <f t="shared" si="5"/>
        <v>0.05</v>
      </c>
      <c r="M43" s="2">
        <f t="shared" si="5"/>
        <v>0.05</v>
      </c>
      <c r="N43" s="2">
        <f t="shared" si="5"/>
        <v>0</v>
      </c>
      <c r="O43" s="2">
        <f t="shared" si="5"/>
        <v>0</v>
      </c>
      <c r="P43" s="2">
        <f t="shared" si="5"/>
        <v>214.75</v>
      </c>
      <c r="Q43" s="2">
        <f t="shared" si="10"/>
        <v>51.3125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Arable</v>
      </c>
      <c r="C58" s="44" t="str">
        <f>D16&amp;" I "&amp;(VLOOKUP(D14,Table24581112[],6,FALSE))</f>
        <v>Medium/Clay I Arable</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Arable</v>
      </c>
      <c r="N58" s="21" t="str">
        <f>O16&amp;" I "&amp;(VLOOKUP(O14,Table24581112[],6,FALSE))</f>
        <v>Medium/Clay I Arable</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6.7</v>
      </c>
      <c r="C59" s="93">
        <f>VLOOKUP(D$14,Table24581112[],5,FALSE)</f>
        <v>6.7</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6.7</v>
      </c>
      <c r="N59" s="93">
        <f>VLOOKUP(O$14,Table24581112[],5,FALSE)</f>
        <v>6.7</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B45" sqref="B44:B4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167</v>
      </c>
      <c r="G2" s="108" t="s">
        <v>107</v>
      </c>
      <c r="H2" s="109"/>
      <c r="I2" s="35">
        <v>887</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41.218297400000004</v>
      </c>
      <c r="D18" s="24">
        <f>$D32</f>
        <v>41.218297400000004</v>
      </c>
      <c r="E18" s="24">
        <f>$D33</f>
        <v>41.218297400000004</v>
      </c>
      <c r="F18" s="24">
        <f>$D34</f>
        <v>41.218297400000004</v>
      </c>
      <c r="G18" s="24">
        <f>$D35</f>
        <v>41.218297400000004</v>
      </c>
      <c r="H18" s="24">
        <f>$D36</f>
        <v>41.218297400000004</v>
      </c>
      <c r="I18" s="24">
        <f>$D37</f>
        <v>41.218297400000004</v>
      </c>
      <c r="J18" s="24">
        <f>$D38</f>
        <v>41.218297400000004</v>
      </c>
      <c r="K18" s="24">
        <f>$D39</f>
        <v>41.218297400000004</v>
      </c>
      <c r="L18" s="24">
        <f>$D40</f>
        <v>41.218297400000004</v>
      </c>
      <c r="M18" s="24">
        <f>$D41</f>
        <v>41.218297400000004</v>
      </c>
      <c r="N18" s="24">
        <f>$D42</f>
        <v>41.218297400000004</v>
      </c>
      <c r="O18" s="24">
        <f>$D43</f>
        <v>41.218297400000004</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-5.5317025999999956</v>
      </c>
      <c r="D19" s="24">
        <f t="shared" ref="D19:V19" si="1">D18-D17</f>
        <v>-5.5317025999999956</v>
      </c>
      <c r="E19" s="24">
        <f t="shared" si="1"/>
        <v>-23.38170259999999</v>
      </c>
      <c r="F19" s="24">
        <f t="shared" si="1"/>
        <v>-23.38170259999999</v>
      </c>
      <c r="G19" s="24">
        <f t="shared" si="1"/>
        <v>-23.38170259999999</v>
      </c>
      <c r="H19" s="24">
        <f t="shared" si="1"/>
        <v>-23.38170259999999</v>
      </c>
      <c r="I19" s="24">
        <f t="shared" si="1"/>
        <v>-23.38170259999999</v>
      </c>
      <c r="J19" s="24">
        <f t="shared" si="1"/>
        <v>-23.38170259999999</v>
      </c>
      <c r="K19" s="24">
        <f t="shared" si="1"/>
        <v>-23.38170259999999</v>
      </c>
      <c r="L19" s="24">
        <f t="shared" si="1"/>
        <v>-23.38170259999999</v>
      </c>
      <c r="M19" s="24">
        <f t="shared" si="1"/>
        <v>-23.38170259999999</v>
      </c>
      <c r="N19" s="24">
        <f t="shared" si="1"/>
        <v>-5.5317025999999956</v>
      </c>
      <c r="O19" s="24">
        <f t="shared" si="1"/>
        <v>-5.5317025999999956</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6.6565646000000021</v>
      </c>
      <c r="D22" s="24">
        <f>$E32</f>
        <v>6.6565646000000021</v>
      </c>
      <c r="E22" s="24">
        <f>$E33</f>
        <v>6.6565646000000021</v>
      </c>
      <c r="F22" s="24">
        <f>$E34</f>
        <v>6.6565646000000021</v>
      </c>
      <c r="G22" s="24">
        <f>$E35</f>
        <v>6.6565646000000021</v>
      </c>
      <c r="H22" s="24">
        <f>$E36</f>
        <v>6.6565646000000021</v>
      </c>
      <c r="I22" s="24">
        <f>$E37</f>
        <v>6.6565646000000021</v>
      </c>
      <c r="J22" s="24">
        <f>$E38</f>
        <v>6.6565646000000021</v>
      </c>
      <c r="K22" s="24">
        <f>$E39</f>
        <v>6.6565646000000021</v>
      </c>
      <c r="L22" s="24">
        <f>$E40</f>
        <v>6.6565646000000021</v>
      </c>
      <c r="M22" s="24">
        <f>$E41</f>
        <v>6.6565646000000021</v>
      </c>
      <c r="N22" s="24">
        <f>$E42</f>
        <v>6.6565646000000021</v>
      </c>
      <c r="O22" s="24">
        <f>$E43</f>
        <v>6.6565646000000021</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-59.343435399999997</v>
      </c>
      <c r="D23" s="24">
        <f t="shared" ref="D23:V23" si="3">D22-D21</f>
        <v>-59.343435399999997</v>
      </c>
      <c r="E23" s="24">
        <f t="shared" si="3"/>
        <v>-221.3434354</v>
      </c>
      <c r="F23" s="24">
        <f t="shared" si="3"/>
        <v>-221.3434354</v>
      </c>
      <c r="G23" s="24">
        <f t="shared" si="3"/>
        <v>-221.3434354</v>
      </c>
      <c r="H23" s="24">
        <f t="shared" si="3"/>
        <v>-221.3434354</v>
      </c>
      <c r="I23" s="24">
        <f t="shared" si="3"/>
        <v>-221.3434354</v>
      </c>
      <c r="J23" s="24">
        <f t="shared" si="3"/>
        <v>-221.3434354</v>
      </c>
      <c r="K23" s="24">
        <f t="shared" si="3"/>
        <v>-221.3434354</v>
      </c>
      <c r="L23" s="24">
        <f t="shared" si="3"/>
        <v>-221.3434354</v>
      </c>
      <c r="M23" s="24">
        <f t="shared" si="3"/>
        <v>-221.3434354</v>
      </c>
      <c r="N23" s="24">
        <f t="shared" si="3"/>
        <v>-59.343435399999997</v>
      </c>
      <c r="O23" s="24">
        <f t="shared" si="3"/>
        <v>-59.343435399999997</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c r="H27" s="101"/>
      <c r="I27" s="101"/>
      <c r="J27" s="101"/>
      <c r="K27" s="101"/>
      <c r="L27" s="101"/>
      <c r="M27" s="101"/>
      <c r="N27" s="101"/>
      <c r="O27" s="101"/>
      <c r="P27" s="101" t="s">
        <v>57</v>
      </c>
      <c r="Q27" s="101" t="s">
        <v>57</v>
      </c>
      <c r="R27" s="101"/>
      <c r="S27" s="101"/>
      <c r="T27" s="101"/>
      <c r="U27" s="101"/>
    </row>
    <row r="28" spans="1:40" s="64" customFormat="1" x14ac:dyDescent="0.25">
      <c r="A28" s="82"/>
      <c r="B28" s="31">
        <v>9.0500000000000007</v>
      </c>
      <c r="C28" s="23">
        <v>7.42</v>
      </c>
      <c r="D28" s="23">
        <v>1.42</v>
      </c>
      <c r="E28" s="23">
        <v>0.436</v>
      </c>
      <c r="F28" s="23">
        <v>0.156</v>
      </c>
      <c r="G28" s="23">
        <v>105</v>
      </c>
      <c r="H28" s="23">
        <v>229</v>
      </c>
      <c r="I28" s="23">
        <v>3.29</v>
      </c>
      <c r="J28" s="23">
        <v>0.1</v>
      </c>
      <c r="K28" s="30">
        <v>0.1</v>
      </c>
      <c r="L28" s="23">
        <v>20.2</v>
      </c>
      <c r="M28" s="23">
        <v>70.400000000000006</v>
      </c>
      <c r="N28" s="23"/>
      <c r="O28" s="23"/>
      <c r="P28" s="23">
        <v>0.72399999999999998</v>
      </c>
      <c r="Q28" s="23">
        <v>1.25</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14</v>
      </c>
      <c r="C31" s="2">
        <f>IF(C$27="%w/w SAR",((C$28*10)*$B31),IF(C$27="%w/w DM",(((C$28*10)*($B$28/100))*$B31),IF(C$27="kg/t SAR",(C$28*$B31),IF(C$27="kg/t DM",((C$28*($B$28/100))*$B31),IF(C$27="mg/kg SAR",((C$28*0.001)*$B31),IF(C$27="mg/kg DM",(((C$28*0.001)*($B$28/100))*$B31),0))))))</f>
        <v>94.011400000000023</v>
      </c>
      <c r="D31" s="2">
        <f>(IF(D$27="%w/w SAR",((D$28*10)*$B31),IF(D$27="%w/w DM",(((D$28*10)*($B$28/100))*$B31),IF(D$27="kg/t SAR",(D$28*$B31),IF(D$27="kg/t DM",((D$28*($B$28/100))*$B31),IF(D$27="mg/kg SAR",((D$28*0.001)*$B31),IF(D$27="mg/kg DM",(((D$28*0.001)*($B$28/100))*$B31),"0")))))))*2.291</f>
        <v>41.218297400000004</v>
      </c>
      <c r="E31" s="2">
        <f>(IF(E$27="%w/w SAR",((E$28*10)*$B31),IF(E$27="%w/w DM",(((E$28*10)*($B$28/100))*$B31),IF(E$27="kg/t SAR",(E$28*$B31),IF(E$27="kg/t DM",((E$28*($B$28/100))*$B31),IF(E$27="mg/kg SAR",((E$28*0.001)*$B31),IF(E$27="mg/kg DM",(((E$28*0.001)*($B$28/100))*$B31),"0")))))))*1.205</f>
        <v>6.6565646000000021</v>
      </c>
      <c r="F31" s="2">
        <f>(IF(F$27="%w/w SAR",((F$28*10)*$B31),IF(F$27="%w/w DM",(((F$28*10)*($B$28/100))*$B31),IF(F$27="kg/t SAR",(F$28*$B31),IF(F$27="kg/t DM",((F$28*($B$28/100))*$B31),IF(F$27="mg/kg SAR",((F$28*0.001)*$B31),IF(F$27="mg/kg DM",(((F$28*0.001)*($B$28/100))*$B31),"0")))))))*1.658</f>
        <v>3.2770701600000005</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9.1730800000000023</v>
      </c>
      <c r="Q31" s="2">
        <f>(IF(Q$27="%w/w SAR",((Q$28*10)*$B31),IF(Q$27="%w/w DM",(((Q$28*10)*($B$28/100))*$B31),IF(Q$27="kg/t SAR",(Q$28*$B31),IF(Q$27="kg/t DM",((Q$28*($B$28/100))*$B31),IF(Q$27="mg/kg SAR",((Q$28*0.001)*$B31),IF(Q$27="mg/kg DM",(((Q$28*0.001)*($B$28/100))*$B31),0)))))))*2.5</f>
        <v>39.593750000000007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14</v>
      </c>
      <c r="C32" s="2">
        <f t="shared" ref="C32:C50" si="6">IF(C$27="%w/w SAR",((C$28*10)*$B32),IF(C$27="%w/w DM",(((C$28*10)*($B$28/100))*$B32),IF(C$27="kg/t SAR",(C$28*$B32),IF(C$27="kg/t DM",((C$28*($B$28/100))*$B32),IF(C$27="mg/kg SAR",((C$28*0.001)*$B32),IF(C$27="mg/kg DM",(((C$28*0.001)*($B$28/100))*$B32),0))))))</f>
        <v>94.011400000000023</v>
      </c>
      <c r="D32" s="2">
        <f t="shared" ref="D32:D50" si="7">(IF(D$27="%w/w SAR",((D$28*10)*$B32),IF(D$27="%w/w DM",(((D$28*10)*($B$28/100))*$B32),IF(D$27="kg/t SAR",(D$28*$B32),IF(D$27="kg/t DM",((D$28*($B$28/100))*$B32),IF(D$27="mg/kg SAR",((D$28*0.001)*$B32),IF(D$27="mg/kg DM",(((D$28*0.001)*($B$28/100))*$B32),"0")))))))*2.291</f>
        <v>41.218297400000004</v>
      </c>
      <c r="E32" s="2">
        <f t="shared" ref="E32:E50" si="8">(IF(E$27="%w/w SAR",((E$28*10)*$B32),IF(E$27="%w/w DM",(((E$28*10)*($B$28/100))*$B32),IF(E$27="kg/t SAR",(E$28*$B32),IF(E$27="kg/t DM",((E$28*($B$28/100))*$B32),IF(E$27="mg/kg SAR",((E$28*0.001)*$B32),IF(E$27="mg/kg DM",(((E$28*0.001)*($B$28/100))*$B32),"0")))))))*1.205</f>
        <v>6.6565646000000021</v>
      </c>
      <c r="F32" s="2">
        <f t="shared" ref="F32:F50" si="9">(IF(F$27="%w/w SAR",((F$28*10)*$B32),IF(F$27="%w/w DM",(((F$28*10)*($B$28/100))*$B32),IF(F$27="kg/t SAR",(F$28*$B32),IF(F$27="kg/t DM",((F$28*($B$28/100))*$B32),IF(F$27="mg/kg SAR",((F$28*0.001)*$B32),IF(F$27="mg/kg DM",(((F$28*0.001)*($B$28/100))*$B32),"0")))))))*1.658</f>
        <v>3.2770701600000005</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9.1730800000000023</v>
      </c>
      <c r="Q32" s="2">
        <f t="shared" ref="Q32:Q50" si="10">(IF(Q$27="%w/w SAR",((Q$28*10)*$B32),IF(Q$27="%w/w DM",(((Q$28*10)*($B$28/100))*$B32),IF(Q$27="kg/t SAR",(Q$28*$B32),IF(Q$27="kg/t DM",((Q$28*($B$28/100))*$B32),IF(Q$27="mg/kg SAR",((Q$28*0.001)*$B32),IF(Q$27="mg/kg DM",(((Q$28*0.001)*($B$28/100))*$B32),0)))))))*2.5</f>
        <v>39.593750000000007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14</v>
      </c>
      <c r="C33" s="2">
        <f t="shared" si="6"/>
        <v>94.011400000000023</v>
      </c>
      <c r="D33" s="2">
        <f t="shared" si="7"/>
        <v>41.218297400000004</v>
      </c>
      <c r="E33" s="2">
        <f t="shared" si="8"/>
        <v>6.6565646000000021</v>
      </c>
      <c r="F33" s="2">
        <f t="shared" si="9"/>
        <v>3.2770701600000005</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9.1730800000000023</v>
      </c>
      <c r="Q33" s="2">
        <f t="shared" si="10"/>
        <v>39.593750000000007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14</v>
      </c>
      <c r="C34" s="2">
        <f t="shared" si="6"/>
        <v>94.011400000000023</v>
      </c>
      <c r="D34" s="2">
        <f t="shared" si="7"/>
        <v>41.218297400000004</v>
      </c>
      <c r="E34" s="2">
        <f t="shared" si="8"/>
        <v>6.6565646000000021</v>
      </c>
      <c r="F34" s="2">
        <f t="shared" si="9"/>
        <v>3.2770701600000005</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9.1730800000000023</v>
      </c>
      <c r="Q34" s="2">
        <f t="shared" si="10"/>
        <v>39.593750000000007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14</v>
      </c>
      <c r="C35" s="2">
        <f t="shared" si="6"/>
        <v>94.011400000000023</v>
      </c>
      <c r="D35" s="2">
        <f t="shared" si="7"/>
        <v>41.218297400000004</v>
      </c>
      <c r="E35" s="2">
        <f t="shared" si="8"/>
        <v>6.6565646000000021</v>
      </c>
      <c r="F35" s="2">
        <f t="shared" si="9"/>
        <v>3.2770701600000005</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9.1730800000000023</v>
      </c>
      <c r="Q35" s="2">
        <f t="shared" si="10"/>
        <v>39.593750000000007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14</v>
      </c>
      <c r="C36" s="2">
        <f t="shared" si="6"/>
        <v>94.011400000000023</v>
      </c>
      <c r="D36" s="2">
        <f t="shared" si="7"/>
        <v>41.218297400000004</v>
      </c>
      <c r="E36" s="2">
        <f t="shared" si="8"/>
        <v>6.6565646000000021</v>
      </c>
      <c r="F36" s="2">
        <f t="shared" si="9"/>
        <v>3.2770701600000005</v>
      </c>
      <c r="G36" s="2">
        <f t="shared" si="5"/>
        <v>0</v>
      </c>
      <c r="H36" s="2">
        <f t="shared" si="5"/>
        <v>0</v>
      </c>
      <c r="I36" s="2">
        <f t="shared" si="5"/>
        <v>0</v>
      </c>
      <c r="J36" s="2">
        <f t="shared" si="5"/>
        <v>0</v>
      </c>
      <c r="K36" s="2">
        <f t="shared" si="5"/>
        <v>0</v>
      </c>
      <c r="L36" s="2">
        <f t="shared" si="5"/>
        <v>0</v>
      </c>
      <c r="M36" s="2">
        <f t="shared" si="5"/>
        <v>0</v>
      </c>
      <c r="N36" s="2">
        <f t="shared" si="5"/>
        <v>0</v>
      </c>
      <c r="O36" s="2">
        <f t="shared" si="5"/>
        <v>0</v>
      </c>
      <c r="P36" s="2">
        <f t="shared" si="5"/>
        <v>9.1730800000000023</v>
      </c>
      <c r="Q36" s="2">
        <f t="shared" si="10"/>
        <v>39.593750000000007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14</v>
      </c>
      <c r="C37" s="2">
        <f t="shared" si="6"/>
        <v>94.011400000000023</v>
      </c>
      <c r="D37" s="2">
        <f t="shared" si="7"/>
        <v>41.218297400000004</v>
      </c>
      <c r="E37" s="2">
        <f t="shared" si="8"/>
        <v>6.6565646000000021</v>
      </c>
      <c r="F37" s="2">
        <f t="shared" si="9"/>
        <v>3.2770701600000005</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9.1730800000000023</v>
      </c>
      <c r="Q37" s="2">
        <f t="shared" si="10"/>
        <v>39.593750000000007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14</v>
      </c>
      <c r="C38" s="2">
        <f t="shared" si="6"/>
        <v>94.011400000000023</v>
      </c>
      <c r="D38" s="2">
        <f t="shared" si="7"/>
        <v>41.218297400000004</v>
      </c>
      <c r="E38" s="2">
        <f t="shared" si="8"/>
        <v>6.6565646000000021</v>
      </c>
      <c r="F38" s="2">
        <f t="shared" si="9"/>
        <v>3.2770701600000005</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9.1730800000000023</v>
      </c>
      <c r="Q38" s="2">
        <f t="shared" si="10"/>
        <v>39.593750000000007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14</v>
      </c>
      <c r="C39" s="2">
        <f t="shared" si="6"/>
        <v>94.011400000000023</v>
      </c>
      <c r="D39" s="2">
        <f t="shared" si="7"/>
        <v>41.218297400000004</v>
      </c>
      <c r="E39" s="2">
        <f t="shared" si="8"/>
        <v>6.6565646000000021</v>
      </c>
      <c r="F39" s="2">
        <f t="shared" si="9"/>
        <v>3.2770701600000005</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9.1730800000000023</v>
      </c>
      <c r="Q39" s="2">
        <f t="shared" si="10"/>
        <v>39.593750000000007</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14</v>
      </c>
      <c r="C40" s="2">
        <f t="shared" si="6"/>
        <v>94.011400000000023</v>
      </c>
      <c r="D40" s="2">
        <f t="shared" si="7"/>
        <v>41.218297400000004</v>
      </c>
      <c r="E40" s="2">
        <f t="shared" si="8"/>
        <v>6.6565646000000021</v>
      </c>
      <c r="F40" s="2">
        <f t="shared" si="9"/>
        <v>3.2770701600000005</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9.1730800000000023</v>
      </c>
      <c r="Q40" s="2">
        <f t="shared" si="10"/>
        <v>39.593750000000007</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14</v>
      </c>
      <c r="C41" s="2">
        <f t="shared" si="6"/>
        <v>94.011400000000023</v>
      </c>
      <c r="D41" s="2">
        <f t="shared" si="7"/>
        <v>41.218297400000004</v>
      </c>
      <c r="E41" s="2">
        <f t="shared" si="8"/>
        <v>6.6565646000000021</v>
      </c>
      <c r="F41" s="2">
        <f t="shared" si="9"/>
        <v>3.2770701600000005</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9.1730800000000023</v>
      </c>
      <c r="Q41" s="2">
        <f t="shared" si="10"/>
        <v>39.593750000000007</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14</v>
      </c>
      <c r="C42" s="2">
        <f t="shared" si="6"/>
        <v>94.011400000000023</v>
      </c>
      <c r="D42" s="2">
        <f t="shared" si="7"/>
        <v>41.218297400000004</v>
      </c>
      <c r="E42" s="2">
        <f t="shared" si="8"/>
        <v>6.6565646000000021</v>
      </c>
      <c r="F42" s="2">
        <f t="shared" si="9"/>
        <v>3.2770701600000005</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9.1730800000000023</v>
      </c>
      <c r="Q42" s="2">
        <f t="shared" si="10"/>
        <v>39.593750000000007</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14</v>
      </c>
      <c r="C43" s="2">
        <f t="shared" si="6"/>
        <v>94.011400000000023</v>
      </c>
      <c r="D43" s="2">
        <f t="shared" si="7"/>
        <v>41.218297400000004</v>
      </c>
      <c r="E43" s="2">
        <f t="shared" si="8"/>
        <v>6.6565646000000021</v>
      </c>
      <c r="F43" s="2">
        <f t="shared" si="9"/>
        <v>3.2770701600000005</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9.1730800000000023</v>
      </c>
      <c r="Q43" s="2">
        <f t="shared" si="10"/>
        <v>39.593750000000007</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Arable</v>
      </c>
      <c r="C58" s="44" t="str">
        <f>D16&amp;" I "&amp;(VLOOKUP(D14,Table24581114[],6,FALSE))</f>
        <v>Medium/Clay I Arable</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Arable</v>
      </c>
      <c r="N58" s="21" t="str">
        <f>O16&amp;" I "&amp;(VLOOKUP(O14,Table24581114[],6,FALSE))</f>
        <v>Medium/Clay I Arable</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6.7</v>
      </c>
      <c r="C59" s="93">
        <f>VLOOKUP(D$14,Table24581114[],5,FALSE)</f>
        <v>6.7</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6.7</v>
      </c>
      <c r="N59" s="93">
        <f>VLOOKUP(O$14,Table24581114[],5,FALSE)</f>
        <v>6.7</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14</v>
      </c>
      <c r="C62" s="94">
        <f>B32</f>
        <v>14</v>
      </c>
      <c r="D62" s="94">
        <f>B33</f>
        <v>14</v>
      </c>
      <c r="E62" s="94">
        <f>B34</f>
        <v>14</v>
      </c>
      <c r="F62" s="94">
        <f>B35</f>
        <v>14</v>
      </c>
      <c r="G62" s="94">
        <f>B36</f>
        <v>14</v>
      </c>
      <c r="H62" s="94">
        <f>B37</f>
        <v>14</v>
      </c>
      <c r="I62" s="94">
        <f>B38</f>
        <v>14</v>
      </c>
      <c r="J62" s="94">
        <f>B39</f>
        <v>14</v>
      </c>
      <c r="K62" s="94">
        <f>B40</f>
        <v>14</v>
      </c>
      <c r="L62" s="94">
        <f>B41</f>
        <v>14</v>
      </c>
      <c r="M62" s="94">
        <f>B42</f>
        <v>14</v>
      </c>
      <c r="N62" s="94">
        <f>B43</f>
        <v>14</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B46" sqref="B4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4.18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169</v>
      </c>
      <c r="G2" s="108" t="s">
        <v>107</v>
      </c>
      <c r="H2" s="109"/>
      <c r="I2" s="35">
        <v>259</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0.27110000000000001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170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45.247250000000001</v>
      </c>
      <c r="D18" s="24">
        <f>$D32</f>
        <v>45.247250000000001</v>
      </c>
      <c r="E18" s="24">
        <f>$D33</f>
        <v>45.247250000000001</v>
      </c>
      <c r="F18" s="24">
        <f>$D34</f>
        <v>45.247250000000001</v>
      </c>
      <c r="G18" s="24">
        <f>$D35</f>
        <v>45.247250000000001</v>
      </c>
      <c r="H18" s="24">
        <f>$D36</f>
        <v>45.247250000000001</v>
      </c>
      <c r="I18" s="24">
        <f>$D37</f>
        <v>45.247250000000001</v>
      </c>
      <c r="J18" s="24">
        <f>$D38</f>
        <v>45.247250000000001</v>
      </c>
      <c r="K18" s="24">
        <f>$D39</f>
        <v>45.247250000000001</v>
      </c>
      <c r="L18" s="24">
        <f>$D40</f>
        <v>45.247250000000001</v>
      </c>
      <c r="M18" s="24">
        <f>$D41</f>
        <v>0</v>
      </c>
      <c r="N18" s="24">
        <f>$D42</f>
        <v>45.247250000000001</v>
      </c>
      <c r="O18" s="24">
        <f>$D43</f>
        <v>45.247250000000001</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-1.5027499999999989</v>
      </c>
      <c r="D19" s="24">
        <f t="shared" ref="D19:V19" si="1">D18-D17</f>
        <v>-1.5027499999999989</v>
      </c>
      <c r="E19" s="24">
        <f t="shared" si="1"/>
        <v>-19.352749999999993</v>
      </c>
      <c r="F19" s="24">
        <f t="shared" si="1"/>
        <v>-19.352749999999993</v>
      </c>
      <c r="G19" s="24">
        <f t="shared" si="1"/>
        <v>-19.352749999999993</v>
      </c>
      <c r="H19" s="24">
        <f t="shared" si="1"/>
        <v>-19.352749999999993</v>
      </c>
      <c r="I19" s="24">
        <f t="shared" si="1"/>
        <v>-19.352749999999993</v>
      </c>
      <c r="J19" s="24">
        <f t="shared" si="1"/>
        <v>-19.352749999999993</v>
      </c>
      <c r="K19" s="24">
        <f t="shared" si="1"/>
        <v>-19.352749999999993</v>
      </c>
      <c r="L19" s="24">
        <f t="shared" si="1"/>
        <v>-19.352749999999993</v>
      </c>
      <c r="M19" s="24">
        <f t="shared" si="1"/>
        <v>-64.599999999999994</v>
      </c>
      <c r="N19" s="24">
        <f t="shared" si="1"/>
        <v>-1.5027499999999989</v>
      </c>
      <c r="O19" s="24">
        <f t="shared" si="1"/>
        <v>-1.5027499999999989</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24.941090000000003</v>
      </c>
      <c r="D22" s="24">
        <f>$E32</f>
        <v>24.941090000000003</v>
      </c>
      <c r="E22" s="24">
        <f>$E33</f>
        <v>24.941090000000003</v>
      </c>
      <c r="F22" s="24">
        <f>$E34</f>
        <v>24.941090000000003</v>
      </c>
      <c r="G22" s="24">
        <f>$E35</f>
        <v>24.941090000000003</v>
      </c>
      <c r="H22" s="24">
        <f>$E36</f>
        <v>24.941090000000003</v>
      </c>
      <c r="I22" s="24">
        <f>$E37</f>
        <v>24.941090000000003</v>
      </c>
      <c r="J22" s="24">
        <f>$E38</f>
        <v>24.941090000000003</v>
      </c>
      <c r="K22" s="24">
        <f>$E39</f>
        <v>24.941090000000003</v>
      </c>
      <c r="L22" s="24">
        <f>$E40</f>
        <v>24.941090000000003</v>
      </c>
      <c r="M22" s="24">
        <f>$E41</f>
        <v>0</v>
      </c>
      <c r="N22" s="24">
        <f>$E42</f>
        <v>24.941090000000003</v>
      </c>
      <c r="O22" s="24">
        <f>$E43</f>
        <v>24.941090000000003</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-41.058909999999997</v>
      </c>
      <c r="D23" s="24">
        <f t="shared" ref="D23:V23" si="3">D22-D21</f>
        <v>-41.058909999999997</v>
      </c>
      <c r="E23" s="24">
        <f t="shared" si="3"/>
        <v>-203.05891</v>
      </c>
      <c r="F23" s="24">
        <f t="shared" si="3"/>
        <v>-203.05891</v>
      </c>
      <c r="G23" s="24">
        <f t="shared" si="3"/>
        <v>-203.05891</v>
      </c>
      <c r="H23" s="24">
        <f t="shared" si="3"/>
        <v>-203.05891</v>
      </c>
      <c r="I23" s="24">
        <f t="shared" si="3"/>
        <v>-203.05891</v>
      </c>
      <c r="J23" s="24">
        <f t="shared" si="3"/>
        <v>-203.05891</v>
      </c>
      <c r="K23" s="24">
        <f t="shared" si="3"/>
        <v>-203.05891</v>
      </c>
      <c r="L23" s="24">
        <f t="shared" si="3"/>
        <v>-203.05891</v>
      </c>
      <c r="M23" s="24">
        <f t="shared" si="3"/>
        <v>-228</v>
      </c>
      <c r="N23" s="24">
        <f t="shared" si="3"/>
        <v>-41.058909999999997</v>
      </c>
      <c r="O23" s="24">
        <f t="shared" si="3"/>
        <v>-41.058909999999997</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55</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0.01</v>
      </c>
      <c r="K28" s="30">
        <v>0.05</v>
      </c>
      <c r="L28" s="23">
        <v>0.2</v>
      </c>
      <c r="M28" s="23">
        <v>18.2</v>
      </c>
      <c r="N28" s="23"/>
      <c r="O28" s="23"/>
      <c r="P28" s="23">
        <v>141</v>
      </c>
      <c r="Q28" s="23">
        <v>64.400000000000006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158</v>
      </c>
      <c r="C31" s="2">
        <f>IF(C$27="%w/w SAR",((C$28*10)*$B31),IF(C$27="%w/w DM",(((C$28*10)*($B$28/100))*$B31),IF(C$27="kg/t SAR",(C$28*$B31),IF(C$27="kg/t DM",((C$28*($B$28/100))*$B31),IF(C$27="mg/kg SAR",((C$28*0.001)*$B31),IF(C$27="mg/kg DM",(((C$28*0.001)*($B$28/100))*$B31),0))))))</f>
        <v>142.19999999999999</v>
      </c>
      <c r="D31" s="2">
        <f>(IF(D$27="%w/w SAR",((D$28*10)*$B31),IF(D$27="%w/w DM",(((D$28*10)*($B$28/100))*$B31),IF(D$27="kg/t SAR",(D$28*$B31),IF(D$27="kg/t DM",((D$28*($B$28/100))*$B31),IF(D$27="mg/kg SAR",((D$28*0.001)*$B31),IF(D$27="mg/kg DM",(((D$28*0.001)*($B$28/100))*$B31),"0")))))))*2.291</f>
        <v>45.247250000000001</v>
      </c>
      <c r="E31" s="2">
        <f>(IF(E$27="%w/w SAR",((E$28*10)*$B31),IF(E$27="%w/w DM",(((E$28*10)*($B$28/100))*$B31),IF(E$27="kg/t SAR",(E$28*$B31),IF(E$27="kg/t DM",((E$28*($B$28/100))*$B31),IF(E$27="mg/kg SAR",((E$28*0.001)*$B31),IF(E$27="mg/kg DM",(((E$28*0.001)*($B$28/100))*$B31),"0")))))))*1.205</f>
        <v>24.941090000000003</v>
      </c>
      <c r="F31" s="2">
        <f>(IF(F$27="%w/w SAR",((F$28*10)*$B31),IF(F$27="%w/w DM",(((F$28*10)*($B$28/100))*$B31),IF(F$27="kg/t SAR",(F$28*$B31),IF(F$27="kg/t DM",((F$28*($B$28/100))*$B31),IF(F$27="mg/kg SAR",((F$28*0.001)*$B31),IF(F$27="mg/kg DM",(((F$28*0.001)*($B$28/100))*$B31),"0")))))))*1.658</f>
        <v>4.7153520000000002</v>
      </c>
      <c r="G31" s="2">
        <f t="shared" ref="G31:P46" si="5">IF(G$27="%w/w SAR",((G$28*10)*$B31),IF(G$27="%w/w DM",(((G$28*10)*($B$28/100))*$B31),IF(G$27="kg/t SAR",(G$28*$B31),IF(G$27="kg/t DM",((G$28*($B$28/100))*$B31),IF(G$27="mg/kg SAR",((G$28*0.001)*$B31),IF(G$27="mg/kg DM",(((G$28*0.001)*($B$28/100))*$B31),0))))))</f>
        <v>0.151364</v>
      </c>
      <c r="H31" s="2">
        <f t="shared" si="5"/>
        <v>0.28440000000000004</v>
      </c>
      <c r="I31" s="2">
        <f t="shared" si="5"/>
        <v>7.9000000000000001E-2</v>
      </c>
      <c r="J31" s="2">
        <f t="shared" si="5"/>
        <v>1.58E-3</v>
      </c>
      <c r="K31" s="2">
        <f t="shared" si="5"/>
        <v>7.9000000000000008E-3</v>
      </c>
      <c r="L31" s="2">
        <f t="shared" si="5"/>
        <v>3.1600000000000003E-2</v>
      </c>
      <c r="M31" s="2">
        <f t="shared" si="5"/>
        <v>5.7799559999999993E-2</v>
      </c>
      <c r="N31" s="2">
        <f t="shared" si="5"/>
        <v>0</v>
      </c>
      <c r="O31" s="2">
        <f t="shared" si="5"/>
        <v>0</v>
      </c>
      <c r="P31" s="2">
        <f t="shared" si="5"/>
        <v>22.278000000000002</v>
      </c>
      <c r="Q31" s="2">
        <f>(IF(Q$27="%w/w SAR",((Q$28*10)*$B31),IF(Q$27="%w/w DM",(((Q$28*10)*($B$28/100))*$B31),IF(Q$27="kg/t SAR",(Q$28*$B31),IF(Q$27="kg/t DM",((Q$28*($B$28/100))*$B31),IF(Q$27="mg/kg SAR",((Q$28*0.001)*$B31),IF(Q$27="mg/kg DM",(((Q$28*0.001)*($B$28/100))*$B31),0)))))))*2.5</f>
        <v>25.438000000000006</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158</v>
      </c>
      <c r="C32" s="2">
        <f t="shared" ref="C32:C50" si="6">IF(C$27="%w/w SAR",((C$28*10)*$B32),IF(C$27="%w/w DM",(((C$28*10)*($B$28/100))*$B32),IF(C$27="kg/t SAR",(C$28*$B32),IF(C$27="kg/t DM",((C$28*($B$28/100))*$B32),IF(C$27="mg/kg SAR",((C$28*0.001)*$B32),IF(C$27="mg/kg DM",(((C$28*0.001)*($B$28/100))*$B32),0))))))</f>
        <v>142.19999999999999</v>
      </c>
      <c r="D32" s="2">
        <f t="shared" ref="D32:D50" si="7">(IF(D$27="%w/w SAR",((D$28*10)*$B32),IF(D$27="%w/w DM",(((D$28*10)*($B$28/100))*$B32),IF(D$27="kg/t SAR",(D$28*$B32),IF(D$27="kg/t DM",((D$28*($B$28/100))*$B32),IF(D$27="mg/kg SAR",((D$28*0.001)*$B32),IF(D$27="mg/kg DM",(((D$28*0.001)*($B$28/100))*$B32),"0")))))))*2.291</f>
        <v>45.247250000000001</v>
      </c>
      <c r="E32" s="2">
        <f t="shared" ref="E32:E50" si="8">(IF(E$27="%w/w SAR",((E$28*10)*$B32),IF(E$27="%w/w DM",(((E$28*10)*($B$28/100))*$B32),IF(E$27="kg/t SAR",(E$28*$B32),IF(E$27="kg/t DM",((E$28*($B$28/100))*$B32),IF(E$27="mg/kg SAR",((E$28*0.001)*$B32),IF(E$27="mg/kg DM",(((E$28*0.001)*($B$28/100))*$B32),"0")))))))*1.205</f>
        <v>24.941090000000003</v>
      </c>
      <c r="F32" s="2">
        <f t="shared" ref="F32:F50" si="9">(IF(F$27="%w/w SAR",((F$28*10)*$B32),IF(F$27="%w/w DM",(((F$28*10)*($B$28/100))*$B32),IF(F$27="kg/t SAR",(F$28*$B32),IF(F$27="kg/t DM",((F$28*($B$28/100))*$B32),IF(F$27="mg/kg SAR",((F$28*0.001)*$B32),IF(F$27="mg/kg DM",(((F$28*0.001)*($B$28/100))*$B32),"0")))))))*1.658</f>
        <v>4.7153520000000002</v>
      </c>
      <c r="G32" s="2">
        <f t="shared" si="5"/>
        <v>0.151364</v>
      </c>
      <c r="H32" s="2">
        <f t="shared" si="5"/>
        <v>0.28440000000000004</v>
      </c>
      <c r="I32" s="2">
        <f t="shared" si="5"/>
        <v>7.9000000000000001E-2</v>
      </c>
      <c r="J32" s="2">
        <f t="shared" si="5"/>
        <v>1.58E-3</v>
      </c>
      <c r="K32" s="2">
        <f t="shared" si="5"/>
        <v>7.9000000000000008E-3</v>
      </c>
      <c r="L32" s="2">
        <f t="shared" si="5"/>
        <v>3.1600000000000003E-2</v>
      </c>
      <c r="M32" s="2">
        <f t="shared" si="5"/>
        <v>5.7799559999999993E-2</v>
      </c>
      <c r="N32" s="2">
        <f t="shared" si="5"/>
        <v>0</v>
      </c>
      <c r="O32" s="2">
        <f t="shared" si="5"/>
        <v>0</v>
      </c>
      <c r="P32" s="2">
        <f t="shared" si="5"/>
        <v>22.278000000000002</v>
      </c>
      <c r="Q32" s="2">
        <f t="shared" ref="Q32:Q50" si="10">(IF(Q$27="%w/w SAR",((Q$28*10)*$B32),IF(Q$27="%w/w DM",(((Q$28*10)*($B$28/100))*$B32),IF(Q$27="kg/t SAR",(Q$28*$B32),IF(Q$27="kg/t DM",((Q$28*($B$28/100))*$B32),IF(Q$27="mg/kg SAR",((Q$28*0.001)*$B32),IF(Q$27="mg/kg DM",(((Q$28*0.001)*($B$28/100))*$B32),0)))))))*2.5</f>
        <v>25.438000000000006</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158</v>
      </c>
      <c r="C33" s="2">
        <f t="shared" si="6"/>
        <v>142.19999999999999</v>
      </c>
      <c r="D33" s="2">
        <f t="shared" si="7"/>
        <v>45.247250000000001</v>
      </c>
      <c r="E33" s="2">
        <f t="shared" si="8"/>
        <v>24.941090000000003</v>
      </c>
      <c r="F33" s="2">
        <f t="shared" si="9"/>
        <v>4.7153520000000002</v>
      </c>
      <c r="G33" s="2">
        <f t="shared" si="5"/>
        <v>0.151364</v>
      </c>
      <c r="H33" s="2">
        <f t="shared" si="5"/>
        <v>0.28440000000000004</v>
      </c>
      <c r="I33" s="2">
        <f t="shared" si="5"/>
        <v>7.9000000000000001E-2</v>
      </c>
      <c r="J33" s="2">
        <f t="shared" si="5"/>
        <v>1.58E-3</v>
      </c>
      <c r="K33" s="2">
        <f t="shared" si="5"/>
        <v>7.9000000000000008E-3</v>
      </c>
      <c r="L33" s="2">
        <f t="shared" si="5"/>
        <v>3.1600000000000003E-2</v>
      </c>
      <c r="M33" s="2">
        <f t="shared" si="5"/>
        <v>5.7799559999999993E-2</v>
      </c>
      <c r="N33" s="2">
        <f t="shared" si="5"/>
        <v>0</v>
      </c>
      <c r="O33" s="2">
        <f t="shared" si="5"/>
        <v>0</v>
      </c>
      <c r="P33" s="2">
        <f t="shared" si="5"/>
        <v>22.278000000000002</v>
      </c>
      <c r="Q33" s="2">
        <f t="shared" si="10"/>
        <v>25.438000000000006</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158</v>
      </c>
      <c r="C34" s="2">
        <f t="shared" si="6"/>
        <v>142.19999999999999</v>
      </c>
      <c r="D34" s="2">
        <f t="shared" si="7"/>
        <v>45.247250000000001</v>
      </c>
      <c r="E34" s="2">
        <f t="shared" si="8"/>
        <v>24.941090000000003</v>
      </c>
      <c r="F34" s="2">
        <f t="shared" si="9"/>
        <v>4.7153520000000002</v>
      </c>
      <c r="G34" s="2">
        <f t="shared" si="5"/>
        <v>0.151364</v>
      </c>
      <c r="H34" s="2">
        <f t="shared" si="5"/>
        <v>0.28440000000000004</v>
      </c>
      <c r="I34" s="2">
        <f t="shared" si="5"/>
        <v>7.9000000000000001E-2</v>
      </c>
      <c r="J34" s="2">
        <f t="shared" si="5"/>
        <v>1.58E-3</v>
      </c>
      <c r="K34" s="2">
        <f t="shared" si="5"/>
        <v>7.9000000000000008E-3</v>
      </c>
      <c r="L34" s="2">
        <f t="shared" si="5"/>
        <v>3.1600000000000003E-2</v>
      </c>
      <c r="M34" s="2">
        <f t="shared" si="5"/>
        <v>5.7799559999999993E-2</v>
      </c>
      <c r="N34" s="2">
        <f t="shared" si="5"/>
        <v>0</v>
      </c>
      <c r="O34" s="2">
        <f t="shared" si="5"/>
        <v>0</v>
      </c>
      <c r="P34" s="2">
        <f t="shared" si="5"/>
        <v>22.278000000000002</v>
      </c>
      <c r="Q34" s="2">
        <f t="shared" si="10"/>
        <v>25.438000000000006</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158</v>
      </c>
      <c r="C35" s="2">
        <f t="shared" si="6"/>
        <v>142.19999999999999</v>
      </c>
      <c r="D35" s="2">
        <f t="shared" si="7"/>
        <v>45.247250000000001</v>
      </c>
      <c r="E35" s="2">
        <f t="shared" si="8"/>
        <v>24.941090000000003</v>
      </c>
      <c r="F35" s="2">
        <f t="shared" si="9"/>
        <v>4.7153520000000002</v>
      </c>
      <c r="G35" s="2">
        <f t="shared" si="5"/>
        <v>0.151364</v>
      </c>
      <c r="H35" s="2">
        <f t="shared" si="5"/>
        <v>0.28440000000000004</v>
      </c>
      <c r="I35" s="2">
        <f t="shared" si="5"/>
        <v>7.9000000000000001E-2</v>
      </c>
      <c r="J35" s="2">
        <f t="shared" si="5"/>
        <v>1.58E-3</v>
      </c>
      <c r="K35" s="2">
        <f t="shared" si="5"/>
        <v>7.9000000000000008E-3</v>
      </c>
      <c r="L35" s="2">
        <f t="shared" si="5"/>
        <v>3.1600000000000003E-2</v>
      </c>
      <c r="M35" s="2">
        <f t="shared" si="5"/>
        <v>5.7799559999999993E-2</v>
      </c>
      <c r="N35" s="2">
        <f t="shared" si="5"/>
        <v>0</v>
      </c>
      <c r="O35" s="2">
        <f t="shared" si="5"/>
        <v>0</v>
      </c>
      <c r="P35" s="2">
        <f t="shared" si="5"/>
        <v>22.278000000000002</v>
      </c>
      <c r="Q35" s="2">
        <f t="shared" si="10"/>
        <v>25.438000000000006</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158</v>
      </c>
      <c r="C36" s="2">
        <f t="shared" si="6"/>
        <v>142.19999999999999</v>
      </c>
      <c r="D36" s="2">
        <f t="shared" si="7"/>
        <v>45.247250000000001</v>
      </c>
      <c r="E36" s="2">
        <f t="shared" si="8"/>
        <v>24.941090000000003</v>
      </c>
      <c r="F36" s="2">
        <f t="shared" si="9"/>
        <v>4.7153520000000002</v>
      </c>
      <c r="G36" s="2">
        <f t="shared" si="5"/>
        <v>0.151364</v>
      </c>
      <c r="H36" s="2">
        <f t="shared" si="5"/>
        <v>0.28440000000000004</v>
      </c>
      <c r="I36" s="2">
        <f t="shared" si="5"/>
        <v>7.9000000000000001E-2</v>
      </c>
      <c r="J36" s="2">
        <f t="shared" si="5"/>
        <v>1.58E-3</v>
      </c>
      <c r="K36" s="2">
        <f t="shared" si="5"/>
        <v>7.9000000000000008E-3</v>
      </c>
      <c r="L36" s="2">
        <f t="shared" si="5"/>
        <v>3.1600000000000003E-2</v>
      </c>
      <c r="M36" s="2">
        <f t="shared" si="5"/>
        <v>5.7799559999999993E-2</v>
      </c>
      <c r="N36" s="2">
        <f t="shared" si="5"/>
        <v>0</v>
      </c>
      <c r="O36" s="2">
        <f t="shared" si="5"/>
        <v>0</v>
      </c>
      <c r="P36" s="2">
        <f t="shared" si="5"/>
        <v>22.278000000000002</v>
      </c>
      <c r="Q36" s="2">
        <f t="shared" si="10"/>
        <v>25.438000000000006</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158</v>
      </c>
      <c r="C37" s="2">
        <f t="shared" si="6"/>
        <v>142.19999999999999</v>
      </c>
      <c r="D37" s="2">
        <f t="shared" si="7"/>
        <v>45.247250000000001</v>
      </c>
      <c r="E37" s="2">
        <f t="shared" si="8"/>
        <v>24.941090000000003</v>
      </c>
      <c r="F37" s="2">
        <f t="shared" si="9"/>
        <v>4.7153520000000002</v>
      </c>
      <c r="G37" s="2">
        <f t="shared" si="5"/>
        <v>0.151364</v>
      </c>
      <c r="H37" s="2">
        <f t="shared" si="5"/>
        <v>0.28440000000000004</v>
      </c>
      <c r="I37" s="2">
        <f t="shared" si="5"/>
        <v>7.9000000000000001E-2</v>
      </c>
      <c r="J37" s="2">
        <f t="shared" si="5"/>
        <v>1.58E-3</v>
      </c>
      <c r="K37" s="2">
        <f t="shared" si="5"/>
        <v>7.9000000000000008E-3</v>
      </c>
      <c r="L37" s="2">
        <f t="shared" si="5"/>
        <v>3.1600000000000003E-2</v>
      </c>
      <c r="M37" s="2">
        <f t="shared" si="5"/>
        <v>5.7799559999999993E-2</v>
      </c>
      <c r="N37" s="2">
        <f t="shared" si="5"/>
        <v>0</v>
      </c>
      <c r="O37" s="2">
        <f t="shared" si="5"/>
        <v>0</v>
      </c>
      <c r="P37" s="2">
        <f t="shared" si="5"/>
        <v>22.278000000000002</v>
      </c>
      <c r="Q37" s="2">
        <f t="shared" si="10"/>
        <v>25.438000000000006</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158</v>
      </c>
      <c r="C38" s="2">
        <f t="shared" si="6"/>
        <v>142.19999999999999</v>
      </c>
      <c r="D38" s="2">
        <f t="shared" si="7"/>
        <v>45.247250000000001</v>
      </c>
      <c r="E38" s="2">
        <f t="shared" si="8"/>
        <v>24.941090000000003</v>
      </c>
      <c r="F38" s="2">
        <f t="shared" si="9"/>
        <v>4.7153520000000002</v>
      </c>
      <c r="G38" s="2">
        <f t="shared" si="5"/>
        <v>0.151364</v>
      </c>
      <c r="H38" s="2">
        <f t="shared" si="5"/>
        <v>0.28440000000000004</v>
      </c>
      <c r="I38" s="2">
        <f t="shared" si="5"/>
        <v>7.9000000000000001E-2</v>
      </c>
      <c r="J38" s="2">
        <f t="shared" si="5"/>
        <v>1.58E-3</v>
      </c>
      <c r="K38" s="2">
        <f t="shared" si="5"/>
        <v>7.9000000000000008E-3</v>
      </c>
      <c r="L38" s="2">
        <f t="shared" si="5"/>
        <v>3.1600000000000003E-2</v>
      </c>
      <c r="M38" s="2">
        <f t="shared" si="5"/>
        <v>5.7799559999999993E-2</v>
      </c>
      <c r="N38" s="2">
        <f t="shared" si="5"/>
        <v>0</v>
      </c>
      <c r="O38" s="2">
        <f t="shared" si="5"/>
        <v>0</v>
      </c>
      <c r="P38" s="2">
        <f t="shared" si="5"/>
        <v>22.278000000000002</v>
      </c>
      <c r="Q38" s="2">
        <f t="shared" si="10"/>
        <v>25.438000000000006</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158</v>
      </c>
      <c r="C39" s="2">
        <f t="shared" si="6"/>
        <v>142.19999999999999</v>
      </c>
      <c r="D39" s="2">
        <f t="shared" si="7"/>
        <v>45.247250000000001</v>
      </c>
      <c r="E39" s="2">
        <f t="shared" si="8"/>
        <v>24.941090000000003</v>
      </c>
      <c r="F39" s="2">
        <f t="shared" si="9"/>
        <v>4.7153520000000002</v>
      </c>
      <c r="G39" s="2">
        <f t="shared" si="5"/>
        <v>0.151364</v>
      </c>
      <c r="H39" s="2">
        <f t="shared" si="5"/>
        <v>0.28440000000000004</v>
      </c>
      <c r="I39" s="2">
        <f t="shared" si="5"/>
        <v>7.9000000000000001E-2</v>
      </c>
      <c r="J39" s="2">
        <f t="shared" si="5"/>
        <v>1.58E-3</v>
      </c>
      <c r="K39" s="2">
        <f t="shared" si="5"/>
        <v>7.9000000000000008E-3</v>
      </c>
      <c r="L39" s="2">
        <f t="shared" si="5"/>
        <v>3.1600000000000003E-2</v>
      </c>
      <c r="M39" s="2">
        <f t="shared" si="5"/>
        <v>5.7799559999999993E-2</v>
      </c>
      <c r="N39" s="2">
        <f t="shared" si="5"/>
        <v>0</v>
      </c>
      <c r="O39" s="2">
        <f t="shared" si="5"/>
        <v>0</v>
      </c>
      <c r="P39" s="2">
        <f t="shared" si="5"/>
        <v>22.278000000000002</v>
      </c>
      <c r="Q39" s="2">
        <f t="shared" si="10"/>
        <v>25.438000000000006</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158</v>
      </c>
      <c r="C40" s="2">
        <f t="shared" si="6"/>
        <v>142.19999999999999</v>
      </c>
      <c r="D40" s="2">
        <f t="shared" si="7"/>
        <v>45.247250000000001</v>
      </c>
      <c r="E40" s="2">
        <f t="shared" si="8"/>
        <v>24.941090000000003</v>
      </c>
      <c r="F40" s="2">
        <f t="shared" si="9"/>
        <v>4.7153520000000002</v>
      </c>
      <c r="G40" s="2">
        <f t="shared" si="5"/>
        <v>0.151364</v>
      </c>
      <c r="H40" s="2">
        <f t="shared" si="5"/>
        <v>0.28440000000000004</v>
      </c>
      <c r="I40" s="2">
        <f t="shared" si="5"/>
        <v>7.9000000000000001E-2</v>
      </c>
      <c r="J40" s="2">
        <f t="shared" si="5"/>
        <v>1.58E-3</v>
      </c>
      <c r="K40" s="2">
        <f t="shared" si="5"/>
        <v>7.9000000000000008E-3</v>
      </c>
      <c r="L40" s="2">
        <f t="shared" si="5"/>
        <v>3.1600000000000003E-2</v>
      </c>
      <c r="M40" s="2">
        <f t="shared" si="5"/>
        <v>5.7799559999999993E-2</v>
      </c>
      <c r="N40" s="2">
        <f t="shared" si="5"/>
        <v>0</v>
      </c>
      <c r="O40" s="2">
        <f t="shared" si="5"/>
        <v>0</v>
      </c>
      <c r="P40" s="2">
        <f t="shared" si="5"/>
        <v>22.278000000000002</v>
      </c>
      <c r="Q40" s="2">
        <f t="shared" si="10"/>
        <v>25.438000000000006</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158</v>
      </c>
      <c r="C42" s="2">
        <f t="shared" si="6"/>
        <v>142.19999999999999</v>
      </c>
      <c r="D42" s="2">
        <f t="shared" si="7"/>
        <v>45.247250000000001</v>
      </c>
      <c r="E42" s="2">
        <f t="shared" si="8"/>
        <v>24.941090000000003</v>
      </c>
      <c r="F42" s="2">
        <f t="shared" si="9"/>
        <v>4.7153520000000002</v>
      </c>
      <c r="G42" s="2">
        <f t="shared" si="5"/>
        <v>0.151364</v>
      </c>
      <c r="H42" s="2">
        <f t="shared" si="5"/>
        <v>0.28440000000000004</v>
      </c>
      <c r="I42" s="2">
        <f t="shared" si="5"/>
        <v>7.9000000000000001E-2</v>
      </c>
      <c r="J42" s="2">
        <f t="shared" si="5"/>
        <v>1.58E-3</v>
      </c>
      <c r="K42" s="2">
        <f t="shared" si="5"/>
        <v>7.9000000000000008E-3</v>
      </c>
      <c r="L42" s="2">
        <f t="shared" si="5"/>
        <v>3.1600000000000003E-2</v>
      </c>
      <c r="M42" s="2">
        <f t="shared" si="5"/>
        <v>5.7799559999999993E-2</v>
      </c>
      <c r="N42" s="2">
        <f t="shared" si="5"/>
        <v>0</v>
      </c>
      <c r="O42" s="2">
        <f t="shared" si="5"/>
        <v>0</v>
      </c>
      <c r="P42" s="2">
        <f t="shared" si="5"/>
        <v>22.278000000000002</v>
      </c>
      <c r="Q42" s="2">
        <f t="shared" si="10"/>
        <v>25.438000000000006</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158</v>
      </c>
      <c r="C43" s="2">
        <f t="shared" si="6"/>
        <v>142.19999999999999</v>
      </c>
      <c r="D43" s="2">
        <f t="shared" si="7"/>
        <v>45.247250000000001</v>
      </c>
      <c r="E43" s="2">
        <f t="shared" si="8"/>
        <v>24.941090000000003</v>
      </c>
      <c r="F43" s="2">
        <f t="shared" si="9"/>
        <v>4.7153520000000002</v>
      </c>
      <c r="G43" s="2">
        <f t="shared" si="5"/>
        <v>0.151364</v>
      </c>
      <c r="H43" s="2">
        <f t="shared" si="5"/>
        <v>0.28440000000000004</v>
      </c>
      <c r="I43" s="2">
        <f t="shared" si="5"/>
        <v>7.9000000000000001E-2</v>
      </c>
      <c r="J43" s="2">
        <f t="shared" si="5"/>
        <v>1.58E-3</v>
      </c>
      <c r="K43" s="2">
        <f t="shared" si="5"/>
        <v>7.9000000000000008E-3</v>
      </c>
      <c r="L43" s="2">
        <f t="shared" si="5"/>
        <v>3.1600000000000003E-2</v>
      </c>
      <c r="M43" s="2">
        <f t="shared" si="5"/>
        <v>5.7799559999999993E-2</v>
      </c>
      <c r="N43" s="2">
        <f t="shared" si="5"/>
        <v>0</v>
      </c>
      <c r="O43" s="2">
        <f t="shared" si="5"/>
        <v>0</v>
      </c>
      <c r="P43" s="2">
        <f t="shared" si="5"/>
        <v>22.278000000000002</v>
      </c>
      <c r="Q43" s="2">
        <f t="shared" si="10"/>
        <v>25.438000000000006</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Arable</v>
      </c>
      <c r="C58" s="44" t="str">
        <f>D16&amp;" I "&amp;(VLOOKUP(D14,Table245810[],6,FALSE))</f>
        <v>Medium/Clay I Arable</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Arable</v>
      </c>
      <c r="N58" s="21" t="str">
        <f>O16&amp;" I "&amp;(VLOOKUP(O14,Table245810[],6,FALSE))</f>
        <v>Medium/Clay I Arable</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6.7</v>
      </c>
      <c r="C59" s="93">
        <f>VLOOKUP(D$14,Table245810[],5,FALSE)</f>
        <v>6.7</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f>VLOOKUP(N$14,Table245810[],5,FALSE)</f>
        <v>6.7</v>
      </c>
      <c r="N59" s="93">
        <f>VLOOKUP(O$14,Table245810[],5,FALSE)</f>
        <v>6.7</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158</v>
      </c>
      <c r="C62" s="94">
        <f>B32</f>
        <v>158</v>
      </c>
      <c r="D62" s="94">
        <f>B33</f>
        <v>158</v>
      </c>
      <c r="E62" s="94">
        <f>B34</f>
        <v>158</v>
      </c>
      <c r="F62" s="94">
        <f>B35</f>
        <v>158</v>
      </c>
      <c r="G62" s="94">
        <f>B36</f>
        <v>158</v>
      </c>
      <c r="H62" s="94">
        <f>B37</f>
        <v>158</v>
      </c>
      <c r="I62" s="94">
        <f>B38</f>
        <v>158</v>
      </c>
      <c r="J62" s="94">
        <f>B39</f>
        <v>158</v>
      </c>
      <c r="K62" s="94">
        <f>B40</f>
        <v>158</v>
      </c>
      <c r="L62" s="94">
        <f>B41</f>
        <v>0</v>
      </c>
      <c r="M62" s="94">
        <f>B42</f>
        <v>158</v>
      </c>
      <c r="N62" s="94">
        <f>B43</f>
        <v>158</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6.58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165</v>
      </c>
      <c r="G2" s="108" t="s">
        <v>107</v>
      </c>
      <c r="H2" s="109"/>
      <c r="I2" s="35">
        <v>3840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0.192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42.594272000000004</v>
      </c>
      <c r="D18" s="24">
        <f>$D32</f>
        <v>42.594272000000004</v>
      </c>
      <c r="E18" s="24">
        <f>$D33</f>
        <v>42.594272000000004</v>
      </c>
      <c r="F18" s="24">
        <f>$D34</f>
        <v>42.594272000000004</v>
      </c>
      <c r="G18" s="24">
        <f>$D35</f>
        <v>42.594272000000004</v>
      </c>
      <c r="H18" s="24">
        <f>$D36</f>
        <v>42.594272000000004</v>
      </c>
      <c r="I18" s="24">
        <f>$D37</f>
        <v>42.594272000000004</v>
      </c>
      <c r="J18" s="24">
        <f>$D38</f>
        <v>42.594272000000004</v>
      </c>
      <c r="K18" s="24">
        <f>$D39</f>
        <v>42.594272000000004</v>
      </c>
      <c r="L18" s="24">
        <f>$D40</f>
        <v>42.594272000000004</v>
      </c>
      <c r="M18" s="24">
        <f>$D41</f>
        <v>42.594272000000004</v>
      </c>
      <c r="N18" s="24">
        <f>$D42</f>
        <v>42.594272000000004</v>
      </c>
      <c r="O18" s="24">
        <f>$D43</f>
        <v>42.594272000000004</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-4.1557279999999963</v>
      </c>
      <c r="D19" s="24">
        <f t="shared" ref="D19:V19" si="1">D18-D17</f>
        <v>-4.1557279999999963</v>
      </c>
      <c r="E19" s="24">
        <f t="shared" si="1"/>
        <v>-22.005727999999991</v>
      </c>
      <c r="F19" s="24">
        <f t="shared" si="1"/>
        <v>-22.005727999999991</v>
      </c>
      <c r="G19" s="24">
        <f t="shared" si="1"/>
        <v>-22.005727999999991</v>
      </c>
      <c r="H19" s="24">
        <f t="shared" si="1"/>
        <v>-22.005727999999991</v>
      </c>
      <c r="I19" s="24">
        <f t="shared" si="1"/>
        <v>-22.005727999999991</v>
      </c>
      <c r="J19" s="24">
        <f t="shared" si="1"/>
        <v>-22.005727999999991</v>
      </c>
      <c r="K19" s="24">
        <f t="shared" si="1"/>
        <v>-22.005727999999991</v>
      </c>
      <c r="L19" s="24">
        <f t="shared" si="1"/>
        <v>-22.005727999999991</v>
      </c>
      <c r="M19" s="24">
        <f t="shared" si="1"/>
        <v>-22.005727999999991</v>
      </c>
      <c r="N19" s="24">
        <f t="shared" si="1"/>
        <v>-4.1557279999999963</v>
      </c>
      <c r="O19" s="24">
        <f t="shared" si="1"/>
        <v>-4.1557279999999963</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9.261630000000002</v>
      </c>
      <c r="D22" s="24">
        <f>$E32</f>
        <v>9.261630000000002</v>
      </c>
      <c r="E22" s="24">
        <f>$E33</f>
        <v>9.261630000000002</v>
      </c>
      <c r="F22" s="24">
        <f>$E34</f>
        <v>9.261630000000002</v>
      </c>
      <c r="G22" s="24">
        <f>$E35</f>
        <v>9.261630000000002</v>
      </c>
      <c r="H22" s="24">
        <f>$E36</f>
        <v>9.261630000000002</v>
      </c>
      <c r="I22" s="24">
        <f>$E37</f>
        <v>9.261630000000002</v>
      </c>
      <c r="J22" s="24">
        <f>$E38</f>
        <v>9.261630000000002</v>
      </c>
      <c r="K22" s="24">
        <f>$E39</f>
        <v>9.261630000000002</v>
      </c>
      <c r="L22" s="24">
        <f>$E40</f>
        <v>9.261630000000002</v>
      </c>
      <c r="M22" s="24">
        <f>$E41</f>
        <v>9.261630000000002</v>
      </c>
      <c r="N22" s="24">
        <f>$E42</f>
        <v>9.261630000000002</v>
      </c>
      <c r="O22" s="24">
        <f>$E43</f>
        <v>9.261630000000002</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-56.738369999999996</v>
      </c>
      <c r="D23" s="24">
        <f t="shared" ref="D23:V23" si="3">D22-D21</f>
        <v>-56.738369999999996</v>
      </c>
      <c r="E23" s="24">
        <f t="shared" si="3"/>
        <v>-218.73837</v>
      </c>
      <c r="F23" s="24">
        <f t="shared" si="3"/>
        <v>-218.73837</v>
      </c>
      <c r="G23" s="24">
        <f t="shared" si="3"/>
        <v>-218.73837</v>
      </c>
      <c r="H23" s="24">
        <f t="shared" si="3"/>
        <v>-218.73837</v>
      </c>
      <c r="I23" s="24">
        <f t="shared" si="3"/>
        <v>-218.73837</v>
      </c>
      <c r="J23" s="24">
        <f t="shared" si="3"/>
        <v>-218.73837</v>
      </c>
      <c r="K23" s="24">
        <f t="shared" si="3"/>
        <v>-218.73837</v>
      </c>
      <c r="L23" s="24">
        <f t="shared" si="3"/>
        <v>-218.73837</v>
      </c>
      <c r="M23" s="24">
        <f t="shared" si="3"/>
        <v>-218.73837</v>
      </c>
      <c r="N23" s="24">
        <f t="shared" si="3"/>
        <v>-56.738369999999996</v>
      </c>
      <c r="O23" s="24">
        <f t="shared" si="3"/>
        <v>-56.738369999999996</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0.05</v>
      </c>
      <c r="L28" s="23">
        <v>0.61599999999999999</v>
      </c>
      <c r="M28" s="23">
        <v>1.53</v>
      </c>
      <c r="N28" s="23"/>
      <c r="O28" s="23"/>
      <c r="P28" s="23">
        <v>112</v>
      </c>
      <c r="Q28" s="23">
        <v>590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14</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42.594272000000004</v>
      </c>
      <c r="E31" s="2">
        <f>(IF(E$27="%w/w SAR",((E$28*10)*$B31),IF(E$27="%w/w DM",(((E$28*10)*($B$28/100))*$B31),IF(E$27="kg/t SAR",(E$28*$B31),IF(E$27="kg/t DM",((E$28*($B$28/100))*$B31),IF(E$27="mg/kg SAR",((E$28*0.001)*$B31),IF(E$27="mg/kg DM",(((E$28*0.001)*($B$28/100))*$B31),"0")))))))*1.205</f>
        <v>9.261630000000002</v>
      </c>
      <c r="F31" s="2">
        <f>(IF(F$27="%w/w SAR",((F$28*10)*$B31),IF(F$27="%w/w DM",(((F$28*10)*($B$28/100))*$B31),IF(F$27="kg/t SAR",(F$28*$B31),IF(F$27="kg/t DM",((F$28*($B$28/100))*$B31),IF(F$27="mg/kg SAR",((F$28*0.001)*$B31),IF(F$27="mg/kg DM",(((F$28*0.001)*($B$28/100))*$B31),"0")))))))*1.658</f>
        <v>3.3425279999999997</v>
      </c>
      <c r="G31" s="2">
        <f t="shared" ref="G31:P46" si="5">IF(G$27="%w/w SAR",((G$28*10)*$B31),IF(G$27="%w/w DM",(((G$28*10)*($B$28/100))*$B31),IF(G$27="kg/t SAR",(G$28*$B31),IF(G$27="kg/t DM",((G$28*($B$28/100))*$B31),IF(G$27="mg/kg SAR",((G$28*0.001)*$B31),IF(G$27="mg/kg DM",(((G$28*0.001)*($B$28/100))*$B31),0))))))</f>
        <v>7.4060000000000001E-2</v>
      </c>
      <c r="H31" s="2">
        <f t="shared" si="5"/>
        <v>0.3836</v>
      </c>
      <c r="I31" s="2">
        <f t="shared" si="5"/>
        <v>7.0000000000000001E-3</v>
      </c>
      <c r="J31" s="2">
        <f t="shared" si="5"/>
        <v>1.54E-4</v>
      </c>
      <c r="K31" s="2">
        <f t="shared" si="5"/>
        <v>6.9999999999999999E-4</v>
      </c>
      <c r="L31" s="2">
        <f t="shared" si="5"/>
        <v>8.6239999999999997E-3</v>
      </c>
      <c r="M31" s="2">
        <f t="shared" si="5"/>
        <v>2.1420000000000002E-2</v>
      </c>
      <c r="N31" s="2">
        <f t="shared" si="5"/>
        <v>0</v>
      </c>
      <c r="O31" s="2">
        <f t="shared" si="5"/>
        <v>0</v>
      </c>
      <c r="P31" s="2">
        <f t="shared" si="5"/>
        <v>1.5680000000000001</v>
      </c>
      <c r="Q31" s="2">
        <f>(IF(Q$27="%w/w SAR",((Q$28*10)*$B31),IF(Q$27="%w/w DM",(((Q$28*10)*($B$28/100))*$B31),IF(Q$27="kg/t SAR",(Q$28*$B31),IF(Q$27="kg/t DM",((Q$28*($B$28/100))*$B31),IF(Q$27="mg/kg SAR",((Q$28*0.001)*$B31),IF(Q$27="mg/kg DM",(((Q$28*0.001)*($B$28/100))*$B31),0)))))))*2.5</f>
        <v>20.65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14</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42.594272000000004</v>
      </c>
      <c r="E32" s="2">
        <f t="shared" ref="E32:E50" si="8">(IF(E$27="%w/w SAR",((E$28*10)*$B32),IF(E$27="%w/w DM",(((E$28*10)*($B$28/100))*$B32),IF(E$27="kg/t SAR",(E$28*$B32),IF(E$27="kg/t DM",((E$28*($B$28/100))*$B32),IF(E$27="mg/kg SAR",((E$28*0.001)*$B32),IF(E$27="mg/kg DM",(((E$28*0.001)*($B$28/100))*$B32),"0")))))))*1.205</f>
        <v>9.261630000000002</v>
      </c>
      <c r="F32" s="2">
        <f t="shared" ref="F32:F50" si="9">(IF(F$27="%w/w SAR",((F$28*10)*$B32),IF(F$27="%w/w DM",(((F$28*10)*($B$28/100))*$B32),IF(F$27="kg/t SAR",(F$28*$B32),IF(F$27="kg/t DM",((F$28*($B$28/100))*$B32),IF(F$27="mg/kg SAR",((F$28*0.001)*$B32),IF(F$27="mg/kg DM",(((F$28*0.001)*($B$28/100))*$B32),"0")))))))*1.658</f>
        <v>3.3425279999999997</v>
      </c>
      <c r="G32" s="2">
        <f t="shared" si="5"/>
        <v>7.4060000000000001E-2</v>
      </c>
      <c r="H32" s="2">
        <f t="shared" si="5"/>
        <v>0.3836</v>
      </c>
      <c r="I32" s="2">
        <f t="shared" si="5"/>
        <v>7.0000000000000001E-3</v>
      </c>
      <c r="J32" s="2">
        <f t="shared" si="5"/>
        <v>1.54E-4</v>
      </c>
      <c r="K32" s="2">
        <f t="shared" si="5"/>
        <v>6.9999999999999999E-4</v>
      </c>
      <c r="L32" s="2">
        <f t="shared" si="5"/>
        <v>8.6239999999999997E-3</v>
      </c>
      <c r="M32" s="2">
        <f t="shared" si="5"/>
        <v>2.1420000000000002E-2</v>
      </c>
      <c r="N32" s="2">
        <f t="shared" si="5"/>
        <v>0</v>
      </c>
      <c r="O32" s="2">
        <f t="shared" si="5"/>
        <v>0</v>
      </c>
      <c r="P32" s="2">
        <f t="shared" si="5"/>
        <v>1.5680000000000001</v>
      </c>
      <c r="Q32" s="2">
        <f t="shared" ref="Q32:Q50" si="10">(IF(Q$27="%w/w SAR",((Q$28*10)*$B32),IF(Q$27="%w/w DM",(((Q$28*10)*($B$28/100))*$B32),IF(Q$27="kg/t SAR",(Q$28*$B32),IF(Q$27="kg/t DM",((Q$28*($B$28/100))*$B32),IF(Q$27="mg/kg SAR",((Q$28*0.001)*$B32),IF(Q$27="mg/kg DM",(((Q$28*0.001)*($B$28/100))*$B32),0)))))))*2.5</f>
        <v>20.65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14</v>
      </c>
      <c r="C33" s="2">
        <f t="shared" si="6"/>
        <v>142.79999999999998</v>
      </c>
      <c r="D33" s="2">
        <f t="shared" si="7"/>
        <v>42.594272000000004</v>
      </c>
      <c r="E33" s="2">
        <f t="shared" si="8"/>
        <v>9.261630000000002</v>
      </c>
      <c r="F33" s="2">
        <f t="shared" si="9"/>
        <v>3.3425279999999997</v>
      </c>
      <c r="G33" s="2">
        <f t="shared" si="5"/>
        <v>7.4060000000000001E-2</v>
      </c>
      <c r="H33" s="2">
        <f t="shared" si="5"/>
        <v>0.3836</v>
      </c>
      <c r="I33" s="2">
        <f t="shared" si="5"/>
        <v>7.0000000000000001E-3</v>
      </c>
      <c r="J33" s="2">
        <f t="shared" si="5"/>
        <v>1.54E-4</v>
      </c>
      <c r="K33" s="2">
        <f t="shared" si="5"/>
        <v>6.9999999999999999E-4</v>
      </c>
      <c r="L33" s="2">
        <f t="shared" si="5"/>
        <v>8.6239999999999997E-3</v>
      </c>
      <c r="M33" s="2">
        <f t="shared" si="5"/>
        <v>2.1420000000000002E-2</v>
      </c>
      <c r="N33" s="2">
        <f t="shared" si="5"/>
        <v>0</v>
      </c>
      <c r="O33" s="2">
        <f t="shared" si="5"/>
        <v>0</v>
      </c>
      <c r="P33" s="2">
        <f t="shared" si="5"/>
        <v>1.5680000000000001</v>
      </c>
      <c r="Q33" s="2">
        <f t="shared" si="10"/>
        <v>20.65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14</v>
      </c>
      <c r="C34" s="2">
        <f t="shared" si="6"/>
        <v>142.79999999999998</v>
      </c>
      <c r="D34" s="2">
        <f t="shared" si="7"/>
        <v>42.594272000000004</v>
      </c>
      <c r="E34" s="2">
        <f t="shared" si="8"/>
        <v>9.261630000000002</v>
      </c>
      <c r="F34" s="2">
        <f t="shared" si="9"/>
        <v>3.3425279999999997</v>
      </c>
      <c r="G34" s="2">
        <f t="shared" si="5"/>
        <v>7.4060000000000001E-2</v>
      </c>
      <c r="H34" s="2">
        <f t="shared" si="5"/>
        <v>0.3836</v>
      </c>
      <c r="I34" s="2">
        <f t="shared" si="5"/>
        <v>7.0000000000000001E-3</v>
      </c>
      <c r="J34" s="2">
        <f t="shared" si="5"/>
        <v>1.54E-4</v>
      </c>
      <c r="K34" s="2">
        <f t="shared" si="5"/>
        <v>6.9999999999999999E-4</v>
      </c>
      <c r="L34" s="2">
        <f t="shared" si="5"/>
        <v>8.6239999999999997E-3</v>
      </c>
      <c r="M34" s="2">
        <f t="shared" si="5"/>
        <v>2.1420000000000002E-2</v>
      </c>
      <c r="N34" s="2">
        <f t="shared" si="5"/>
        <v>0</v>
      </c>
      <c r="O34" s="2">
        <f t="shared" si="5"/>
        <v>0</v>
      </c>
      <c r="P34" s="2">
        <f t="shared" si="5"/>
        <v>1.5680000000000001</v>
      </c>
      <c r="Q34" s="2">
        <f t="shared" si="10"/>
        <v>20.65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14</v>
      </c>
      <c r="C35" s="2">
        <f t="shared" si="6"/>
        <v>142.79999999999998</v>
      </c>
      <c r="D35" s="2">
        <f t="shared" si="7"/>
        <v>42.594272000000004</v>
      </c>
      <c r="E35" s="2">
        <f t="shared" si="8"/>
        <v>9.261630000000002</v>
      </c>
      <c r="F35" s="2">
        <f t="shared" si="9"/>
        <v>3.3425279999999997</v>
      </c>
      <c r="G35" s="2">
        <f t="shared" si="5"/>
        <v>7.4060000000000001E-2</v>
      </c>
      <c r="H35" s="2">
        <f t="shared" si="5"/>
        <v>0.3836</v>
      </c>
      <c r="I35" s="2">
        <f t="shared" si="5"/>
        <v>7.0000000000000001E-3</v>
      </c>
      <c r="J35" s="2">
        <f t="shared" si="5"/>
        <v>1.54E-4</v>
      </c>
      <c r="K35" s="2">
        <f t="shared" si="5"/>
        <v>6.9999999999999999E-4</v>
      </c>
      <c r="L35" s="2">
        <f t="shared" si="5"/>
        <v>8.6239999999999997E-3</v>
      </c>
      <c r="M35" s="2">
        <f t="shared" si="5"/>
        <v>2.1420000000000002E-2</v>
      </c>
      <c r="N35" s="2">
        <f t="shared" si="5"/>
        <v>0</v>
      </c>
      <c r="O35" s="2">
        <f t="shared" si="5"/>
        <v>0</v>
      </c>
      <c r="P35" s="2">
        <f t="shared" si="5"/>
        <v>1.5680000000000001</v>
      </c>
      <c r="Q35" s="2">
        <f t="shared" si="10"/>
        <v>20.65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14</v>
      </c>
      <c r="C36" s="2">
        <f t="shared" si="6"/>
        <v>142.79999999999998</v>
      </c>
      <c r="D36" s="2">
        <f t="shared" si="7"/>
        <v>42.594272000000004</v>
      </c>
      <c r="E36" s="2">
        <f t="shared" si="8"/>
        <v>9.261630000000002</v>
      </c>
      <c r="F36" s="2">
        <f t="shared" si="9"/>
        <v>3.3425279999999997</v>
      </c>
      <c r="G36" s="2">
        <f t="shared" si="5"/>
        <v>7.4060000000000001E-2</v>
      </c>
      <c r="H36" s="2">
        <f t="shared" si="5"/>
        <v>0.3836</v>
      </c>
      <c r="I36" s="2">
        <f t="shared" si="5"/>
        <v>7.0000000000000001E-3</v>
      </c>
      <c r="J36" s="2">
        <f t="shared" si="5"/>
        <v>1.54E-4</v>
      </c>
      <c r="K36" s="2">
        <f t="shared" si="5"/>
        <v>6.9999999999999999E-4</v>
      </c>
      <c r="L36" s="2">
        <f t="shared" si="5"/>
        <v>8.6239999999999997E-3</v>
      </c>
      <c r="M36" s="2">
        <f t="shared" si="5"/>
        <v>2.1420000000000002E-2</v>
      </c>
      <c r="N36" s="2">
        <f t="shared" si="5"/>
        <v>0</v>
      </c>
      <c r="O36" s="2">
        <f t="shared" si="5"/>
        <v>0</v>
      </c>
      <c r="P36" s="2">
        <f t="shared" si="5"/>
        <v>1.5680000000000001</v>
      </c>
      <c r="Q36" s="2">
        <f t="shared" si="10"/>
        <v>20.65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14</v>
      </c>
      <c r="C37" s="2">
        <f t="shared" si="6"/>
        <v>142.79999999999998</v>
      </c>
      <c r="D37" s="2">
        <f t="shared" si="7"/>
        <v>42.594272000000004</v>
      </c>
      <c r="E37" s="2">
        <f t="shared" si="8"/>
        <v>9.261630000000002</v>
      </c>
      <c r="F37" s="2">
        <f t="shared" si="9"/>
        <v>3.3425279999999997</v>
      </c>
      <c r="G37" s="2">
        <f t="shared" si="5"/>
        <v>7.4060000000000001E-2</v>
      </c>
      <c r="H37" s="2">
        <f t="shared" si="5"/>
        <v>0.3836</v>
      </c>
      <c r="I37" s="2">
        <f t="shared" si="5"/>
        <v>7.0000000000000001E-3</v>
      </c>
      <c r="J37" s="2">
        <f t="shared" si="5"/>
        <v>1.54E-4</v>
      </c>
      <c r="K37" s="2">
        <f t="shared" si="5"/>
        <v>6.9999999999999999E-4</v>
      </c>
      <c r="L37" s="2">
        <f t="shared" si="5"/>
        <v>8.6239999999999997E-3</v>
      </c>
      <c r="M37" s="2">
        <f t="shared" si="5"/>
        <v>2.1420000000000002E-2</v>
      </c>
      <c r="N37" s="2">
        <f t="shared" si="5"/>
        <v>0</v>
      </c>
      <c r="O37" s="2">
        <f t="shared" si="5"/>
        <v>0</v>
      </c>
      <c r="P37" s="2">
        <f t="shared" si="5"/>
        <v>1.5680000000000001</v>
      </c>
      <c r="Q37" s="2">
        <f t="shared" si="10"/>
        <v>20.65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14</v>
      </c>
      <c r="C38" s="2">
        <f t="shared" si="6"/>
        <v>142.79999999999998</v>
      </c>
      <c r="D38" s="2">
        <f t="shared" si="7"/>
        <v>42.594272000000004</v>
      </c>
      <c r="E38" s="2">
        <f t="shared" si="8"/>
        <v>9.261630000000002</v>
      </c>
      <c r="F38" s="2">
        <f t="shared" si="9"/>
        <v>3.3425279999999997</v>
      </c>
      <c r="G38" s="2">
        <f t="shared" si="5"/>
        <v>7.4060000000000001E-2</v>
      </c>
      <c r="H38" s="2">
        <f t="shared" si="5"/>
        <v>0.3836</v>
      </c>
      <c r="I38" s="2">
        <f t="shared" si="5"/>
        <v>7.0000000000000001E-3</v>
      </c>
      <c r="J38" s="2">
        <f t="shared" si="5"/>
        <v>1.54E-4</v>
      </c>
      <c r="K38" s="2">
        <f t="shared" si="5"/>
        <v>6.9999999999999999E-4</v>
      </c>
      <c r="L38" s="2">
        <f t="shared" si="5"/>
        <v>8.6239999999999997E-3</v>
      </c>
      <c r="M38" s="2">
        <f t="shared" si="5"/>
        <v>2.1420000000000002E-2</v>
      </c>
      <c r="N38" s="2">
        <f t="shared" si="5"/>
        <v>0</v>
      </c>
      <c r="O38" s="2">
        <f t="shared" si="5"/>
        <v>0</v>
      </c>
      <c r="P38" s="2">
        <f t="shared" si="5"/>
        <v>1.5680000000000001</v>
      </c>
      <c r="Q38" s="2">
        <f t="shared" si="10"/>
        <v>20.65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14</v>
      </c>
      <c r="C39" s="2">
        <f t="shared" si="6"/>
        <v>142.79999999999998</v>
      </c>
      <c r="D39" s="2">
        <f t="shared" si="7"/>
        <v>42.594272000000004</v>
      </c>
      <c r="E39" s="2">
        <f t="shared" si="8"/>
        <v>9.261630000000002</v>
      </c>
      <c r="F39" s="2">
        <f t="shared" si="9"/>
        <v>3.3425279999999997</v>
      </c>
      <c r="G39" s="2">
        <f t="shared" si="5"/>
        <v>7.4060000000000001E-2</v>
      </c>
      <c r="H39" s="2">
        <f t="shared" si="5"/>
        <v>0.3836</v>
      </c>
      <c r="I39" s="2">
        <f t="shared" si="5"/>
        <v>7.0000000000000001E-3</v>
      </c>
      <c r="J39" s="2">
        <f t="shared" si="5"/>
        <v>1.54E-4</v>
      </c>
      <c r="K39" s="2">
        <f t="shared" si="5"/>
        <v>6.9999999999999999E-4</v>
      </c>
      <c r="L39" s="2">
        <f t="shared" si="5"/>
        <v>8.6239999999999997E-3</v>
      </c>
      <c r="M39" s="2">
        <f t="shared" si="5"/>
        <v>2.1420000000000002E-2</v>
      </c>
      <c r="N39" s="2">
        <f t="shared" si="5"/>
        <v>0</v>
      </c>
      <c r="O39" s="2">
        <f t="shared" si="5"/>
        <v>0</v>
      </c>
      <c r="P39" s="2">
        <f t="shared" si="5"/>
        <v>1.5680000000000001</v>
      </c>
      <c r="Q39" s="2">
        <f t="shared" si="10"/>
        <v>20.65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14</v>
      </c>
      <c r="C40" s="2">
        <f t="shared" si="6"/>
        <v>142.79999999999998</v>
      </c>
      <c r="D40" s="2">
        <f t="shared" si="7"/>
        <v>42.594272000000004</v>
      </c>
      <c r="E40" s="2">
        <f t="shared" si="8"/>
        <v>9.261630000000002</v>
      </c>
      <c r="F40" s="2">
        <f t="shared" si="9"/>
        <v>3.3425279999999997</v>
      </c>
      <c r="G40" s="2">
        <f t="shared" si="5"/>
        <v>7.4060000000000001E-2</v>
      </c>
      <c r="H40" s="2">
        <f t="shared" si="5"/>
        <v>0.3836</v>
      </c>
      <c r="I40" s="2">
        <f t="shared" si="5"/>
        <v>7.0000000000000001E-3</v>
      </c>
      <c r="J40" s="2">
        <f t="shared" si="5"/>
        <v>1.54E-4</v>
      </c>
      <c r="K40" s="2">
        <f t="shared" si="5"/>
        <v>6.9999999999999999E-4</v>
      </c>
      <c r="L40" s="2">
        <f t="shared" si="5"/>
        <v>8.6239999999999997E-3</v>
      </c>
      <c r="M40" s="2">
        <f t="shared" si="5"/>
        <v>2.1420000000000002E-2</v>
      </c>
      <c r="N40" s="2">
        <f t="shared" si="5"/>
        <v>0</v>
      </c>
      <c r="O40" s="2">
        <f t="shared" si="5"/>
        <v>0</v>
      </c>
      <c r="P40" s="2">
        <f t="shared" si="5"/>
        <v>1.5680000000000001</v>
      </c>
      <c r="Q40" s="2">
        <f t="shared" si="10"/>
        <v>20.65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14</v>
      </c>
      <c r="C41" s="2">
        <f t="shared" si="6"/>
        <v>142.79999999999998</v>
      </c>
      <c r="D41" s="2">
        <f t="shared" si="7"/>
        <v>42.594272000000004</v>
      </c>
      <c r="E41" s="2">
        <f t="shared" si="8"/>
        <v>9.261630000000002</v>
      </c>
      <c r="F41" s="2">
        <f t="shared" si="9"/>
        <v>3.3425279999999997</v>
      </c>
      <c r="G41" s="2">
        <f t="shared" si="5"/>
        <v>7.4060000000000001E-2</v>
      </c>
      <c r="H41" s="2">
        <f t="shared" si="5"/>
        <v>0.3836</v>
      </c>
      <c r="I41" s="2">
        <f t="shared" si="5"/>
        <v>7.0000000000000001E-3</v>
      </c>
      <c r="J41" s="2">
        <f t="shared" si="5"/>
        <v>1.54E-4</v>
      </c>
      <c r="K41" s="2">
        <f t="shared" si="5"/>
        <v>6.9999999999999999E-4</v>
      </c>
      <c r="L41" s="2">
        <f t="shared" si="5"/>
        <v>8.6239999999999997E-3</v>
      </c>
      <c r="M41" s="2">
        <f t="shared" si="5"/>
        <v>2.1420000000000002E-2</v>
      </c>
      <c r="N41" s="2">
        <f t="shared" si="5"/>
        <v>0</v>
      </c>
      <c r="O41" s="2">
        <f t="shared" si="5"/>
        <v>0</v>
      </c>
      <c r="P41" s="2">
        <f t="shared" si="5"/>
        <v>1.5680000000000001</v>
      </c>
      <c r="Q41" s="2">
        <f t="shared" si="10"/>
        <v>20.65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14</v>
      </c>
      <c r="C42" s="2">
        <f t="shared" si="6"/>
        <v>142.79999999999998</v>
      </c>
      <c r="D42" s="2">
        <f t="shared" si="7"/>
        <v>42.594272000000004</v>
      </c>
      <c r="E42" s="2">
        <f t="shared" si="8"/>
        <v>9.261630000000002</v>
      </c>
      <c r="F42" s="2">
        <f t="shared" si="9"/>
        <v>3.3425279999999997</v>
      </c>
      <c r="G42" s="2">
        <f t="shared" si="5"/>
        <v>7.4060000000000001E-2</v>
      </c>
      <c r="H42" s="2">
        <f t="shared" si="5"/>
        <v>0.3836</v>
      </c>
      <c r="I42" s="2">
        <f t="shared" si="5"/>
        <v>7.0000000000000001E-3</v>
      </c>
      <c r="J42" s="2">
        <f t="shared" si="5"/>
        <v>1.54E-4</v>
      </c>
      <c r="K42" s="2">
        <f t="shared" si="5"/>
        <v>6.9999999999999999E-4</v>
      </c>
      <c r="L42" s="2">
        <f t="shared" si="5"/>
        <v>8.6239999999999997E-3</v>
      </c>
      <c r="M42" s="2">
        <f t="shared" si="5"/>
        <v>2.1420000000000002E-2</v>
      </c>
      <c r="N42" s="2">
        <f t="shared" si="5"/>
        <v>0</v>
      </c>
      <c r="O42" s="2">
        <f t="shared" si="5"/>
        <v>0</v>
      </c>
      <c r="P42" s="2">
        <f t="shared" si="5"/>
        <v>1.5680000000000001</v>
      </c>
      <c r="Q42" s="2">
        <f t="shared" si="10"/>
        <v>20.65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14</v>
      </c>
      <c r="C43" s="2">
        <f t="shared" si="6"/>
        <v>142.79999999999998</v>
      </c>
      <c r="D43" s="2">
        <f t="shared" si="7"/>
        <v>42.594272000000004</v>
      </c>
      <c r="E43" s="2">
        <f t="shared" si="8"/>
        <v>9.261630000000002</v>
      </c>
      <c r="F43" s="2">
        <f t="shared" si="9"/>
        <v>3.3425279999999997</v>
      </c>
      <c r="G43" s="2">
        <f t="shared" si="5"/>
        <v>7.4060000000000001E-2</v>
      </c>
      <c r="H43" s="2">
        <f t="shared" si="5"/>
        <v>0.3836</v>
      </c>
      <c r="I43" s="2">
        <f t="shared" si="5"/>
        <v>7.0000000000000001E-3</v>
      </c>
      <c r="J43" s="2">
        <f t="shared" si="5"/>
        <v>1.54E-4</v>
      </c>
      <c r="K43" s="2">
        <f t="shared" si="5"/>
        <v>6.9999999999999999E-4</v>
      </c>
      <c r="L43" s="2">
        <f t="shared" si="5"/>
        <v>8.6239999999999997E-3</v>
      </c>
      <c r="M43" s="2">
        <f t="shared" si="5"/>
        <v>2.1420000000000002E-2</v>
      </c>
      <c r="N43" s="2">
        <f t="shared" si="5"/>
        <v>0</v>
      </c>
      <c r="O43" s="2">
        <f t="shared" si="5"/>
        <v>0</v>
      </c>
      <c r="P43" s="2">
        <f t="shared" si="5"/>
        <v>1.5680000000000001</v>
      </c>
      <c r="Q43" s="2">
        <f t="shared" si="10"/>
        <v>20.65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Arable</v>
      </c>
      <c r="C58" s="44" t="str">
        <f>D16&amp;" I "&amp;(VLOOKUP(D14,Table2458[],6,FALSE))</f>
        <v>Medium/Clay I Arable</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Arable</v>
      </c>
      <c r="N58" s="21" t="str">
        <f>O16&amp;" I "&amp;(VLOOKUP(O14,Table2458[],6,FALSE))</f>
        <v>Medium/Clay I Arable</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6.7</v>
      </c>
      <c r="C59" s="93">
        <f>VLOOKUP(D$14,Table2458[],5,FALSE)</f>
        <v>6.7</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f>VLOOKUP(N$14,Table2458[],5,FALSE)</f>
        <v>6.7</v>
      </c>
      <c r="N59" s="93">
        <f>VLOOKUP(O$14,Table2458[],5,FALSE)</f>
        <v>6.7</v>
      </c>
      <c r="O59" s="93" t="e">
        <f>VLOOKUP(P$14,Table2458[],5,FALSE)</f>
        <v>#N/A</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14</v>
      </c>
      <c r="C62" s="94">
        <f>B32</f>
        <v>14</v>
      </c>
      <c r="D62" s="94">
        <f>B33</f>
        <v>14</v>
      </c>
      <c r="E62" s="94">
        <f>B34</f>
        <v>14</v>
      </c>
      <c r="F62" s="94">
        <f>B35</f>
        <v>14</v>
      </c>
      <c r="G62" s="94">
        <f>B36</f>
        <v>14</v>
      </c>
      <c r="H62" s="94">
        <f>B37</f>
        <v>14</v>
      </c>
      <c r="I62" s="94">
        <f>B38</f>
        <v>14</v>
      </c>
      <c r="J62" s="94">
        <f>B39</f>
        <v>14</v>
      </c>
      <c r="K62" s="94">
        <f>B40</f>
        <v>14</v>
      </c>
      <c r="L62" s="94">
        <f>B41</f>
        <v>14</v>
      </c>
      <c r="M62" s="94">
        <f>B42</f>
        <v>14</v>
      </c>
      <c r="N62" s="94">
        <f>B43</f>
        <v>14</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6.91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165</v>
      </c>
      <c r="G2" s="108" t="s">
        <v>107</v>
      </c>
      <c r="H2" s="109"/>
      <c r="I2" s="35">
        <v>2115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0.41199999999999998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43.840575999999999</v>
      </c>
      <c r="D18" s="24">
        <f>$D32</f>
        <v>43.840575999999999</v>
      </c>
      <c r="E18" s="24">
        <f>$D33</f>
        <v>43.840575999999999</v>
      </c>
      <c r="F18" s="24">
        <f>$D34</f>
        <v>43.840575999999999</v>
      </c>
      <c r="G18" s="24">
        <f>$D35</f>
        <v>43.840575999999999</v>
      </c>
      <c r="H18" s="24">
        <f>$D36</f>
        <v>43.840575999999999</v>
      </c>
      <c r="I18" s="24">
        <f>$D37</f>
        <v>43.840575999999999</v>
      </c>
      <c r="J18" s="24">
        <f>$D38</f>
        <v>43.840575999999999</v>
      </c>
      <c r="K18" s="24">
        <f>$D39</f>
        <v>43.840575999999999</v>
      </c>
      <c r="L18" s="24">
        <f>$D40</f>
        <v>43.840575999999999</v>
      </c>
      <c r="M18" s="24">
        <f>$D41</f>
        <v>43.840575999999999</v>
      </c>
      <c r="N18" s="24">
        <f>$D42</f>
        <v>43.840575999999999</v>
      </c>
      <c r="O18" s="24">
        <f>$D43</f>
        <v>43.840575999999999</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-2.9094240000000013</v>
      </c>
      <c r="D19" s="24">
        <f t="shared" ref="D19:V19" si="1">D18-D17</f>
        <v>-2.9094240000000013</v>
      </c>
      <c r="E19" s="24">
        <f t="shared" si="1"/>
        <v>-20.759423999999996</v>
      </c>
      <c r="F19" s="24">
        <f t="shared" si="1"/>
        <v>-20.759423999999996</v>
      </c>
      <c r="G19" s="24">
        <f t="shared" si="1"/>
        <v>-20.759423999999996</v>
      </c>
      <c r="H19" s="24">
        <f t="shared" si="1"/>
        <v>-20.759423999999996</v>
      </c>
      <c r="I19" s="24">
        <f t="shared" si="1"/>
        <v>-20.759423999999996</v>
      </c>
      <c r="J19" s="24">
        <f t="shared" si="1"/>
        <v>-20.759423999999996</v>
      </c>
      <c r="K19" s="24">
        <f t="shared" si="1"/>
        <v>-20.759423999999996</v>
      </c>
      <c r="L19" s="24">
        <f t="shared" si="1"/>
        <v>-20.759423999999996</v>
      </c>
      <c r="M19" s="24">
        <f t="shared" si="1"/>
        <v>-20.759423999999996</v>
      </c>
      <c r="N19" s="24">
        <f t="shared" si="1"/>
        <v>-2.9094240000000013</v>
      </c>
      <c r="O19" s="24">
        <f t="shared" si="1"/>
        <v>-2.9094240000000013</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7.0492500000000007</v>
      </c>
      <c r="D22" s="24">
        <f>$E32</f>
        <v>7.0492500000000007</v>
      </c>
      <c r="E22" s="24">
        <f>$E33</f>
        <v>7.0492500000000007</v>
      </c>
      <c r="F22" s="24">
        <f>$E34</f>
        <v>7.0492500000000007</v>
      </c>
      <c r="G22" s="24">
        <f>$E35</f>
        <v>7.0492500000000007</v>
      </c>
      <c r="H22" s="24">
        <f>$E36</f>
        <v>7.0492500000000007</v>
      </c>
      <c r="I22" s="24">
        <f>$E37</f>
        <v>7.0492500000000007</v>
      </c>
      <c r="J22" s="24">
        <f>$E38</f>
        <v>7.0492500000000007</v>
      </c>
      <c r="K22" s="24">
        <f>$E39</f>
        <v>7.0492500000000007</v>
      </c>
      <c r="L22" s="24">
        <f>$E40</f>
        <v>7.0492500000000007</v>
      </c>
      <c r="M22" s="24">
        <f>$E41</f>
        <v>7.0492500000000007</v>
      </c>
      <c r="N22" s="24">
        <f>$E42</f>
        <v>7.0492500000000007</v>
      </c>
      <c r="O22" s="24">
        <f>$E43</f>
        <v>7.0492500000000007</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-58.950749999999999</v>
      </c>
      <c r="D23" s="24">
        <f t="shared" ref="D23:V23" si="3">D22-D21</f>
        <v>-58.950749999999999</v>
      </c>
      <c r="E23" s="24">
        <f t="shared" si="3"/>
        <v>-220.95075</v>
      </c>
      <c r="F23" s="24">
        <f t="shared" si="3"/>
        <v>-220.95075</v>
      </c>
      <c r="G23" s="24">
        <f t="shared" si="3"/>
        <v>-220.95075</v>
      </c>
      <c r="H23" s="24">
        <f t="shared" si="3"/>
        <v>-220.95075</v>
      </c>
      <c r="I23" s="24">
        <f t="shared" si="3"/>
        <v>-220.95075</v>
      </c>
      <c r="J23" s="24">
        <f t="shared" si="3"/>
        <v>-220.95075</v>
      </c>
      <c r="K23" s="24">
        <f t="shared" si="3"/>
        <v>-220.95075</v>
      </c>
      <c r="L23" s="24">
        <f t="shared" si="3"/>
        <v>-220.95075</v>
      </c>
      <c r="M23" s="24">
        <f t="shared" si="3"/>
        <v>-220.95075</v>
      </c>
      <c r="N23" s="24">
        <f t="shared" si="3"/>
        <v>-58.950749999999999</v>
      </c>
      <c r="O23" s="24">
        <f t="shared" si="3"/>
        <v>-58.950749999999999</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5.23</v>
      </c>
      <c r="C28" s="23">
        <v>0.41</v>
      </c>
      <c r="D28" s="23">
        <v>736</v>
      </c>
      <c r="E28" s="23">
        <v>225</v>
      </c>
      <c r="F28" s="23">
        <v>186</v>
      </c>
      <c r="G28" s="23">
        <v>3.53</v>
      </c>
      <c r="H28" s="23">
        <v>20.399999999999999</v>
      </c>
      <c r="I28" s="23">
        <v>0.5</v>
      </c>
      <c r="J28" s="23">
        <v>1.2E-2</v>
      </c>
      <c r="K28" s="30">
        <v>0.05</v>
      </c>
      <c r="L28" s="23">
        <v>0.67400000000000004</v>
      </c>
      <c r="M28" s="23">
        <v>1.42</v>
      </c>
      <c r="N28" s="23"/>
      <c r="O28" s="23"/>
      <c r="P28" s="23">
        <v>627</v>
      </c>
      <c r="Q28" s="23">
        <v>474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26</v>
      </c>
      <c r="C31" s="2">
        <f>IF(C$27="%w/w SAR",((C$28*10)*$B31),IF(C$27="%w/w DM",(((C$28*10)*($B$28/100))*$B31),IF(C$27="kg/t SAR",(C$28*$B31),IF(C$27="kg/t DM",((C$28*($B$28/100))*$B31),IF(C$27="mg/kg SAR",((C$28*0.001)*$B31),IF(C$27="mg/kg DM",(((C$28*0.001)*($B$28/100))*$B31),0))))))</f>
        <v>106.6</v>
      </c>
      <c r="D31" s="2">
        <f>(IF(D$27="%w/w SAR",((D$28*10)*$B31),IF(D$27="%w/w DM",(((D$28*10)*($B$28/100))*$B31),IF(D$27="kg/t SAR",(D$28*$B31),IF(D$27="kg/t DM",((D$28*($B$28/100))*$B31),IF(D$27="mg/kg SAR",((D$28*0.001)*$B31),IF(D$27="mg/kg DM",(((D$28*0.001)*($B$28/100))*$B31),"0")))))))*2.291</f>
        <v>43.840575999999999</v>
      </c>
      <c r="E31" s="2">
        <f>(IF(E$27="%w/w SAR",((E$28*10)*$B31),IF(E$27="%w/w DM",(((E$28*10)*($B$28/100))*$B31),IF(E$27="kg/t SAR",(E$28*$B31),IF(E$27="kg/t DM",((E$28*($B$28/100))*$B31),IF(E$27="mg/kg SAR",((E$28*0.001)*$B31),IF(E$27="mg/kg DM",(((E$28*0.001)*($B$28/100))*$B31),"0")))))))*1.205</f>
        <v>7.0492500000000007</v>
      </c>
      <c r="F31" s="2">
        <f>(IF(F$27="%w/w SAR",((F$28*10)*$B31),IF(F$27="%w/w DM",(((F$28*10)*($B$28/100))*$B31),IF(F$27="kg/t SAR",(F$28*$B31),IF(F$27="kg/t DM",((F$28*($B$28/100))*$B31),IF(F$27="mg/kg SAR",((F$28*0.001)*$B31),IF(F$27="mg/kg DM",(((F$28*0.001)*($B$28/100))*$B31),"0")))))))*1.658</f>
        <v>8.0180880000000005</v>
      </c>
      <c r="G31" s="2">
        <f t="shared" ref="G31:P46" si="5">IF(G$27="%w/w SAR",((G$28*10)*$B31),IF(G$27="%w/w DM",(((G$28*10)*($B$28/100))*$B31),IF(G$27="kg/t SAR",(G$28*$B31),IF(G$27="kg/t DM",((G$28*($B$28/100))*$B31),IF(G$27="mg/kg SAR",((G$28*0.001)*$B31),IF(G$27="mg/kg DM",(((G$28*0.001)*($B$28/100))*$B31),0))))))</f>
        <v>9.1779999999999987E-2</v>
      </c>
      <c r="H31" s="2">
        <f t="shared" si="5"/>
        <v>0.53039999999999998</v>
      </c>
      <c r="I31" s="2">
        <f t="shared" si="5"/>
        <v>1.3000000000000001E-2</v>
      </c>
      <c r="J31" s="2">
        <f t="shared" si="5"/>
        <v>3.1199999999999999E-4</v>
      </c>
      <c r="K31" s="2">
        <f t="shared" si="5"/>
        <v>1.3000000000000002E-3</v>
      </c>
      <c r="L31" s="2">
        <f t="shared" si="5"/>
        <v>1.7524000000000001E-2</v>
      </c>
      <c r="M31" s="2">
        <f t="shared" si="5"/>
        <v>3.6920000000000001E-2</v>
      </c>
      <c r="N31" s="2">
        <f t="shared" si="5"/>
        <v>0</v>
      </c>
      <c r="O31" s="2">
        <f t="shared" si="5"/>
        <v>0</v>
      </c>
      <c r="P31" s="2">
        <f t="shared" si="5"/>
        <v>16.302</v>
      </c>
      <c r="Q31" s="2">
        <f>(IF(Q$27="%w/w SAR",((Q$28*10)*$B31),IF(Q$27="%w/w DM",(((Q$28*10)*($B$28/100))*$B31),IF(Q$27="kg/t SAR",(Q$28*$B31),IF(Q$27="kg/t DM",((Q$28*($B$28/100))*$B31),IF(Q$27="mg/kg SAR",((Q$28*0.001)*$B31),IF(Q$27="mg/kg DM",(((Q$28*0.001)*($B$28/100))*$B31),0)))))))*2.5</f>
        <v>30.810000000000002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26</v>
      </c>
      <c r="C32" s="2">
        <f t="shared" ref="C32:C50" si="6">IF(C$27="%w/w SAR",((C$28*10)*$B32),IF(C$27="%w/w DM",(((C$28*10)*($B$28/100))*$B32),IF(C$27="kg/t SAR",(C$28*$B32),IF(C$27="kg/t DM",((C$28*($B$28/100))*$B32),IF(C$27="mg/kg SAR",((C$28*0.001)*$B32),IF(C$27="mg/kg DM",(((C$28*0.001)*($B$28/100))*$B32),0))))))</f>
        <v>106.6</v>
      </c>
      <c r="D32" s="2">
        <f t="shared" ref="D32:D50" si="7">(IF(D$27="%w/w SAR",((D$28*10)*$B32),IF(D$27="%w/w DM",(((D$28*10)*($B$28/100))*$B32),IF(D$27="kg/t SAR",(D$28*$B32),IF(D$27="kg/t DM",((D$28*($B$28/100))*$B32),IF(D$27="mg/kg SAR",((D$28*0.001)*$B32),IF(D$27="mg/kg DM",(((D$28*0.001)*($B$28/100))*$B32),"0")))))))*2.291</f>
        <v>43.840575999999999</v>
      </c>
      <c r="E32" s="2">
        <f t="shared" ref="E32:E50" si="8">(IF(E$27="%w/w SAR",((E$28*10)*$B32),IF(E$27="%w/w DM",(((E$28*10)*($B$28/100))*$B32),IF(E$27="kg/t SAR",(E$28*$B32),IF(E$27="kg/t DM",((E$28*($B$28/100))*$B32),IF(E$27="mg/kg SAR",((E$28*0.001)*$B32),IF(E$27="mg/kg DM",(((E$28*0.001)*($B$28/100))*$B32),"0")))))))*1.205</f>
        <v>7.0492500000000007</v>
      </c>
      <c r="F32" s="2">
        <f t="shared" ref="F32:F50" si="9">(IF(F$27="%w/w SAR",((F$28*10)*$B32),IF(F$27="%w/w DM",(((F$28*10)*($B$28/100))*$B32),IF(F$27="kg/t SAR",(F$28*$B32),IF(F$27="kg/t DM",((F$28*($B$28/100))*$B32),IF(F$27="mg/kg SAR",((F$28*0.001)*$B32),IF(F$27="mg/kg DM",(((F$28*0.001)*($B$28/100))*$B32),"0")))))))*1.658</f>
        <v>8.0180880000000005</v>
      </c>
      <c r="G32" s="2">
        <f t="shared" si="5"/>
        <v>9.1779999999999987E-2</v>
      </c>
      <c r="H32" s="2">
        <f t="shared" si="5"/>
        <v>0.53039999999999998</v>
      </c>
      <c r="I32" s="2">
        <f t="shared" si="5"/>
        <v>1.3000000000000001E-2</v>
      </c>
      <c r="J32" s="2">
        <f t="shared" si="5"/>
        <v>3.1199999999999999E-4</v>
      </c>
      <c r="K32" s="2">
        <f t="shared" si="5"/>
        <v>1.3000000000000002E-3</v>
      </c>
      <c r="L32" s="2">
        <f t="shared" si="5"/>
        <v>1.7524000000000001E-2</v>
      </c>
      <c r="M32" s="2">
        <f t="shared" si="5"/>
        <v>3.6920000000000001E-2</v>
      </c>
      <c r="N32" s="2">
        <f t="shared" si="5"/>
        <v>0</v>
      </c>
      <c r="O32" s="2">
        <f t="shared" si="5"/>
        <v>0</v>
      </c>
      <c r="P32" s="2">
        <f t="shared" si="5"/>
        <v>16.302</v>
      </c>
      <c r="Q32" s="2">
        <f t="shared" ref="Q32:Q50" si="10">(IF(Q$27="%w/w SAR",((Q$28*10)*$B32),IF(Q$27="%w/w DM",(((Q$28*10)*($B$28/100))*$B32),IF(Q$27="kg/t SAR",(Q$28*$B32),IF(Q$27="kg/t DM",((Q$28*($B$28/100))*$B32),IF(Q$27="mg/kg SAR",((Q$28*0.001)*$B32),IF(Q$27="mg/kg DM",(((Q$28*0.001)*($B$28/100))*$B32),0)))))))*2.5</f>
        <v>30.810000000000002</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26</v>
      </c>
      <c r="C33" s="2">
        <f t="shared" si="6"/>
        <v>106.6</v>
      </c>
      <c r="D33" s="2">
        <f t="shared" si="7"/>
        <v>43.840575999999999</v>
      </c>
      <c r="E33" s="2">
        <f t="shared" si="8"/>
        <v>7.0492500000000007</v>
      </c>
      <c r="F33" s="2">
        <f t="shared" si="9"/>
        <v>8.0180880000000005</v>
      </c>
      <c r="G33" s="2">
        <f t="shared" si="5"/>
        <v>9.1779999999999987E-2</v>
      </c>
      <c r="H33" s="2">
        <f t="shared" si="5"/>
        <v>0.53039999999999998</v>
      </c>
      <c r="I33" s="2">
        <f t="shared" si="5"/>
        <v>1.3000000000000001E-2</v>
      </c>
      <c r="J33" s="2">
        <f t="shared" si="5"/>
        <v>3.1199999999999999E-4</v>
      </c>
      <c r="K33" s="2">
        <f t="shared" si="5"/>
        <v>1.3000000000000002E-3</v>
      </c>
      <c r="L33" s="2">
        <f t="shared" si="5"/>
        <v>1.7524000000000001E-2</v>
      </c>
      <c r="M33" s="2">
        <f t="shared" si="5"/>
        <v>3.6920000000000001E-2</v>
      </c>
      <c r="N33" s="2">
        <f t="shared" si="5"/>
        <v>0</v>
      </c>
      <c r="O33" s="2">
        <f t="shared" si="5"/>
        <v>0</v>
      </c>
      <c r="P33" s="2">
        <f t="shared" si="5"/>
        <v>16.302</v>
      </c>
      <c r="Q33" s="2">
        <f t="shared" si="10"/>
        <v>30.810000000000002</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26</v>
      </c>
      <c r="C34" s="2">
        <f t="shared" si="6"/>
        <v>106.6</v>
      </c>
      <c r="D34" s="2">
        <f t="shared" si="7"/>
        <v>43.840575999999999</v>
      </c>
      <c r="E34" s="2">
        <f t="shared" si="8"/>
        <v>7.0492500000000007</v>
      </c>
      <c r="F34" s="2">
        <f t="shared" si="9"/>
        <v>8.0180880000000005</v>
      </c>
      <c r="G34" s="2">
        <f t="shared" si="5"/>
        <v>9.1779999999999987E-2</v>
      </c>
      <c r="H34" s="2">
        <f t="shared" si="5"/>
        <v>0.53039999999999998</v>
      </c>
      <c r="I34" s="2">
        <f t="shared" si="5"/>
        <v>1.3000000000000001E-2</v>
      </c>
      <c r="J34" s="2">
        <f t="shared" si="5"/>
        <v>3.1199999999999999E-4</v>
      </c>
      <c r="K34" s="2">
        <f t="shared" si="5"/>
        <v>1.3000000000000002E-3</v>
      </c>
      <c r="L34" s="2">
        <f t="shared" si="5"/>
        <v>1.7524000000000001E-2</v>
      </c>
      <c r="M34" s="2">
        <f t="shared" si="5"/>
        <v>3.6920000000000001E-2</v>
      </c>
      <c r="N34" s="2">
        <f t="shared" si="5"/>
        <v>0</v>
      </c>
      <c r="O34" s="2">
        <f t="shared" si="5"/>
        <v>0</v>
      </c>
      <c r="P34" s="2">
        <f t="shared" si="5"/>
        <v>16.302</v>
      </c>
      <c r="Q34" s="2">
        <f t="shared" si="10"/>
        <v>30.810000000000002</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26</v>
      </c>
      <c r="C35" s="2">
        <f t="shared" si="6"/>
        <v>106.6</v>
      </c>
      <c r="D35" s="2">
        <f t="shared" si="7"/>
        <v>43.840575999999999</v>
      </c>
      <c r="E35" s="2">
        <f t="shared" si="8"/>
        <v>7.0492500000000007</v>
      </c>
      <c r="F35" s="2">
        <f t="shared" si="9"/>
        <v>8.0180880000000005</v>
      </c>
      <c r="G35" s="2">
        <f t="shared" si="5"/>
        <v>9.1779999999999987E-2</v>
      </c>
      <c r="H35" s="2">
        <f t="shared" si="5"/>
        <v>0.53039999999999998</v>
      </c>
      <c r="I35" s="2">
        <f t="shared" si="5"/>
        <v>1.3000000000000001E-2</v>
      </c>
      <c r="J35" s="2">
        <f t="shared" si="5"/>
        <v>3.1199999999999999E-4</v>
      </c>
      <c r="K35" s="2">
        <f t="shared" si="5"/>
        <v>1.3000000000000002E-3</v>
      </c>
      <c r="L35" s="2">
        <f t="shared" si="5"/>
        <v>1.7524000000000001E-2</v>
      </c>
      <c r="M35" s="2">
        <f t="shared" si="5"/>
        <v>3.6920000000000001E-2</v>
      </c>
      <c r="N35" s="2">
        <f t="shared" si="5"/>
        <v>0</v>
      </c>
      <c r="O35" s="2">
        <f t="shared" si="5"/>
        <v>0</v>
      </c>
      <c r="P35" s="2">
        <f t="shared" si="5"/>
        <v>16.302</v>
      </c>
      <c r="Q35" s="2">
        <f t="shared" si="10"/>
        <v>30.810000000000002</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26</v>
      </c>
      <c r="C36" s="2">
        <f t="shared" si="6"/>
        <v>106.6</v>
      </c>
      <c r="D36" s="2">
        <f t="shared" si="7"/>
        <v>43.840575999999999</v>
      </c>
      <c r="E36" s="2">
        <f t="shared" si="8"/>
        <v>7.0492500000000007</v>
      </c>
      <c r="F36" s="2">
        <f t="shared" si="9"/>
        <v>8.0180880000000005</v>
      </c>
      <c r="G36" s="2">
        <f t="shared" si="5"/>
        <v>9.1779999999999987E-2</v>
      </c>
      <c r="H36" s="2">
        <f t="shared" si="5"/>
        <v>0.53039999999999998</v>
      </c>
      <c r="I36" s="2">
        <f t="shared" si="5"/>
        <v>1.3000000000000001E-2</v>
      </c>
      <c r="J36" s="2">
        <f t="shared" si="5"/>
        <v>3.1199999999999999E-4</v>
      </c>
      <c r="K36" s="2">
        <f t="shared" si="5"/>
        <v>1.3000000000000002E-3</v>
      </c>
      <c r="L36" s="2">
        <f t="shared" si="5"/>
        <v>1.7524000000000001E-2</v>
      </c>
      <c r="M36" s="2">
        <f t="shared" si="5"/>
        <v>3.6920000000000001E-2</v>
      </c>
      <c r="N36" s="2">
        <f t="shared" si="5"/>
        <v>0</v>
      </c>
      <c r="O36" s="2">
        <f t="shared" si="5"/>
        <v>0</v>
      </c>
      <c r="P36" s="2">
        <f t="shared" si="5"/>
        <v>16.302</v>
      </c>
      <c r="Q36" s="2">
        <f t="shared" si="10"/>
        <v>30.810000000000002</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26</v>
      </c>
      <c r="C37" s="2">
        <f t="shared" si="6"/>
        <v>106.6</v>
      </c>
      <c r="D37" s="2">
        <f t="shared" si="7"/>
        <v>43.840575999999999</v>
      </c>
      <c r="E37" s="2">
        <f t="shared" si="8"/>
        <v>7.0492500000000007</v>
      </c>
      <c r="F37" s="2">
        <f t="shared" si="9"/>
        <v>8.0180880000000005</v>
      </c>
      <c r="G37" s="2">
        <f t="shared" si="5"/>
        <v>9.1779999999999987E-2</v>
      </c>
      <c r="H37" s="2">
        <f t="shared" si="5"/>
        <v>0.53039999999999998</v>
      </c>
      <c r="I37" s="2">
        <f t="shared" si="5"/>
        <v>1.3000000000000001E-2</v>
      </c>
      <c r="J37" s="2">
        <f t="shared" si="5"/>
        <v>3.1199999999999999E-4</v>
      </c>
      <c r="K37" s="2">
        <f t="shared" si="5"/>
        <v>1.3000000000000002E-3</v>
      </c>
      <c r="L37" s="2">
        <f t="shared" si="5"/>
        <v>1.7524000000000001E-2</v>
      </c>
      <c r="M37" s="2">
        <f t="shared" si="5"/>
        <v>3.6920000000000001E-2</v>
      </c>
      <c r="N37" s="2">
        <f t="shared" si="5"/>
        <v>0</v>
      </c>
      <c r="O37" s="2">
        <f t="shared" si="5"/>
        <v>0</v>
      </c>
      <c r="P37" s="2">
        <f t="shared" si="5"/>
        <v>16.302</v>
      </c>
      <c r="Q37" s="2">
        <f t="shared" si="10"/>
        <v>30.810000000000002</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26</v>
      </c>
      <c r="C38" s="2">
        <f t="shared" si="6"/>
        <v>106.6</v>
      </c>
      <c r="D38" s="2">
        <f t="shared" si="7"/>
        <v>43.840575999999999</v>
      </c>
      <c r="E38" s="2">
        <f t="shared" si="8"/>
        <v>7.0492500000000007</v>
      </c>
      <c r="F38" s="2">
        <f t="shared" si="9"/>
        <v>8.0180880000000005</v>
      </c>
      <c r="G38" s="2">
        <f t="shared" si="5"/>
        <v>9.1779999999999987E-2</v>
      </c>
      <c r="H38" s="2">
        <f t="shared" si="5"/>
        <v>0.53039999999999998</v>
      </c>
      <c r="I38" s="2">
        <f t="shared" si="5"/>
        <v>1.3000000000000001E-2</v>
      </c>
      <c r="J38" s="2">
        <f t="shared" si="5"/>
        <v>3.1199999999999999E-4</v>
      </c>
      <c r="K38" s="2">
        <f t="shared" si="5"/>
        <v>1.3000000000000002E-3</v>
      </c>
      <c r="L38" s="2">
        <f t="shared" si="5"/>
        <v>1.7524000000000001E-2</v>
      </c>
      <c r="M38" s="2">
        <f t="shared" si="5"/>
        <v>3.6920000000000001E-2</v>
      </c>
      <c r="N38" s="2">
        <f t="shared" si="5"/>
        <v>0</v>
      </c>
      <c r="O38" s="2">
        <f t="shared" si="5"/>
        <v>0</v>
      </c>
      <c r="P38" s="2">
        <f t="shared" si="5"/>
        <v>16.302</v>
      </c>
      <c r="Q38" s="2">
        <f t="shared" si="10"/>
        <v>30.810000000000002</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26</v>
      </c>
      <c r="C39" s="2">
        <f t="shared" si="6"/>
        <v>106.6</v>
      </c>
      <c r="D39" s="2">
        <f t="shared" si="7"/>
        <v>43.840575999999999</v>
      </c>
      <c r="E39" s="2">
        <f t="shared" si="8"/>
        <v>7.0492500000000007</v>
      </c>
      <c r="F39" s="2">
        <f t="shared" si="9"/>
        <v>8.0180880000000005</v>
      </c>
      <c r="G39" s="2">
        <f t="shared" si="5"/>
        <v>9.1779999999999987E-2</v>
      </c>
      <c r="H39" s="2">
        <f t="shared" si="5"/>
        <v>0.53039999999999998</v>
      </c>
      <c r="I39" s="2">
        <f t="shared" si="5"/>
        <v>1.3000000000000001E-2</v>
      </c>
      <c r="J39" s="2">
        <f t="shared" si="5"/>
        <v>3.1199999999999999E-4</v>
      </c>
      <c r="K39" s="2">
        <f t="shared" si="5"/>
        <v>1.3000000000000002E-3</v>
      </c>
      <c r="L39" s="2">
        <f t="shared" si="5"/>
        <v>1.7524000000000001E-2</v>
      </c>
      <c r="M39" s="2">
        <f t="shared" si="5"/>
        <v>3.6920000000000001E-2</v>
      </c>
      <c r="N39" s="2">
        <f t="shared" si="5"/>
        <v>0</v>
      </c>
      <c r="O39" s="2">
        <f t="shared" si="5"/>
        <v>0</v>
      </c>
      <c r="P39" s="2">
        <f t="shared" si="5"/>
        <v>16.302</v>
      </c>
      <c r="Q39" s="2">
        <f t="shared" si="10"/>
        <v>30.810000000000002</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26</v>
      </c>
      <c r="C40" s="2">
        <f t="shared" si="6"/>
        <v>106.6</v>
      </c>
      <c r="D40" s="2">
        <f t="shared" si="7"/>
        <v>43.840575999999999</v>
      </c>
      <c r="E40" s="2">
        <f t="shared" si="8"/>
        <v>7.0492500000000007</v>
      </c>
      <c r="F40" s="2">
        <f t="shared" si="9"/>
        <v>8.0180880000000005</v>
      </c>
      <c r="G40" s="2">
        <f t="shared" si="5"/>
        <v>9.1779999999999987E-2</v>
      </c>
      <c r="H40" s="2">
        <f t="shared" si="5"/>
        <v>0.53039999999999998</v>
      </c>
      <c r="I40" s="2">
        <f t="shared" si="5"/>
        <v>1.3000000000000001E-2</v>
      </c>
      <c r="J40" s="2">
        <f t="shared" si="5"/>
        <v>3.1199999999999999E-4</v>
      </c>
      <c r="K40" s="2">
        <f t="shared" si="5"/>
        <v>1.3000000000000002E-3</v>
      </c>
      <c r="L40" s="2">
        <f t="shared" si="5"/>
        <v>1.7524000000000001E-2</v>
      </c>
      <c r="M40" s="2">
        <f t="shared" si="5"/>
        <v>3.6920000000000001E-2</v>
      </c>
      <c r="N40" s="2">
        <f t="shared" si="5"/>
        <v>0</v>
      </c>
      <c r="O40" s="2">
        <f t="shared" si="5"/>
        <v>0</v>
      </c>
      <c r="P40" s="2">
        <f t="shared" si="5"/>
        <v>16.302</v>
      </c>
      <c r="Q40" s="2">
        <f t="shared" si="10"/>
        <v>30.810000000000002</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26</v>
      </c>
      <c r="C41" s="2">
        <f t="shared" si="6"/>
        <v>106.6</v>
      </c>
      <c r="D41" s="2">
        <f t="shared" si="7"/>
        <v>43.840575999999999</v>
      </c>
      <c r="E41" s="2">
        <f t="shared" si="8"/>
        <v>7.0492500000000007</v>
      </c>
      <c r="F41" s="2">
        <f t="shared" si="9"/>
        <v>8.0180880000000005</v>
      </c>
      <c r="G41" s="2">
        <f t="shared" si="5"/>
        <v>9.1779999999999987E-2</v>
      </c>
      <c r="H41" s="2">
        <f t="shared" si="5"/>
        <v>0.53039999999999998</v>
      </c>
      <c r="I41" s="2">
        <f t="shared" si="5"/>
        <v>1.3000000000000001E-2</v>
      </c>
      <c r="J41" s="2">
        <f t="shared" si="5"/>
        <v>3.1199999999999999E-4</v>
      </c>
      <c r="K41" s="2">
        <f t="shared" si="5"/>
        <v>1.3000000000000002E-3</v>
      </c>
      <c r="L41" s="2">
        <f t="shared" si="5"/>
        <v>1.7524000000000001E-2</v>
      </c>
      <c r="M41" s="2">
        <f t="shared" si="5"/>
        <v>3.6920000000000001E-2</v>
      </c>
      <c r="N41" s="2">
        <f t="shared" si="5"/>
        <v>0</v>
      </c>
      <c r="O41" s="2">
        <f t="shared" si="5"/>
        <v>0</v>
      </c>
      <c r="P41" s="2">
        <f t="shared" si="5"/>
        <v>16.302</v>
      </c>
      <c r="Q41" s="2">
        <f t="shared" si="10"/>
        <v>30.810000000000002</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26</v>
      </c>
      <c r="C42" s="2">
        <f t="shared" si="6"/>
        <v>106.6</v>
      </c>
      <c r="D42" s="2">
        <f t="shared" si="7"/>
        <v>43.840575999999999</v>
      </c>
      <c r="E42" s="2">
        <f t="shared" si="8"/>
        <v>7.0492500000000007</v>
      </c>
      <c r="F42" s="2">
        <f t="shared" si="9"/>
        <v>8.0180880000000005</v>
      </c>
      <c r="G42" s="2">
        <f t="shared" si="5"/>
        <v>9.1779999999999987E-2</v>
      </c>
      <c r="H42" s="2">
        <f t="shared" si="5"/>
        <v>0.53039999999999998</v>
      </c>
      <c r="I42" s="2">
        <f t="shared" si="5"/>
        <v>1.3000000000000001E-2</v>
      </c>
      <c r="J42" s="2">
        <f t="shared" si="5"/>
        <v>3.1199999999999999E-4</v>
      </c>
      <c r="K42" s="2">
        <f t="shared" si="5"/>
        <v>1.3000000000000002E-3</v>
      </c>
      <c r="L42" s="2">
        <f t="shared" si="5"/>
        <v>1.7524000000000001E-2</v>
      </c>
      <c r="M42" s="2">
        <f t="shared" si="5"/>
        <v>3.6920000000000001E-2</v>
      </c>
      <c r="N42" s="2">
        <f t="shared" si="5"/>
        <v>0</v>
      </c>
      <c r="O42" s="2">
        <f t="shared" si="5"/>
        <v>0</v>
      </c>
      <c r="P42" s="2">
        <f t="shared" si="5"/>
        <v>16.302</v>
      </c>
      <c r="Q42" s="2">
        <f t="shared" si="10"/>
        <v>30.810000000000002</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26</v>
      </c>
      <c r="C43" s="2">
        <f t="shared" si="6"/>
        <v>106.6</v>
      </c>
      <c r="D43" s="2">
        <f t="shared" si="7"/>
        <v>43.840575999999999</v>
      </c>
      <c r="E43" s="2">
        <f t="shared" si="8"/>
        <v>7.0492500000000007</v>
      </c>
      <c r="F43" s="2">
        <f t="shared" si="9"/>
        <v>8.0180880000000005</v>
      </c>
      <c r="G43" s="2">
        <f t="shared" si="5"/>
        <v>9.1779999999999987E-2</v>
      </c>
      <c r="H43" s="2">
        <f t="shared" si="5"/>
        <v>0.53039999999999998</v>
      </c>
      <c r="I43" s="2">
        <f t="shared" si="5"/>
        <v>1.3000000000000001E-2</v>
      </c>
      <c r="J43" s="2">
        <f t="shared" si="5"/>
        <v>3.1199999999999999E-4</v>
      </c>
      <c r="K43" s="2">
        <f t="shared" si="5"/>
        <v>1.3000000000000002E-3</v>
      </c>
      <c r="L43" s="2">
        <f t="shared" si="5"/>
        <v>1.7524000000000001E-2</v>
      </c>
      <c r="M43" s="2">
        <f t="shared" si="5"/>
        <v>3.6920000000000001E-2</v>
      </c>
      <c r="N43" s="2">
        <f t="shared" si="5"/>
        <v>0</v>
      </c>
      <c r="O43" s="2">
        <f t="shared" si="5"/>
        <v>0</v>
      </c>
      <c r="P43" s="2">
        <f t="shared" si="5"/>
        <v>16.302</v>
      </c>
      <c r="Q43" s="2">
        <f t="shared" si="10"/>
        <v>30.810000000000002</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Arable</v>
      </c>
      <c r="C58" s="44" t="str">
        <f>D16&amp;" I "&amp;(VLOOKUP(D14,Table24581113[],6,FALSE))</f>
        <v>Medium/Clay I Arable</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Arable</v>
      </c>
      <c r="N58" s="21" t="str">
        <f>O16&amp;" I "&amp;(VLOOKUP(O14,Table24581113[],6,FALSE))</f>
        <v>Medium/Clay I Arable</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6.7</v>
      </c>
      <c r="C59" s="93">
        <f>VLOOKUP(D$14,Table24581113[],5,FALSE)</f>
        <v>6.7</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f>VLOOKUP(N$14,Table24581113[],5,FALSE)</f>
        <v>6.7</v>
      </c>
      <c r="N59" s="93">
        <f>VLOOKUP(O$14,Table24581113[],5,FALSE)</f>
        <v>6.7</v>
      </c>
      <c r="O59" s="93" t="e">
        <f>VLOOKUP(P$14,Table24581113[],5,FALSE)</f>
        <v>#N/A</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26</v>
      </c>
      <c r="C62" s="94">
        <f>B32</f>
        <v>26</v>
      </c>
      <c r="D62" s="94">
        <f>B33</f>
        <v>26</v>
      </c>
      <c r="E62" s="94">
        <f>B34</f>
        <v>26</v>
      </c>
      <c r="F62" s="94">
        <f>B35</f>
        <v>26</v>
      </c>
      <c r="G62" s="94">
        <f>B36</f>
        <v>26</v>
      </c>
      <c r="H62" s="94">
        <f>B37</f>
        <v>26</v>
      </c>
      <c r="I62" s="94">
        <f>B38</f>
        <v>26</v>
      </c>
      <c r="J62" s="94">
        <f>B39</f>
        <v>26</v>
      </c>
      <c r="K62" s="94">
        <f>B40</f>
        <v>26</v>
      </c>
      <c r="L62" s="94">
        <f>B41</f>
        <v>26</v>
      </c>
      <c r="M62" s="94">
        <f>B42</f>
        <v>26</v>
      </c>
      <c r="N62" s="94">
        <f>B43</f>
        <v>26</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tabSelected="1" zoomScale="90" zoomScaleNormal="90" workbookViewId="0">
      <selection activeCell="B44" sqref="B4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4.0199999999999996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169</v>
      </c>
      <c r="G2" s="108" t="s">
        <v>107</v>
      </c>
      <c r="H2" s="109"/>
      <c r="I2" s="35">
        <v>611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34.250450000000001</v>
      </c>
      <c r="D18" s="24">
        <f>$D32</f>
        <v>34.250450000000001</v>
      </c>
      <c r="E18" s="24">
        <f>$D33</f>
        <v>34.250450000000001</v>
      </c>
      <c r="F18" s="24">
        <f>$D34</f>
        <v>34.250450000000001</v>
      </c>
      <c r="G18" s="24">
        <f>$D35</f>
        <v>34.250450000000001</v>
      </c>
      <c r="H18" s="24">
        <f>$D36</f>
        <v>34.250450000000001</v>
      </c>
      <c r="I18" s="24">
        <f>$D37</f>
        <v>34.250450000000001</v>
      </c>
      <c r="J18" s="24">
        <f>$D38</f>
        <v>34.250450000000001</v>
      </c>
      <c r="K18" s="24">
        <f>$D39</f>
        <v>34.250450000000001</v>
      </c>
      <c r="L18" s="24">
        <f>$D40</f>
        <v>34.250450000000001</v>
      </c>
      <c r="M18" s="24">
        <f>$D41</f>
        <v>0</v>
      </c>
      <c r="N18" s="24">
        <f>$D42</f>
        <v>34.250450000000001</v>
      </c>
      <c r="O18" s="24">
        <f>$D43</f>
        <v>34.250450000000001</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-12.499549999999999</v>
      </c>
      <c r="D19" s="24">
        <f t="shared" ref="D19:V19" si="1">D18-D17</f>
        <v>-12.499549999999999</v>
      </c>
      <c r="E19" s="24">
        <f t="shared" si="1"/>
        <v>-30.349549999999994</v>
      </c>
      <c r="F19" s="24">
        <f t="shared" si="1"/>
        <v>-30.349549999999994</v>
      </c>
      <c r="G19" s="24">
        <f t="shared" si="1"/>
        <v>-30.349549999999994</v>
      </c>
      <c r="H19" s="24">
        <f t="shared" si="1"/>
        <v>-30.349549999999994</v>
      </c>
      <c r="I19" s="24">
        <f t="shared" si="1"/>
        <v>-30.349549999999994</v>
      </c>
      <c r="J19" s="24">
        <f t="shared" si="1"/>
        <v>-30.349549999999994</v>
      </c>
      <c r="K19" s="24">
        <f t="shared" si="1"/>
        <v>-30.349549999999994</v>
      </c>
      <c r="L19" s="24">
        <f t="shared" si="1"/>
        <v>-30.349549999999994</v>
      </c>
      <c r="M19" s="24">
        <f t="shared" si="1"/>
        <v>-64.599999999999994</v>
      </c>
      <c r="N19" s="24">
        <f t="shared" si="1"/>
        <v>-12.499549999999999</v>
      </c>
      <c r="O19" s="24">
        <f t="shared" si="1"/>
        <v>-12.499549999999999</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24.130125</v>
      </c>
      <c r="D22" s="24">
        <f>$E32</f>
        <v>24.130125</v>
      </c>
      <c r="E22" s="24">
        <f>$E33</f>
        <v>24.130125</v>
      </c>
      <c r="F22" s="24">
        <f>$E34</f>
        <v>24.130125</v>
      </c>
      <c r="G22" s="24">
        <f>$E35</f>
        <v>24.130125</v>
      </c>
      <c r="H22" s="24">
        <f>$E36</f>
        <v>24.130125</v>
      </c>
      <c r="I22" s="24">
        <f>$E37</f>
        <v>24.130125</v>
      </c>
      <c r="J22" s="24">
        <f>$E38</f>
        <v>24.130125</v>
      </c>
      <c r="K22" s="24">
        <f>$E39</f>
        <v>24.130125</v>
      </c>
      <c r="L22" s="24">
        <f>$E40</f>
        <v>24.130125</v>
      </c>
      <c r="M22" s="24">
        <f>$E41</f>
        <v>0</v>
      </c>
      <c r="N22" s="24">
        <f>$E42</f>
        <v>24.130125</v>
      </c>
      <c r="O22" s="24">
        <f>$E43</f>
        <v>24.130125</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-41.869875</v>
      </c>
      <c r="D23" s="24">
        <f t="shared" ref="D23:V23" si="3">D22-D21</f>
        <v>-41.869875</v>
      </c>
      <c r="E23" s="24">
        <f t="shared" si="3"/>
        <v>-203.86987500000001</v>
      </c>
      <c r="F23" s="24">
        <f t="shared" si="3"/>
        <v>-203.86987500000001</v>
      </c>
      <c r="G23" s="24">
        <f t="shared" si="3"/>
        <v>-203.86987500000001</v>
      </c>
      <c r="H23" s="24">
        <f t="shared" si="3"/>
        <v>-203.86987500000001</v>
      </c>
      <c r="I23" s="24">
        <f t="shared" si="3"/>
        <v>-203.86987500000001</v>
      </c>
      <c r="J23" s="24">
        <f t="shared" si="3"/>
        <v>-203.86987500000001</v>
      </c>
      <c r="K23" s="24">
        <f t="shared" si="3"/>
        <v>-203.86987500000001</v>
      </c>
      <c r="L23" s="24">
        <f t="shared" si="3"/>
        <v>-203.86987500000001</v>
      </c>
      <c r="M23" s="24">
        <f t="shared" si="3"/>
        <v>-228</v>
      </c>
      <c r="N23" s="24">
        <f t="shared" si="3"/>
        <v>-41.869875</v>
      </c>
      <c r="O23" s="24">
        <f t="shared" si="3"/>
        <v>-41.869875</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4.0199999999999996</v>
      </c>
      <c r="C28" s="23">
        <v>0.06</v>
      </c>
      <c r="D28" s="23">
        <v>59.8</v>
      </c>
      <c r="E28" s="23">
        <v>80.099999999999994</v>
      </c>
      <c r="F28" s="23">
        <v>25.2</v>
      </c>
      <c r="G28" s="23">
        <v>0.2</v>
      </c>
      <c r="H28" s="23">
        <v>0.96399999999999997</v>
      </c>
      <c r="I28" s="23">
        <v>0.5</v>
      </c>
      <c r="J28" s="23">
        <v>0.01</v>
      </c>
      <c r="K28" s="30">
        <v>0.05</v>
      </c>
      <c r="L28" s="23">
        <v>0.2</v>
      </c>
      <c r="M28" s="23">
        <v>0.45500000000000002</v>
      </c>
      <c r="N28" s="23"/>
      <c r="O28" s="23"/>
      <c r="P28" s="23">
        <v>311</v>
      </c>
      <c r="Q28" s="23">
        <v>103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250</v>
      </c>
      <c r="C31" s="2">
        <f>IF(C$27="%w/w SAR",((C$28*10)*$B31),IF(C$27="%w/w DM",(((C$28*10)*($B$28/100))*$B31),IF(C$27="kg/t SAR",(C$28*$B31),IF(C$27="kg/t DM",((C$28*($B$28/100))*$B31),IF(C$27="mg/kg SAR",((C$28*0.001)*$B31),IF(C$27="mg/kg DM",(((C$28*0.001)*($B$28/100))*$B31),0))))))</f>
        <v>150</v>
      </c>
      <c r="D31" s="2">
        <f>(IF(D$27="%w/w SAR",((D$28*10)*$B31),IF(D$27="%w/w DM",(((D$28*10)*($B$28/100))*$B31),IF(D$27="kg/t SAR",(D$28*$B31),IF(D$27="kg/t DM",((D$28*($B$28/100))*$B31),IF(D$27="mg/kg SAR",((D$28*0.001)*$B31),IF(D$27="mg/kg DM",(((D$28*0.001)*($B$28/100))*$B31),"0")))))))*2.291</f>
        <v>34.250450000000001</v>
      </c>
      <c r="E31" s="2">
        <f>(IF(E$27="%w/w SAR",((E$28*10)*$B31),IF(E$27="%w/w DM",(((E$28*10)*($B$28/100))*$B31),IF(E$27="kg/t SAR",(E$28*$B31),IF(E$27="kg/t DM",((E$28*($B$28/100))*$B31),IF(E$27="mg/kg SAR",((E$28*0.001)*$B31),IF(E$27="mg/kg DM",(((E$28*0.001)*($B$28/100))*$B31),"0")))))))*1.205</f>
        <v>24.130125</v>
      </c>
      <c r="F31" s="2">
        <f>(IF(F$27="%w/w SAR",((F$28*10)*$B31),IF(F$27="%w/w DM",(((F$28*10)*($B$28/100))*$B31),IF(F$27="kg/t SAR",(F$28*$B31),IF(F$27="kg/t DM",((F$28*($B$28/100))*$B31),IF(F$27="mg/kg SAR",((F$28*0.001)*$B31),IF(F$27="mg/kg DM",(((F$28*0.001)*($B$28/100))*$B31),"0")))))))*1.658</f>
        <v>10.445399999999999</v>
      </c>
      <c r="G31" s="2">
        <f t="shared" ref="G31:P46" si="5">IF(G$27="%w/w SAR",((G$28*10)*$B31),IF(G$27="%w/w DM",(((G$28*10)*($B$28/100))*$B31),IF(G$27="kg/t SAR",(G$28*$B31),IF(G$27="kg/t DM",((G$28*($B$28/100))*$B31),IF(G$27="mg/kg SAR",((G$28*0.001)*$B31),IF(G$27="mg/kg DM",(((G$28*0.001)*($B$28/100))*$B31),0))))))</f>
        <v>0.05</v>
      </c>
      <c r="H31" s="2">
        <f t="shared" si="5"/>
        <v>0.24099999999999999</v>
      </c>
      <c r="I31" s="2">
        <f t="shared" si="5"/>
        <v>0.125</v>
      </c>
      <c r="J31" s="2">
        <f t="shared" si="5"/>
        <v>2.5000000000000001E-3</v>
      </c>
      <c r="K31" s="2">
        <f t="shared" si="5"/>
        <v>1.2500000000000001E-2</v>
      </c>
      <c r="L31" s="2">
        <f t="shared" si="5"/>
        <v>0.05</v>
      </c>
      <c r="M31" s="2">
        <f t="shared" si="5"/>
        <v>0.11375</v>
      </c>
      <c r="N31" s="2">
        <f t="shared" si="5"/>
        <v>0</v>
      </c>
      <c r="O31" s="2">
        <f t="shared" si="5"/>
        <v>0</v>
      </c>
      <c r="P31" s="2">
        <f t="shared" si="5"/>
        <v>77.75</v>
      </c>
      <c r="Q31" s="2">
        <f>(IF(Q$27="%w/w SAR",((Q$28*10)*$B31),IF(Q$27="%w/w DM",(((Q$28*10)*($B$28/100))*$B31),IF(Q$27="kg/t SAR",(Q$28*$B31),IF(Q$27="kg/t DM",((Q$28*($B$28/100))*$B31),IF(Q$27="mg/kg SAR",((Q$28*0.001)*$B31),IF(Q$27="mg/kg DM",(((Q$28*0.001)*($B$28/100))*$B31),0)))))))*2.5</f>
        <v>64.375000000000014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250</v>
      </c>
      <c r="C32" s="2">
        <f t="shared" ref="C32:C50" si="6">IF(C$27="%w/w SAR",((C$28*10)*$B32),IF(C$27="%w/w DM",(((C$28*10)*($B$28/100))*$B32),IF(C$27="kg/t SAR",(C$28*$B32),IF(C$27="kg/t DM",((C$28*($B$28/100))*$B32),IF(C$27="mg/kg SAR",((C$28*0.001)*$B32),IF(C$27="mg/kg DM",(((C$28*0.001)*($B$28/100))*$B32),0))))))</f>
        <v>150</v>
      </c>
      <c r="D32" s="2">
        <f t="shared" ref="D32:D50" si="7">(IF(D$27="%w/w SAR",((D$28*10)*$B32),IF(D$27="%w/w DM",(((D$28*10)*($B$28/100))*$B32),IF(D$27="kg/t SAR",(D$28*$B32),IF(D$27="kg/t DM",((D$28*($B$28/100))*$B32),IF(D$27="mg/kg SAR",((D$28*0.001)*$B32),IF(D$27="mg/kg DM",(((D$28*0.001)*($B$28/100))*$B32),"0")))))))*2.291</f>
        <v>34.250450000000001</v>
      </c>
      <c r="E32" s="2">
        <f t="shared" ref="E32:E50" si="8">(IF(E$27="%w/w SAR",((E$28*10)*$B32),IF(E$27="%w/w DM",(((E$28*10)*($B$28/100))*$B32),IF(E$27="kg/t SAR",(E$28*$B32),IF(E$27="kg/t DM",((E$28*($B$28/100))*$B32),IF(E$27="mg/kg SAR",((E$28*0.001)*$B32),IF(E$27="mg/kg DM",(((E$28*0.001)*($B$28/100))*$B32),"0")))))))*1.205</f>
        <v>24.130125</v>
      </c>
      <c r="F32" s="2">
        <f t="shared" ref="F32:F50" si="9">(IF(F$27="%w/w SAR",((F$28*10)*$B32),IF(F$27="%w/w DM",(((F$28*10)*($B$28/100))*$B32),IF(F$27="kg/t SAR",(F$28*$B32),IF(F$27="kg/t DM",((F$28*($B$28/100))*$B32),IF(F$27="mg/kg SAR",((F$28*0.001)*$B32),IF(F$27="mg/kg DM",(((F$28*0.001)*($B$28/100))*$B32),"0")))))))*1.658</f>
        <v>10.445399999999999</v>
      </c>
      <c r="G32" s="2">
        <f t="shared" si="5"/>
        <v>0.05</v>
      </c>
      <c r="H32" s="2">
        <f t="shared" si="5"/>
        <v>0.24099999999999999</v>
      </c>
      <c r="I32" s="2">
        <f t="shared" si="5"/>
        <v>0.125</v>
      </c>
      <c r="J32" s="2">
        <f t="shared" si="5"/>
        <v>2.5000000000000001E-3</v>
      </c>
      <c r="K32" s="2">
        <f t="shared" si="5"/>
        <v>1.2500000000000001E-2</v>
      </c>
      <c r="L32" s="2">
        <f t="shared" si="5"/>
        <v>0.05</v>
      </c>
      <c r="M32" s="2">
        <f t="shared" si="5"/>
        <v>0.11375</v>
      </c>
      <c r="N32" s="2">
        <f t="shared" si="5"/>
        <v>0</v>
      </c>
      <c r="O32" s="2">
        <f t="shared" si="5"/>
        <v>0</v>
      </c>
      <c r="P32" s="2">
        <f t="shared" si="5"/>
        <v>77.75</v>
      </c>
      <c r="Q32" s="2">
        <f t="shared" ref="Q32:Q50" si="10">(IF(Q$27="%w/w SAR",((Q$28*10)*$B32),IF(Q$27="%w/w DM",(((Q$28*10)*($B$28/100))*$B32),IF(Q$27="kg/t SAR",(Q$28*$B32),IF(Q$27="kg/t DM",((Q$28*($B$28/100))*$B32),IF(Q$27="mg/kg SAR",((Q$28*0.001)*$B32),IF(Q$27="mg/kg DM",(((Q$28*0.001)*($B$28/100))*$B32),0)))))))*2.5</f>
        <v>64.375000000000014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250</v>
      </c>
      <c r="C33" s="2">
        <f t="shared" si="6"/>
        <v>150</v>
      </c>
      <c r="D33" s="2">
        <f t="shared" si="7"/>
        <v>34.250450000000001</v>
      </c>
      <c r="E33" s="2">
        <f t="shared" si="8"/>
        <v>24.130125</v>
      </c>
      <c r="F33" s="2">
        <f t="shared" si="9"/>
        <v>10.445399999999999</v>
      </c>
      <c r="G33" s="2">
        <f t="shared" si="5"/>
        <v>0.05</v>
      </c>
      <c r="H33" s="2">
        <f t="shared" si="5"/>
        <v>0.24099999999999999</v>
      </c>
      <c r="I33" s="2">
        <f t="shared" si="5"/>
        <v>0.125</v>
      </c>
      <c r="J33" s="2">
        <f t="shared" si="5"/>
        <v>2.5000000000000001E-3</v>
      </c>
      <c r="K33" s="2">
        <f t="shared" si="5"/>
        <v>1.2500000000000001E-2</v>
      </c>
      <c r="L33" s="2">
        <f t="shared" si="5"/>
        <v>0.05</v>
      </c>
      <c r="M33" s="2">
        <f t="shared" si="5"/>
        <v>0.11375</v>
      </c>
      <c r="N33" s="2">
        <f t="shared" si="5"/>
        <v>0</v>
      </c>
      <c r="O33" s="2">
        <f t="shared" si="5"/>
        <v>0</v>
      </c>
      <c r="P33" s="2">
        <f t="shared" si="5"/>
        <v>77.75</v>
      </c>
      <c r="Q33" s="2">
        <f t="shared" si="10"/>
        <v>64.375000000000014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250</v>
      </c>
      <c r="C34" s="2">
        <f t="shared" si="6"/>
        <v>150</v>
      </c>
      <c r="D34" s="2">
        <f t="shared" si="7"/>
        <v>34.250450000000001</v>
      </c>
      <c r="E34" s="2">
        <f t="shared" si="8"/>
        <v>24.130125</v>
      </c>
      <c r="F34" s="2">
        <f t="shared" si="9"/>
        <v>10.445399999999999</v>
      </c>
      <c r="G34" s="2">
        <f t="shared" si="5"/>
        <v>0.05</v>
      </c>
      <c r="H34" s="2">
        <f t="shared" si="5"/>
        <v>0.24099999999999999</v>
      </c>
      <c r="I34" s="2">
        <f t="shared" si="5"/>
        <v>0.125</v>
      </c>
      <c r="J34" s="2">
        <f t="shared" si="5"/>
        <v>2.5000000000000001E-3</v>
      </c>
      <c r="K34" s="2">
        <f t="shared" si="5"/>
        <v>1.2500000000000001E-2</v>
      </c>
      <c r="L34" s="2">
        <f t="shared" si="5"/>
        <v>0.05</v>
      </c>
      <c r="M34" s="2">
        <f t="shared" si="5"/>
        <v>0.11375</v>
      </c>
      <c r="N34" s="2">
        <f t="shared" si="5"/>
        <v>0</v>
      </c>
      <c r="O34" s="2">
        <f t="shared" si="5"/>
        <v>0</v>
      </c>
      <c r="P34" s="2">
        <f t="shared" si="5"/>
        <v>77.75</v>
      </c>
      <c r="Q34" s="2">
        <f t="shared" si="10"/>
        <v>64.375000000000014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250</v>
      </c>
      <c r="C35" s="2">
        <f t="shared" si="6"/>
        <v>150</v>
      </c>
      <c r="D35" s="2">
        <f t="shared" si="7"/>
        <v>34.250450000000001</v>
      </c>
      <c r="E35" s="2">
        <f t="shared" si="8"/>
        <v>24.130125</v>
      </c>
      <c r="F35" s="2">
        <f t="shared" si="9"/>
        <v>10.445399999999999</v>
      </c>
      <c r="G35" s="2">
        <f t="shared" si="5"/>
        <v>0.05</v>
      </c>
      <c r="H35" s="2">
        <f t="shared" si="5"/>
        <v>0.24099999999999999</v>
      </c>
      <c r="I35" s="2">
        <f t="shared" si="5"/>
        <v>0.125</v>
      </c>
      <c r="J35" s="2">
        <f t="shared" si="5"/>
        <v>2.5000000000000001E-3</v>
      </c>
      <c r="K35" s="2">
        <f t="shared" si="5"/>
        <v>1.2500000000000001E-2</v>
      </c>
      <c r="L35" s="2">
        <f t="shared" si="5"/>
        <v>0.05</v>
      </c>
      <c r="M35" s="2">
        <f t="shared" si="5"/>
        <v>0.11375</v>
      </c>
      <c r="N35" s="2">
        <f t="shared" si="5"/>
        <v>0</v>
      </c>
      <c r="O35" s="2">
        <f t="shared" si="5"/>
        <v>0</v>
      </c>
      <c r="P35" s="2">
        <f t="shared" si="5"/>
        <v>77.75</v>
      </c>
      <c r="Q35" s="2">
        <f t="shared" si="10"/>
        <v>64.375000000000014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250</v>
      </c>
      <c r="C36" s="2">
        <f t="shared" si="6"/>
        <v>150</v>
      </c>
      <c r="D36" s="2">
        <f t="shared" si="7"/>
        <v>34.250450000000001</v>
      </c>
      <c r="E36" s="2">
        <f t="shared" si="8"/>
        <v>24.130125</v>
      </c>
      <c r="F36" s="2">
        <f t="shared" si="9"/>
        <v>10.445399999999999</v>
      </c>
      <c r="G36" s="2">
        <f t="shared" si="5"/>
        <v>0.05</v>
      </c>
      <c r="H36" s="2">
        <f t="shared" si="5"/>
        <v>0.24099999999999999</v>
      </c>
      <c r="I36" s="2">
        <f t="shared" si="5"/>
        <v>0.125</v>
      </c>
      <c r="J36" s="2">
        <f t="shared" si="5"/>
        <v>2.5000000000000001E-3</v>
      </c>
      <c r="K36" s="2">
        <f t="shared" si="5"/>
        <v>1.2500000000000001E-2</v>
      </c>
      <c r="L36" s="2">
        <f t="shared" si="5"/>
        <v>0.05</v>
      </c>
      <c r="M36" s="2">
        <f t="shared" si="5"/>
        <v>0.11375</v>
      </c>
      <c r="N36" s="2">
        <f t="shared" si="5"/>
        <v>0</v>
      </c>
      <c r="O36" s="2">
        <f t="shared" si="5"/>
        <v>0</v>
      </c>
      <c r="P36" s="2">
        <f t="shared" si="5"/>
        <v>77.75</v>
      </c>
      <c r="Q36" s="2">
        <f t="shared" si="10"/>
        <v>64.375000000000014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250</v>
      </c>
      <c r="C37" s="2">
        <f t="shared" si="6"/>
        <v>150</v>
      </c>
      <c r="D37" s="2">
        <f t="shared" si="7"/>
        <v>34.250450000000001</v>
      </c>
      <c r="E37" s="2">
        <f t="shared" si="8"/>
        <v>24.130125</v>
      </c>
      <c r="F37" s="2">
        <f t="shared" si="9"/>
        <v>10.445399999999999</v>
      </c>
      <c r="G37" s="2">
        <f t="shared" si="5"/>
        <v>0.05</v>
      </c>
      <c r="H37" s="2">
        <f t="shared" si="5"/>
        <v>0.24099999999999999</v>
      </c>
      <c r="I37" s="2">
        <f t="shared" si="5"/>
        <v>0.125</v>
      </c>
      <c r="J37" s="2">
        <f t="shared" si="5"/>
        <v>2.5000000000000001E-3</v>
      </c>
      <c r="K37" s="2">
        <f t="shared" si="5"/>
        <v>1.2500000000000001E-2</v>
      </c>
      <c r="L37" s="2">
        <f t="shared" si="5"/>
        <v>0.05</v>
      </c>
      <c r="M37" s="2">
        <f t="shared" si="5"/>
        <v>0.11375</v>
      </c>
      <c r="N37" s="2">
        <f t="shared" si="5"/>
        <v>0</v>
      </c>
      <c r="O37" s="2">
        <f t="shared" si="5"/>
        <v>0</v>
      </c>
      <c r="P37" s="2">
        <f t="shared" si="5"/>
        <v>77.75</v>
      </c>
      <c r="Q37" s="2">
        <f t="shared" si="10"/>
        <v>64.375000000000014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250</v>
      </c>
      <c r="C38" s="2">
        <f t="shared" si="6"/>
        <v>150</v>
      </c>
      <c r="D38" s="2">
        <f t="shared" si="7"/>
        <v>34.250450000000001</v>
      </c>
      <c r="E38" s="2">
        <f t="shared" si="8"/>
        <v>24.130125</v>
      </c>
      <c r="F38" s="2">
        <f t="shared" si="9"/>
        <v>10.445399999999999</v>
      </c>
      <c r="G38" s="2">
        <f t="shared" si="5"/>
        <v>0.05</v>
      </c>
      <c r="H38" s="2">
        <f t="shared" si="5"/>
        <v>0.24099999999999999</v>
      </c>
      <c r="I38" s="2">
        <f t="shared" si="5"/>
        <v>0.125</v>
      </c>
      <c r="J38" s="2">
        <f t="shared" si="5"/>
        <v>2.5000000000000001E-3</v>
      </c>
      <c r="K38" s="2">
        <f t="shared" si="5"/>
        <v>1.2500000000000001E-2</v>
      </c>
      <c r="L38" s="2">
        <f t="shared" si="5"/>
        <v>0.05</v>
      </c>
      <c r="M38" s="2">
        <f t="shared" si="5"/>
        <v>0.11375</v>
      </c>
      <c r="N38" s="2">
        <f t="shared" si="5"/>
        <v>0</v>
      </c>
      <c r="O38" s="2">
        <f t="shared" si="5"/>
        <v>0</v>
      </c>
      <c r="P38" s="2">
        <f t="shared" si="5"/>
        <v>77.75</v>
      </c>
      <c r="Q38" s="2">
        <f t="shared" si="10"/>
        <v>64.375000000000014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250</v>
      </c>
      <c r="C39" s="2">
        <f t="shared" si="6"/>
        <v>150</v>
      </c>
      <c r="D39" s="2">
        <f t="shared" si="7"/>
        <v>34.250450000000001</v>
      </c>
      <c r="E39" s="2">
        <f t="shared" si="8"/>
        <v>24.130125</v>
      </c>
      <c r="F39" s="2">
        <f t="shared" si="9"/>
        <v>10.445399999999999</v>
      </c>
      <c r="G39" s="2">
        <f t="shared" si="5"/>
        <v>0.05</v>
      </c>
      <c r="H39" s="2">
        <f t="shared" si="5"/>
        <v>0.24099999999999999</v>
      </c>
      <c r="I39" s="2">
        <f t="shared" si="5"/>
        <v>0.125</v>
      </c>
      <c r="J39" s="2">
        <f t="shared" si="5"/>
        <v>2.5000000000000001E-3</v>
      </c>
      <c r="K39" s="2">
        <f t="shared" si="5"/>
        <v>1.2500000000000001E-2</v>
      </c>
      <c r="L39" s="2">
        <f t="shared" si="5"/>
        <v>0.05</v>
      </c>
      <c r="M39" s="2">
        <f t="shared" si="5"/>
        <v>0.11375</v>
      </c>
      <c r="N39" s="2">
        <f t="shared" si="5"/>
        <v>0</v>
      </c>
      <c r="O39" s="2">
        <f t="shared" si="5"/>
        <v>0</v>
      </c>
      <c r="P39" s="2">
        <f t="shared" si="5"/>
        <v>77.75</v>
      </c>
      <c r="Q39" s="2">
        <f t="shared" si="10"/>
        <v>64.375000000000014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250</v>
      </c>
      <c r="C40" s="2">
        <f t="shared" si="6"/>
        <v>150</v>
      </c>
      <c r="D40" s="2">
        <f t="shared" si="7"/>
        <v>34.250450000000001</v>
      </c>
      <c r="E40" s="2">
        <f t="shared" si="8"/>
        <v>24.130125</v>
      </c>
      <c r="F40" s="2">
        <f t="shared" si="9"/>
        <v>10.445399999999999</v>
      </c>
      <c r="G40" s="2">
        <f t="shared" si="5"/>
        <v>0.05</v>
      </c>
      <c r="H40" s="2">
        <f t="shared" si="5"/>
        <v>0.24099999999999999</v>
      </c>
      <c r="I40" s="2">
        <f t="shared" si="5"/>
        <v>0.125</v>
      </c>
      <c r="J40" s="2">
        <f t="shared" si="5"/>
        <v>2.5000000000000001E-3</v>
      </c>
      <c r="K40" s="2">
        <f t="shared" si="5"/>
        <v>1.2500000000000001E-2</v>
      </c>
      <c r="L40" s="2">
        <f t="shared" si="5"/>
        <v>0.05</v>
      </c>
      <c r="M40" s="2">
        <f t="shared" si="5"/>
        <v>0.11375</v>
      </c>
      <c r="N40" s="2">
        <f t="shared" si="5"/>
        <v>0</v>
      </c>
      <c r="O40" s="2">
        <f t="shared" si="5"/>
        <v>0</v>
      </c>
      <c r="P40" s="2">
        <f t="shared" si="5"/>
        <v>77.75</v>
      </c>
      <c r="Q40" s="2">
        <f t="shared" si="10"/>
        <v>64.375000000000014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250</v>
      </c>
      <c r="C42" s="2">
        <f t="shared" si="6"/>
        <v>150</v>
      </c>
      <c r="D42" s="2">
        <f t="shared" si="7"/>
        <v>34.250450000000001</v>
      </c>
      <c r="E42" s="2">
        <f t="shared" si="8"/>
        <v>24.130125</v>
      </c>
      <c r="F42" s="2">
        <f t="shared" si="9"/>
        <v>10.445399999999999</v>
      </c>
      <c r="G42" s="2">
        <f t="shared" si="5"/>
        <v>0.05</v>
      </c>
      <c r="H42" s="2">
        <f t="shared" si="5"/>
        <v>0.24099999999999999</v>
      </c>
      <c r="I42" s="2">
        <f t="shared" si="5"/>
        <v>0.125</v>
      </c>
      <c r="J42" s="2">
        <f t="shared" si="5"/>
        <v>2.5000000000000001E-3</v>
      </c>
      <c r="K42" s="2">
        <f t="shared" si="5"/>
        <v>1.2500000000000001E-2</v>
      </c>
      <c r="L42" s="2">
        <f t="shared" si="5"/>
        <v>0.05</v>
      </c>
      <c r="M42" s="2">
        <f t="shared" si="5"/>
        <v>0.11375</v>
      </c>
      <c r="N42" s="2">
        <f t="shared" si="5"/>
        <v>0</v>
      </c>
      <c r="O42" s="2">
        <f t="shared" si="5"/>
        <v>0</v>
      </c>
      <c r="P42" s="2">
        <f t="shared" si="5"/>
        <v>77.75</v>
      </c>
      <c r="Q42" s="2">
        <f t="shared" si="10"/>
        <v>64.375000000000014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250</v>
      </c>
      <c r="C43" s="2">
        <f t="shared" si="6"/>
        <v>150</v>
      </c>
      <c r="D43" s="2">
        <f t="shared" si="7"/>
        <v>34.250450000000001</v>
      </c>
      <c r="E43" s="2">
        <f t="shared" si="8"/>
        <v>24.130125</v>
      </c>
      <c r="F43" s="2">
        <f t="shared" si="9"/>
        <v>10.445399999999999</v>
      </c>
      <c r="G43" s="2">
        <f t="shared" si="5"/>
        <v>0.05</v>
      </c>
      <c r="H43" s="2">
        <f t="shared" si="5"/>
        <v>0.24099999999999999</v>
      </c>
      <c r="I43" s="2">
        <f t="shared" si="5"/>
        <v>0.125</v>
      </c>
      <c r="J43" s="2">
        <f t="shared" si="5"/>
        <v>2.5000000000000001E-3</v>
      </c>
      <c r="K43" s="2">
        <f t="shared" si="5"/>
        <v>1.2500000000000001E-2</v>
      </c>
      <c r="L43" s="2">
        <f t="shared" si="5"/>
        <v>0.05</v>
      </c>
      <c r="M43" s="2">
        <f t="shared" si="5"/>
        <v>0.11375</v>
      </c>
      <c r="N43" s="2">
        <f t="shared" si="5"/>
        <v>0</v>
      </c>
      <c r="O43" s="2">
        <f t="shared" si="5"/>
        <v>0</v>
      </c>
      <c r="P43" s="2">
        <f t="shared" si="5"/>
        <v>77.75</v>
      </c>
      <c r="Q43" s="2">
        <f t="shared" si="10"/>
        <v>64.375000000000014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Arable</v>
      </c>
      <c r="C58" s="44" t="str">
        <f>D16&amp;" I "&amp;(VLOOKUP(D14,Table24567[],6,FALSE))</f>
        <v>Medium/Clay I Arable</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str">
        <f>J16&amp;" I "&amp;(VLOOKUP(J14,Table24567[],6,FALSE))</f>
        <v>Medium/Clay I Grass</v>
      </c>
      <c r="J58" s="21" t="str">
        <f>K16&amp;" I "&amp;(VLOOKUP(K14,Table24567[],6,FALSE))</f>
        <v>Medium/Clay I Grass</v>
      </c>
      <c r="K58" s="21" t="str">
        <f>L16&amp;" I "&amp;(VLOOKUP(L14,Table24567[],6,FALSE))</f>
        <v>Medium/Clay I Grass</v>
      </c>
      <c r="L58" s="21" t="str">
        <f>M16&amp;" I "&amp;(VLOOKUP(M14,Table24567[],6,FALSE))</f>
        <v>Medium/Clay I Grass</v>
      </c>
      <c r="M58" s="21" t="str">
        <f>N16&amp;" I "&amp;(VLOOKUP(N14,Table24567[],6,FALSE))</f>
        <v>Medium/Clay I Arable</v>
      </c>
      <c r="N58" s="21" t="str">
        <f>O16&amp;" I "&amp;(VLOOKUP(O14,Table24567[],6,FALSE))</f>
        <v>Medium/Clay I Arable</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6.7</v>
      </c>
      <c r="C59" s="93">
        <f>VLOOKUP(D$14,Table24567[],5,FALSE)</f>
        <v>6.7</v>
      </c>
      <c r="D59" s="93">
        <f>VLOOKUP(E$14,Table24567[],5,FALSE)</f>
        <v>6.2</v>
      </c>
      <c r="E59" s="93">
        <f>VLOOKUP(F$14,Table24567[],5,FALSE)</f>
        <v>6.2</v>
      </c>
      <c r="F59" s="93">
        <f>VLOOKUP(G$14,Table24567[],5,FALSE)</f>
        <v>6.2</v>
      </c>
      <c r="G59" s="93">
        <f>VLOOKUP(H$14,Table24567[],5,FALSE)</f>
        <v>6.2</v>
      </c>
      <c r="H59" s="93">
        <f>VLOOKUP(I$14,Table24567[],5,FALSE)</f>
        <v>6.2</v>
      </c>
      <c r="I59" s="93">
        <f>VLOOKUP(J$14,Table24567[],5,FALSE)</f>
        <v>6.2</v>
      </c>
      <c r="J59" s="93">
        <f>VLOOKUP(K$14,Table24567[],5,FALSE)</f>
        <v>6.2</v>
      </c>
      <c r="K59" s="93">
        <f>VLOOKUP(L$14,Table24567[],5,FALSE)</f>
        <v>6.2</v>
      </c>
      <c r="L59" s="93">
        <f>VLOOKUP(M$14,Table24567[],5,FALSE)</f>
        <v>6.2</v>
      </c>
      <c r="M59" s="93">
        <f>VLOOKUP(N$14,Table24567[],5,FALSE)</f>
        <v>6.7</v>
      </c>
      <c r="N59" s="93">
        <f>VLOOKUP(O$14,Table24567[],5,FALSE)</f>
        <v>6.7</v>
      </c>
      <c r="O59" s="93" t="e">
        <f>VLOOKUP(P$14,Table24567[],5,FALSE)</f>
        <v>#N/A</v>
      </c>
      <c r="P59" s="93" t="e">
        <f>VLOOKUP(Q$14,Table24567[],5,FALSE)</f>
        <v>#N/A</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0</v>
      </c>
      <c r="M62" s="94">
        <f>B42</f>
        <v>250</v>
      </c>
      <c r="N62" s="94">
        <f>B43</f>
        <v>250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C2" sqref="C2:D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PAN-013348</v>
      </c>
      <c r="D1" s="127"/>
      <c r="E1" s="37" t="s">
        <v>45</v>
      </c>
      <c r="F1" s="46">
        <f>'Field data and Waste 1'!F1</f>
        <v>48.4</v>
      </c>
      <c r="G1" s="106" t="s">
        <v>43</v>
      </c>
      <c r="H1" s="107"/>
      <c r="I1" s="35">
        <v>7.16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165</v>
      </c>
      <c r="G2" s="108" t="s">
        <v>107</v>
      </c>
      <c r="H2" s="109"/>
      <c r="I2" s="35">
        <v>1135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Dyke Farm, Padeswood Lane, Mold, CH7 4HZ</v>
      </c>
      <c r="D4" s="127"/>
      <c r="E4" s="38" t="s">
        <v>1</v>
      </c>
      <c r="F4" s="35" t="s">
        <v>164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12</v>
      </c>
      <c r="D8" s="67">
        <f>'Field data and Waste 1'!D8</f>
        <v>13</v>
      </c>
      <c r="E8" s="67">
        <f>'Field data and Waste 1'!E8</f>
        <v>14</v>
      </c>
      <c r="F8" s="67">
        <f>'Field data and Waste 1'!F8</f>
        <v>15</v>
      </c>
      <c r="G8" s="67">
        <f>'Field data and Waste 1'!G8</f>
        <v>16</v>
      </c>
      <c r="H8" s="67">
        <f>'Field data and Waste 1'!H8</f>
        <v>17</v>
      </c>
      <c r="I8" s="67">
        <f>'Field data and Waste 1'!I8</f>
        <v>18</v>
      </c>
      <c r="J8" s="67">
        <f>'Field data and Waste 1'!J8</f>
        <v>19</v>
      </c>
      <c r="K8" s="67">
        <f>'Field data and Waste 1'!K8</f>
        <v>20</v>
      </c>
      <c r="L8" s="67">
        <f>'Field data and Waste 1'!L8</f>
        <v>21</v>
      </c>
      <c r="M8" s="67">
        <f>'Field data and Waste 1'!M8</f>
        <v>22</v>
      </c>
      <c r="N8" s="67">
        <f>'Field data and Waste 1'!N8</f>
        <v>23</v>
      </c>
      <c r="O8" s="67">
        <f>'Field data and Waste 1'!O8</f>
        <v>24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1</v>
      </c>
      <c r="D9" s="67">
        <f>'Field data and Waste 1'!D9</f>
        <v>1</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1</v>
      </c>
      <c r="O9" s="67">
        <f>'Field data and Waste 1'!O9</f>
        <v>1</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5.8</v>
      </c>
      <c r="D10" s="67">
        <f>'Field data and Waste 1'!D10</f>
        <v>6.3</v>
      </c>
      <c r="E10" s="67">
        <f>'Field data and Waste 1'!E10</f>
        <v>6.3</v>
      </c>
      <c r="F10" s="67">
        <f>'Field data and Waste 1'!F10</f>
        <v>6</v>
      </c>
      <c r="G10" s="67">
        <f>'Field data and Waste 1'!G10</f>
        <v>6</v>
      </c>
      <c r="H10" s="67">
        <f>'Field data and Waste 1'!H10</f>
        <v>6.4</v>
      </c>
      <c r="I10" s="67">
        <f>'Field data and Waste 1'!I10</f>
        <v>6.2</v>
      </c>
      <c r="J10" s="67">
        <f>'Field data and Waste 1'!J10</f>
        <v>6.1</v>
      </c>
      <c r="K10" s="67">
        <f>'Field data and Waste 1'!K10</f>
        <v>5.6</v>
      </c>
      <c r="L10" s="67">
        <f>'Field data and Waste 1'!L10</f>
        <v>6</v>
      </c>
      <c r="M10" s="67">
        <f>'Field data and Waste 1'!M10</f>
        <v>5.4</v>
      </c>
      <c r="N10" s="67">
        <f>'Field data and Waste 1'!N10</f>
        <v>6.3</v>
      </c>
      <c r="O10" s="67">
        <f>'Field data and Waste 1'!O10</f>
        <v>5.9</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1</v>
      </c>
      <c r="F11" s="67">
        <f>'Field data and Waste 1'!F11</f>
        <v>0</v>
      </c>
      <c r="G11" s="67">
        <f>'Field data and Waste 1'!G11</f>
        <v>0</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2</v>
      </c>
      <c r="O11" s="67">
        <f>'Field data and Waste 1'!O11</f>
        <v>2</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1</v>
      </c>
      <c r="E12" s="67">
        <f>'Field data and Waste 1'!E12</f>
        <v>0</v>
      </c>
      <c r="F12" s="67">
        <f>'Field data and Waste 1'!F12</f>
        <v>0</v>
      </c>
      <c r="G12" s="67">
        <f>'Field data and Waste 1'!G12</f>
        <v>0</v>
      </c>
      <c r="H12" s="67">
        <f>'Field data and Waste 1'!H12</f>
        <v>0</v>
      </c>
      <c r="I12" s="67">
        <f>'Field data and Waste 1'!I12</f>
        <v>1</v>
      </c>
      <c r="J12" s="67">
        <f>'Field data and Waste 1'!J12</f>
        <v>0</v>
      </c>
      <c r="K12" s="67">
        <f>'Field data and Waste 1'!K12</f>
        <v>0</v>
      </c>
      <c r="L12" s="67">
        <f>'Field data and Waste 1'!L12</f>
        <v>1</v>
      </c>
      <c r="M12" s="67">
        <f>'Field data and Waste 1'!M12</f>
        <v>1</v>
      </c>
      <c r="N12" s="67">
        <f>'Field data and Waste 1'!N12</f>
        <v>2</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3</v>
      </c>
      <c r="E13" s="67">
        <f>'Field data and Waste 1'!E13</f>
        <v>2</v>
      </c>
      <c r="F13" s="67">
        <f>'Field data and Waste 1'!F13</f>
        <v>3</v>
      </c>
      <c r="G13" s="67">
        <f>'Field data and Waste 1'!G13</f>
        <v>2</v>
      </c>
      <c r="H13" s="67">
        <f>'Field data and Waste 1'!H13</f>
        <v>2</v>
      </c>
      <c r="I13" s="67">
        <f>'Field data and Waste 1'!I13</f>
        <v>2</v>
      </c>
      <c r="J13" s="67">
        <f>'Field data and Waste 1'!J13</f>
        <v>2</v>
      </c>
      <c r="K13" s="67">
        <f>'Field data and Waste 1'!K13</f>
        <v>2</v>
      </c>
      <c r="L13" s="67">
        <f>'Field data and Waste 1'!L13</f>
        <v>3</v>
      </c>
      <c r="M13" s="67">
        <f>'Field data and Waste 1'!M13</f>
        <v>3</v>
      </c>
      <c r="N13" s="67">
        <f>'Field data and Waste 1'!N13</f>
        <v>2</v>
      </c>
      <c r="O13" s="67">
        <f>'Field data and Waste 1'!O13</f>
        <v>2</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Spring wheat/barley</v>
      </c>
      <c r="D14" s="73" t="str">
        <f>'Field data and Waste 1'!D14</f>
        <v>Spring wheat/barley</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Spring wheat/barley</v>
      </c>
      <c r="O14" s="73" t="str">
        <f>'Field data and Waste 1'!O14</f>
        <v>Spring wheat/barley</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5.5</v>
      </c>
      <c r="D15" s="67">
        <f>'Field data and Waste 1'!D15</f>
        <v>5.5</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5.5</v>
      </c>
      <c r="O15" s="67">
        <f>'Field data and Waste 1'!O15</f>
        <v>5.5</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46.75</v>
      </c>
      <c r="D17" s="39">
        <f t="shared" ref="D17:V17" si="0">(VLOOKUP(D$14,$AI2:$AK26,2,FALSE))*D$15</f>
        <v>46.75</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46.75</v>
      </c>
      <c r="O17" s="39">
        <f t="shared" si="0"/>
        <v>46.75</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45.086880000000001</v>
      </c>
      <c r="D18" s="24">
        <f>$D32</f>
        <v>45.086880000000001</v>
      </c>
      <c r="E18" s="24">
        <f>$D33</f>
        <v>45.086880000000001</v>
      </c>
      <c r="F18" s="24">
        <f>$D34</f>
        <v>45.086880000000001</v>
      </c>
      <c r="G18" s="24">
        <f>$D35</f>
        <v>45.086880000000001</v>
      </c>
      <c r="H18" s="24">
        <f>$D36</f>
        <v>45.086880000000001</v>
      </c>
      <c r="I18" s="24">
        <f>$D37</f>
        <v>45.086880000000001</v>
      </c>
      <c r="J18" s="24">
        <f>$D38</f>
        <v>45.086880000000001</v>
      </c>
      <c r="K18" s="24">
        <f>$D39</f>
        <v>45.086880000000001</v>
      </c>
      <c r="L18" s="24">
        <f>$D40</f>
        <v>45.086880000000001</v>
      </c>
      <c r="M18" s="24">
        <f>$D41</f>
        <v>45.086880000000001</v>
      </c>
      <c r="N18" s="24">
        <f>$D42</f>
        <v>45.086880000000001</v>
      </c>
      <c r="O18" s="24">
        <f>$D43</f>
        <v>45.086880000000001</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-1.6631199999999993</v>
      </c>
      <c r="D19" s="24">
        <f t="shared" ref="D19:V19" si="1">D18-D17</f>
        <v>-1.6631199999999993</v>
      </c>
      <c r="E19" s="24">
        <f t="shared" si="1"/>
        <v>-19.513119999999994</v>
      </c>
      <c r="F19" s="24">
        <f t="shared" si="1"/>
        <v>-19.513119999999994</v>
      </c>
      <c r="G19" s="24">
        <f t="shared" si="1"/>
        <v>-19.513119999999994</v>
      </c>
      <c r="H19" s="24">
        <f t="shared" si="1"/>
        <v>-19.513119999999994</v>
      </c>
      <c r="I19" s="24">
        <f t="shared" si="1"/>
        <v>-19.513119999999994</v>
      </c>
      <c r="J19" s="24">
        <f t="shared" si="1"/>
        <v>-19.513119999999994</v>
      </c>
      <c r="K19" s="24">
        <f t="shared" si="1"/>
        <v>-19.513119999999994</v>
      </c>
      <c r="L19" s="24">
        <f t="shared" si="1"/>
        <v>-19.513119999999994</v>
      </c>
      <c r="M19" s="24">
        <f t="shared" si="1"/>
        <v>-19.513119999999994</v>
      </c>
      <c r="N19" s="24">
        <f t="shared" si="1"/>
        <v>-1.6631199999999993</v>
      </c>
      <c r="O19" s="24">
        <f t="shared" si="1"/>
        <v>-1.6631199999999993</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66</v>
      </c>
      <c r="D21" s="39">
        <f t="shared" ref="D21:V21" si="2">(VLOOKUP(D$14,$AI2:$AK26,3,FALSE))*D$15</f>
        <v>66</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66</v>
      </c>
      <c r="O21" s="39">
        <f t="shared" si="2"/>
        <v>66</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29.064600000000002</v>
      </c>
      <c r="D22" s="24">
        <f>$E32</f>
        <v>29.064600000000002</v>
      </c>
      <c r="E22" s="24">
        <f>$E33</f>
        <v>29.064600000000002</v>
      </c>
      <c r="F22" s="24">
        <f>$E34</f>
        <v>29.064600000000002</v>
      </c>
      <c r="G22" s="24">
        <f>$E35</f>
        <v>29.064600000000002</v>
      </c>
      <c r="H22" s="24">
        <f>$E36</f>
        <v>29.064600000000002</v>
      </c>
      <c r="I22" s="24">
        <f>$E37</f>
        <v>29.064600000000002</v>
      </c>
      <c r="J22" s="24">
        <f>$E38</f>
        <v>29.064600000000002</v>
      </c>
      <c r="K22" s="24">
        <f>$E39</f>
        <v>29.064600000000002</v>
      </c>
      <c r="L22" s="24">
        <f>$E40</f>
        <v>29.064600000000002</v>
      </c>
      <c r="M22" s="24">
        <f>$E41</f>
        <v>29.064600000000002</v>
      </c>
      <c r="N22" s="24">
        <f>$E42</f>
        <v>29.064600000000002</v>
      </c>
      <c r="O22" s="24">
        <f>$E43</f>
        <v>29.064600000000002</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-36.935400000000001</v>
      </c>
      <c r="D23" s="24">
        <f t="shared" ref="D23:V23" si="3">D22-D21</f>
        <v>-36.935400000000001</v>
      </c>
      <c r="E23" s="24">
        <f t="shared" si="3"/>
        <v>-198.93539999999999</v>
      </c>
      <c r="F23" s="24">
        <f t="shared" si="3"/>
        <v>-198.93539999999999</v>
      </c>
      <c r="G23" s="24">
        <f t="shared" si="3"/>
        <v>-198.93539999999999</v>
      </c>
      <c r="H23" s="24">
        <f t="shared" si="3"/>
        <v>-198.93539999999999</v>
      </c>
      <c r="I23" s="24">
        <f t="shared" si="3"/>
        <v>-198.93539999999999</v>
      </c>
      <c r="J23" s="24">
        <f t="shared" si="3"/>
        <v>-198.93539999999999</v>
      </c>
      <c r="K23" s="24">
        <f t="shared" si="3"/>
        <v>-198.93539999999999</v>
      </c>
      <c r="L23" s="24">
        <f t="shared" si="3"/>
        <v>-198.93539999999999</v>
      </c>
      <c r="M23" s="24">
        <f t="shared" si="3"/>
        <v>-198.93539999999999</v>
      </c>
      <c r="N23" s="24">
        <f t="shared" si="3"/>
        <v>-36.935400000000001</v>
      </c>
      <c r="O23" s="24">
        <f t="shared" si="3"/>
        <v>-36.935400000000001</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1.47</v>
      </c>
      <c r="C28" s="23">
        <v>0.1</v>
      </c>
      <c r="D28" s="23">
        <v>164</v>
      </c>
      <c r="E28" s="23">
        <v>201</v>
      </c>
      <c r="F28" s="23">
        <v>91.7</v>
      </c>
      <c r="G28" s="23">
        <v>0.32400000000000001</v>
      </c>
      <c r="H28" s="23">
        <v>3.08</v>
      </c>
      <c r="I28" s="23">
        <v>0.5</v>
      </c>
      <c r="J28" s="23">
        <v>0.01</v>
      </c>
      <c r="K28" s="30">
        <v>0.05</v>
      </c>
      <c r="L28" s="23">
        <v>0.2</v>
      </c>
      <c r="M28" s="23">
        <v>0.24299999999999999</v>
      </c>
      <c r="N28" s="23"/>
      <c r="O28" s="23"/>
      <c r="P28" s="23">
        <v>1418</v>
      </c>
      <c r="Q28" s="23">
        <v>428</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12</v>
      </c>
      <c r="B31" s="23">
        <v>120</v>
      </c>
      <c r="C31" s="2">
        <f>IF(C$27="%w/w SAR",((C$28*10)*$B31),IF(C$27="%w/w DM",(((C$28*10)*($B$28/100))*$B31),IF(C$27="kg/t SAR",(C$28*$B31),IF(C$27="kg/t DM",((C$28*($B$28/100))*$B31),IF(C$27="mg/kg SAR",((C$28*0.001)*$B31),IF(C$27="mg/kg DM",(((C$28*0.001)*($B$28/100))*$B31),0))))))</f>
        <v>120</v>
      </c>
      <c r="D31" s="2">
        <f>(IF(D$27="%w/w SAR",((D$28*10)*$B31),IF(D$27="%w/w DM",(((D$28*10)*($B$28/100))*$B31),IF(D$27="kg/t SAR",(D$28*$B31),IF(D$27="kg/t DM",((D$28*($B$28/100))*$B31),IF(D$27="mg/kg SAR",((D$28*0.001)*$B31),IF(D$27="mg/kg DM",(((D$28*0.001)*($B$28/100))*$B31),"0")))))))*2.291</f>
        <v>45.086880000000001</v>
      </c>
      <c r="E31" s="2">
        <f>(IF(E$27="%w/w SAR",((E$28*10)*$B31),IF(E$27="%w/w DM",(((E$28*10)*($B$28/100))*$B31),IF(E$27="kg/t SAR",(E$28*$B31),IF(E$27="kg/t DM",((E$28*($B$28/100))*$B31),IF(E$27="mg/kg SAR",((E$28*0.001)*$B31),IF(E$27="mg/kg DM",(((E$28*0.001)*($B$28/100))*$B31),"0")))))))*1.205</f>
        <v>29.064600000000002</v>
      </c>
      <c r="F31" s="2">
        <f>(IF(F$27="%w/w SAR",((F$28*10)*$B31),IF(F$27="%w/w DM",(((F$28*10)*($B$28/100))*$B31),IF(F$27="kg/t SAR",(F$28*$B31),IF(F$27="kg/t DM",((F$28*($B$28/100))*$B31),IF(F$27="mg/kg SAR",((F$28*0.001)*$B31),IF(F$27="mg/kg DM",(((F$28*0.001)*($B$28/100))*$B31),"0")))))))*1.658</f>
        <v>18.244632000000003</v>
      </c>
      <c r="G31" s="2">
        <f t="shared" ref="G31:P46" si="5">IF(G$27="%w/w SAR",((G$28*10)*$B31),IF(G$27="%w/w DM",(((G$28*10)*($B$28/100))*$B31),IF(G$27="kg/t SAR",(G$28*$B31),IF(G$27="kg/t DM",((G$28*($B$28/100))*$B31),IF(G$27="mg/kg SAR",((G$28*0.001)*$B31),IF(G$27="mg/kg DM",(((G$28*0.001)*($B$28/100))*$B31),0))))))</f>
        <v>3.8880000000000005E-2</v>
      </c>
      <c r="H31" s="2">
        <f t="shared" si="5"/>
        <v>0.36960000000000004</v>
      </c>
      <c r="I31" s="2">
        <f t="shared" si="5"/>
        <v>0.06</v>
      </c>
      <c r="J31" s="2">
        <f t="shared" si="5"/>
        <v>1.2000000000000001E-3</v>
      </c>
      <c r="K31" s="2">
        <f t="shared" si="5"/>
        <v>6.0000000000000001E-3</v>
      </c>
      <c r="L31" s="2">
        <f t="shared" si="5"/>
        <v>2.4E-2</v>
      </c>
      <c r="M31" s="2">
        <f t="shared" si="5"/>
        <v>2.9159999999999998E-2</v>
      </c>
      <c r="N31" s="2">
        <f t="shared" si="5"/>
        <v>0</v>
      </c>
      <c r="O31" s="2">
        <f t="shared" si="5"/>
        <v>0</v>
      </c>
      <c r="P31" s="2">
        <f t="shared" si="5"/>
        <v>170.16</v>
      </c>
      <c r="Q31" s="2">
        <f>(IF(Q$27="%w/w SAR",((Q$28*10)*$B31),IF(Q$27="%w/w DM",(((Q$28*10)*($B$28/100))*$B31),IF(Q$27="kg/t SAR",(Q$28*$B31),IF(Q$27="kg/t DM",((Q$28*($B$28/100))*$B31),IF(Q$27="mg/kg SAR",((Q$28*0.001)*$B31),IF(Q$27="mg/kg DM",(((Q$28*0.001)*($B$28/100))*$B31),0)))))))*2.5</f>
        <v>128.4</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13</v>
      </c>
      <c r="B32" s="23">
        <v>120</v>
      </c>
      <c r="C32" s="2">
        <f t="shared" ref="C32:C50" si="6">IF(C$27="%w/w SAR",((C$28*10)*$B32),IF(C$27="%w/w DM",(((C$28*10)*($B$28/100))*$B32),IF(C$27="kg/t SAR",(C$28*$B32),IF(C$27="kg/t DM",((C$28*($B$28/100))*$B32),IF(C$27="mg/kg SAR",((C$28*0.001)*$B32),IF(C$27="mg/kg DM",(((C$28*0.001)*($B$28/100))*$B32),0))))))</f>
        <v>120</v>
      </c>
      <c r="D32" s="2">
        <f t="shared" ref="D32:D50" si="7">(IF(D$27="%w/w SAR",((D$28*10)*$B32),IF(D$27="%w/w DM",(((D$28*10)*($B$28/100))*$B32),IF(D$27="kg/t SAR",(D$28*$B32),IF(D$27="kg/t DM",((D$28*($B$28/100))*$B32),IF(D$27="mg/kg SAR",((D$28*0.001)*$B32),IF(D$27="mg/kg DM",(((D$28*0.001)*($B$28/100))*$B32),"0")))))))*2.291</f>
        <v>45.086880000000001</v>
      </c>
      <c r="E32" s="2">
        <f t="shared" ref="E32:E50" si="8">(IF(E$27="%w/w SAR",((E$28*10)*$B32),IF(E$27="%w/w DM",(((E$28*10)*($B$28/100))*$B32),IF(E$27="kg/t SAR",(E$28*$B32),IF(E$27="kg/t DM",((E$28*($B$28/100))*$B32),IF(E$27="mg/kg SAR",((E$28*0.001)*$B32),IF(E$27="mg/kg DM",(((E$28*0.001)*($B$28/100))*$B32),"0")))))))*1.205</f>
        <v>29.064600000000002</v>
      </c>
      <c r="F32" s="2">
        <f t="shared" ref="F32:F50" si="9">(IF(F$27="%w/w SAR",((F$28*10)*$B32),IF(F$27="%w/w DM",(((F$28*10)*($B$28/100))*$B32),IF(F$27="kg/t SAR",(F$28*$B32),IF(F$27="kg/t DM",((F$28*($B$28/100))*$B32),IF(F$27="mg/kg SAR",((F$28*0.001)*$B32),IF(F$27="mg/kg DM",(((F$28*0.001)*($B$28/100))*$B32),"0")))))))*1.658</f>
        <v>18.244632000000003</v>
      </c>
      <c r="G32" s="2">
        <f t="shared" si="5"/>
        <v>3.8880000000000005E-2</v>
      </c>
      <c r="H32" s="2">
        <f t="shared" si="5"/>
        <v>0.36960000000000004</v>
      </c>
      <c r="I32" s="2">
        <f t="shared" si="5"/>
        <v>0.06</v>
      </c>
      <c r="J32" s="2">
        <f t="shared" si="5"/>
        <v>1.2000000000000001E-3</v>
      </c>
      <c r="K32" s="2">
        <f t="shared" si="5"/>
        <v>6.0000000000000001E-3</v>
      </c>
      <c r="L32" s="2">
        <f t="shared" si="5"/>
        <v>2.4E-2</v>
      </c>
      <c r="M32" s="2">
        <f t="shared" si="5"/>
        <v>2.9159999999999998E-2</v>
      </c>
      <c r="N32" s="2">
        <f t="shared" si="5"/>
        <v>0</v>
      </c>
      <c r="O32" s="2">
        <f t="shared" si="5"/>
        <v>0</v>
      </c>
      <c r="P32" s="2">
        <f t="shared" si="5"/>
        <v>170.16</v>
      </c>
      <c r="Q32" s="2">
        <f t="shared" ref="Q32:Q50" si="10">(IF(Q$27="%w/w SAR",((Q$28*10)*$B32),IF(Q$27="%w/w DM",(((Q$28*10)*($B$28/100))*$B32),IF(Q$27="kg/t SAR",(Q$28*$B32),IF(Q$27="kg/t DM",((Q$28*($B$28/100))*$B32),IF(Q$27="mg/kg SAR",((Q$28*0.001)*$B32),IF(Q$27="mg/kg DM",(((Q$28*0.001)*($B$28/100))*$B32),0)))))))*2.5</f>
        <v>128.4</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14</v>
      </c>
      <c r="B33" s="23">
        <v>120</v>
      </c>
      <c r="C33" s="2">
        <f t="shared" si="6"/>
        <v>120</v>
      </c>
      <c r="D33" s="2">
        <f t="shared" si="7"/>
        <v>45.086880000000001</v>
      </c>
      <c r="E33" s="2">
        <f t="shared" si="8"/>
        <v>29.064600000000002</v>
      </c>
      <c r="F33" s="2">
        <f t="shared" si="9"/>
        <v>18.244632000000003</v>
      </c>
      <c r="G33" s="2">
        <f t="shared" si="5"/>
        <v>3.8880000000000005E-2</v>
      </c>
      <c r="H33" s="2">
        <f t="shared" si="5"/>
        <v>0.36960000000000004</v>
      </c>
      <c r="I33" s="2">
        <f t="shared" si="5"/>
        <v>0.06</v>
      </c>
      <c r="J33" s="2">
        <f t="shared" si="5"/>
        <v>1.2000000000000001E-3</v>
      </c>
      <c r="K33" s="2">
        <f t="shared" si="5"/>
        <v>6.0000000000000001E-3</v>
      </c>
      <c r="L33" s="2">
        <f t="shared" si="5"/>
        <v>2.4E-2</v>
      </c>
      <c r="M33" s="2">
        <f t="shared" si="5"/>
        <v>2.9159999999999998E-2</v>
      </c>
      <c r="N33" s="2">
        <f t="shared" si="5"/>
        <v>0</v>
      </c>
      <c r="O33" s="2">
        <f t="shared" si="5"/>
        <v>0</v>
      </c>
      <c r="P33" s="2">
        <f t="shared" si="5"/>
        <v>170.16</v>
      </c>
      <c r="Q33" s="2">
        <f t="shared" si="10"/>
        <v>128.4</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15</v>
      </c>
      <c r="B34" s="23">
        <v>120</v>
      </c>
      <c r="C34" s="2">
        <f t="shared" si="6"/>
        <v>120</v>
      </c>
      <c r="D34" s="2">
        <f t="shared" si="7"/>
        <v>45.086880000000001</v>
      </c>
      <c r="E34" s="2">
        <f t="shared" si="8"/>
        <v>29.064600000000002</v>
      </c>
      <c r="F34" s="2">
        <f t="shared" si="9"/>
        <v>18.244632000000003</v>
      </c>
      <c r="G34" s="2">
        <f t="shared" si="5"/>
        <v>3.8880000000000005E-2</v>
      </c>
      <c r="H34" s="2">
        <f t="shared" si="5"/>
        <v>0.36960000000000004</v>
      </c>
      <c r="I34" s="2">
        <f t="shared" si="5"/>
        <v>0.06</v>
      </c>
      <c r="J34" s="2">
        <f t="shared" si="5"/>
        <v>1.2000000000000001E-3</v>
      </c>
      <c r="K34" s="2">
        <f t="shared" si="5"/>
        <v>6.0000000000000001E-3</v>
      </c>
      <c r="L34" s="2">
        <f t="shared" si="5"/>
        <v>2.4E-2</v>
      </c>
      <c r="M34" s="2">
        <f t="shared" si="5"/>
        <v>2.9159999999999998E-2</v>
      </c>
      <c r="N34" s="2">
        <f t="shared" si="5"/>
        <v>0</v>
      </c>
      <c r="O34" s="2">
        <f t="shared" si="5"/>
        <v>0</v>
      </c>
      <c r="P34" s="2">
        <f t="shared" si="5"/>
        <v>170.16</v>
      </c>
      <c r="Q34" s="2">
        <f t="shared" si="10"/>
        <v>128.4</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16</v>
      </c>
      <c r="B35" s="23">
        <v>120</v>
      </c>
      <c r="C35" s="2">
        <f t="shared" si="6"/>
        <v>120</v>
      </c>
      <c r="D35" s="2">
        <f t="shared" si="7"/>
        <v>45.086880000000001</v>
      </c>
      <c r="E35" s="2">
        <f t="shared" si="8"/>
        <v>29.064600000000002</v>
      </c>
      <c r="F35" s="2">
        <f t="shared" si="9"/>
        <v>18.244632000000003</v>
      </c>
      <c r="G35" s="2">
        <f t="shared" si="5"/>
        <v>3.8880000000000005E-2</v>
      </c>
      <c r="H35" s="2">
        <f t="shared" si="5"/>
        <v>0.36960000000000004</v>
      </c>
      <c r="I35" s="2">
        <f t="shared" si="5"/>
        <v>0.06</v>
      </c>
      <c r="J35" s="2">
        <f t="shared" si="5"/>
        <v>1.2000000000000001E-3</v>
      </c>
      <c r="K35" s="2">
        <f t="shared" si="5"/>
        <v>6.0000000000000001E-3</v>
      </c>
      <c r="L35" s="2">
        <f t="shared" si="5"/>
        <v>2.4E-2</v>
      </c>
      <c r="M35" s="2">
        <f t="shared" si="5"/>
        <v>2.9159999999999998E-2</v>
      </c>
      <c r="N35" s="2">
        <f t="shared" si="5"/>
        <v>0</v>
      </c>
      <c r="O35" s="2">
        <f t="shared" si="5"/>
        <v>0</v>
      </c>
      <c r="P35" s="2">
        <f t="shared" si="5"/>
        <v>170.16</v>
      </c>
      <c r="Q35" s="2">
        <f t="shared" si="10"/>
        <v>128.4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17</v>
      </c>
      <c r="B36" s="23">
        <v>120</v>
      </c>
      <c r="C36" s="2">
        <f t="shared" si="6"/>
        <v>120</v>
      </c>
      <c r="D36" s="2">
        <f t="shared" si="7"/>
        <v>45.086880000000001</v>
      </c>
      <c r="E36" s="2">
        <f t="shared" si="8"/>
        <v>29.064600000000002</v>
      </c>
      <c r="F36" s="2">
        <f t="shared" si="9"/>
        <v>18.244632000000003</v>
      </c>
      <c r="G36" s="2">
        <f t="shared" si="5"/>
        <v>3.8880000000000005E-2</v>
      </c>
      <c r="H36" s="2">
        <f t="shared" si="5"/>
        <v>0.36960000000000004</v>
      </c>
      <c r="I36" s="2">
        <f t="shared" si="5"/>
        <v>0.06</v>
      </c>
      <c r="J36" s="2">
        <f t="shared" si="5"/>
        <v>1.2000000000000001E-3</v>
      </c>
      <c r="K36" s="2">
        <f t="shared" si="5"/>
        <v>6.0000000000000001E-3</v>
      </c>
      <c r="L36" s="2">
        <f t="shared" si="5"/>
        <v>2.4E-2</v>
      </c>
      <c r="M36" s="2">
        <f t="shared" si="5"/>
        <v>2.9159999999999998E-2</v>
      </c>
      <c r="N36" s="2">
        <f t="shared" si="5"/>
        <v>0</v>
      </c>
      <c r="O36" s="2">
        <f t="shared" si="5"/>
        <v>0</v>
      </c>
      <c r="P36" s="2">
        <f t="shared" si="5"/>
        <v>170.16</v>
      </c>
      <c r="Q36" s="2">
        <f t="shared" si="10"/>
        <v>128.4</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18</v>
      </c>
      <c r="B37" s="23">
        <v>120</v>
      </c>
      <c r="C37" s="2">
        <f t="shared" si="6"/>
        <v>120</v>
      </c>
      <c r="D37" s="2">
        <f t="shared" si="7"/>
        <v>45.086880000000001</v>
      </c>
      <c r="E37" s="2">
        <f t="shared" si="8"/>
        <v>29.064600000000002</v>
      </c>
      <c r="F37" s="2">
        <f t="shared" si="9"/>
        <v>18.244632000000003</v>
      </c>
      <c r="G37" s="2">
        <f t="shared" si="5"/>
        <v>3.8880000000000005E-2</v>
      </c>
      <c r="H37" s="2">
        <f t="shared" si="5"/>
        <v>0.36960000000000004</v>
      </c>
      <c r="I37" s="2">
        <f t="shared" si="5"/>
        <v>0.06</v>
      </c>
      <c r="J37" s="2">
        <f t="shared" si="5"/>
        <v>1.2000000000000001E-3</v>
      </c>
      <c r="K37" s="2">
        <f t="shared" si="5"/>
        <v>6.0000000000000001E-3</v>
      </c>
      <c r="L37" s="2">
        <f t="shared" si="5"/>
        <v>2.4E-2</v>
      </c>
      <c r="M37" s="2">
        <f t="shared" si="5"/>
        <v>2.9159999999999998E-2</v>
      </c>
      <c r="N37" s="2">
        <f t="shared" si="5"/>
        <v>0</v>
      </c>
      <c r="O37" s="2">
        <f t="shared" si="5"/>
        <v>0</v>
      </c>
      <c r="P37" s="2">
        <f t="shared" si="5"/>
        <v>170.16</v>
      </c>
      <c r="Q37" s="2">
        <f t="shared" si="10"/>
        <v>128.4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19</v>
      </c>
      <c r="B38" s="23">
        <v>120</v>
      </c>
      <c r="C38" s="2">
        <f t="shared" si="6"/>
        <v>120</v>
      </c>
      <c r="D38" s="2">
        <f t="shared" si="7"/>
        <v>45.086880000000001</v>
      </c>
      <c r="E38" s="2">
        <f t="shared" si="8"/>
        <v>29.064600000000002</v>
      </c>
      <c r="F38" s="2">
        <f t="shared" si="9"/>
        <v>18.244632000000003</v>
      </c>
      <c r="G38" s="2">
        <f t="shared" si="5"/>
        <v>3.8880000000000005E-2</v>
      </c>
      <c r="H38" s="2">
        <f t="shared" si="5"/>
        <v>0.36960000000000004</v>
      </c>
      <c r="I38" s="2">
        <f t="shared" si="5"/>
        <v>0.06</v>
      </c>
      <c r="J38" s="2">
        <f t="shared" si="5"/>
        <v>1.2000000000000001E-3</v>
      </c>
      <c r="K38" s="2">
        <f t="shared" si="5"/>
        <v>6.0000000000000001E-3</v>
      </c>
      <c r="L38" s="2">
        <f t="shared" si="5"/>
        <v>2.4E-2</v>
      </c>
      <c r="M38" s="2">
        <f t="shared" si="5"/>
        <v>2.9159999999999998E-2</v>
      </c>
      <c r="N38" s="2">
        <f t="shared" si="5"/>
        <v>0</v>
      </c>
      <c r="O38" s="2">
        <f t="shared" si="5"/>
        <v>0</v>
      </c>
      <c r="P38" s="2">
        <f t="shared" si="5"/>
        <v>170.16</v>
      </c>
      <c r="Q38" s="2">
        <f t="shared" si="10"/>
        <v>128.4</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20</v>
      </c>
      <c r="B39" s="23">
        <v>120</v>
      </c>
      <c r="C39" s="2">
        <f t="shared" si="6"/>
        <v>120</v>
      </c>
      <c r="D39" s="2">
        <f t="shared" si="7"/>
        <v>45.086880000000001</v>
      </c>
      <c r="E39" s="2">
        <f t="shared" si="8"/>
        <v>29.064600000000002</v>
      </c>
      <c r="F39" s="2">
        <f t="shared" si="9"/>
        <v>18.244632000000003</v>
      </c>
      <c r="G39" s="2">
        <f t="shared" si="5"/>
        <v>3.8880000000000005E-2</v>
      </c>
      <c r="H39" s="2">
        <f t="shared" si="5"/>
        <v>0.36960000000000004</v>
      </c>
      <c r="I39" s="2">
        <f t="shared" si="5"/>
        <v>0.06</v>
      </c>
      <c r="J39" s="2">
        <f t="shared" si="5"/>
        <v>1.2000000000000001E-3</v>
      </c>
      <c r="K39" s="2">
        <f t="shared" si="5"/>
        <v>6.0000000000000001E-3</v>
      </c>
      <c r="L39" s="2">
        <f t="shared" si="5"/>
        <v>2.4E-2</v>
      </c>
      <c r="M39" s="2">
        <f t="shared" si="5"/>
        <v>2.9159999999999998E-2</v>
      </c>
      <c r="N39" s="2">
        <f t="shared" si="5"/>
        <v>0</v>
      </c>
      <c r="O39" s="2">
        <f t="shared" si="5"/>
        <v>0</v>
      </c>
      <c r="P39" s="2">
        <f t="shared" si="5"/>
        <v>170.16</v>
      </c>
      <c r="Q39" s="2">
        <f t="shared" si="10"/>
        <v>128.4</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21</v>
      </c>
      <c r="B40" s="23">
        <v>120</v>
      </c>
      <c r="C40" s="2">
        <f t="shared" si="6"/>
        <v>120</v>
      </c>
      <c r="D40" s="2">
        <f t="shared" si="7"/>
        <v>45.086880000000001</v>
      </c>
      <c r="E40" s="2">
        <f t="shared" si="8"/>
        <v>29.064600000000002</v>
      </c>
      <c r="F40" s="2">
        <f t="shared" si="9"/>
        <v>18.244632000000003</v>
      </c>
      <c r="G40" s="2">
        <f t="shared" si="5"/>
        <v>3.8880000000000005E-2</v>
      </c>
      <c r="H40" s="2">
        <f t="shared" si="5"/>
        <v>0.36960000000000004</v>
      </c>
      <c r="I40" s="2">
        <f t="shared" si="5"/>
        <v>0.06</v>
      </c>
      <c r="J40" s="2">
        <f t="shared" si="5"/>
        <v>1.2000000000000001E-3</v>
      </c>
      <c r="K40" s="2">
        <f t="shared" si="5"/>
        <v>6.0000000000000001E-3</v>
      </c>
      <c r="L40" s="2">
        <f t="shared" si="5"/>
        <v>2.4E-2</v>
      </c>
      <c r="M40" s="2">
        <f t="shared" si="5"/>
        <v>2.9159999999999998E-2</v>
      </c>
      <c r="N40" s="2">
        <f t="shared" si="5"/>
        <v>0</v>
      </c>
      <c r="O40" s="2">
        <f t="shared" si="5"/>
        <v>0</v>
      </c>
      <c r="P40" s="2">
        <f t="shared" si="5"/>
        <v>170.16</v>
      </c>
      <c r="Q40" s="2">
        <f t="shared" si="10"/>
        <v>128.4</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22</v>
      </c>
      <c r="B41" s="23">
        <v>120</v>
      </c>
      <c r="C41" s="2">
        <f t="shared" si="6"/>
        <v>120</v>
      </c>
      <c r="D41" s="2">
        <f t="shared" si="7"/>
        <v>45.086880000000001</v>
      </c>
      <c r="E41" s="2">
        <f t="shared" si="8"/>
        <v>29.064600000000002</v>
      </c>
      <c r="F41" s="2">
        <f t="shared" si="9"/>
        <v>18.244632000000003</v>
      </c>
      <c r="G41" s="2">
        <f t="shared" si="5"/>
        <v>3.8880000000000005E-2</v>
      </c>
      <c r="H41" s="2">
        <f t="shared" si="5"/>
        <v>0.36960000000000004</v>
      </c>
      <c r="I41" s="2">
        <f t="shared" si="5"/>
        <v>0.06</v>
      </c>
      <c r="J41" s="2">
        <f t="shared" si="5"/>
        <v>1.2000000000000001E-3</v>
      </c>
      <c r="K41" s="2">
        <f t="shared" si="5"/>
        <v>6.0000000000000001E-3</v>
      </c>
      <c r="L41" s="2">
        <f t="shared" si="5"/>
        <v>2.4E-2</v>
      </c>
      <c r="M41" s="2">
        <f t="shared" si="5"/>
        <v>2.9159999999999998E-2</v>
      </c>
      <c r="N41" s="2">
        <f t="shared" si="5"/>
        <v>0</v>
      </c>
      <c r="O41" s="2">
        <f t="shared" si="5"/>
        <v>0</v>
      </c>
      <c r="P41" s="2">
        <f t="shared" si="5"/>
        <v>170.16</v>
      </c>
      <c r="Q41" s="2">
        <f t="shared" si="10"/>
        <v>128.4</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23</v>
      </c>
      <c r="B42" s="23">
        <v>120</v>
      </c>
      <c r="C42" s="2">
        <f t="shared" si="6"/>
        <v>120</v>
      </c>
      <c r="D42" s="2">
        <f t="shared" si="7"/>
        <v>45.086880000000001</v>
      </c>
      <c r="E42" s="2">
        <f t="shared" si="8"/>
        <v>29.064600000000002</v>
      </c>
      <c r="F42" s="2">
        <f t="shared" si="9"/>
        <v>18.244632000000003</v>
      </c>
      <c r="G42" s="2">
        <f t="shared" si="5"/>
        <v>3.8880000000000005E-2</v>
      </c>
      <c r="H42" s="2">
        <f t="shared" si="5"/>
        <v>0.36960000000000004</v>
      </c>
      <c r="I42" s="2">
        <f t="shared" si="5"/>
        <v>0.06</v>
      </c>
      <c r="J42" s="2">
        <f t="shared" si="5"/>
        <v>1.2000000000000001E-3</v>
      </c>
      <c r="K42" s="2">
        <f t="shared" si="5"/>
        <v>6.0000000000000001E-3</v>
      </c>
      <c r="L42" s="2">
        <f t="shared" si="5"/>
        <v>2.4E-2</v>
      </c>
      <c r="M42" s="2">
        <f t="shared" si="5"/>
        <v>2.9159999999999998E-2</v>
      </c>
      <c r="N42" s="2">
        <f t="shared" si="5"/>
        <v>0</v>
      </c>
      <c r="O42" s="2">
        <f t="shared" si="5"/>
        <v>0</v>
      </c>
      <c r="P42" s="2">
        <f t="shared" si="5"/>
        <v>170.16</v>
      </c>
      <c r="Q42" s="2">
        <f t="shared" si="10"/>
        <v>128.4</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24</v>
      </c>
      <c r="B43" s="23">
        <v>120</v>
      </c>
      <c r="C43" s="2">
        <f t="shared" si="6"/>
        <v>120</v>
      </c>
      <c r="D43" s="2">
        <f t="shared" si="7"/>
        <v>45.086880000000001</v>
      </c>
      <c r="E43" s="2">
        <f t="shared" si="8"/>
        <v>29.064600000000002</v>
      </c>
      <c r="F43" s="2">
        <f t="shared" si="9"/>
        <v>18.244632000000003</v>
      </c>
      <c r="G43" s="2">
        <f t="shared" si="5"/>
        <v>3.8880000000000005E-2</v>
      </c>
      <c r="H43" s="2">
        <f t="shared" si="5"/>
        <v>0.36960000000000004</v>
      </c>
      <c r="I43" s="2">
        <f t="shared" si="5"/>
        <v>0.06</v>
      </c>
      <c r="J43" s="2">
        <f t="shared" si="5"/>
        <v>1.2000000000000001E-3</v>
      </c>
      <c r="K43" s="2">
        <f t="shared" si="5"/>
        <v>6.0000000000000001E-3</v>
      </c>
      <c r="L43" s="2">
        <f t="shared" si="5"/>
        <v>2.4E-2</v>
      </c>
      <c r="M43" s="2">
        <f t="shared" si="5"/>
        <v>2.9159999999999998E-2</v>
      </c>
      <c r="N43" s="2">
        <f t="shared" si="5"/>
        <v>0</v>
      </c>
      <c r="O43" s="2">
        <f t="shared" si="5"/>
        <v>0</v>
      </c>
      <c r="P43" s="2">
        <f t="shared" si="5"/>
        <v>170.16</v>
      </c>
      <c r="Q43" s="2">
        <f t="shared" si="10"/>
        <v>128.4</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12</v>
      </c>
      <c r="C57" s="16">
        <f t="shared" ref="C57:U57" si="13">D8</f>
        <v>13</v>
      </c>
      <c r="D57" s="16">
        <f t="shared" si="13"/>
        <v>14</v>
      </c>
      <c r="E57" s="16">
        <f t="shared" si="13"/>
        <v>15</v>
      </c>
      <c r="F57" s="16">
        <f t="shared" si="13"/>
        <v>16</v>
      </c>
      <c r="G57" s="16">
        <f t="shared" si="13"/>
        <v>17</v>
      </c>
      <c r="H57" s="16">
        <f t="shared" si="13"/>
        <v>18</v>
      </c>
      <c r="I57" s="16">
        <f t="shared" si="13"/>
        <v>19</v>
      </c>
      <c r="J57" s="16">
        <f t="shared" si="13"/>
        <v>20</v>
      </c>
      <c r="K57" s="16">
        <f t="shared" si="13"/>
        <v>21</v>
      </c>
      <c r="L57" s="16">
        <f t="shared" si="13"/>
        <v>22</v>
      </c>
      <c r="M57" s="16">
        <f t="shared" si="13"/>
        <v>23</v>
      </c>
      <c r="N57" s="16">
        <f t="shared" si="13"/>
        <v>24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Arable</v>
      </c>
      <c r="C58" s="44" t="str">
        <f>D16&amp;" I "&amp;(VLOOKUP(D14,Table2456[],6,FALSE))</f>
        <v>Medium/Clay I Arable</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str">
        <f>J16&amp;" I "&amp;(VLOOKUP(J14,Table2456[],6,FALSE))</f>
        <v>Medium/Clay I Grass</v>
      </c>
      <c r="J58" s="21" t="str">
        <f>K16&amp;" I "&amp;(VLOOKUP(K14,Table2456[],6,FALSE))</f>
        <v>Medium/Clay I Grass</v>
      </c>
      <c r="K58" s="21" t="str">
        <f>L16&amp;" I "&amp;(VLOOKUP(L14,Table2456[],6,FALSE))</f>
        <v>Medium/Clay I Grass</v>
      </c>
      <c r="L58" s="21" t="str">
        <f>M16&amp;" I "&amp;(VLOOKUP(M14,Table2456[],6,FALSE))</f>
        <v>Medium/Clay I Grass</v>
      </c>
      <c r="M58" s="21" t="str">
        <f>N16&amp;" I "&amp;(VLOOKUP(N14,Table2456[],6,FALSE))</f>
        <v>Medium/Clay I Arable</v>
      </c>
      <c r="N58" s="21" t="str">
        <f>O16&amp;" I "&amp;(VLOOKUP(O14,Table2456[],6,FALSE))</f>
        <v>Medium/Clay I Arable</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6.7</v>
      </c>
      <c r="C59" s="93">
        <f>VLOOKUP(D$14,Table2456[],5,FALSE)</f>
        <v>6.7</v>
      </c>
      <c r="D59" s="93">
        <f>VLOOKUP(E$14,Table2456[],5,FALSE)</f>
        <v>6.2</v>
      </c>
      <c r="E59" s="93">
        <f>VLOOKUP(F$14,Table2456[],5,FALSE)</f>
        <v>6.2</v>
      </c>
      <c r="F59" s="93">
        <f>VLOOKUP(G$14,Table2456[],5,FALSE)</f>
        <v>6.2</v>
      </c>
      <c r="G59" s="93">
        <f>VLOOKUP(H$14,Table2456[],5,FALSE)</f>
        <v>6.2</v>
      </c>
      <c r="H59" s="93">
        <f>VLOOKUP(I$14,Table2456[],5,FALSE)</f>
        <v>6.2</v>
      </c>
      <c r="I59" s="93">
        <f>VLOOKUP(J$14,Table2456[],5,FALSE)</f>
        <v>6.2</v>
      </c>
      <c r="J59" s="93">
        <f>VLOOKUP(K$14,Table2456[],5,FALSE)</f>
        <v>6.2</v>
      </c>
      <c r="K59" s="93">
        <f>VLOOKUP(L$14,Table2456[],5,FALSE)</f>
        <v>6.2</v>
      </c>
      <c r="L59" s="93">
        <f>VLOOKUP(M$14,Table2456[],5,FALSE)</f>
        <v>6.2</v>
      </c>
      <c r="M59" s="93">
        <f>VLOOKUP(N$14,Table2456[],5,FALSE)</f>
        <v>6.7</v>
      </c>
      <c r="N59" s="93">
        <f>VLOOKUP(O$14,Table2456[],5,FALSE)</f>
        <v>6.7</v>
      </c>
      <c r="O59" s="93" t="e">
        <f>VLOOKUP(P$14,Table2456[],5,FALSE)</f>
        <v>#N/A</v>
      </c>
      <c r="P59" s="93" t="e">
        <f>VLOOKUP(Q$14,Table2456[],5,FALSE)</f>
        <v>#N/A</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5.8</v>
      </c>
      <c r="C60" s="93">
        <f t="shared" ref="C60:U60" si="14">D10</f>
        <v>6.3</v>
      </c>
      <c r="D60" s="93">
        <f t="shared" si="14"/>
        <v>6.3</v>
      </c>
      <c r="E60" s="93">
        <f t="shared" si="14"/>
        <v>6</v>
      </c>
      <c r="F60" s="93">
        <f t="shared" si="14"/>
        <v>6</v>
      </c>
      <c r="G60" s="93">
        <f t="shared" si="14"/>
        <v>6.4</v>
      </c>
      <c r="H60" s="93">
        <f t="shared" si="14"/>
        <v>6.2</v>
      </c>
      <c r="I60" s="93">
        <f t="shared" si="14"/>
        <v>6.1</v>
      </c>
      <c r="J60" s="93">
        <f t="shared" si="14"/>
        <v>5.6</v>
      </c>
      <c r="K60" s="93">
        <f t="shared" si="14"/>
        <v>6</v>
      </c>
      <c r="L60" s="93">
        <f t="shared" si="14"/>
        <v>5.4</v>
      </c>
      <c r="M60" s="93">
        <f t="shared" si="14"/>
        <v>6.3</v>
      </c>
      <c r="N60" s="93">
        <f t="shared" si="14"/>
        <v>5.9</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8</v>
      </c>
      <c r="C61" s="93">
        <f t="shared" si="15"/>
        <v>8</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8</v>
      </c>
      <c r="N61" s="93">
        <f t="shared" si="15"/>
        <v>8</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120</v>
      </c>
      <c r="C62" s="94">
        <f>B32</f>
        <v>120</v>
      </c>
      <c r="D62" s="94">
        <f>B33</f>
        <v>120</v>
      </c>
      <c r="E62" s="94">
        <f>B34</f>
        <v>120</v>
      </c>
      <c r="F62" s="94">
        <f>B35</f>
        <v>120</v>
      </c>
      <c r="G62" s="94">
        <f>B36</f>
        <v>120</v>
      </c>
      <c r="H62" s="94">
        <f>B37</f>
        <v>120</v>
      </c>
      <c r="I62" s="94">
        <f>B38</f>
        <v>120</v>
      </c>
      <c r="J62" s="94">
        <f>B39</f>
        <v>120</v>
      </c>
      <c r="K62" s="94">
        <f>B40</f>
        <v>120</v>
      </c>
      <c r="L62" s="94">
        <f>B41</f>
        <v>120</v>
      </c>
      <c r="M62" s="94">
        <f>B42</f>
        <v>120</v>
      </c>
      <c r="N62" s="94">
        <f>B43</f>
        <v>120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7.2000000000000028</v>
      </c>
      <c r="C64" s="94">
        <f t="shared" ref="C64:U64" si="17">(C59-C60)*C61</f>
        <v>3.2000000000000028</v>
      </c>
      <c r="D64" s="94">
        <f t="shared" si="17"/>
        <v>-0.59999999999999787</v>
      </c>
      <c r="E64" s="94">
        <f t="shared" si="17"/>
        <v>1.2000000000000011</v>
      </c>
      <c r="F64" s="94">
        <f t="shared" si="17"/>
        <v>1.2000000000000011</v>
      </c>
      <c r="G64" s="94">
        <f t="shared" si="17"/>
        <v>-1.2000000000000011</v>
      </c>
      <c r="H64" s="94">
        <f t="shared" si="17"/>
        <v>0</v>
      </c>
      <c r="I64" s="94">
        <f t="shared" si="17"/>
        <v>0.6000000000000032</v>
      </c>
      <c r="J64" s="94">
        <f t="shared" si="17"/>
        <v>3.6000000000000032</v>
      </c>
      <c r="K64" s="94">
        <f t="shared" si="17"/>
        <v>1.2000000000000011</v>
      </c>
      <c r="L64" s="94">
        <f t="shared" si="17"/>
        <v>4.7999999999999989</v>
      </c>
      <c r="M64" s="94">
        <f t="shared" si="17"/>
        <v>3.2000000000000028</v>
      </c>
      <c r="N64" s="94">
        <f t="shared" si="17"/>
        <v>6.3999999999999986</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OVER</v>
      </c>
      <c r="E65" s="95" t="str">
        <f t="shared" si="18"/>
        <v>UNDER</v>
      </c>
      <c r="F65" s="95" t="str">
        <f t="shared" si="18"/>
        <v>UNDER</v>
      </c>
      <c r="G65" s="95" t="str">
        <f t="shared" si="18"/>
        <v>OVER</v>
      </c>
      <c r="H65" s="95" t="str">
        <f t="shared" si="18"/>
        <v>OVER</v>
      </c>
      <c r="I65" s="95" t="str">
        <f t="shared" si="18"/>
        <v>UNDER</v>
      </c>
      <c r="J65" s="95" t="str">
        <f t="shared" si="18"/>
        <v>UNDER</v>
      </c>
      <c r="K65" s="95" t="str">
        <f t="shared" si="18"/>
        <v>UNDER</v>
      </c>
      <c r="L65" s="95" t="str">
        <f t="shared" si="18"/>
        <v>UNDER</v>
      </c>
      <c r="M65" s="95" t="str">
        <f t="shared" si="18"/>
        <v>UNDER</v>
      </c>
      <c r="N65" s="95" t="str">
        <f t="shared" si="18"/>
        <v>UNDER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2" ma:contentTypeDescription="Permitting &amp; Compliance Excel Document" ma:contentTypeScope="" ma:versionID="91b25cc3b7ddf9ac6917bf5c74b39711">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2021-03-31T23:00:00+00:00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0FD4545-0EAA-464F-95D2-B1BC17F8EE44}"/>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90FA3784-052D-436C-AAB7-AE81560265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2021-04-01T08:08:19Z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88d6774f-194f-4dee-82cb-b9de6ea8cea1</vt:lpwstr>
  </property>
  <property fmtid="{D5CDD505-2E9C-101B-9397-08002B2CF9AE}" pid="4" name="_dlc_DocId">
    <vt:lpwstr>REGU-204-2742396</vt:lpwstr>
  </property>
  <property fmtid="{D5CDD505-2E9C-101B-9397-08002B2CF9AE}" pid="5" name="_dlc_DocIdUrl">
    <vt:lpwstr>https://cyfoethnaturiolcymru.sharepoint.com/teams/Regulatory/Permitting/_layouts/15/DocIdRedir.aspx?ID=REGU-204-2742396, REGU-204-2742396</vt:lpwstr>
  </property>
</Properties>
</file>