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756\"/>
    </mc:Choice>
  </mc:AlternateContent>
  <xr:revisionPtr revIDLastSave="0" documentId="13_ncr:1_{67C99068-87AE-485D-A7A7-BB7C9F21A2AD}"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U62" i="30" l="1"/>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U24" i="30"/>
  <c r="S22" i="30"/>
  <c r="O22" i="30"/>
  <c r="G22" i="30"/>
  <c r="E22" i="30"/>
  <c r="V20" i="30"/>
  <c r="U20" i="30"/>
  <c r="T18" i="30"/>
  <c r="R18" i="30"/>
  <c r="L18" i="30"/>
  <c r="J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S22" i="29"/>
  <c r="P22" i="29"/>
  <c r="V20" i="29"/>
  <c r="U20" i="29"/>
  <c r="V18" i="29"/>
  <c r="N18" i="29"/>
  <c r="L18" i="29"/>
  <c r="F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M62" i="28"/>
  <c r="L62" i="28"/>
  <c r="K62" i="28"/>
  <c r="J62" i="28"/>
  <c r="I62" i="28"/>
  <c r="H62" i="28"/>
  <c r="G62" i="28"/>
  <c r="F62" i="28"/>
  <c r="E62" i="28"/>
  <c r="D62" i="28"/>
  <c r="C62" i="28"/>
  <c r="B62" i="28"/>
  <c r="G55" i="28"/>
  <c r="E5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Q22" i="28"/>
  <c r="N22" i="28"/>
  <c r="I22" i="28"/>
  <c r="V20" i="28"/>
  <c r="U20" i="28"/>
  <c r="U18" i="28"/>
  <c r="Q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D55" i="27"/>
  <c r="U50" i="27"/>
  <c r="T50" i="27"/>
  <c r="S50" i="27"/>
  <c r="R50" i="27"/>
  <c r="Q50" i="27"/>
  <c r="P50" i="27"/>
  <c r="O50" i="27"/>
  <c r="N50" i="27"/>
  <c r="M50" i="27"/>
  <c r="L50" i="27"/>
  <c r="K50" i="27"/>
  <c r="J50" i="27"/>
  <c r="I50" i="27"/>
  <c r="H50" i="27"/>
  <c r="G50" i="27"/>
  <c r="F50" i="27"/>
  <c r="E50" i="27"/>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V22" i="27"/>
  <c r="S22" i="27"/>
  <c r="M22" i="27"/>
  <c r="K22" i="27"/>
  <c r="I22" i="27"/>
  <c r="V20" i="27"/>
  <c r="U20" i="27"/>
  <c r="P18" i="27"/>
  <c r="O18" i="27"/>
  <c r="I18" i="27"/>
  <c r="H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O17" i="27" s="1"/>
  <c r="N14" i="27"/>
  <c r="M14" i="27"/>
  <c r="L14" i="27"/>
  <c r="K14" i="27"/>
  <c r="J14" i="27"/>
  <c r="I14" i="27"/>
  <c r="I17" i="27" s="1"/>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D50" i="26"/>
  <c r="V18" i="26" s="1"/>
  <c r="C50" i="26"/>
  <c r="U49" i="26"/>
  <c r="T49" i="26"/>
  <c r="S49" i="26"/>
  <c r="R49" i="26"/>
  <c r="Q49" i="26"/>
  <c r="P49" i="26"/>
  <c r="O49" i="26"/>
  <c r="N49" i="26"/>
  <c r="M49" i="26"/>
  <c r="L49" i="26"/>
  <c r="K49" i="26"/>
  <c r="J49" i="26"/>
  <c r="I49" i="26"/>
  <c r="H49" i="26"/>
  <c r="G49" i="26"/>
  <c r="F49" i="26"/>
  <c r="E49" i="26"/>
  <c r="U22" i="26" s="1"/>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2" i="26"/>
  <c r="S22" i="26"/>
  <c r="N22" i="26"/>
  <c r="V20" i="26"/>
  <c r="U20" i="26"/>
  <c r="U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c r="N63" i="24" s="1"/>
  <c r="D55" i="24"/>
  <c r="U50" i="24"/>
  <c r="T50" i="24"/>
  <c r="S50" i="24"/>
  <c r="R50" i="24"/>
  <c r="Q50" i="24"/>
  <c r="P50" i="24"/>
  <c r="O50" i="24"/>
  <c r="N50" i="24"/>
  <c r="M50" i="24"/>
  <c r="L50" i="24"/>
  <c r="K50" i="24"/>
  <c r="J50" i="24"/>
  <c r="I50" i="24"/>
  <c r="H50" i="24"/>
  <c r="G50" i="24"/>
  <c r="F50" i="24"/>
  <c r="E50" i="24"/>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C46" i="24"/>
  <c r="U45" i="24"/>
  <c r="T45" i="24"/>
  <c r="S45" i="24"/>
  <c r="R45" i="24"/>
  <c r="Q45" i="24"/>
  <c r="P45" i="24"/>
  <c r="O45" i="24"/>
  <c r="N45" i="24"/>
  <c r="M45" i="24"/>
  <c r="L45" i="24"/>
  <c r="K45" i="24"/>
  <c r="J45" i="24"/>
  <c r="I45" i="24"/>
  <c r="H45" i="24"/>
  <c r="G45" i="24"/>
  <c r="F45" i="24"/>
  <c r="E45" i="24"/>
  <c r="Q22" i="24" s="1"/>
  <c r="D45" i="24"/>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D43" i="24"/>
  <c r="O18" i="24" s="1"/>
  <c r="C43" i="24"/>
  <c r="U42" i="24"/>
  <c r="T42" i="24"/>
  <c r="S42" i="24"/>
  <c r="R42" i="24"/>
  <c r="Q42" i="24"/>
  <c r="P42" i="24"/>
  <c r="O42" i="24"/>
  <c r="N42" i="24"/>
  <c r="M42" i="24"/>
  <c r="L42" i="24"/>
  <c r="K42" i="24"/>
  <c r="J42" i="24"/>
  <c r="I42" i="24"/>
  <c r="H42" i="24"/>
  <c r="G42" i="24"/>
  <c r="F42" i="24"/>
  <c r="E42" i="24"/>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C38" i="24"/>
  <c r="U37" i="24"/>
  <c r="T37" i="24"/>
  <c r="S37" i="24"/>
  <c r="R37" i="24"/>
  <c r="Q37" i="24"/>
  <c r="P37" i="24"/>
  <c r="O37" i="24"/>
  <c r="N37" i="24"/>
  <c r="M37" i="24"/>
  <c r="L37" i="24"/>
  <c r="K37" i="24"/>
  <c r="J37" i="24"/>
  <c r="I37" i="24"/>
  <c r="H37" i="24"/>
  <c r="G37" i="24"/>
  <c r="F37" i="24"/>
  <c r="E37" i="24"/>
  <c r="I22" i="24" s="1"/>
  <c r="D37" i="24"/>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D35" i="24"/>
  <c r="G18" i="24" s="1"/>
  <c r="C35" i="24"/>
  <c r="U34" i="24"/>
  <c r="T34" i="24"/>
  <c r="S34" i="24"/>
  <c r="R34" i="24"/>
  <c r="Q34" i="24"/>
  <c r="P34" i="24"/>
  <c r="O34" i="24"/>
  <c r="N34" i="24"/>
  <c r="M34" i="24"/>
  <c r="L34" i="24"/>
  <c r="K34" i="24"/>
  <c r="J34" i="24"/>
  <c r="I34" i="24"/>
  <c r="H34" i="24"/>
  <c r="G34" i="24"/>
  <c r="F34" i="24"/>
  <c r="E34" i="24"/>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4" i="24"/>
  <c r="U24" i="24"/>
  <c r="V22" i="24"/>
  <c r="O22" i="24"/>
  <c r="N22" i="24"/>
  <c r="G22" i="24"/>
  <c r="F22" i="24"/>
  <c r="E22" i="24"/>
  <c r="V20" i="24"/>
  <c r="U20" i="24"/>
  <c r="R18" i="24"/>
  <c r="Q18" i="24"/>
  <c r="J18" i="24"/>
  <c r="I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D49" i="23"/>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D33" i="23"/>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U22" i="23"/>
  <c r="M22" i="23"/>
  <c r="E22" i="23"/>
  <c r="V20" i="23"/>
  <c r="U20" i="23"/>
  <c r="U18" i="23"/>
  <c r="S18" i="23"/>
  <c r="M18" i="23"/>
  <c r="E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V24" i="22"/>
  <c r="U24" i="22"/>
  <c r="S22" i="22"/>
  <c r="O22" i="22"/>
  <c r="N22" i="22"/>
  <c r="M22" i="22"/>
  <c r="V20" i="22"/>
  <c r="U20" i="22"/>
  <c r="S18" i="22"/>
  <c r="R18" i="22"/>
  <c r="Q18" i="22"/>
  <c r="K18" i="22"/>
  <c r="F18" i="22"/>
  <c r="C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F57"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G58" i="21" s="1"/>
  <c r="G61" i="21" s="1"/>
  <c r="I16" i="21"/>
  <c r="J16" i="21"/>
  <c r="K16" i="21"/>
  <c r="L16" i="21"/>
  <c r="M16" i="21"/>
  <c r="N16" i="21"/>
  <c r="O16" i="21"/>
  <c r="P16" i="21"/>
  <c r="O58" i="21" s="1"/>
  <c r="O61" i="21" s="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G60" i="21"/>
  <c r="L59" i="21"/>
  <c r="U57" i="21"/>
  <c r="M57" i="21"/>
  <c r="G55" i="21"/>
  <c r="E55" i="2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31" i="21"/>
  <c r="V20" i="21"/>
  <c r="U20" i="21"/>
  <c r="C22" i="22" l="1"/>
  <c r="A34" i="21"/>
  <c r="U63" i="21"/>
  <c r="N63" i="21"/>
  <c r="F63" i="21"/>
  <c r="T63" i="26"/>
  <c r="M63" i="26"/>
  <c r="E63" i="26"/>
  <c r="F63" i="26"/>
  <c r="U63" i="26"/>
  <c r="N63" i="26"/>
  <c r="C22" i="21"/>
  <c r="N59" i="21"/>
  <c r="O21" i="21"/>
  <c r="O17" i="21"/>
  <c r="F59" i="21"/>
  <c r="G21" i="21"/>
  <c r="G17" i="21"/>
  <c r="G21" i="22"/>
  <c r="G17" i="22"/>
  <c r="O21" i="22"/>
  <c r="O17" i="22"/>
  <c r="U63" i="28"/>
  <c r="N63" i="28"/>
  <c r="F63" i="28"/>
  <c r="C18" i="21"/>
  <c r="U59" i="21"/>
  <c r="V17" i="21"/>
  <c r="V21" i="21"/>
  <c r="M59" i="21"/>
  <c r="N17" i="21"/>
  <c r="N21" i="21"/>
  <c r="E59" i="21"/>
  <c r="F17" i="21"/>
  <c r="F19" i="21" s="1"/>
  <c r="F20" i="21" s="1"/>
  <c r="F21" i="21"/>
  <c r="F23" i="21" s="1"/>
  <c r="F24" i="21" s="1"/>
  <c r="N58" i="21"/>
  <c r="N61" i="21" s="1"/>
  <c r="O59" i="22"/>
  <c r="P21" i="22"/>
  <c r="P17" i="22"/>
  <c r="M17" i="21"/>
  <c r="M21" i="21"/>
  <c r="J59" i="23"/>
  <c r="K17" i="23"/>
  <c r="K19" i="23" s="1"/>
  <c r="K20" i="23" s="1"/>
  <c r="K21" i="23"/>
  <c r="I58" i="26"/>
  <c r="I61" i="26" s="1"/>
  <c r="J17" i="26"/>
  <c r="J21" i="26"/>
  <c r="A35" i="21"/>
  <c r="T58" i="21"/>
  <c r="T61" i="21" s="1"/>
  <c r="L58" i="21"/>
  <c r="L61" i="21" s="1"/>
  <c r="D58" i="21"/>
  <c r="D61" i="21" s="1"/>
  <c r="D64" i="21" s="1"/>
  <c r="R59" i="21"/>
  <c r="S21" i="21"/>
  <c r="S17" i="21"/>
  <c r="J59" i="21"/>
  <c r="K21" i="21"/>
  <c r="K17" i="21"/>
  <c r="J59" i="22"/>
  <c r="K17" i="22"/>
  <c r="K19" i="22" s="1"/>
  <c r="K20" i="22" s="1"/>
  <c r="K21" i="22"/>
  <c r="R59" i="22"/>
  <c r="S17" i="22"/>
  <c r="S21" i="22"/>
  <c r="D59" i="23"/>
  <c r="E17" i="23"/>
  <c r="E21" i="23"/>
  <c r="E23" i="23" s="1"/>
  <c r="E24" i="23" s="1"/>
  <c r="L59" i="23"/>
  <c r="M17" i="23"/>
  <c r="M21" i="23"/>
  <c r="T59" i="23"/>
  <c r="U17" i="23"/>
  <c r="U21" i="23"/>
  <c r="H17" i="24"/>
  <c r="H21" i="24"/>
  <c r="P17" i="24"/>
  <c r="P19" i="24" s="1"/>
  <c r="P20" i="24" s="1"/>
  <c r="P21" i="24"/>
  <c r="C59" i="26"/>
  <c r="D21" i="26"/>
  <c r="D17" i="26"/>
  <c r="K59" i="26"/>
  <c r="L21" i="26"/>
  <c r="L17" i="26"/>
  <c r="S59" i="26"/>
  <c r="T21" i="26"/>
  <c r="T17" i="26"/>
  <c r="J59" i="27"/>
  <c r="K17" i="27"/>
  <c r="R59" i="27"/>
  <c r="S17" i="27"/>
  <c r="J59" i="28"/>
  <c r="K21" i="28"/>
  <c r="K23" i="28" s="1"/>
  <c r="K24" i="28" s="1"/>
  <c r="K17" i="28"/>
  <c r="R59" i="28"/>
  <c r="S21" i="28"/>
  <c r="S17" i="28"/>
  <c r="I59" i="29"/>
  <c r="J21" i="29"/>
  <c r="J17" i="29"/>
  <c r="J19" i="29" s="1"/>
  <c r="J20" i="29" s="1"/>
  <c r="Q59" i="29"/>
  <c r="R21" i="29"/>
  <c r="R17" i="29"/>
  <c r="H59" i="30"/>
  <c r="I21" i="30"/>
  <c r="I17" i="30"/>
  <c r="Q21" i="30"/>
  <c r="Q17" i="30"/>
  <c r="Q19" i="30" s="1"/>
  <c r="Q20" i="30" s="1"/>
  <c r="Q59" i="23"/>
  <c r="R21" i="23"/>
  <c r="R23" i="23" s="1"/>
  <c r="R24" i="23" s="1"/>
  <c r="R17" i="23"/>
  <c r="T59" i="21"/>
  <c r="U17" i="21"/>
  <c r="U21" i="21"/>
  <c r="R59" i="23"/>
  <c r="S17" i="23"/>
  <c r="S21" i="23"/>
  <c r="U59" i="24"/>
  <c r="V21" i="24"/>
  <c r="V17" i="24"/>
  <c r="I17" i="24"/>
  <c r="I21" i="24"/>
  <c r="L59" i="26"/>
  <c r="M21" i="26"/>
  <c r="M17" i="26"/>
  <c r="C59" i="27"/>
  <c r="D17" i="27"/>
  <c r="K59" i="27"/>
  <c r="L17" i="27"/>
  <c r="S59" i="27"/>
  <c r="T17" i="27"/>
  <c r="C59" i="28"/>
  <c r="D21" i="28"/>
  <c r="D23" i="28" s="1"/>
  <c r="D24" i="28" s="1"/>
  <c r="D17" i="28"/>
  <c r="D19" i="28" s="1"/>
  <c r="D20" i="28" s="1"/>
  <c r="K59" i="28"/>
  <c r="L21" i="28"/>
  <c r="L17" i="28"/>
  <c r="S59" i="28"/>
  <c r="T21" i="28"/>
  <c r="T17" i="28"/>
  <c r="J59" i="29"/>
  <c r="K21" i="29"/>
  <c r="K23" i="29" s="1"/>
  <c r="K24" i="29" s="1"/>
  <c r="K17" i="29"/>
  <c r="R59" i="29"/>
  <c r="S21" i="29"/>
  <c r="S17" i="29"/>
  <c r="I59" i="30"/>
  <c r="J21" i="30"/>
  <c r="J17" i="30"/>
  <c r="J19" i="30" s="1"/>
  <c r="J20" i="30" s="1"/>
  <c r="Q59" i="30"/>
  <c r="R21" i="30"/>
  <c r="R17" i="30"/>
  <c r="G59" i="22"/>
  <c r="H21" i="22"/>
  <c r="H17" i="22"/>
  <c r="F58" i="21"/>
  <c r="F61" i="21" s="1"/>
  <c r="E17" i="21"/>
  <c r="E21" i="21"/>
  <c r="P59" i="22"/>
  <c r="Q17" i="22"/>
  <c r="Q21" i="22"/>
  <c r="Q23" i="22" s="1"/>
  <c r="Q24" i="22" s="1"/>
  <c r="M59" i="24"/>
  <c r="N21" i="24"/>
  <c r="N17" i="24"/>
  <c r="Q59" i="21"/>
  <c r="R21" i="21"/>
  <c r="R17" i="21"/>
  <c r="I59" i="21"/>
  <c r="J21" i="21"/>
  <c r="J23" i="21" s="1"/>
  <c r="J24" i="21" s="1"/>
  <c r="J17" i="21"/>
  <c r="K59" i="22"/>
  <c r="L21" i="22"/>
  <c r="L17" i="22"/>
  <c r="E59" i="23"/>
  <c r="F21" i="23"/>
  <c r="F17" i="23"/>
  <c r="F19" i="23" s="1"/>
  <c r="F20" i="23" s="1"/>
  <c r="U59" i="23"/>
  <c r="V21" i="23"/>
  <c r="V17" i="23"/>
  <c r="Q17" i="24"/>
  <c r="Q21" i="24"/>
  <c r="U63" i="24"/>
  <c r="D59" i="26"/>
  <c r="E21" i="26"/>
  <c r="E23" i="26" s="1"/>
  <c r="E24" i="26" s="1"/>
  <c r="E17" i="26"/>
  <c r="E19" i="26" s="1"/>
  <c r="E20" i="26" s="1"/>
  <c r="T59" i="26"/>
  <c r="U21" i="26"/>
  <c r="U17" i="26"/>
  <c r="P59" i="21"/>
  <c r="Q21" i="21"/>
  <c r="Q17" i="21"/>
  <c r="I21" i="21"/>
  <c r="I23" i="21" s="1"/>
  <c r="I24" i="21" s="1"/>
  <c r="I17" i="21"/>
  <c r="I19" i="21" s="1"/>
  <c r="I20" i="21" s="1"/>
  <c r="D59" i="22"/>
  <c r="E21" i="22"/>
  <c r="E17" i="22"/>
  <c r="L59" i="22"/>
  <c r="M21" i="22"/>
  <c r="M17" i="22"/>
  <c r="T59" i="22"/>
  <c r="U21" i="22"/>
  <c r="U17" i="22"/>
  <c r="G23" i="23"/>
  <c r="G24" i="23" s="1"/>
  <c r="G21" i="23"/>
  <c r="G17" i="23"/>
  <c r="O21" i="23"/>
  <c r="O23" i="23" s="1"/>
  <c r="O24" i="23" s="1"/>
  <c r="O17" i="23"/>
  <c r="I59" i="24"/>
  <c r="J21" i="24"/>
  <c r="J23" i="24" s="1"/>
  <c r="J24" i="24" s="1"/>
  <c r="J17" i="24"/>
  <c r="Q59" i="24"/>
  <c r="R21" i="24"/>
  <c r="R17" i="24"/>
  <c r="E59" i="26"/>
  <c r="F21" i="26"/>
  <c r="F23" i="26" s="1"/>
  <c r="F24" i="26" s="1"/>
  <c r="F17" i="26"/>
  <c r="F19" i="26" s="1"/>
  <c r="F20" i="26" s="1"/>
  <c r="M59" i="26"/>
  <c r="N21" i="26"/>
  <c r="N17" i="26"/>
  <c r="U59" i="26"/>
  <c r="V21" i="26"/>
  <c r="V17" i="26"/>
  <c r="D59" i="27"/>
  <c r="E17" i="27"/>
  <c r="E19" i="27" s="1"/>
  <c r="E20" i="27" s="1"/>
  <c r="L59" i="27"/>
  <c r="M17" i="27"/>
  <c r="T59" i="27"/>
  <c r="U17" i="27"/>
  <c r="D59" i="28"/>
  <c r="E17" i="28"/>
  <c r="E21" i="28"/>
  <c r="E23" i="28" s="1"/>
  <c r="E24" i="28" s="1"/>
  <c r="L59" i="28"/>
  <c r="M17" i="28"/>
  <c r="M19" i="28" s="1"/>
  <c r="M20" i="28" s="1"/>
  <c r="M21" i="28"/>
  <c r="T59" i="28"/>
  <c r="U17" i="28"/>
  <c r="U21" i="28"/>
  <c r="C59" i="29"/>
  <c r="D21" i="29"/>
  <c r="D23" i="29" s="1"/>
  <c r="D24" i="29" s="1"/>
  <c r="D17" i="29"/>
  <c r="K59" i="29"/>
  <c r="L21" i="29"/>
  <c r="L17" i="29"/>
  <c r="S59" i="29"/>
  <c r="T21" i="29"/>
  <c r="T17" i="29"/>
  <c r="J59" i="30"/>
  <c r="K17" i="30"/>
  <c r="K19" i="30" s="1"/>
  <c r="K20" i="30" s="1"/>
  <c r="K21" i="30"/>
  <c r="K23" i="30" s="1"/>
  <c r="K24" i="30" s="1"/>
  <c r="R59" i="30"/>
  <c r="S17" i="30"/>
  <c r="S21" i="30"/>
  <c r="E59" i="24"/>
  <c r="F21" i="24"/>
  <c r="F17" i="24"/>
  <c r="C59" i="22"/>
  <c r="D21" i="22"/>
  <c r="D17" i="22"/>
  <c r="S59" i="22"/>
  <c r="T21" i="22"/>
  <c r="T23" i="22" s="1"/>
  <c r="T24" i="22" s="1"/>
  <c r="T17" i="22"/>
  <c r="T19" i="22" s="1"/>
  <c r="T20" i="22" s="1"/>
  <c r="M59" i="23"/>
  <c r="N21" i="23"/>
  <c r="N17" i="23"/>
  <c r="D59" i="21"/>
  <c r="O59" i="21"/>
  <c r="P21" i="21"/>
  <c r="P17" i="21"/>
  <c r="P19" i="21" s="1"/>
  <c r="P20" i="21" s="1"/>
  <c r="H21" i="21"/>
  <c r="H23" i="21" s="1"/>
  <c r="H24" i="21" s="1"/>
  <c r="H17" i="21"/>
  <c r="H19" i="21" s="1"/>
  <c r="H20" i="21" s="1"/>
  <c r="E59" i="22"/>
  <c r="F21" i="22"/>
  <c r="F17" i="22"/>
  <c r="M59" i="22"/>
  <c r="N21" i="22"/>
  <c r="N17" i="22"/>
  <c r="N19" i="22" s="1"/>
  <c r="N20" i="22" s="1"/>
  <c r="U59" i="22"/>
  <c r="V21" i="22"/>
  <c r="V17" i="22"/>
  <c r="H21" i="23"/>
  <c r="H17" i="23"/>
  <c r="P21" i="23"/>
  <c r="P17" i="23"/>
  <c r="J59" i="24"/>
  <c r="K21" i="24"/>
  <c r="K23" i="24" s="1"/>
  <c r="K24" i="24" s="1"/>
  <c r="K17" i="24"/>
  <c r="K19" i="24" s="1"/>
  <c r="K20" i="24" s="1"/>
  <c r="R59" i="24"/>
  <c r="S21" i="24"/>
  <c r="S17" i="24"/>
  <c r="G21" i="26"/>
  <c r="G23" i="26" s="1"/>
  <c r="G24" i="26" s="1"/>
  <c r="G17" i="26"/>
  <c r="O21" i="26"/>
  <c r="O17" i="26"/>
  <c r="O19" i="26" s="1"/>
  <c r="O20" i="26" s="1"/>
  <c r="E59" i="27"/>
  <c r="F17" i="27"/>
  <c r="M59" i="27"/>
  <c r="N17" i="27"/>
  <c r="U59" i="27"/>
  <c r="V17" i="27"/>
  <c r="E59" i="28"/>
  <c r="F17" i="28"/>
  <c r="F19" i="28" s="1"/>
  <c r="F20" i="28" s="1"/>
  <c r="F21" i="28"/>
  <c r="M59" i="28"/>
  <c r="N17" i="28"/>
  <c r="N21" i="28"/>
  <c r="U59" i="28"/>
  <c r="V17" i="28"/>
  <c r="V21" i="28"/>
  <c r="V23" i="28" s="1"/>
  <c r="D59" i="29"/>
  <c r="E17" i="29"/>
  <c r="E19" i="29" s="1"/>
  <c r="E20" i="29" s="1"/>
  <c r="E21" i="29"/>
  <c r="L59" i="29"/>
  <c r="M17" i="29"/>
  <c r="M21" i="29"/>
  <c r="T59" i="29"/>
  <c r="U17" i="29"/>
  <c r="U19" i="29" s="1"/>
  <c r="U21" i="29"/>
  <c r="C59" i="30"/>
  <c r="D17" i="30"/>
  <c r="D21" i="30"/>
  <c r="K59" i="30"/>
  <c r="L17" i="30"/>
  <c r="L19" i="30" s="1"/>
  <c r="L20" i="30" s="1"/>
  <c r="L21" i="30"/>
  <c r="S59" i="30"/>
  <c r="T17" i="30"/>
  <c r="T21" i="30"/>
  <c r="T23" i="30" s="1"/>
  <c r="T24" i="30" s="1"/>
  <c r="H59" i="23"/>
  <c r="I21" i="23"/>
  <c r="I23" i="23" s="1"/>
  <c r="I24" i="23" s="1"/>
  <c r="I17" i="23"/>
  <c r="P59" i="23"/>
  <c r="Q21" i="23"/>
  <c r="Q17" i="23"/>
  <c r="C59" i="24"/>
  <c r="D21" i="24"/>
  <c r="D23" i="24" s="1"/>
  <c r="D24" i="24" s="1"/>
  <c r="D17" i="24"/>
  <c r="D19" i="24" s="1"/>
  <c r="D20" i="24" s="1"/>
  <c r="K59" i="24"/>
  <c r="L21" i="24"/>
  <c r="L17" i="24"/>
  <c r="S59" i="24"/>
  <c r="T21" i="24"/>
  <c r="T23" i="24" s="1"/>
  <c r="T24" i="24" s="1"/>
  <c r="T17" i="24"/>
  <c r="H21" i="26"/>
  <c r="H23" i="26" s="1"/>
  <c r="H24" i="26" s="1"/>
  <c r="H17" i="26"/>
  <c r="H19" i="26" s="1"/>
  <c r="H20" i="26" s="1"/>
  <c r="P21" i="26"/>
  <c r="P23" i="26" s="1"/>
  <c r="P24" i="26" s="1"/>
  <c r="P17" i="26"/>
  <c r="U63" i="27"/>
  <c r="F59" i="28"/>
  <c r="G17" i="28"/>
  <c r="G19" i="28" s="1"/>
  <c r="G20" i="28" s="1"/>
  <c r="G21" i="28"/>
  <c r="N59" i="28"/>
  <c r="O17" i="28"/>
  <c r="O19" i="28" s="1"/>
  <c r="O20" i="28" s="1"/>
  <c r="O21" i="28"/>
  <c r="O23" i="28" s="1"/>
  <c r="O24" i="28" s="1"/>
  <c r="E59" i="29"/>
  <c r="F17" i="29"/>
  <c r="F21" i="29"/>
  <c r="M59" i="29"/>
  <c r="N17" i="29"/>
  <c r="N21" i="29"/>
  <c r="N23" i="29" s="1"/>
  <c r="N24" i="29" s="1"/>
  <c r="U59" i="29"/>
  <c r="V17" i="29"/>
  <c r="V21" i="29"/>
  <c r="D59" i="30"/>
  <c r="E17" i="30"/>
  <c r="E21" i="30"/>
  <c r="L59" i="30"/>
  <c r="M17" i="30"/>
  <c r="M19" i="30" s="1"/>
  <c r="M20" i="30" s="1"/>
  <c r="M21" i="30"/>
  <c r="M23" i="30" s="1"/>
  <c r="M24" i="30" s="1"/>
  <c r="T59" i="30"/>
  <c r="U17" i="30"/>
  <c r="U21" i="30"/>
  <c r="D59" i="24"/>
  <c r="E21" i="24"/>
  <c r="E23" i="24" s="1"/>
  <c r="E24" i="24" s="1"/>
  <c r="E17" i="24"/>
  <c r="L59" i="24"/>
  <c r="M21" i="24"/>
  <c r="M17" i="24"/>
  <c r="T59" i="24"/>
  <c r="U21" i="24"/>
  <c r="U23" i="24" s="1"/>
  <c r="U17" i="24"/>
  <c r="H59" i="26"/>
  <c r="I17" i="26"/>
  <c r="I21" i="26"/>
  <c r="P59" i="26"/>
  <c r="Q17" i="26"/>
  <c r="Q21" i="26"/>
  <c r="H17" i="27"/>
  <c r="P17" i="27"/>
  <c r="P19" i="27" s="1"/>
  <c r="P20" i="27" s="1"/>
  <c r="H21" i="28"/>
  <c r="H23" i="28" s="1"/>
  <c r="H24" i="28" s="1"/>
  <c r="H17" i="28"/>
  <c r="P21" i="28"/>
  <c r="P23" i="28" s="1"/>
  <c r="P24" i="28" s="1"/>
  <c r="P17" i="28"/>
  <c r="G17" i="29"/>
  <c r="G21" i="29"/>
  <c r="O17" i="29"/>
  <c r="O19" i="29" s="1"/>
  <c r="O20" i="29" s="1"/>
  <c r="O21" i="29"/>
  <c r="O23" i="29" s="1"/>
  <c r="O24" i="29" s="1"/>
  <c r="E59" i="30"/>
  <c r="F21" i="30"/>
  <c r="F17" i="30"/>
  <c r="M59" i="30"/>
  <c r="N21" i="30"/>
  <c r="N23" i="30" s="1"/>
  <c r="N24" i="30" s="1"/>
  <c r="N17" i="30"/>
  <c r="U59" i="30"/>
  <c r="V21" i="30"/>
  <c r="V17" i="30"/>
  <c r="G21" i="30"/>
  <c r="G23" i="30" s="1"/>
  <c r="G24" i="30" s="1"/>
  <c r="G17" i="30"/>
  <c r="G19" i="30" s="1"/>
  <c r="G20" i="30" s="1"/>
  <c r="O21" i="30"/>
  <c r="O17" i="30"/>
  <c r="I59" i="23"/>
  <c r="J21" i="23"/>
  <c r="J17" i="23"/>
  <c r="J19" i="23" s="1"/>
  <c r="J20" i="23" s="1"/>
  <c r="H59" i="22"/>
  <c r="I17" i="22"/>
  <c r="I19" i="22" s="1"/>
  <c r="I20" i="22" s="1"/>
  <c r="I21" i="22"/>
  <c r="Q58" i="26"/>
  <c r="Q61" i="26" s="1"/>
  <c r="R17" i="26"/>
  <c r="R21" i="26"/>
  <c r="I21" i="28"/>
  <c r="I17" i="28"/>
  <c r="I19" i="28" s="1"/>
  <c r="I20" i="28" s="1"/>
  <c r="Q21" i="28"/>
  <c r="Q23" i="28" s="1"/>
  <c r="Q24" i="28" s="1"/>
  <c r="Q17" i="28"/>
  <c r="Q19" i="28" s="1"/>
  <c r="Q20" i="28" s="1"/>
  <c r="H21" i="29"/>
  <c r="H17" i="29"/>
  <c r="P21" i="29"/>
  <c r="P17" i="29"/>
  <c r="S59" i="21"/>
  <c r="T17" i="21"/>
  <c r="T19" i="21" s="1"/>
  <c r="T20" i="21" s="1"/>
  <c r="T21" i="21"/>
  <c r="T23" i="21" s="1"/>
  <c r="T24" i="21" s="1"/>
  <c r="K59" i="21"/>
  <c r="L17" i="21"/>
  <c r="L21" i="21"/>
  <c r="C59" i="21"/>
  <c r="D17" i="21"/>
  <c r="D21" i="21"/>
  <c r="I59" i="22"/>
  <c r="J17" i="22"/>
  <c r="J19" i="22" s="1"/>
  <c r="J20" i="22" s="1"/>
  <c r="J21" i="22"/>
  <c r="J23" i="22" s="1"/>
  <c r="J24" i="22" s="1"/>
  <c r="Q59" i="22"/>
  <c r="R17" i="22"/>
  <c r="R19" i="22" s="1"/>
  <c r="R20" i="22" s="1"/>
  <c r="R21" i="22"/>
  <c r="C59" i="23"/>
  <c r="D17" i="23"/>
  <c r="D21" i="23"/>
  <c r="D23" i="23" s="1"/>
  <c r="D24" i="23" s="1"/>
  <c r="K59" i="23"/>
  <c r="L17" i="23"/>
  <c r="L19" i="23" s="1"/>
  <c r="L20" i="23" s="1"/>
  <c r="L21" i="23"/>
  <c r="S59" i="23"/>
  <c r="T17" i="23"/>
  <c r="T21" i="23"/>
  <c r="G17" i="24"/>
  <c r="G21" i="24"/>
  <c r="G23" i="24" s="1"/>
  <c r="G24" i="24" s="1"/>
  <c r="O17" i="24"/>
  <c r="O19" i="24" s="1"/>
  <c r="O20" i="24" s="1"/>
  <c r="O21" i="24"/>
  <c r="F63" i="24"/>
  <c r="J59" i="26"/>
  <c r="K17" i="26"/>
  <c r="K21" i="26"/>
  <c r="R59" i="26"/>
  <c r="S17" i="26"/>
  <c r="S21" i="26"/>
  <c r="S23" i="26" s="1"/>
  <c r="S24" i="26" s="1"/>
  <c r="I59" i="27"/>
  <c r="J17" i="27"/>
  <c r="J19" i="27" s="1"/>
  <c r="J20" i="27" s="1"/>
  <c r="Q59" i="27"/>
  <c r="R17" i="27"/>
  <c r="I59" i="28"/>
  <c r="J21" i="28"/>
  <c r="J17" i="28"/>
  <c r="J19" i="28" s="1"/>
  <c r="J20" i="28" s="1"/>
  <c r="Q59" i="28"/>
  <c r="R21" i="28"/>
  <c r="R17" i="28"/>
  <c r="I21" i="29"/>
  <c r="I17" i="29"/>
  <c r="Q21" i="29"/>
  <c r="Q17" i="29"/>
  <c r="H21" i="30"/>
  <c r="H23" i="30" s="1"/>
  <c r="H24" i="30" s="1"/>
  <c r="H17" i="30"/>
  <c r="H19" i="30" s="1"/>
  <c r="H20" i="30" s="1"/>
  <c r="P21" i="30"/>
  <c r="P23" i="30" s="1"/>
  <c r="P24" i="30" s="1"/>
  <c r="P17" i="30"/>
  <c r="B59" i="22"/>
  <c r="C17" i="22"/>
  <c r="C19" i="22" s="1"/>
  <c r="C20" i="22" s="1"/>
  <c r="C21" i="22"/>
  <c r="B59" i="27"/>
  <c r="C17" i="27"/>
  <c r="C19" i="27" s="1"/>
  <c r="C20" i="27" s="1"/>
  <c r="C21" i="27"/>
  <c r="C23" i="27" s="1"/>
  <c r="C24" i="27" s="1"/>
  <c r="B59" i="28"/>
  <c r="C21" i="28"/>
  <c r="C23" i="28" s="1"/>
  <c r="C24" i="28" s="1"/>
  <c r="C17" i="28"/>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D23" i="21"/>
  <c r="D24" i="21" s="1"/>
  <c r="S58" i="21"/>
  <c r="S61" i="21" s="1"/>
  <c r="S64" i="21" s="1"/>
  <c r="C58" i="21"/>
  <c r="C61" i="21" s="1"/>
  <c r="G23" i="22"/>
  <c r="G24" i="22" s="1"/>
  <c r="D19" i="21"/>
  <c r="D20" i="21" s="1"/>
  <c r="K58" i="21"/>
  <c r="K61" i="21" s="1"/>
  <c r="R19" i="24"/>
  <c r="R20" i="24" s="1"/>
  <c r="I21" i="27"/>
  <c r="I23" i="27" s="1"/>
  <c r="I24" i="27" s="1"/>
  <c r="Q21" i="27"/>
  <c r="U23" i="21"/>
  <c r="U24" i="21" s="1"/>
  <c r="R58" i="21"/>
  <c r="R61" i="21" s="1"/>
  <c r="S23" i="21"/>
  <c r="S24" i="21" s="1"/>
  <c r="O57" i="21"/>
  <c r="O23" i="21"/>
  <c r="O24" i="21" s="1"/>
  <c r="A43" i="21"/>
  <c r="J58" i="21"/>
  <c r="J61" i="21" s="1"/>
  <c r="J64" i="21" s="1"/>
  <c r="E19" i="21"/>
  <c r="E20" i="21" s="1"/>
  <c r="R23" i="22"/>
  <c r="R24" i="22" s="1"/>
  <c r="D58" i="29"/>
  <c r="D61" i="29" s="1"/>
  <c r="G21" i="27"/>
  <c r="O21" i="27"/>
  <c r="O23" i="27" s="1"/>
  <c r="O24" i="27" s="1"/>
  <c r="D58" i="30"/>
  <c r="D61" i="30" s="1"/>
  <c r="L58" i="30"/>
  <c r="L61" i="30" s="1"/>
  <c r="L64" i="30" s="1"/>
  <c r="R58" i="23"/>
  <c r="R61" i="23" s="1"/>
  <c r="H21" i="27"/>
  <c r="H23" i="27" s="1"/>
  <c r="H24" i="27" s="1"/>
  <c r="P21" i="27"/>
  <c r="P23" i="27" s="1"/>
  <c r="P24" i="27" s="1"/>
  <c r="G23" i="29"/>
  <c r="G24" i="29" s="1"/>
  <c r="J58" i="22"/>
  <c r="J61" i="22" s="1"/>
  <c r="J58" i="26"/>
  <c r="J61" i="26" s="1"/>
  <c r="J23" i="23"/>
  <c r="J24" i="23" s="1"/>
  <c r="R19" i="23"/>
  <c r="R20" i="23" s="1"/>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T23" i="27" s="1"/>
  <c r="T24" i="27" s="1"/>
  <c r="H57" i="29"/>
  <c r="R23" i="30"/>
  <c r="R24" i="30" s="1"/>
  <c r="P58" i="21"/>
  <c r="P61" i="21" s="1"/>
  <c r="H58" i="21"/>
  <c r="H61" i="21" s="1"/>
  <c r="N59" i="23"/>
  <c r="N64" i="23" s="1"/>
  <c r="R58" i="26"/>
  <c r="R61" i="26" s="1"/>
  <c r="R64" i="26" s="1"/>
  <c r="R57" i="21"/>
  <c r="H58" i="22"/>
  <c r="H61" i="22" s="1"/>
  <c r="P58" i="22"/>
  <c r="P61" i="22" s="1"/>
  <c r="P64" i="22" s="1"/>
  <c r="F59" i="22"/>
  <c r="K58" i="29"/>
  <c r="K61" i="29" s="1"/>
  <c r="K64" i="29" s="1"/>
  <c r="I58" i="23"/>
  <c r="I61" i="23" s="1"/>
  <c r="Q58" i="23"/>
  <c r="Q61" i="23" s="1"/>
  <c r="L58" i="29"/>
  <c r="L61" i="29" s="1"/>
  <c r="L64" i="29" s="1"/>
  <c r="T58" i="29"/>
  <c r="T61" i="29" s="1"/>
  <c r="I23" i="30"/>
  <c r="I24" i="30" s="1"/>
  <c r="Q23" i="30"/>
  <c r="Q24" i="30" s="1"/>
  <c r="E23" i="30"/>
  <c r="E24" i="30" s="1"/>
  <c r="U23" i="30"/>
  <c r="J58" i="28"/>
  <c r="J61" i="28" s="1"/>
  <c r="R58" i="22"/>
  <c r="R61" i="22" s="1"/>
  <c r="R64" i="22" s="1"/>
  <c r="J58" i="23"/>
  <c r="J61" i="23" s="1"/>
  <c r="J58" i="24"/>
  <c r="J61" i="24" s="1"/>
  <c r="R58" i="24"/>
  <c r="R61" i="24" s="1"/>
  <c r="R64" i="24" s="1"/>
  <c r="F57" i="24"/>
  <c r="T58" i="30"/>
  <c r="T61" i="30" s="1"/>
  <c r="T64" i="30" s="1"/>
  <c r="C58" i="23"/>
  <c r="C61" i="23" s="1"/>
  <c r="K58" i="23"/>
  <c r="K61" i="23" s="1"/>
  <c r="S58" i="23"/>
  <c r="S61" i="23" s="1"/>
  <c r="S64" i="23" s="1"/>
  <c r="F58" i="26"/>
  <c r="F61" i="26" s="1"/>
  <c r="D58" i="27"/>
  <c r="D61" i="27" s="1"/>
  <c r="D64" i="27" s="1"/>
  <c r="L58" i="27"/>
  <c r="L61" i="27" s="1"/>
  <c r="L64" i="27" s="1"/>
  <c r="T58" i="27"/>
  <c r="T61" i="27" s="1"/>
  <c r="T64" i="27" s="1"/>
  <c r="J58" i="30"/>
  <c r="J61" i="30" s="1"/>
  <c r="R58" i="30"/>
  <c r="R61" i="30" s="1"/>
  <c r="R64" i="30" s="1"/>
  <c r="P57" i="30"/>
  <c r="J57" i="21"/>
  <c r="H59" i="21"/>
  <c r="I19" i="24"/>
  <c r="I20" i="24" s="1"/>
  <c r="Q19" i="24"/>
  <c r="Q20" i="24" s="1"/>
  <c r="R21" i="27"/>
  <c r="R23" i="27" s="1"/>
  <c r="R24" i="27" s="1"/>
  <c r="O64" i="21"/>
  <c r="E58" i="27"/>
  <c r="E61" i="27" s="1"/>
  <c r="E64" i="27" s="1"/>
  <c r="M58" i="27"/>
  <c r="M61" i="27" s="1"/>
  <c r="M64" i="27" s="1"/>
  <c r="U58" i="27"/>
  <c r="U61" i="27" s="1"/>
  <c r="U64" i="27" s="1"/>
  <c r="U65" i="27" s="1"/>
  <c r="I58" i="29"/>
  <c r="I61" i="29" s="1"/>
  <c r="I64" i="29" s="1"/>
  <c r="Q58" i="29"/>
  <c r="Q61" i="29" s="1"/>
  <c r="F58" i="30"/>
  <c r="F61" i="30" s="1"/>
  <c r="N58" i="30"/>
  <c r="N61" i="30" s="1"/>
  <c r="G59" i="21"/>
  <c r="G64" i="21" s="1"/>
  <c r="G58" i="22"/>
  <c r="G61" i="22" s="1"/>
  <c r="G64" i="22" s="1"/>
  <c r="O58" i="22"/>
  <c r="O61" i="22" s="1"/>
  <c r="O64" i="22" s="1"/>
  <c r="F59" i="23"/>
  <c r="F64" i="23"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R58" i="29"/>
  <c r="R61" i="29" s="1"/>
  <c r="R64" i="29" s="1"/>
  <c r="P57" i="29"/>
  <c r="D23" i="30"/>
  <c r="D24" i="30" s="1"/>
  <c r="L23" i="30"/>
  <c r="L24" i="30" s="1"/>
  <c r="G58" i="30"/>
  <c r="G61" i="30" s="1"/>
  <c r="O58" i="30"/>
  <c r="O61" i="30" s="1"/>
  <c r="Q57" i="30"/>
  <c r="E23" i="21"/>
  <c r="E24" i="21" s="1"/>
  <c r="A36" i="22"/>
  <c r="G58" i="27"/>
  <c r="G61" i="27" s="1"/>
  <c r="T58" i="28"/>
  <c r="T61" i="28" s="1"/>
  <c r="T64" i="28" s="1"/>
  <c r="C58" i="29"/>
  <c r="C61" i="29" s="1"/>
  <c r="C64" i="29" s="1"/>
  <c r="H58" i="30"/>
  <c r="H61" i="30" s="1"/>
  <c r="N59" i="30"/>
  <c r="K19" i="21"/>
  <c r="K20" i="21" s="1"/>
  <c r="Q57" i="21"/>
  <c r="B58" i="21"/>
  <c r="B61" i="21" s="1"/>
  <c r="I58" i="22"/>
  <c r="I61" i="22" s="1"/>
  <c r="Q58" i="22"/>
  <c r="Q61" i="22" s="1"/>
  <c r="Q64" i="22" s="1"/>
  <c r="Q23" i="23"/>
  <c r="Q24" i="23" s="1"/>
  <c r="D58" i="23"/>
  <c r="D61" i="23" s="1"/>
  <c r="D64" i="23" s="1"/>
  <c r="L58" i="23"/>
  <c r="L61" i="23" s="1"/>
  <c r="T58" i="23"/>
  <c r="T61" i="23" s="1"/>
  <c r="T64" i="23" s="1"/>
  <c r="E58" i="24"/>
  <c r="E61" i="24" s="1"/>
  <c r="E64" i="24" s="1"/>
  <c r="M58" i="24"/>
  <c r="M61" i="24" s="1"/>
  <c r="U58" i="24"/>
  <c r="U61" i="24" s="1"/>
  <c r="U64" i="24" s="1"/>
  <c r="U65" i="24" s="1"/>
  <c r="N59" i="26"/>
  <c r="H58" i="27"/>
  <c r="H61" i="27" s="1"/>
  <c r="P58" i="27"/>
  <c r="P61" i="27" s="1"/>
  <c r="F57" i="27"/>
  <c r="J23" i="28"/>
  <c r="J24" i="28" s="1"/>
  <c r="E58" i="28"/>
  <c r="E61" i="28" s="1"/>
  <c r="M58" i="28"/>
  <c r="M61" i="28" s="1"/>
  <c r="M64" i="28" s="1"/>
  <c r="U58" i="28"/>
  <c r="U61" i="28" s="1"/>
  <c r="U64" i="28" s="1"/>
  <c r="U65" i="28" s="1"/>
  <c r="T64" i="29"/>
  <c r="I58" i="30"/>
  <c r="I61" i="30" s="1"/>
  <c r="I64" i="30" s="1"/>
  <c r="Q58" i="30"/>
  <c r="Q61" i="30" s="1"/>
  <c r="P59" i="30"/>
  <c r="L58" i="24"/>
  <c r="L61" i="24" s="1"/>
  <c r="L64" i="24" s="1"/>
  <c r="P58" i="26"/>
  <c r="P61" i="26" s="1"/>
  <c r="P64" i="26" s="1"/>
  <c r="F59" i="26"/>
  <c r="F64" i="26" s="1"/>
  <c r="F65" i="26" s="1"/>
  <c r="O58" i="27"/>
  <c r="O61" i="27" s="1"/>
  <c r="U19" i="21"/>
  <c r="V19" i="21"/>
  <c r="A38" i="21"/>
  <c r="F57" i="22"/>
  <c r="N59" i="22"/>
  <c r="E58" i="23"/>
  <c r="E61" i="23" s="1"/>
  <c r="E64" i="23" s="1"/>
  <c r="M58" i="23"/>
  <c r="M61" i="23" s="1"/>
  <c r="M64" i="23" s="1"/>
  <c r="U58" i="23"/>
  <c r="U61" i="23" s="1"/>
  <c r="U64" i="23" s="1"/>
  <c r="N19" i="23"/>
  <c r="N20" i="23" s="1"/>
  <c r="V19" i="23"/>
  <c r="O23" i="24"/>
  <c r="O24" i="24" s="1"/>
  <c r="F58" i="24"/>
  <c r="F61" i="24" s="1"/>
  <c r="N58" i="24"/>
  <c r="N61" i="24" s="1"/>
  <c r="F59" i="24"/>
  <c r="F64" i="24" s="1"/>
  <c r="F65" i="24" s="1"/>
  <c r="J64" i="26"/>
  <c r="I58" i="27"/>
  <c r="I61" i="27" s="1"/>
  <c r="I64" i="27" s="1"/>
  <c r="Q58" i="27"/>
  <c r="Q61" i="27" s="1"/>
  <c r="Q64" i="27" s="1"/>
  <c r="H57" i="27"/>
  <c r="F59" i="27"/>
  <c r="G23" i="28"/>
  <c r="G24" i="28" s="1"/>
  <c r="F58" i="28"/>
  <c r="F61" i="28" s="1"/>
  <c r="F64" i="28" s="1"/>
  <c r="N58" i="28"/>
  <c r="N61" i="28" s="1"/>
  <c r="E58" i="29"/>
  <c r="E61" i="29" s="1"/>
  <c r="E64" i="29" s="1"/>
  <c r="M58" i="29"/>
  <c r="M61" i="29" s="1"/>
  <c r="M64" i="29" s="1"/>
  <c r="U58" i="29"/>
  <c r="U61" i="29" s="1"/>
  <c r="U64" i="29" s="1"/>
  <c r="U65" i="29" s="1"/>
  <c r="F57" i="30"/>
  <c r="N58" i="26"/>
  <c r="N61" i="26" s="1"/>
  <c r="T58" i="24"/>
  <c r="T61" i="24" s="1"/>
  <c r="T64" i="24" s="1"/>
  <c r="H58" i="26"/>
  <c r="H61" i="26" s="1"/>
  <c r="H64" i="26" s="1"/>
  <c r="L58" i="28"/>
  <c r="L61" i="28" s="1"/>
  <c r="S58" i="29"/>
  <c r="S61" i="29" s="1"/>
  <c r="S64" i="29" s="1"/>
  <c r="H23" i="22"/>
  <c r="H24" i="22" s="1"/>
  <c r="P23" i="22"/>
  <c r="P24" i="22" s="1"/>
  <c r="C58" i="22"/>
  <c r="C61" i="22" s="1"/>
  <c r="C64" i="22" s="1"/>
  <c r="K58" i="22"/>
  <c r="K61" i="22" s="1"/>
  <c r="K64" i="22" s="1"/>
  <c r="S58" i="22"/>
  <c r="S61" i="22" s="1"/>
  <c r="S64" i="22" s="1"/>
  <c r="F57" i="23"/>
  <c r="L23" i="24"/>
  <c r="L24" i="24" s="1"/>
  <c r="G58" i="24"/>
  <c r="G61" i="24" s="1"/>
  <c r="O58" i="24"/>
  <c r="O61" i="24" s="1"/>
  <c r="N59" i="24"/>
  <c r="C58" i="26"/>
  <c r="C61" i="26" s="1"/>
  <c r="C64" i="26" s="1"/>
  <c r="K58" i="26"/>
  <c r="K61" i="26" s="1"/>
  <c r="K64" i="26" s="1"/>
  <c r="S58" i="26"/>
  <c r="S61" i="26" s="1"/>
  <c r="N57" i="27"/>
  <c r="H59" i="27"/>
  <c r="G58" i="28"/>
  <c r="G61" i="28" s="1"/>
  <c r="O58" i="28"/>
  <c r="O61" i="28" s="1"/>
  <c r="R23" i="28"/>
  <c r="R24" i="28" s="1"/>
  <c r="F57" i="28"/>
  <c r="F58" i="29"/>
  <c r="F61" i="29" s="1"/>
  <c r="N58" i="29"/>
  <c r="N61" i="29" s="1"/>
  <c r="H59" i="29"/>
  <c r="C58" i="30"/>
  <c r="C61" i="30" s="1"/>
  <c r="C64" i="30" s="1"/>
  <c r="K58" i="30"/>
  <c r="K61" i="30" s="1"/>
  <c r="K64" i="30" s="1"/>
  <c r="S58" i="30"/>
  <c r="S61" i="30" s="1"/>
  <c r="S64" i="30" s="1"/>
  <c r="H57" i="30"/>
  <c r="D58" i="24"/>
  <c r="D61" i="24" s="1"/>
  <c r="D58" i="28"/>
  <c r="D61" i="28" s="1"/>
  <c r="D64" i="28" s="1"/>
  <c r="P58" i="30"/>
  <c r="P61" i="30" s="1"/>
  <c r="Q58" i="21"/>
  <c r="Q61" i="21" s="1"/>
  <c r="I58" i="21"/>
  <c r="I61" i="21" s="1"/>
  <c r="I64" i="21" s="1"/>
  <c r="I23" i="22"/>
  <c r="I24" i="22" s="1"/>
  <c r="D58" i="22"/>
  <c r="D61" i="22" s="1"/>
  <c r="D64" i="22" s="1"/>
  <c r="L58" i="22"/>
  <c r="L61" i="22" s="1"/>
  <c r="L64" i="22" s="1"/>
  <c r="T58" i="22"/>
  <c r="T61" i="22" s="1"/>
  <c r="A37" i="22"/>
  <c r="N57" i="22"/>
  <c r="G58" i="23"/>
  <c r="G61" i="23" s="1"/>
  <c r="O58" i="23"/>
  <c r="O61" i="23" s="1"/>
  <c r="N57" i="23"/>
  <c r="I23" i="24"/>
  <c r="I24" i="24" s="1"/>
  <c r="Q23" i="24"/>
  <c r="Q24" i="24" s="1"/>
  <c r="H58" i="24"/>
  <c r="H61" i="24" s="1"/>
  <c r="P58" i="24"/>
  <c r="P61" i="24" s="1"/>
  <c r="I23" i="26"/>
  <c r="I24" i="26" s="1"/>
  <c r="Q23" i="26"/>
  <c r="Q24" i="26" s="1"/>
  <c r="D58" i="26"/>
  <c r="D61" i="26" s="1"/>
  <c r="D64" i="26" s="1"/>
  <c r="L58" i="26"/>
  <c r="L61" i="26" s="1"/>
  <c r="T58" i="26"/>
  <c r="T61" i="26" s="1"/>
  <c r="T64" i="26" s="1"/>
  <c r="T65" i="26" s="1"/>
  <c r="F57" i="26"/>
  <c r="C58" i="27"/>
  <c r="C61" i="27" s="1"/>
  <c r="K58" i="27"/>
  <c r="K61" i="27" s="1"/>
  <c r="S58" i="27"/>
  <c r="S61" i="27" s="1"/>
  <c r="S64" i="27" s="1"/>
  <c r="P57" i="27"/>
  <c r="N59" i="27"/>
  <c r="I23" i="28"/>
  <c r="I24" i="28" s="1"/>
  <c r="H58" i="28"/>
  <c r="H61" i="28" s="1"/>
  <c r="P58" i="28"/>
  <c r="P61" i="28" s="1"/>
  <c r="N57" i="28"/>
  <c r="H23" i="29"/>
  <c r="H24" i="29" s="1"/>
  <c r="L23" i="29"/>
  <c r="L24" i="29" s="1"/>
  <c r="T23" i="29"/>
  <c r="T24" i="29" s="1"/>
  <c r="G58" i="29"/>
  <c r="G61" i="29" s="1"/>
  <c r="O58" i="29"/>
  <c r="O61" i="29" s="1"/>
  <c r="P59" i="29"/>
  <c r="D64" i="30"/>
  <c r="I57" i="30"/>
  <c r="M19" i="21"/>
  <c r="M20" i="21" s="1"/>
  <c r="G57" i="21"/>
  <c r="E58" i="22"/>
  <c r="E61" i="22" s="1"/>
  <c r="E64" i="22" s="1"/>
  <c r="M58" i="22"/>
  <c r="M61" i="22" s="1"/>
  <c r="M64" i="22" s="1"/>
  <c r="U58" i="22"/>
  <c r="U61" i="22" s="1"/>
  <c r="U64" i="22" s="1"/>
  <c r="A45" i="22"/>
  <c r="O57" i="22"/>
  <c r="H23" i="23"/>
  <c r="H24" i="23" s="1"/>
  <c r="H58" i="23"/>
  <c r="H61" i="23" s="1"/>
  <c r="P58" i="23"/>
  <c r="P61" i="23" s="1"/>
  <c r="P64" i="23" s="1"/>
  <c r="I58" i="24"/>
  <c r="I61" i="24" s="1"/>
  <c r="Q58" i="24"/>
  <c r="Q61" i="24" s="1"/>
  <c r="Q64" i="24" s="1"/>
  <c r="E58" i="26"/>
  <c r="E61" i="26" s="1"/>
  <c r="M58" i="26"/>
  <c r="M61" i="26" s="1"/>
  <c r="M64" i="26" s="1"/>
  <c r="U58" i="26"/>
  <c r="U61" i="26" s="1"/>
  <c r="U64" i="26" s="1"/>
  <c r="U65" i="26" s="1"/>
  <c r="N57" i="26"/>
  <c r="G23" i="27"/>
  <c r="G24" i="27" s="1"/>
  <c r="P59" i="27"/>
  <c r="I58" i="28"/>
  <c r="I61" i="28" s="1"/>
  <c r="I64" i="28" s="1"/>
  <c r="Q58" i="28"/>
  <c r="Q61" i="28" s="1"/>
  <c r="H58" i="29"/>
  <c r="H61" i="29" s="1"/>
  <c r="H64" i="29" s="1"/>
  <c r="P58" i="29"/>
  <c r="P61" i="29" s="1"/>
  <c r="P23" i="29"/>
  <c r="P24" i="29" s="1"/>
  <c r="E58" i="30"/>
  <c r="E61" i="30" s="1"/>
  <c r="E64" i="30" s="1"/>
  <c r="M58" i="30"/>
  <c r="M61" i="30" s="1"/>
  <c r="M64" i="30" s="1"/>
  <c r="U58" i="30"/>
  <c r="U61" i="30" s="1"/>
  <c r="N57" i="30"/>
  <c r="F59" i="30"/>
  <c r="B58" i="30"/>
  <c r="B61" i="30" s="1"/>
  <c r="B58" i="24"/>
  <c r="B61" i="24" s="1"/>
  <c r="B64" i="24" s="1"/>
  <c r="B58" i="26"/>
  <c r="B61" i="26" s="1"/>
  <c r="B58" i="27"/>
  <c r="B61" i="27" s="1"/>
  <c r="B58" i="23"/>
  <c r="B61" i="23" s="1"/>
  <c r="B58" i="28"/>
  <c r="B61" i="28" s="1"/>
  <c r="B58" i="22"/>
  <c r="B61" i="22" s="1"/>
  <c r="B58" i="29"/>
  <c r="B61" i="29" s="1"/>
  <c r="H64" i="30"/>
  <c r="O23" i="30"/>
  <c r="O24" i="30" s="1"/>
  <c r="J23" i="30"/>
  <c r="J24" i="30" s="1"/>
  <c r="R19" i="30"/>
  <c r="R20" i="30" s="1"/>
  <c r="F63" i="30"/>
  <c r="N63" i="30"/>
  <c r="S19" i="30"/>
  <c r="S20" i="30" s="1"/>
  <c r="S23" i="30"/>
  <c r="S24" i="30" s="1"/>
  <c r="A31" i="30"/>
  <c r="A33" i="30"/>
  <c r="A39" i="30"/>
  <c r="A41" i="30"/>
  <c r="A47" i="30"/>
  <c r="A49" i="30"/>
  <c r="G57" i="30"/>
  <c r="O57" i="30"/>
  <c r="G59" i="30"/>
  <c r="O59" i="30"/>
  <c r="G63" i="30"/>
  <c r="O63" i="30"/>
  <c r="D19" i="30"/>
  <c r="D20" i="30" s="1"/>
  <c r="P63" i="30"/>
  <c r="I63" i="30"/>
  <c r="Q63" i="30"/>
  <c r="T19" i="30"/>
  <c r="T20" i="30" s="1"/>
  <c r="E19" i="30"/>
  <c r="E20" i="30" s="1"/>
  <c r="F19" i="30"/>
  <c r="F20" i="30" s="1"/>
  <c r="N19" i="30"/>
  <c r="N20" i="30" s="1"/>
  <c r="V19" i="30"/>
  <c r="F23" i="30"/>
  <c r="F24" i="30" s="1"/>
  <c r="V23" i="30"/>
  <c r="B63" i="30"/>
  <c r="J63" i="30"/>
  <c r="R63" i="30"/>
  <c r="O19" i="30"/>
  <c r="O20" i="30" s="1"/>
  <c r="A32" i="30"/>
  <c r="A34" i="30"/>
  <c r="A40" i="30"/>
  <c r="A42" i="30"/>
  <c r="A48" i="30"/>
  <c r="A50" i="30"/>
  <c r="C63" i="30"/>
  <c r="K63" i="30"/>
  <c r="S63" i="30"/>
  <c r="P19" i="30"/>
  <c r="P20" i="30" s="1"/>
  <c r="D63" i="30"/>
  <c r="L63" i="30"/>
  <c r="T63" i="30"/>
  <c r="H63" i="30"/>
  <c r="U19" i="30"/>
  <c r="I19" i="30"/>
  <c r="I20" i="30" s="1"/>
  <c r="E63" i="30"/>
  <c r="M63" i="30"/>
  <c r="I23" i="29"/>
  <c r="I24" i="29" s="1"/>
  <c r="Q23" i="29"/>
  <c r="Q24" i="29" s="1"/>
  <c r="T19" i="29"/>
  <c r="T20" i="29" s="1"/>
  <c r="P63" i="29"/>
  <c r="R19" i="29"/>
  <c r="R20" i="29" s="1"/>
  <c r="J23" i="29"/>
  <c r="J24" i="29" s="1"/>
  <c r="R23" i="29"/>
  <c r="R24" i="29" s="1"/>
  <c r="F57" i="29"/>
  <c r="N57" i="29"/>
  <c r="F59" i="29"/>
  <c r="N59" i="29"/>
  <c r="F63" i="29"/>
  <c r="N63" i="29"/>
  <c r="H63" i="29"/>
  <c r="K19" i="29"/>
  <c r="K20" i="29" s="1"/>
  <c r="S19" i="29"/>
  <c r="S20" i="29" s="1"/>
  <c r="S23" i="29"/>
  <c r="S24" i="29" s="1"/>
  <c r="A31" i="29"/>
  <c r="A33" i="29"/>
  <c r="A39" i="29"/>
  <c r="A41" i="29"/>
  <c r="A47" i="29"/>
  <c r="A49" i="29"/>
  <c r="G57" i="29"/>
  <c r="O57" i="29"/>
  <c r="G59" i="29"/>
  <c r="O59" i="29"/>
  <c r="G63" i="29"/>
  <c r="O63" i="29"/>
  <c r="D19" i="29"/>
  <c r="D20" i="29" s="1"/>
  <c r="M19" i="29"/>
  <c r="M20" i="29" s="1"/>
  <c r="E23" i="29"/>
  <c r="E24" i="29" s="1"/>
  <c r="M23" i="29"/>
  <c r="M24" i="29" s="1"/>
  <c r="U23" i="29"/>
  <c r="I57" i="29"/>
  <c r="Q57" i="29"/>
  <c r="I63" i="29"/>
  <c r="Q63" i="29"/>
  <c r="F19" i="29"/>
  <c r="F20" i="29" s="1"/>
  <c r="N19" i="29"/>
  <c r="N20" i="29" s="1"/>
  <c r="V19" i="29"/>
  <c r="F23" i="29"/>
  <c r="F24" i="29" s="1"/>
  <c r="V23" i="29"/>
  <c r="B63" i="29"/>
  <c r="J63" i="29"/>
  <c r="R63" i="29"/>
  <c r="L19" i="29"/>
  <c r="L20" i="29" s="1"/>
  <c r="G19" i="29"/>
  <c r="G20" i="29" s="1"/>
  <c r="A32" i="29"/>
  <c r="A34" i="29"/>
  <c r="A40" i="29"/>
  <c r="A42" i="29"/>
  <c r="A48" i="29"/>
  <c r="A50" i="29"/>
  <c r="C63" i="29"/>
  <c r="K63" i="29"/>
  <c r="S63" i="29"/>
  <c r="H19" i="29"/>
  <c r="H20" i="29" s="1"/>
  <c r="P19" i="29"/>
  <c r="P20" i="29" s="1"/>
  <c r="D63" i="29"/>
  <c r="L63" i="29"/>
  <c r="T63" i="29"/>
  <c r="I19" i="29"/>
  <c r="I20" i="29" s="1"/>
  <c r="Q19" i="29"/>
  <c r="Q20" i="29" s="1"/>
  <c r="E63" i="29"/>
  <c r="M63" i="29"/>
  <c r="C19" i="28"/>
  <c r="C20" i="28" s="1"/>
  <c r="K19" i="28"/>
  <c r="K20" i="28" s="1"/>
  <c r="S19" i="28"/>
  <c r="S20" i="28" s="1"/>
  <c r="S23" i="28"/>
  <c r="S24" i="28" s="1"/>
  <c r="A31" i="28"/>
  <c r="A33" i="28"/>
  <c r="A37" i="28"/>
  <c r="A39" i="28"/>
  <c r="A41" i="28"/>
  <c r="A45" i="28"/>
  <c r="A47" i="28"/>
  <c r="A49" i="28"/>
  <c r="G57" i="28"/>
  <c r="O57" i="28"/>
  <c r="G59" i="28"/>
  <c r="G64" i="28" s="1"/>
  <c r="O59" i="28"/>
  <c r="G63" i="28"/>
  <c r="O63" i="28"/>
  <c r="L19" i="28"/>
  <c r="L20" i="28" s="1"/>
  <c r="T19" i="28"/>
  <c r="T20" i="28" s="1"/>
  <c r="L23" i="28"/>
  <c r="L24" i="28" s="1"/>
  <c r="T23" i="28"/>
  <c r="T24" i="28" s="1"/>
  <c r="H59" i="28"/>
  <c r="P59" i="28"/>
  <c r="P64" i="28" s="1"/>
  <c r="H63" i="28"/>
  <c r="P63" i="28"/>
  <c r="E19" i="28"/>
  <c r="E20" i="28" s="1"/>
  <c r="U19" i="28"/>
  <c r="M23" i="28"/>
  <c r="M24" i="28" s="1"/>
  <c r="U23" i="28"/>
  <c r="I57" i="28"/>
  <c r="Q57" i="28"/>
  <c r="I63" i="28"/>
  <c r="Q63" i="28"/>
  <c r="R19" i="28"/>
  <c r="R20" i="28" s="1"/>
  <c r="N19" i="28"/>
  <c r="N20" i="28" s="1"/>
  <c r="V19" i="28"/>
  <c r="F23" i="28"/>
  <c r="F24" i="28" s="1"/>
  <c r="N23" i="28"/>
  <c r="N24" i="28" s="1"/>
  <c r="B63" i="28"/>
  <c r="J63" i="28"/>
  <c r="R63" i="28"/>
  <c r="A32" i="28"/>
  <c r="A34" i="28"/>
  <c r="A40" i="28"/>
  <c r="A42" i="28"/>
  <c r="A48" i="28"/>
  <c r="A50" i="28"/>
  <c r="C63" i="28"/>
  <c r="K63" i="28"/>
  <c r="S63" i="28"/>
  <c r="H19" i="28"/>
  <c r="H20" i="28" s="1"/>
  <c r="P19" i="28"/>
  <c r="P20" i="28" s="1"/>
  <c r="D63" i="28"/>
  <c r="L63" i="28"/>
  <c r="T63" i="28"/>
  <c r="E63" i="28"/>
  <c r="M63" i="28"/>
  <c r="K64" i="27"/>
  <c r="Q23" i="27"/>
  <c r="Q24" i="27" s="1"/>
  <c r="R19" i="27"/>
  <c r="R20" i="27" s="1"/>
  <c r="J21" i="27"/>
  <c r="J23" i="27" s="1"/>
  <c r="J24" i="27" s="1"/>
  <c r="F63" i="27"/>
  <c r="N63" i="27"/>
  <c r="K19" i="27"/>
  <c r="K20" i="27" s="1"/>
  <c r="S19" i="27"/>
  <c r="S20" i="27" s="1"/>
  <c r="K21" i="27"/>
  <c r="K23" i="27" s="1"/>
  <c r="K24" i="27" s="1"/>
  <c r="S21" i="27"/>
  <c r="S23" i="27" s="1"/>
  <c r="S24" i="27" s="1"/>
  <c r="A31" i="27"/>
  <c r="A33" i="27"/>
  <c r="A39" i="27"/>
  <c r="A41" i="27"/>
  <c r="A47" i="27"/>
  <c r="A49" i="27"/>
  <c r="G57" i="27"/>
  <c r="O57" i="27"/>
  <c r="G59" i="27"/>
  <c r="O59" i="27"/>
  <c r="G63" i="27"/>
  <c r="O63" i="27"/>
  <c r="T19" i="27"/>
  <c r="T20" i="27" s="1"/>
  <c r="D21" i="27"/>
  <c r="D23" i="27" s="1"/>
  <c r="D24" i="27" s="1"/>
  <c r="P63" i="27"/>
  <c r="M19" i="27"/>
  <c r="M20" i="27" s="1"/>
  <c r="U19" i="27"/>
  <c r="E21" i="27"/>
  <c r="E23" i="27" s="1"/>
  <c r="E24" i="27" s="1"/>
  <c r="M21" i="27"/>
  <c r="M23" i="27" s="1"/>
  <c r="M24" i="27" s="1"/>
  <c r="U21" i="27"/>
  <c r="U23" i="27" s="1"/>
  <c r="I57" i="27"/>
  <c r="Q57" i="27"/>
  <c r="I63" i="27"/>
  <c r="Q63" i="27"/>
  <c r="F19" i="27"/>
  <c r="F20" i="27" s="1"/>
  <c r="N19" i="27"/>
  <c r="N20" i="27" s="1"/>
  <c r="V19" i="27"/>
  <c r="F21" i="27"/>
  <c r="F23" i="27" s="1"/>
  <c r="F24" i="27" s="1"/>
  <c r="N21" i="27"/>
  <c r="N23" i="27" s="1"/>
  <c r="N24" i="27" s="1"/>
  <c r="V21" i="27"/>
  <c r="V23" i="27" s="1"/>
  <c r="B63" i="27"/>
  <c r="J63" i="27"/>
  <c r="R63" i="27"/>
  <c r="G19" i="27"/>
  <c r="G20" i="27" s="1"/>
  <c r="O19" i="27"/>
  <c r="O20" i="27" s="1"/>
  <c r="A32" i="27"/>
  <c r="A34" i="27"/>
  <c r="A40" i="27"/>
  <c r="A42" i="27"/>
  <c r="A48" i="27"/>
  <c r="A50" i="27"/>
  <c r="C63" i="27"/>
  <c r="K63" i="27"/>
  <c r="S63" i="27"/>
  <c r="L19" i="27"/>
  <c r="L20" i="27" s="1"/>
  <c r="H19" i="27"/>
  <c r="H20" i="27" s="1"/>
  <c r="D63" i="27"/>
  <c r="L63" i="27"/>
  <c r="T63" i="27"/>
  <c r="H63" i="27"/>
  <c r="I19" i="27"/>
  <c r="I20" i="27" s="1"/>
  <c r="Q19" i="27"/>
  <c r="Q20" i="27" s="1"/>
  <c r="E63" i="27"/>
  <c r="M63" i="27"/>
  <c r="L64" i="26"/>
  <c r="E64" i="26"/>
  <c r="E65" i="26" s="1"/>
  <c r="O23" i="26"/>
  <c r="O24" i="26" s="1"/>
  <c r="J23" i="26"/>
  <c r="J24" i="26" s="1"/>
  <c r="R23" i="26"/>
  <c r="R24" i="26" s="1"/>
  <c r="R19" i="26"/>
  <c r="R20" i="26" s="1"/>
  <c r="K19" i="26"/>
  <c r="K20" i="26" s="1"/>
  <c r="S19" i="26"/>
  <c r="S20" i="26" s="1"/>
  <c r="K23" i="26"/>
  <c r="K24" i="26" s="1"/>
  <c r="A31" i="26"/>
  <c r="A33" i="26"/>
  <c r="A37" i="26"/>
  <c r="A39" i="26"/>
  <c r="A41" i="26"/>
  <c r="A45" i="26"/>
  <c r="A47" i="26"/>
  <c r="A49" i="26"/>
  <c r="G57" i="26"/>
  <c r="O57" i="26"/>
  <c r="G59" i="26"/>
  <c r="O59" i="26"/>
  <c r="G63" i="26"/>
  <c r="O63" i="26"/>
  <c r="D19" i="26"/>
  <c r="D20" i="26" s="1"/>
  <c r="L19" i="26"/>
  <c r="L20" i="26" s="1"/>
  <c r="T19" i="26"/>
  <c r="T20" i="26" s="1"/>
  <c r="D23" i="26"/>
  <c r="D24" i="26" s="1"/>
  <c r="L23" i="26"/>
  <c r="L24" i="26" s="1"/>
  <c r="T23" i="26"/>
  <c r="T24" i="26" s="1"/>
  <c r="H63" i="26"/>
  <c r="P63" i="26"/>
  <c r="M19" i="26"/>
  <c r="M20" i="26" s="1"/>
  <c r="U19" i="26"/>
  <c r="M23" i="26"/>
  <c r="M24" i="26" s="1"/>
  <c r="U23" i="26"/>
  <c r="U24" i="26" s="1"/>
  <c r="I57" i="26"/>
  <c r="Q57" i="26"/>
  <c r="I59" i="26"/>
  <c r="I64" i="26" s="1"/>
  <c r="Q59" i="26"/>
  <c r="Q64" i="26" s="1"/>
  <c r="I63" i="26"/>
  <c r="Q63" i="26"/>
  <c r="J19" i="26"/>
  <c r="J20" i="26" s="1"/>
  <c r="N19" i="26"/>
  <c r="N20" i="26" s="1"/>
  <c r="V19" i="26"/>
  <c r="N23" i="26"/>
  <c r="N24" i="26" s="1"/>
  <c r="V23" i="26"/>
  <c r="V24" i="26" s="1"/>
  <c r="B63" i="26"/>
  <c r="J63" i="26"/>
  <c r="R63" i="26"/>
  <c r="G19" i="26"/>
  <c r="G20" i="26" s="1"/>
  <c r="A32" i="26"/>
  <c r="A34" i="26"/>
  <c r="A40" i="26"/>
  <c r="A42" i="26"/>
  <c r="A48" i="26"/>
  <c r="A50" i="26"/>
  <c r="C63" i="26"/>
  <c r="K63" i="26"/>
  <c r="S63" i="26"/>
  <c r="P19" i="26"/>
  <c r="P20" i="26" s="1"/>
  <c r="D63" i="26"/>
  <c r="L63" i="26"/>
  <c r="I19" i="26"/>
  <c r="I20" i="26" s="1"/>
  <c r="Q19" i="26"/>
  <c r="Q20" i="26" s="1"/>
  <c r="M64" i="24"/>
  <c r="H23" i="24"/>
  <c r="H24" i="24" s="1"/>
  <c r="P23" i="24"/>
  <c r="P24" i="24" s="1"/>
  <c r="J19" i="24"/>
  <c r="J20" i="24" s="1"/>
  <c r="S19" i="24"/>
  <c r="S20" i="24" s="1"/>
  <c r="S23" i="24"/>
  <c r="S24" i="24" s="1"/>
  <c r="A31" i="24"/>
  <c r="A33" i="24"/>
  <c r="A37" i="24"/>
  <c r="A39" i="24"/>
  <c r="A41" i="24"/>
  <c r="A45" i="24"/>
  <c r="A47" i="24"/>
  <c r="A49" i="24"/>
  <c r="G57" i="24"/>
  <c r="O57" i="24"/>
  <c r="G59" i="24"/>
  <c r="O59" i="24"/>
  <c r="G63" i="24"/>
  <c r="O63" i="24"/>
  <c r="L19" i="24"/>
  <c r="L20" i="24" s="1"/>
  <c r="T19" i="24"/>
  <c r="T20" i="24" s="1"/>
  <c r="H59" i="24"/>
  <c r="H64" i="24" s="1"/>
  <c r="P59" i="24"/>
  <c r="P64" i="24" s="1"/>
  <c r="H63" i="24"/>
  <c r="P63" i="24"/>
  <c r="E19" i="24"/>
  <c r="E20" i="24" s="1"/>
  <c r="M19" i="24"/>
  <c r="M20" i="24" s="1"/>
  <c r="U19" i="24"/>
  <c r="M23" i="24"/>
  <c r="M24" i="24" s="1"/>
  <c r="I57" i="24"/>
  <c r="Q57" i="24"/>
  <c r="I63" i="24"/>
  <c r="Q63" i="24"/>
  <c r="F19" i="24"/>
  <c r="F20" i="24" s="1"/>
  <c r="N19" i="24"/>
  <c r="N20" i="24" s="1"/>
  <c r="V19" i="24"/>
  <c r="F23" i="24"/>
  <c r="F24" i="24" s="1"/>
  <c r="N23" i="24"/>
  <c r="N24" i="24" s="1"/>
  <c r="V23" i="24"/>
  <c r="B63" i="24"/>
  <c r="J63" i="24"/>
  <c r="R63" i="24"/>
  <c r="G19" i="24"/>
  <c r="G20" i="24" s="1"/>
  <c r="A32" i="24"/>
  <c r="A34" i="24"/>
  <c r="A40" i="24"/>
  <c r="A42" i="24"/>
  <c r="A48" i="24"/>
  <c r="A50" i="24"/>
  <c r="C63" i="24"/>
  <c r="K63" i="24"/>
  <c r="S63" i="24"/>
  <c r="R23" i="24"/>
  <c r="R24" i="24" s="1"/>
  <c r="H19" i="24"/>
  <c r="H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S19" i="23"/>
  <c r="S20" i="23" s="1"/>
  <c r="K23" i="23"/>
  <c r="K24" i="23" s="1"/>
  <c r="S23" i="23"/>
  <c r="S24" i="23" s="1"/>
  <c r="A31" i="23"/>
  <c r="A33" i="23"/>
  <c r="A37" i="23"/>
  <c r="A39" i="23"/>
  <c r="A41" i="23"/>
  <c r="A45" i="23"/>
  <c r="A47" i="23"/>
  <c r="A49" i="23"/>
  <c r="G57" i="23"/>
  <c r="O57" i="23"/>
  <c r="G59" i="23"/>
  <c r="O59" i="23"/>
  <c r="D19" i="23"/>
  <c r="D20" i="23" s="1"/>
  <c r="T19" i="23"/>
  <c r="T20" i="23" s="1"/>
  <c r="L23" i="23"/>
  <c r="L24" i="23" s="1"/>
  <c r="T23" i="23"/>
  <c r="T24" i="23" s="1"/>
  <c r="E19" i="23"/>
  <c r="E20" i="23" s="1"/>
  <c r="M19" i="23"/>
  <c r="M20" i="23" s="1"/>
  <c r="U19" i="23"/>
  <c r="M23" i="23"/>
  <c r="M24" i="23" s="1"/>
  <c r="U23" i="23"/>
  <c r="U24" i="23" s="1"/>
  <c r="I57" i="23"/>
  <c r="Q57" i="23"/>
  <c r="F23" i="23"/>
  <c r="F24" i="23" s="1"/>
  <c r="N23" i="23"/>
  <c r="N24" i="23" s="1"/>
  <c r="V23" i="23"/>
  <c r="V24" i="23" s="1"/>
  <c r="G19" i="23"/>
  <c r="G20" i="23" s="1"/>
  <c r="O19" i="23"/>
  <c r="O20" i="23" s="1"/>
  <c r="A32" i="23"/>
  <c r="A34" i="23"/>
  <c r="A40" i="23"/>
  <c r="A42" i="23"/>
  <c r="A48" i="23"/>
  <c r="A50" i="23"/>
  <c r="H19" i="23"/>
  <c r="H20" i="23" s="1"/>
  <c r="P19" i="23"/>
  <c r="P20" i="23" s="1"/>
  <c r="I19" i="23"/>
  <c r="I20" i="23" s="1"/>
  <c r="Q19" i="23"/>
  <c r="Q20" i="23" s="1"/>
  <c r="J64" i="22"/>
  <c r="O23" i="22"/>
  <c r="O24" i="22" s="1"/>
  <c r="U63" i="22"/>
  <c r="M63" i="22"/>
  <c r="E63" i="22"/>
  <c r="F63" i="22"/>
  <c r="T63" i="22"/>
  <c r="L63" i="22"/>
  <c r="D63" i="22"/>
  <c r="S63" i="22"/>
  <c r="K63" i="22"/>
  <c r="C63" i="22"/>
  <c r="N63" i="22"/>
  <c r="R63" i="22"/>
  <c r="J63" i="22"/>
  <c r="B63" i="22"/>
  <c r="Q63" i="22"/>
  <c r="I63" i="22"/>
  <c r="P63" i="22"/>
  <c r="H63" i="22"/>
  <c r="O63" i="22"/>
  <c r="G63" i="22"/>
  <c r="S19" i="22"/>
  <c r="S20" i="22" s="1"/>
  <c r="S23" i="22"/>
  <c r="S24" i="22" s="1"/>
  <c r="D19" i="22"/>
  <c r="D20" i="22" s="1"/>
  <c r="L19" i="22"/>
  <c r="L20" i="22" s="1"/>
  <c r="D23" i="22"/>
  <c r="D24" i="22" s="1"/>
  <c r="L23" i="22"/>
  <c r="L24" i="22" s="1"/>
  <c r="K23" i="22"/>
  <c r="K24" i="22" s="1"/>
  <c r="A31" i="22"/>
  <c r="A33" i="22"/>
  <c r="A41" i="22"/>
  <c r="A47" i="22"/>
  <c r="E19" i="22"/>
  <c r="E20" i="22" s="1"/>
  <c r="M19" i="22"/>
  <c r="M20" i="22" s="1"/>
  <c r="U19" i="22"/>
  <c r="E23" i="22"/>
  <c r="E24" i="22" s="1"/>
  <c r="M23" i="22"/>
  <c r="M24" i="22" s="1"/>
  <c r="U23" i="22"/>
  <c r="I57" i="22"/>
  <c r="Q57" i="22"/>
  <c r="A39" i="22"/>
  <c r="A49" i="22"/>
  <c r="F19" i="22"/>
  <c r="F20" i="22" s="1"/>
  <c r="V19" i="22"/>
  <c r="F23" i="22"/>
  <c r="F24" i="22" s="1"/>
  <c r="N23" i="22"/>
  <c r="N24" i="22" s="1"/>
  <c r="V23" i="22"/>
  <c r="G19" i="22"/>
  <c r="G20" i="22" s="1"/>
  <c r="O19" i="22"/>
  <c r="O20" i="22" s="1"/>
  <c r="A32" i="22"/>
  <c r="A34" i="22"/>
  <c r="A40" i="22"/>
  <c r="A42" i="22"/>
  <c r="A48" i="22"/>
  <c r="A50" i="22"/>
  <c r="H19" i="22"/>
  <c r="H20" i="22" s="1"/>
  <c r="P19" i="22"/>
  <c r="P20" i="22" s="1"/>
  <c r="Q19" i="22"/>
  <c r="Q20" i="22" s="1"/>
  <c r="P64" i="21"/>
  <c r="N64" i="21"/>
  <c r="N65" i="21" s="1"/>
  <c r="F64" i="21"/>
  <c r="F65" i="21" s="1"/>
  <c r="N19" i="21"/>
  <c r="N20" i="21" s="1"/>
  <c r="L23" i="21"/>
  <c r="L24" i="21" s="1"/>
  <c r="P23" i="21"/>
  <c r="P24" i="21" s="1"/>
  <c r="N23" i="21"/>
  <c r="N24" i="21" s="1"/>
  <c r="V23" i="21"/>
  <c r="V24" i="21" s="1"/>
  <c r="A33" i="21"/>
  <c r="A37" i="21"/>
  <c r="A41" i="21"/>
  <c r="A45" i="21"/>
  <c r="A49" i="21"/>
  <c r="E58" i="21"/>
  <c r="E61" i="21" s="1"/>
  <c r="E64" i="21" s="1"/>
  <c r="M58" i="21"/>
  <c r="M61" i="21" s="1"/>
  <c r="M64" i="21" s="1"/>
  <c r="U58" i="21"/>
  <c r="U61" i="21" s="1"/>
  <c r="U64" i="21" s="1"/>
  <c r="U65" i="21" s="1"/>
  <c r="O19" i="21"/>
  <c r="O20" i="21" s="1"/>
  <c r="S19" i="21"/>
  <c r="S20" i="21" s="1"/>
  <c r="Q23" i="21"/>
  <c r="Q24" i="21" s="1"/>
  <c r="G23" i="21"/>
  <c r="G24" i="21" s="1"/>
  <c r="K23" i="21"/>
  <c r="K24" i="21" s="1"/>
  <c r="M23" i="21"/>
  <c r="M24" i="21" s="1"/>
  <c r="C57" i="21"/>
  <c r="K57" i="21"/>
  <c r="S57" i="21"/>
  <c r="G19" i="21"/>
  <c r="G20" i="21" s="1"/>
  <c r="Q19" i="21"/>
  <c r="Q20" i="21" s="1"/>
  <c r="R23" i="21"/>
  <c r="R24" i="21" s="1"/>
  <c r="J19" i="21"/>
  <c r="J20" i="21" s="1"/>
  <c r="L19" i="21"/>
  <c r="L20" i="21" s="1"/>
  <c r="R19" i="21"/>
  <c r="R20" i="21" s="1"/>
  <c r="A31" i="21"/>
  <c r="Q64" i="21"/>
  <c r="L64" i="21"/>
  <c r="T64" i="21"/>
  <c r="R64" i="21"/>
  <c r="C64" i="21"/>
  <c r="K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M65" i="26"/>
  <c r="G65" i="28"/>
  <c r="F65" i="28"/>
  <c r="C19" i="21"/>
  <c r="C20" i="21" s="1"/>
  <c r="C23" i="21"/>
  <c r="C24" i="21" s="1"/>
  <c r="S64" i="26"/>
  <c r="K64" i="23"/>
  <c r="K65" i="23" s="1"/>
  <c r="C64" i="27"/>
  <c r="D64" i="24"/>
  <c r="D65" i="24" s="1"/>
  <c r="L64" i="23"/>
  <c r="L65" i="23" s="1"/>
  <c r="Q64" i="30"/>
  <c r="Q64" i="28"/>
  <c r="Q64" i="29"/>
  <c r="I64" i="24"/>
  <c r="I65" i="24" s="1"/>
  <c r="D64" i="29"/>
  <c r="D65" i="29" s="1"/>
  <c r="B64" i="23"/>
  <c r="H64" i="23"/>
  <c r="H65" i="23" s="1"/>
  <c r="L64" i="28"/>
  <c r="L65" i="28" s="1"/>
  <c r="H64" i="22"/>
  <c r="J64" i="24"/>
  <c r="J64" i="23"/>
  <c r="J65" i="23" s="1"/>
  <c r="H64" i="27"/>
  <c r="B64" i="30"/>
  <c r="B65" i="30" s="1"/>
  <c r="N64" i="28"/>
  <c r="N65" i="28" s="1"/>
  <c r="G64" i="24"/>
  <c r="G65" i="24" s="1"/>
  <c r="N65" i="22"/>
  <c r="U64" i="30"/>
  <c r="U65" i="30" s="1"/>
  <c r="P64" i="27"/>
  <c r="P65" i="27" s="1"/>
  <c r="L65" i="27"/>
  <c r="S65" i="21"/>
  <c r="H64" i="28"/>
  <c r="H65" i="28" s="1"/>
  <c r="I64" i="22"/>
  <c r="I65" i="22" s="1"/>
  <c r="H64" i="21"/>
  <c r="H65" i="21" s="1"/>
  <c r="E64" i="28"/>
  <c r="E65" i="28" s="1"/>
  <c r="S65" i="27"/>
  <c r="O64" i="24"/>
  <c r="O65" i="24" s="1"/>
  <c r="D65" i="30"/>
  <c r="J64" i="28"/>
  <c r="Q64" i="23"/>
  <c r="Q65" i="23" s="1"/>
  <c r="G64" i="30"/>
  <c r="G65" i="30" s="1"/>
  <c r="F64" i="30"/>
  <c r="F65" i="30" s="1"/>
  <c r="T64" i="22"/>
  <c r="J64" i="29"/>
  <c r="J65" i="29" s="1"/>
  <c r="C64" i="23"/>
  <c r="I64" i="23"/>
  <c r="I65" i="23" s="1"/>
  <c r="R64" i="23"/>
  <c r="R65" i="23" s="1"/>
  <c r="Q65" i="30"/>
  <c r="J64" i="30"/>
  <c r="J65" i="30" s="1"/>
  <c r="B64" i="22"/>
  <c r="B65" i="22" s="1"/>
  <c r="B64" i="29"/>
  <c r="B65" i="29" s="1"/>
  <c r="B64" i="28"/>
  <c r="B65" i="28" s="1"/>
  <c r="B64" i="27"/>
  <c r="B65" i="27" s="1"/>
  <c r="B64" i="26"/>
  <c r="B65" i="26" s="1"/>
  <c r="B64" i="21"/>
  <c r="B65" i="21" s="1"/>
  <c r="T65" i="29"/>
  <c r="P65" i="22"/>
  <c r="O64" i="27"/>
  <c r="O65" i="27" s="1"/>
  <c r="O64" i="28"/>
  <c r="O65" i="28" s="1"/>
  <c r="N64" i="27"/>
  <c r="N65" i="27" s="1"/>
  <c r="N64" i="30"/>
  <c r="N65" i="30" s="1"/>
  <c r="L65" i="30"/>
  <c r="J65" i="28"/>
  <c r="H65" i="27"/>
  <c r="G64" i="26"/>
  <c r="G65" i="26" s="1"/>
  <c r="G64" i="29"/>
  <c r="G65" i="29" s="1"/>
  <c r="F64" i="22"/>
  <c r="O64" i="26"/>
  <c r="O65" i="26" s="1"/>
  <c r="R65" i="22"/>
  <c r="I65" i="21"/>
  <c r="L65" i="22"/>
  <c r="T65" i="24"/>
  <c r="U65" i="23"/>
  <c r="P64" i="30"/>
  <c r="P65" i="30" s="1"/>
  <c r="C65" i="23"/>
  <c r="J65" i="22"/>
  <c r="H65" i="29"/>
  <c r="P65" i="23"/>
  <c r="E65" i="22"/>
  <c r="T65" i="23"/>
  <c r="Q65" i="21"/>
  <c r="P65" i="21"/>
  <c r="K65" i="27"/>
  <c r="G64" i="23"/>
  <c r="G65" i="23" s="1"/>
  <c r="Q65" i="24"/>
  <c r="K65" i="26"/>
  <c r="R65" i="27"/>
  <c r="C65" i="27"/>
  <c r="J65" i="27"/>
  <c r="G64" i="27"/>
  <c r="G65" i="27" s="1"/>
  <c r="F64" i="27"/>
  <c r="F65" i="27" s="1"/>
  <c r="G65" i="21"/>
  <c r="J65" i="21"/>
  <c r="T65" i="27"/>
  <c r="L65" i="29"/>
  <c r="Q65" i="22"/>
  <c r="F65" i="23"/>
  <c r="J65" i="26"/>
  <c r="E65" i="21"/>
  <c r="M65" i="23"/>
  <c r="C65" i="22"/>
  <c r="T65" i="21"/>
  <c r="S65" i="23"/>
  <c r="H65" i="30"/>
  <c r="E65" i="30"/>
  <c r="S65" i="24"/>
  <c r="L65" i="21"/>
  <c r="D65" i="22"/>
  <c r="S65" i="26"/>
  <c r="L65" i="26"/>
  <c r="T65" i="30"/>
  <c r="C65" i="29"/>
  <c r="H65" i="22"/>
  <c r="R65" i="28"/>
  <c r="N64" i="26"/>
  <c r="N65" i="26" s="1"/>
  <c r="O64" i="29"/>
  <c r="O65" i="29" s="1"/>
  <c r="P64" i="29"/>
  <c r="P65" i="29" s="1"/>
  <c r="S64" i="1"/>
  <c r="R65" i="26"/>
  <c r="D65" i="27"/>
  <c r="N64" i="29"/>
  <c r="N65" i="29" s="1"/>
  <c r="R65" i="30"/>
  <c r="D65" i="23"/>
  <c r="O65" i="22"/>
  <c r="R64" i="1"/>
  <c r="Q64" i="1"/>
  <c r="U64" i="1"/>
  <c r="P64" i="1"/>
  <c r="C65" i="24"/>
  <c r="E65" i="27"/>
  <c r="J65" i="24"/>
  <c r="Q65" i="29"/>
  <c r="C65" i="28"/>
  <c r="F64" i="29"/>
  <c r="F65" i="29" s="1"/>
  <c r="G65" i="22"/>
  <c r="O64" i="23"/>
  <c r="O65" i="23" s="1"/>
  <c r="O64" i="30"/>
  <c r="O65" i="30" s="1"/>
  <c r="N64" i="24"/>
  <c r="N65" i="24" s="1"/>
  <c r="B65" i="23"/>
  <c r="B65" i="24"/>
  <c r="S65" i="30"/>
  <c r="M65" i="30"/>
  <c r="K65" i="30"/>
  <c r="C65" i="30"/>
  <c r="I65" i="30"/>
  <c r="E65" i="29"/>
  <c r="R65" i="29"/>
  <c r="M65" i="29"/>
  <c r="I65" i="29"/>
  <c r="S65" i="29"/>
  <c r="K65" i="29"/>
  <c r="T65" i="28"/>
  <c r="D65" i="28"/>
  <c r="M65" i="28"/>
  <c r="P65" i="28"/>
  <c r="Q65" i="28"/>
  <c r="I65" i="28"/>
  <c r="S65" i="28"/>
  <c r="K65" i="28"/>
  <c r="Q65" i="27"/>
  <c r="I65" i="27"/>
  <c r="M65" i="27"/>
  <c r="Q65" i="26"/>
  <c r="P65" i="26"/>
  <c r="C65" i="26"/>
  <c r="I65" i="26"/>
  <c r="H65" i="26"/>
  <c r="D65" i="26"/>
  <c r="H65" i="24"/>
  <c r="L65" i="24"/>
  <c r="R65" i="24"/>
  <c r="P65" i="24"/>
  <c r="K65" i="24"/>
  <c r="M65" i="24"/>
  <c r="E65" i="24"/>
  <c r="N65" i="23"/>
  <c r="E65" i="23"/>
  <c r="U65" i="22"/>
  <c r="F65" i="22"/>
  <c r="M65" i="22"/>
  <c r="S65" i="22"/>
  <c r="K65" i="22"/>
  <c r="T65" i="22"/>
  <c r="M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<sst xmlns="http://schemas.openxmlformats.org/spreadsheetml/2006/main" count="2200" uniqueCount="174">
  <si>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</si>
  <si>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</si>
  <si>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</si>
  <si>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</si>
  <si>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</si>
  <si>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</si>
  <si>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</si>
  <si>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</si>
  <si>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</si>
  <si>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</si>
  <si>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</si>
  <si>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</si>
  <si>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</si>
  <si>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</si>
  <si>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</si>
  <si>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</si>
  <si>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</si>
  <si>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</si>
  <si>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</si>
  <si>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</si>
  <si>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</si>
  <si>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</si>
  <si>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</si>
  <si>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</si>
  <si>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</si>
  <si>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</si>
  <si>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</si>
  <si>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</si>
  <si>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</si>
  <si>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</si>
  <si>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</si>
  <si>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</si>
  <si>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</si>
  <si>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</si>
  <si>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</si>
  <si>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</si>
  <si>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</si>
  <si>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</si>
  <si>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</si>
  <si>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</si>
  <si>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</si>
  <si>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</si>
  <si>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</si>
  <si>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</si>
  <si>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</si>
  <si>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</si>
  <si>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</si>
  <si>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</si>
  <si>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</si>
  <si>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</si>
  <si>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</si>
  <si>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</si>
  <si>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</si>
  <si>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</si>
  <si>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</si>
  <si>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</si>
  <si>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</si>
  <si>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</si>
  <si>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</si>
  <si>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</si>
  <si>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</si>
  <si>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</si>
  <si>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</si>
  <si>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</si>
  <si>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</si>
  <si>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</si>
  <si>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</si>
  <si>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</si>
  <si>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</si>
  <si>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</si>
  <si>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</si>
  <si>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</si>
  <si>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</si>
  <si>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</si>
  <si>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</si>
  <si>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</si>
  <si>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</si>
  <si>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</si>
  <si>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</si>
  <si>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</si>
  <si>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</si>
  <si>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</si>
  <si>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</si>
  <si>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</si>
  <si>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</si>
  <si>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</si>
  <si>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</si>
  <si>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</si>
  <si>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</si>
  <si>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</si>
  <si>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</si>
  <si>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</si>
  <si>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</si>
  <si>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</si>
  <si>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</si>
  <si>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</si>
  <si>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</si>
  <si>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</si>
  <si>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</si>
  <si>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</si>
  <si>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</si>
  <si>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</si>
  <si>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</si>
  <si>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</si>
  <si>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</si>
  <si>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</si>
  <si>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</si>
  <si>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</si>
  <si>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</si>
  <si>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</si>
  <si>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</si>
  <si>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</si>
  <si>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</si>
  <si>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</si>
  <si>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</si>
  <si>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</si>
  <si>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</si>
  <si>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</si>
  <si>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</si>
  <si>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</si>
  <si>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</si>
  <si>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</si>
  <si>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</si>
  <si>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</si>
  <si>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</si>
  <si>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</si>
  <si>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</si>
  <si>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</si>
  <si>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</si>
  <si>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</si>
  <si>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</si>
  <si>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</si>
  <si>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</si>
  <si>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</si>
  <si>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</si>
  <si>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</si>
  <si>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</si>
  <si>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</si>
  <si>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</si>
  <si>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</si>
  <si>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</si>
  <si>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</si>
  <si>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</si>
  <si>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</si>
  <si>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</si>
  <si>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</si>
  <si>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</si>
  <si>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</si>
  <si>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</si>
  <si>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</si>
  <si>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</si>
  <si>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</si>
  <si>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PAN-013756</t>
  </si>
  <si>
    <t>EPR-KP3594VE</t>
  </si>
  <si>
    <t>Trade Effluent Services Ltd</t>
  </si>
  <si>
    <t>Gwernto Farm, Nant y Ffridd, Llandegla, LL115YR</t>
  </si>
  <si>
    <t>Sion Sleep</t>
  </si>
  <si>
    <t>33.8 ha</t>
  </si>
  <si>
    <t>Croda Goole</t>
  </si>
  <si>
    <t>Moderate</t>
  </si>
  <si>
    <t>Croda Widnes</t>
  </si>
  <si>
    <t>D Wise</t>
  </si>
  <si>
    <t>Encirc</t>
  </si>
  <si>
    <t>Kelloggs</t>
  </si>
  <si>
    <t>Highbury poultry</t>
  </si>
  <si>
    <t>Maelor Foods</t>
  </si>
  <si>
    <t>Rowan Foods</t>
  </si>
  <si>
    <t>Secanim</t>
  </si>
  <si>
    <t>02 02 04</t>
  </si>
  <si>
    <t>02 05 01</t>
  </si>
  <si>
    <t>07 07 12</t>
  </si>
  <si>
    <t>02 03 05</t>
  </si>
  <si>
    <t>02 07 05</t>
  </si>
  <si>
    <t>Beechdean Ice Cream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</si>
</sst>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40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70" dataDxfId="368" headerRowBorderDxfId="369" tableBorderDxfId="367" totalsRowBorderDxfId="366">
  <autoFilter ref="AI1:AN26" xr:uid="{F8B5EC87-3095-445A-A980-2CFAA0A7B9A2}"/>
  <sortState xmlns:xlrd2="http://schemas.microsoft.com/office/spreadsheetml/2017/richdata2" ref="AI2:AL25">
    <sortCondition ref="AL1:AL25"/>
  </sortState>
  <tableColumns count="6">
    <tableColumn id="1" xr3:uid="{360F44E4-7249-415F-8D5E-41D249F9A162}" name="Crop" dataDxfId="365"/>
    <tableColumn id="2" xr3:uid="{55E07717-B4EC-4E8A-B9A9-34F3CF85E32D}" name="P Offtake" dataDxfId="364"/>
    <tableColumn id="3" xr3:uid="{7B25FA52-8104-4FE3-AED4-B53CBFDF89B2}" name="K Offtake" dataDxfId="363"/>
    <tableColumn id="4" xr3:uid="{0DBAE461-2D09-43C8-9342-3980D552AE4D}" name="Order" dataDxfId="362"/>
    <tableColumn id="5" xr3:uid="{52CACE7B-0CBA-46FC-9F24-02CBD6100239}" name="Lime pH requirement" dataDxfId="361"/>
    <tableColumn id="6" xr3:uid="{F1432630-9B16-4266-8147-CE754A715307}" name="Column1" dataDxfId="36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30" dataDxfId="328" headerRowBorderDxfId="329" tableBorderDxfId="327" totalsRowBorderDxfId="326">
  <autoFilter ref="AI1:AN26" xr:uid="{F8B5EC87-3095-445A-A980-2CFAA0A7B9A2}"/>
  <sortState xmlns:xlrd2="http://schemas.microsoft.com/office/spreadsheetml/2017/richdata2" ref="AI2:AL25">
    <sortCondition ref="AL1:AL25"/>
  </sortState>
  <tableColumns count="6">
    <tableColumn id="1" xr3:uid="{7E96A84B-948F-445F-BD6E-30CC8E6E6DD1}" name="Crop" dataDxfId="325"/>
    <tableColumn id="2" xr3:uid="{12657DDB-F680-47DE-ABB1-8675D5F91E41}" name="P Offtake" dataDxfId="324"/>
    <tableColumn id="3" xr3:uid="{DEB99109-D325-4F98-8A71-E70C03433437}" name="K Offtake" dataDxfId="323"/>
    <tableColumn id="4" xr3:uid="{E96A561F-7E7F-4FB3-97AA-0B35D8C8E93A}" name="Order" dataDxfId="322"/>
    <tableColumn id="5" xr3:uid="{181DD475-0A71-4C52-AF1A-8BFF46F5A827}" name="Lime pH requirement" dataDxfId="321"/>
    <tableColumn id="6" xr3:uid="{AC3FA7E8-D76B-43A3-B715-04446DFF63C6}" name="Column1" dataDxfId="3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06008BA1-A1E9-4286-B67A-352533C06A26}" name="Crop" dataDxfId="285"/>
    <tableColumn id="2" xr3:uid="{2AEB5EEB-C9D1-41DC-913E-953A33D1A4AF}" name="P Offtake" dataDxfId="284"/>
    <tableColumn id="3" xr3:uid="{8FA16A0B-1017-4CEE-862E-0A8CBD8EB3D3}" name="K Offtake" dataDxfId="283"/>
    <tableColumn id="4" xr3:uid="{E7A3B8CD-4036-47F4-B818-C3F22E80C749}" name="Order" dataDxfId="282"/>
    <tableColumn id="5" xr3:uid="{8F3EBD84-7904-4559-9B5C-63088B792C98}" name="Lime pH requirement" dataDxfId="281"/>
    <tableColumn id="6" xr3:uid="{A21DD95A-C955-4510-9114-E3F1CB645370}" name="Column1" dataDxfId="2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11579FCC-3D9F-49AD-888D-5D79B801F6AE}" name="Crop" dataDxfId="245"/>
    <tableColumn id="2" xr3:uid="{05C08116-56D5-4CC6-A649-B06AF891B931}" name="P Offtake" dataDxfId="244"/>
    <tableColumn id="3" xr3:uid="{59CDE959-192B-4757-9203-A0F691CF0F96}" name="K Offtake" dataDxfId="243"/>
    <tableColumn id="4" xr3:uid="{9FB8E4F7-B91F-4CE0-AF39-D4895D0ECF2F}" name="Order" dataDxfId="242"/>
    <tableColumn id="5" xr3:uid="{688FF2A4-D7C6-4425-A915-A9ADD700A9EE}" name="Lime pH requirement" dataDxfId="241"/>
    <tableColumn id="6" xr3:uid="{05FC5CFF-3D81-4B5F-87C7-2364076F2714}" name="Column1" dataDxfId="24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973D7FFB-D248-4199-9B2E-B3C6CC09D382}" name="Crop" dataDxfId="205"/>
    <tableColumn id="2" xr3:uid="{7F2A3986-EC86-4CF9-BD10-791170BA6682}" name="P Offtake" dataDxfId="204"/>
    <tableColumn id="3" xr3:uid="{D6129C35-9DC6-42E5-AE3F-EA3A083168E6}" name="K Offtake" dataDxfId="203"/>
    <tableColumn id="4" xr3:uid="{C1CC42B5-564A-4DE7-B817-B7D686FE9A11}" name="Order" dataDxfId="202"/>
    <tableColumn id="5" xr3:uid="{620F3ABD-564C-411A-8DEA-CE1A34F9FC36}" name="Lime pH requirement" dataDxfId="201"/>
    <tableColumn id="6" xr3:uid="{76C9BC4F-4FF3-4AFB-8E7B-16DC0CC3E97C}" name="Column1" dataDxfId="20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D13A12FC-EAE6-4280-A219-C2622262E5F4}" name="Crop" dataDxfId="165"/>
    <tableColumn id="2" xr3:uid="{FD06C4A3-4B75-490D-88CF-232C7DC3EFC6}" name="P Offtake" dataDxfId="164"/>
    <tableColumn id="3" xr3:uid="{B043BEFF-10D4-4840-989B-BB13A502ECDF}" name="K Offtake" dataDxfId="163"/>
    <tableColumn id="4" xr3:uid="{48481FDC-5D20-466C-B554-D45886EA366A}" name="Order" dataDxfId="162"/>
    <tableColumn id="5" xr3:uid="{9E0852D2-9D0D-44AB-98B7-FBA51F331ACF}" name="Lime pH requirement" dataDxfId="161"/>
    <tableColumn id="6" xr3:uid="{29F9C4A5-6854-4F37-8BD1-0DD9B6024A55}" name="Column1" dataDxfId="16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1B554ED3-7AAF-4192-827C-B071945474B8}" name="Crop" dataDxfId="125"/>
    <tableColumn id="2" xr3:uid="{35F435E0-8D8E-44D1-84BD-C2FF51C3F944}" name="P Offtake" dataDxfId="124"/>
    <tableColumn id="3" xr3:uid="{38465C9D-AA8F-443A-80F5-96D1F6258317}" name="K Offtake" dataDxfId="123"/>
    <tableColumn id="4" xr3:uid="{E0C0E6AF-5628-4BC3-9625-81A87B93D279}" name="Order" dataDxfId="122"/>
    <tableColumn id="5" xr3:uid="{ACDE1D9A-7F94-4404-BDDC-1235C32C758F}" name="Lime pH requirement" dataDxfId="121"/>
    <tableColumn id="6" xr3:uid="{B093C9DF-C4CF-4906-9658-89F446EB9C12}" name="Column1" dataDxfId="12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C4B2E6E9-5990-417D-9E04-7933BDF1FC69}" name="Crop" dataDxfId="85"/>
    <tableColumn id="2" xr3:uid="{E74EF8D0-6C68-49B8-AE52-40C276CA5FC9}" name="P Offtake" dataDxfId="84"/>
    <tableColumn id="3" xr3:uid="{9E0A7857-36E3-482D-B4B2-65B90760417F}" name="K Offtake" dataDxfId="83"/>
    <tableColumn id="4" xr3:uid="{A78867D2-7566-4070-AF99-15EE4CEB1699}" name="Order" dataDxfId="82"/>
    <tableColumn id="5" xr3:uid="{240FD5FA-5659-468E-8544-C93086800EC9}" name="Lime pH requirement" dataDxfId="81"/>
    <tableColumn id="6" xr3:uid="{D5C8E9C3-9076-473B-AE62-DA32692BAABC}" name="Column1" dataDxfId="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82F1A1D2-F5AA-4D76-98E8-3C18592FB8CF}" name="Crop" dataDxfId="45"/>
    <tableColumn id="2" xr3:uid="{17F60BEE-3BBA-4198-AA21-518EC4696EB6}" name="P Offtake" dataDxfId="44"/>
    <tableColumn id="3" xr3:uid="{95D820EB-2583-433A-A070-6E8356E186E7}" name="K Offtake" dataDxfId="43"/>
    <tableColumn id="4" xr3:uid="{F3AE1839-F59F-4A70-B11A-A32E3FDD1A00}" name="Order" dataDxfId="42"/>
    <tableColumn id="5" xr3:uid="{C52880C5-B266-4CF0-9A11-778ABC47F9F0}" name="Lime pH requirement" dataDxfId="41"/>
    <tableColumn id="6" xr3:uid="{233F7657-9414-44B1-9E43-A91A69CB97ED}" name="Column1" dataDxfId="4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J5" sqref="J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18" t="s">
        <v>41</v>
      </c>
      <c r="B1" s="118"/>
      <c r="C1" s="104" t="s">
        <v>152</v>
      </c>
      <c r="D1" s="105"/>
      <c r="E1" s="37" t="s">
        <v>45</v>
      </c>
      <c r="F1" s="35" t="s">
        <v>157</v>
      </c>
      <c r="G1" s="106" t="s">
        <v>43</v>
      </c>
      <c r="H1" s="107"/>
      <c r="I1" s="35">
        <v>8</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169</v>
      </c>
      <c r="G2" s="108" t="s">
        <v>107</v>
      </c>
      <c r="H2" s="109"/>
      <c r="I2" s="35">
        <v>330</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v>0.23599999999999999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173</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v>
      </c>
      <c r="D8" s="23">
        <v>2</v>
      </c>
      <c r="E8" s="23">
        <v>3</v>
      </c>
      <c r="F8" s="23">
        <v>4</v>
      </c>
      <c r="G8" s="23">
        <v>5</v>
      </c>
      <c r="H8" s="23">
        <v>6</v>
      </c>
      <c r="I8" s="23">
        <v>7</v>
      </c>
      <c r="J8" s="23">
        <v>8</v>
      </c>
      <c r="K8" s="23">
        <v>9</v>
      </c>
      <c r="L8" s="23">
        <v>10</v>
      </c>
      <c r="M8" s="23">
        <v>11</v>
      </c>
      <c r="N8" s="23">
        <v>12</v>
      </c>
      <c r="O8" s="23">
        <v>13</v>
      </c>
      <c r="P8" s="23">
        <v>14</v>
      </c>
      <c r="Q8" s="23">
        <v>15</v>
      </c>
      <c r="R8" s="23">
        <v>16</v>
      </c>
      <c r="S8" s="23">
        <v>17</v>
      </c>
      <c r="T8" s="23">
        <v>18</v>
      </c>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159</v>
      </c>
      <c r="D9" s="23" t="s">
        <v>159</v>
      </c>
      <c r="E9" s="23" t="s">
        <v>159</v>
      </c>
      <c r="F9" s="23" t="s">
        <v>159</v>
      </c>
      <c r="G9" s="23" t="s">
        <v>159</v>
      </c>
      <c r="H9" s="23" t="s">
        <v>159</v>
      </c>
      <c r="I9" s="23" t="s">
        <v>159</v>
      </c>
      <c r="J9" s="23" t="s">
        <v>159</v>
      </c>
      <c r="K9" s="23" t="s">
        <v>159</v>
      </c>
      <c r="L9" s="23" t="s">
        <v>159</v>
      </c>
      <c r="M9" s="23" t="s">
        <v>159</v>
      </c>
      <c r="N9" s="23" t="s">
        <v>159</v>
      </c>
      <c r="O9" s="23" t="s">
        <v>159</v>
      </c>
      <c r="P9" s="23" t="s">
        <v>159</v>
      </c>
      <c r="Q9" s="23" t="s">
        <v>159</v>
      </c>
      <c r="R9" s="23" t="s">
        <v>159</v>
      </c>
      <c r="S9" s="23" t="s">
        <v>159</v>
      </c>
      <c r="T9" s="23" t="s">
        <v>159</v>
      </c>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5.7</v>
      </c>
      <c r="D10" s="23">
        <v>6.2</v>
      </c>
      <c r="E10" s="23">
        <v>6.1</v>
      </c>
      <c r="F10" s="23">
        <v>6.1</v>
      </c>
      <c r="G10" s="23">
        <v>5.8</v>
      </c>
      <c r="H10" s="23">
        <v>5.6</v>
      </c>
      <c r="I10" s="23">
        <v>6</v>
      </c>
      <c r="J10" s="23">
        <v>5.7</v>
      </c>
      <c r="K10" s="23">
        <v>5.4</v>
      </c>
      <c r="L10" s="23">
        <v>5.6</v>
      </c>
      <c r="M10" s="23">
        <v>5.5</v>
      </c>
      <c r="N10" s="23">
        <v>5.8</v>
      </c>
      <c r="O10" s="23">
        <v>5.5</v>
      </c>
      <c r="P10" s="23">
        <v>5.6</v>
      </c>
      <c r="Q10" s="23">
        <v>5.7</v>
      </c>
      <c r="R10" s="23">
        <v>5.3</v>
      </c>
      <c r="S10" s="23">
        <v>5.4</v>
      </c>
      <c r="T10" s="23">
        <v>5.3</v>
      </c>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3</v>
      </c>
      <c r="D11" s="23">
        <v>4</v>
      </c>
      <c r="E11" s="23">
        <v>4</v>
      </c>
      <c r="F11" s="23">
        <v>4</v>
      </c>
      <c r="G11" s="23">
        <v>3</v>
      </c>
      <c r="H11" s="23">
        <v>1</v>
      </c>
      <c r="I11" s="23">
        <v>1</v>
      </c>
      <c r="J11" s="23">
        <v>1</v>
      </c>
      <c r="K11" s="23">
        <v>1</v>
      </c>
      <c r="L11" s="23">
        <v>2</v>
      </c>
      <c r="M11" s="23">
        <v>3</v>
      </c>
      <c r="N11" s="23">
        <v>2</v>
      </c>
      <c r="O11" s="23">
        <v>2</v>
      </c>
      <c r="P11" s="23">
        <v>3</v>
      </c>
      <c r="Q11" s="23">
        <v>3</v>
      </c>
      <c r="R11" s="23">
        <v>2</v>
      </c>
      <c r="S11" s="23">
        <v>2</v>
      </c>
      <c r="T11" s="23">
        <v>2</v>
      </c>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0</v>
      </c>
      <c r="D12" s="23">
        <v>0</v>
      </c>
      <c r="E12" s="23">
        <v>1</v>
      </c>
      <c r="F12" s="23">
        <v>1</v>
      </c>
      <c r="G12" s="23">
        <v>0</v>
      </c>
      <c r="H12" s="23">
        <v>0</v>
      </c>
      <c r="I12" s="23">
        <v>0</v>
      </c>
      <c r="J12" s="23">
        <v>0</v>
      </c>
      <c r="K12" s="23">
        <v>1</v>
      </c>
      <c r="L12" s="23">
        <v>0</v>
      </c>
      <c r="M12" s="23">
        <v>1</v>
      </c>
      <c r="N12" s="23">
        <v>0</v>
      </c>
      <c r="O12" s="23">
        <v>0</v>
      </c>
      <c r="P12" s="23">
        <v>0</v>
      </c>
      <c r="Q12" s="23">
        <v>0</v>
      </c>
      <c r="R12" s="23">
        <v>0</v>
      </c>
      <c r="S12" s="23">
        <v>0</v>
      </c>
      <c r="T12" s="23">
        <v>0</v>
      </c>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2</v>
      </c>
      <c r="D13" s="23">
        <v>2</v>
      </c>
      <c r="E13" s="23">
        <v>2</v>
      </c>
      <c r="F13" s="23">
        <v>2</v>
      </c>
      <c r="G13" s="23">
        <v>2</v>
      </c>
      <c r="H13" s="23">
        <v>1</v>
      </c>
      <c r="I13" s="23">
        <v>1</v>
      </c>
      <c r="J13" s="23">
        <v>1</v>
      </c>
      <c r="K13" s="23">
        <v>2</v>
      </c>
      <c r="L13" s="23">
        <v>2</v>
      </c>
      <c r="M13" s="23">
        <v>1</v>
      </c>
      <c r="N13" s="23">
        <v>1</v>
      </c>
      <c r="O13" s="23">
        <v>1</v>
      </c>
      <c r="P13" s="23">
        <v>1</v>
      </c>
      <c r="Q13" s="23">
        <v>1</v>
      </c>
      <c r="R13" s="23">
        <v>1</v>
      </c>
      <c r="S13" s="23">
        <v>1</v>
      </c>
      <c r="T13" s="23">
        <v>2</v>
      </c>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t="s">
        <v>111</v>
      </c>
      <c r="S14" s="36" t="s">
        <v>111</v>
      </c>
      <c r="T14" s="36" t="s">
        <v>111</v>
      </c>
      <c r="U14" s="36"/>
      <c r="V14" s="36"/>
      <c r="AD14" s="43" t="s">
        <v>138</v>
      </c>
      <c r="AE14" s="43">
        <v>6</v>
      </c>
      <c r="AI14" s="60" t="s">
        <v>117</v>
      </c>
      <c r="AJ14" s="61">
        <v>0.8</v>
      </c>
      <c r="AK14" s="62">
        <v>1.7</v>
      </c>
      <c r="AL14" s="19">
        <v>12</v>
      </c>
      <c r="AM14" s="19">
        <v>6.7</v>
      </c>
      <c r="AN14" s="19" t="s">
        <v>135</v>
      </c>
    </row>
    <row r="15" spans="1:40" x14ac:dyDescent="0.2">
      <c r="A15" s="119" t="s">
        <v>9</v>
      </c>
      <c r="B15" s="119"/>
      <c r="C15" s="23">
        <v>38</v>
      </c>
      <c r="D15" s="23">
        <v>38</v>
      </c>
      <c r="E15" s="23">
        <v>38</v>
      </c>
      <c r="F15" s="23">
        <v>38</v>
      </c>
      <c r="G15" s="23">
        <v>38</v>
      </c>
      <c r="H15" s="23">
        <v>38</v>
      </c>
      <c r="I15" s="23">
        <v>38</v>
      </c>
      <c r="J15" s="23">
        <v>38</v>
      </c>
      <c r="K15" s="23">
        <v>38</v>
      </c>
      <c r="L15" s="23">
        <v>38</v>
      </c>
      <c r="M15" s="23">
        <v>38</v>
      </c>
      <c r="N15" s="23">
        <v>38</v>
      </c>
      <c r="O15" s="23">
        <v>38</v>
      </c>
      <c r="P15" s="23">
        <v>38</v>
      </c>
      <c r="Q15" s="23">
        <v>38</v>
      </c>
      <c r="R15" s="23">
        <v>38</v>
      </c>
      <c r="S15" s="23">
        <v>38</v>
      </c>
      <c r="T15" s="23">
        <v>38</v>
      </c>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71</v>
      </c>
      <c r="D16" s="41" t="s">
        <v>71</v>
      </c>
      <c r="E16" s="41" t="s">
        <v>71</v>
      </c>
      <c r="F16" s="41" t="s">
        <v>71</v>
      </c>
      <c r="G16" s="41" t="s">
        <v>71</v>
      </c>
      <c r="H16" s="41" t="s">
        <v>71</v>
      </c>
      <c r="I16" s="41" t="s">
        <v>71</v>
      </c>
      <c r="J16" s="41" t="s">
        <v>71</v>
      </c>
      <c r="K16" s="41" t="s">
        <v>71</v>
      </c>
      <c r="L16" s="41" t="s">
        <v>71</v>
      </c>
      <c r="M16" s="41" t="s">
        <v>71</v>
      </c>
      <c r="N16" s="41" t="s">
        <v>71</v>
      </c>
      <c r="O16" s="41" t="s">
        <v>71</v>
      </c>
      <c r="P16" s="41" t="s">
        <v>71</v>
      </c>
      <c r="Q16" s="41" t="s">
        <v>71</v>
      </c>
      <c r="R16" s="41" t="s">
        <v>71</v>
      </c>
      <c r="S16" s="41" t="s">
        <v>71</v>
      </c>
      <c r="T16" s="41" t="s">
        <v>71</v>
      </c>
      <c r="U16" s="41"/>
      <c r="V16" s="41"/>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20.619000000000003</v>
      </c>
      <c r="D18" s="24">
        <f>$D32</f>
        <v>20.619000000000003</v>
      </c>
      <c r="E18" s="24">
        <f>$D33</f>
        <v>20.619000000000003</v>
      </c>
      <c r="F18" s="24">
        <f>$D34</f>
        <v>20.619000000000003</v>
      </c>
      <c r="G18" s="24">
        <f>$D35</f>
        <v>20.619000000000003</v>
      </c>
      <c r="H18" s="24">
        <f>$D36</f>
        <v>20.619000000000003</v>
      </c>
      <c r="I18" s="24">
        <f>$D37</f>
        <v>20.619000000000003</v>
      </c>
      <c r="J18" s="24">
        <f>$D38</f>
        <v>20.619000000000003</v>
      </c>
      <c r="K18" s="24">
        <f>$D39</f>
        <v>20.619000000000003</v>
      </c>
      <c r="L18" s="24">
        <f>$D40</f>
        <v>20.619000000000003</v>
      </c>
      <c r="M18" s="24">
        <f>$D41</f>
        <v>20.619000000000003</v>
      </c>
      <c r="N18" s="24">
        <f>$D42</f>
        <v>20.619000000000003</v>
      </c>
      <c r="O18" s="24">
        <f>$D43</f>
        <v>20.619000000000003</v>
      </c>
      <c r="P18" s="24">
        <f>$D44</f>
        <v>20.619000000000003</v>
      </c>
      <c r="Q18" s="24">
        <f>$D45</f>
        <v>20.619000000000003</v>
      </c>
      <c r="R18" s="24">
        <f>$D46</f>
        <v>20.619000000000003</v>
      </c>
      <c r="S18" s="24">
        <f>$D47</f>
        <v>20.619000000000003</v>
      </c>
      <c r="T18" s="24">
        <f>$D48</f>
        <v>20.619000000000003</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-43.980999999999995</v>
      </c>
      <c r="D19" s="24">
        <f t="shared" ref="D19:V19" si="1">D18-D17</f>
        <v>-43.980999999999995</v>
      </c>
      <c r="E19" s="24">
        <f t="shared" si="1"/>
        <v>-43.980999999999995</v>
      </c>
      <c r="F19" s="24">
        <f t="shared" si="1"/>
        <v>-43.980999999999995</v>
      </c>
      <c r="G19" s="24">
        <f t="shared" si="1"/>
        <v>-43.980999999999995</v>
      </c>
      <c r="H19" s="24">
        <f t="shared" si="1"/>
        <v>-43.980999999999995</v>
      </c>
      <c r="I19" s="24">
        <f t="shared" si="1"/>
        <v>-43.980999999999995</v>
      </c>
      <c r="J19" s="24">
        <f t="shared" si="1"/>
        <v>-43.980999999999995</v>
      </c>
      <c r="K19" s="24">
        <f t="shared" si="1"/>
        <v>-43.980999999999995</v>
      </c>
      <c r="L19" s="24">
        <f t="shared" si="1"/>
        <v>-43.980999999999995</v>
      </c>
      <c r="M19" s="24">
        <f t="shared" si="1"/>
        <v>-43.980999999999995</v>
      </c>
      <c r="N19" s="24">
        <f t="shared" si="1"/>
        <v>-43.980999999999995</v>
      </c>
      <c r="O19" s="24">
        <f t="shared" si="1"/>
        <v>-43.980999999999995</v>
      </c>
      <c r="P19" s="24">
        <f t="shared" si="1"/>
        <v>-43.980999999999995</v>
      </c>
      <c r="Q19" s="24">
        <f t="shared" si="1"/>
        <v>-43.980999999999995</v>
      </c>
      <c r="R19" s="24">
        <f t="shared" si="1"/>
        <v>-43.980999999999995</v>
      </c>
      <c r="S19" s="24">
        <f t="shared" si="1"/>
        <v>-43.980999999999995</v>
      </c>
      <c r="T19" s="24">
        <f t="shared" si="1"/>
        <v>-43.980999999999995</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26.630500000000005</v>
      </c>
      <c r="D22" s="24">
        <f>$E32</f>
        <v>26.630500000000005</v>
      </c>
      <c r="E22" s="24">
        <f>$E33</f>
        <v>26.630500000000005</v>
      </c>
      <c r="F22" s="24">
        <f>$E34</f>
        <v>26.630500000000005</v>
      </c>
      <c r="G22" s="24">
        <f>$E35</f>
        <v>26.630500000000005</v>
      </c>
      <c r="H22" s="24">
        <f>$E36</f>
        <v>26.630500000000005</v>
      </c>
      <c r="I22" s="24">
        <f>$E37</f>
        <v>26.630500000000005</v>
      </c>
      <c r="J22" s="24">
        <f>$E38</f>
        <v>26.630500000000005</v>
      </c>
      <c r="K22" s="24">
        <f>$E39</f>
        <v>26.630500000000005</v>
      </c>
      <c r="L22" s="24">
        <f>$E40</f>
        <v>26.630500000000005</v>
      </c>
      <c r="M22" s="24">
        <f>$E41</f>
        <v>26.630500000000005</v>
      </c>
      <c r="N22" s="24">
        <f>$E42</f>
        <v>26.630500000000005</v>
      </c>
      <c r="O22" s="24">
        <f>$E43</f>
        <v>26.630500000000005</v>
      </c>
      <c r="P22" s="24">
        <f>$E44</f>
        <v>26.630500000000005</v>
      </c>
      <c r="Q22" s="24">
        <f>$E45</f>
        <v>26.630500000000005</v>
      </c>
      <c r="R22" s="24">
        <f>$E46</f>
        <v>26.630500000000005</v>
      </c>
      <c r="S22" s="24">
        <f>$E47</f>
        <v>26.630500000000005</v>
      </c>
      <c r="T22" s="24">
        <f>$E48</f>
        <v>26.630500000000005</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-201.36949999999999</v>
      </c>
      <c r="D23" s="24">
        <f t="shared" ref="D23:V23" si="3">D22-D21</f>
        <v>-201.36949999999999</v>
      </c>
      <c r="E23" s="24">
        <f t="shared" si="3"/>
        <v>-201.36949999999999</v>
      </c>
      <c r="F23" s="24">
        <f t="shared" si="3"/>
        <v>-201.36949999999999</v>
      </c>
      <c r="G23" s="24">
        <f t="shared" si="3"/>
        <v>-201.36949999999999</v>
      </c>
      <c r="H23" s="24">
        <f t="shared" si="3"/>
        <v>-201.36949999999999</v>
      </c>
      <c r="I23" s="24">
        <f t="shared" si="3"/>
        <v>-201.36949999999999</v>
      </c>
      <c r="J23" s="24">
        <f t="shared" si="3"/>
        <v>-201.36949999999999</v>
      </c>
      <c r="K23" s="24">
        <f t="shared" si="3"/>
        <v>-201.36949999999999</v>
      </c>
      <c r="L23" s="24">
        <f t="shared" si="3"/>
        <v>-201.36949999999999</v>
      </c>
      <c r="M23" s="24">
        <f t="shared" si="3"/>
        <v>-201.36949999999999</v>
      </c>
      <c r="N23" s="24">
        <f t="shared" si="3"/>
        <v>-201.36949999999999</v>
      </c>
      <c r="O23" s="24">
        <f t="shared" si="3"/>
        <v>-201.36949999999999</v>
      </c>
      <c r="P23" s="24">
        <f t="shared" si="3"/>
        <v>-201.36949999999999</v>
      </c>
      <c r="Q23" s="24">
        <f t="shared" si="3"/>
        <v>-201.36949999999999</v>
      </c>
      <c r="R23" s="24">
        <f t="shared" si="3"/>
        <v>-201.36949999999999</v>
      </c>
      <c r="S23" s="24">
        <f t="shared" si="3"/>
        <v>-201.36949999999999</v>
      </c>
      <c r="T23" s="24">
        <f t="shared" si="3"/>
        <v>-201.36949999999999</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1.28</v>
      </c>
      <c r="C28" s="23">
        <v>0.02</v>
      </c>
      <c r="D28" s="23">
        <v>36</v>
      </c>
      <c r="E28" s="23">
        <v>88.4</v>
      </c>
      <c r="F28" s="23">
        <v>13.2</v>
      </c>
      <c r="G28" s="23">
        <v>0.2</v>
      </c>
      <c r="H28" s="23">
        <v>0.5</v>
      </c>
      <c r="I28" s="23">
        <v>0.5</v>
      </c>
      <c r="J28" s="23">
        <v>0.01</v>
      </c>
      <c r="K28" s="30">
        <v>0.05</v>
      </c>
      <c r="L28" s="23">
        <v>0.2</v>
      </c>
      <c r="M28" s="23">
        <v>0.2</v>
      </c>
      <c r="N28" s="23"/>
      <c r="O28" s="23"/>
      <c r="P28" s="23">
        <v>445</v>
      </c>
      <c r="Q28" s="23">
        <v>40.200000000000003</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20.619000000000003</v>
      </c>
      <c r="E31" s="2">
        <f>(IF(E$27="%w/w SAR",((E$28*10)*$B31),IF(E$27="%w/w DM",(((E$28*10)*($B$28/100))*$B31),IF(E$27="kg/t SAR",(E$28*$B31),IF(E$27="kg/t DM",((E$28*($B$28/100))*$B31),IF(E$27="mg/kg SAR",((E$28*0.001)*$B31),IF(E$27="mg/kg DM",(((E$28*0.001)*($B$28/100))*$B31),"0")))))))*1.205</f>
        <v>26.630500000000005</v>
      </c>
      <c r="F31" s="2">
        <f>(IF(F$27="%w/w SAR",((F$28*10)*$B31),IF(F$27="%w/w DM",(((F$28*10)*($B$28/100))*$B31),IF(F$27="kg/t SAR",(F$28*$B31),IF(F$27="kg/t DM",((F$28*($B$28/100))*$B31),IF(F$27="mg/kg SAR",((F$28*0.001)*$B31),IF(F$27="mg/kg DM",(((F$28*0.001)*($B$28/100))*$B31),"0")))))))*1.658</f>
        <v>5.4713999999999992</v>
      </c>
      <c r="G31" s="2">
        <f t="shared" ref="G31:P31"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111.25</v>
      </c>
      <c r="Q31" s="2">
        <f>(IF(Q$27="%w/w SAR",((Q$28*10)*$B31),IF(Q$27="%w/w DM",(((Q$28*10)*($B$28/100))*$B31),IF(Q$27="kg/t SAR",(Q$28*$B31),IF(Q$27="kg/t DM",((Q$28*($B$28/100))*$B31),IF(Q$27="mg/kg SAR",((Q$28*0.001)*$B31),IF(Q$27="mg/kg DM",(((Q$28*0.001)*($B$28/100))*$B31),0)))))))*2.5</f>
        <v>25.125000000000007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20.619000000000003</v>
      </c>
      <c r="E32" s="2">
        <f t="shared" ref="E32:E50" si="8">(IF(E$27="%w/w SAR",((E$28*10)*$B32),IF(E$27="%w/w DM",(((E$28*10)*($B$28/100))*$B32),IF(E$27="kg/t SAR",(E$28*$B32),IF(E$27="kg/t DM",((E$28*($B$28/100))*$B32),IF(E$27="mg/kg SAR",((E$28*0.001)*$B32),IF(E$27="mg/kg DM",(((E$28*0.001)*($B$28/100))*$B32),"0")))))))*1.205</f>
        <v>26.630500000000005</v>
      </c>
      <c r="F32" s="2">
        <f t="shared" ref="F32:F50" si="9">(IF(F$27="%w/w SAR",((F$28*10)*$B32),IF(F$27="%w/w DM",(((F$28*10)*($B$28/100))*$B32),IF(F$27="kg/t SAR",(F$28*$B32),IF(F$27="kg/t DM",((F$28*($B$28/100))*$B32),IF(F$27="mg/kg SAR",((F$28*0.001)*$B32),IF(F$27="mg/kg DM",(((F$28*0.001)*($B$28/100))*$B32),"0")))))))*1.658</f>
        <v>5.4713999999999992</v>
      </c>
      <c r="G32" s="2">
        <f t="shared" ref="G32:P50" si="10">IF(G$27="%w/w SAR",((G$28*10)*$B32),IF(G$27="%w/w DM",(((G$28*10)*($B$28/100))*$B32),IF(G$27="kg/t SAR",(G$28*$B32),IF(G$27="kg/t DM",((G$28*($B$28/100))*$B32),IF(G$27="mg/kg SAR",((G$28*0.001)*$B32),IF(G$27="mg/kg DM",(((G$28*0.001)*($B$28/100))*$B32),0))))))</f>
        <v>0.05</v>
      </c>
      <c r="H32" s="2">
        <f t="shared" si="10"/>
        <v>0.125</v>
      </c>
      <c r="I32" s="2">
        <f t="shared" si="10"/>
        <v>0.125</v>
      </c>
      <c r="J32" s="2">
        <f t="shared" si="10"/>
        <v>2.5000000000000001E-3</v>
      </c>
      <c r="K32" s="2">
        <f t="shared" si="10"/>
        <v>1.2500000000000001E-2</v>
      </c>
      <c r="L32" s="2">
        <f t="shared" si="10"/>
        <v>0.05</v>
      </c>
      <c r="M32" s="2">
        <f t="shared" si="10"/>
        <v>0.05</v>
      </c>
      <c r="N32" s="2">
        <f t="shared" si="10"/>
        <v>0</v>
      </c>
      <c r="O32" s="2">
        <f t="shared" si="10"/>
        <v>0</v>
      </c>
      <c r="P32" s="2">
        <f t="shared" si="10"/>
        <v>111.25</v>
      </c>
      <c r="Q32" s="2">
        <f t="shared" ref="Q32:Q50" si="11">(IF(Q$27="%w/w SAR",((Q$28*10)*$B32),IF(Q$27="%w/w DM",(((Q$28*10)*($B$28/100))*$B32),IF(Q$27="kg/t SAR",(Q$28*$B32),IF(Q$27="kg/t DM",((Q$28*($B$28/100))*$B32),IF(Q$27="mg/kg SAR",((Q$28*0.001)*$B32),IF(Q$27="mg/kg DM",(((Q$28*0.001)*($B$28/100))*$B32),0)))))))*2.5</f>
        <v>25.125000000000007</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3</v>
      </c>
      <c r="B33" s="23">
        <v>250</v>
      </c>
      <c r="C33" s="2">
        <f t="shared" si="6"/>
        <v>50</v>
      </c>
      <c r="D33" s="2">
        <f t="shared" si="7"/>
        <v>20.619000000000003</v>
      </c>
      <c r="E33" s="2">
        <f t="shared" si="8"/>
        <v>26.630500000000005</v>
      </c>
      <c r="F33" s="2">
        <f t="shared" si="9"/>
        <v>5.4713999999999992</v>
      </c>
      <c r="G33" s="2">
        <f t="shared" si="10"/>
        <v>0.05</v>
      </c>
      <c r="H33" s="2">
        <f t="shared" si="10"/>
        <v>0.125</v>
      </c>
      <c r="I33" s="2">
        <f t="shared" si="10"/>
        <v>0.125</v>
      </c>
      <c r="J33" s="2">
        <f t="shared" si="10"/>
        <v>2.5000000000000001E-3</v>
      </c>
      <c r="K33" s="2">
        <f t="shared" si="10"/>
        <v>1.2500000000000001E-2</v>
      </c>
      <c r="L33" s="2">
        <f t="shared" si="10"/>
        <v>0.05</v>
      </c>
      <c r="M33" s="2">
        <f t="shared" si="10"/>
        <v>0.05</v>
      </c>
      <c r="N33" s="2">
        <f t="shared" si="10"/>
        <v>0</v>
      </c>
      <c r="O33" s="2">
        <f t="shared" si="10"/>
        <v>0</v>
      </c>
      <c r="P33" s="2">
        <f t="shared" si="10"/>
        <v>111.25</v>
      </c>
      <c r="Q33" s="2">
        <f t="shared" si="11"/>
        <v>25.125000000000007</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4</v>
      </c>
      <c r="B34" s="23">
        <v>250</v>
      </c>
      <c r="C34" s="2">
        <f t="shared" si="6"/>
        <v>50</v>
      </c>
      <c r="D34" s="2">
        <f t="shared" si="7"/>
        <v>20.619000000000003</v>
      </c>
      <c r="E34" s="2">
        <f t="shared" si="8"/>
        <v>26.630500000000005</v>
      </c>
      <c r="F34" s="2">
        <f t="shared" si="9"/>
        <v>5.4713999999999992</v>
      </c>
      <c r="G34" s="2">
        <f t="shared" si="10"/>
        <v>0.05</v>
      </c>
      <c r="H34" s="2">
        <f t="shared" si="10"/>
        <v>0.125</v>
      </c>
      <c r="I34" s="2">
        <f t="shared" si="10"/>
        <v>0.125</v>
      </c>
      <c r="J34" s="2">
        <f t="shared" si="10"/>
        <v>2.5000000000000001E-3</v>
      </c>
      <c r="K34" s="2">
        <f t="shared" si="10"/>
        <v>1.2500000000000001E-2</v>
      </c>
      <c r="L34" s="2">
        <f t="shared" si="10"/>
        <v>0.05</v>
      </c>
      <c r="M34" s="2">
        <f t="shared" si="10"/>
        <v>0.05</v>
      </c>
      <c r="N34" s="2">
        <f t="shared" si="10"/>
        <v>0</v>
      </c>
      <c r="O34" s="2">
        <f t="shared" si="10"/>
        <v>0</v>
      </c>
      <c r="P34" s="2">
        <f t="shared" si="10"/>
        <v>111.25</v>
      </c>
      <c r="Q34" s="2">
        <f t="shared" si="11"/>
        <v>25.125000000000007</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5</v>
      </c>
      <c r="B35" s="23">
        <v>250</v>
      </c>
      <c r="C35" s="2">
        <f t="shared" si="6"/>
        <v>50</v>
      </c>
      <c r="D35" s="2">
        <f t="shared" si="7"/>
        <v>20.619000000000003</v>
      </c>
      <c r="E35" s="2">
        <f t="shared" si="8"/>
        <v>26.630500000000005</v>
      </c>
      <c r="F35" s="2">
        <f t="shared" si="9"/>
        <v>5.4713999999999992</v>
      </c>
      <c r="G35" s="2">
        <f t="shared" si="10"/>
        <v>0.05</v>
      </c>
      <c r="H35" s="2">
        <f t="shared" si="10"/>
        <v>0.125</v>
      </c>
      <c r="I35" s="2">
        <f t="shared" si="10"/>
        <v>0.125</v>
      </c>
      <c r="J35" s="2">
        <f t="shared" si="10"/>
        <v>2.5000000000000001E-3</v>
      </c>
      <c r="K35" s="2">
        <f t="shared" si="10"/>
        <v>1.2500000000000001E-2</v>
      </c>
      <c r="L35" s="2">
        <f t="shared" si="10"/>
        <v>0.05</v>
      </c>
      <c r="M35" s="2">
        <f t="shared" si="10"/>
        <v>0.05</v>
      </c>
      <c r="N35" s="2">
        <f t="shared" si="10"/>
        <v>0</v>
      </c>
      <c r="O35" s="2">
        <f t="shared" si="10"/>
        <v>0</v>
      </c>
      <c r="P35" s="2">
        <f t="shared" si="10"/>
        <v>111.25</v>
      </c>
      <c r="Q35" s="2">
        <f t="shared" si="11"/>
        <v>25.125000000000007</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6</v>
      </c>
      <c r="B36" s="23">
        <v>250</v>
      </c>
      <c r="C36" s="2">
        <f t="shared" si="6"/>
        <v>50</v>
      </c>
      <c r="D36" s="2">
        <f t="shared" si="7"/>
        <v>20.619000000000003</v>
      </c>
      <c r="E36" s="2">
        <f t="shared" si="8"/>
        <v>26.630500000000005</v>
      </c>
      <c r="F36" s="2">
        <f t="shared" si="9"/>
        <v>5.4713999999999992</v>
      </c>
      <c r="G36" s="2">
        <f t="shared" si="10"/>
        <v>0.05</v>
      </c>
      <c r="H36" s="2">
        <f t="shared" si="10"/>
        <v>0.125</v>
      </c>
      <c r="I36" s="2">
        <f t="shared" si="10"/>
        <v>0.125</v>
      </c>
      <c r="J36" s="2">
        <f t="shared" si="10"/>
        <v>2.5000000000000001E-3</v>
      </c>
      <c r="K36" s="2">
        <f t="shared" si="10"/>
        <v>1.2500000000000001E-2</v>
      </c>
      <c r="L36" s="2">
        <f t="shared" si="10"/>
        <v>0.05</v>
      </c>
      <c r="M36" s="2">
        <f t="shared" si="10"/>
        <v>0.05</v>
      </c>
      <c r="N36" s="2">
        <f t="shared" si="10"/>
        <v>0</v>
      </c>
      <c r="O36" s="2">
        <f t="shared" si="10"/>
        <v>0</v>
      </c>
      <c r="P36" s="2">
        <f t="shared" si="10"/>
        <v>111.25</v>
      </c>
      <c r="Q36" s="2">
        <f t="shared" si="11"/>
        <v>25.125000000000007</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7</v>
      </c>
      <c r="B37" s="23">
        <v>250</v>
      </c>
      <c r="C37" s="2">
        <f t="shared" si="6"/>
        <v>50</v>
      </c>
      <c r="D37" s="2">
        <f t="shared" si="7"/>
        <v>20.619000000000003</v>
      </c>
      <c r="E37" s="2">
        <f t="shared" si="8"/>
        <v>26.630500000000005</v>
      </c>
      <c r="F37" s="2">
        <f t="shared" si="9"/>
        <v>5.4713999999999992</v>
      </c>
      <c r="G37" s="2">
        <f t="shared" si="10"/>
        <v>0.05</v>
      </c>
      <c r="H37" s="2">
        <f t="shared" si="10"/>
        <v>0.125</v>
      </c>
      <c r="I37" s="2">
        <f t="shared" si="10"/>
        <v>0.125</v>
      </c>
      <c r="J37" s="2">
        <f t="shared" si="10"/>
        <v>2.5000000000000001E-3</v>
      </c>
      <c r="K37" s="2">
        <f t="shared" si="10"/>
        <v>1.2500000000000001E-2</v>
      </c>
      <c r="L37" s="2">
        <f t="shared" si="10"/>
        <v>0.05</v>
      </c>
      <c r="M37" s="2">
        <f t="shared" si="10"/>
        <v>0.05</v>
      </c>
      <c r="N37" s="2">
        <f t="shared" si="10"/>
        <v>0</v>
      </c>
      <c r="O37" s="2">
        <f t="shared" si="10"/>
        <v>0</v>
      </c>
      <c r="P37" s="2">
        <f t="shared" si="10"/>
        <v>111.25</v>
      </c>
      <c r="Q37" s="2">
        <f t="shared" si="11"/>
        <v>25.125000000000007</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8</v>
      </c>
      <c r="B38" s="23">
        <v>250</v>
      </c>
      <c r="C38" s="2">
        <f t="shared" si="6"/>
        <v>50</v>
      </c>
      <c r="D38" s="2">
        <f t="shared" si="7"/>
        <v>20.619000000000003</v>
      </c>
      <c r="E38" s="2">
        <f t="shared" si="8"/>
        <v>26.630500000000005</v>
      </c>
      <c r="F38" s="2">
        <f t="shared" si="9"/>
        <v>5.4713999999999992</v>
      </c>
      <c r="G38" s="2">
        <f t="shared" si="10"/>
        <v>0.05</v>
      </c>
      <c r="H38" s="2">
        <f t="shared" si="10"/>
        <v>0.125</v>
      </c>
      <c r="I38" s="2">
        <f t="shared" si="10"/>
        <v>0.125</v>
      </c>
      <c r="J38" s="2">
        <f t="shared" si="10"/>
        <v>2.5000000000000001E-3</v>
      </c>
      <c r="K38" s="2">
        <f t="shared" si="10"/>
        <v>1.2500000000000001E-2</v>
      </c>
      <c r="L38" s="2">
        <f t="shared" si="10"/>
        <v>0.05</v>
      </c>
      <c r="M38" s="2">
        <f t="shared" si="10"/>
        <v>0.05</v>
      </c>
      <c r="N38" s="2">
        <f t="shared" si="10"/>
        <v>0</v>
      </c>
      <c r="O38" s="2">
        <f t="shared" si="10"/>
        <v>0</v>
      </c>
      <c r="P38" s="2">
        <f t="shared" si="10"/>
        <v>111.25</v>
      </c>
      <c r="Q38" s="2">
        <f t="shared" si="11"/>
        <v>25.125000000000007</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9</v>
      </c>
      <c r="B39" s="23">
        <v>250</v>
      </c>
      <c r="C39" s="2">
        <f t="shared" si="6"/>
        <v>50</v>
      </c>
      <c r="D39" s="2">
        <f t="shared" si="7"/>
        <v>20.619000000000003</v>
      </c>
      <c r="E39" s="2">
        <f t="shared" si="8"/>
        <v>26.630500000000005</v>
      </c>
      <c r="F39" s="2">
        <f t="shared" si="9"/>
        <v>5.4713999999999992</v>
      </c>
      <c r="G39" s="2">
        <f t="shared" si="10"/>
        <v>0.05</v>
      </c>
      <c r="H39" s="2">
        <f t="shared" si="10"/>
        <v>0.125</v>
      </c>
      <c r="I39" s="2">
        <f t="shared" si="10"/>
        <v>0.125</v>
      </c>
      <c r="J39" s="2">
        <f t="shared" si="10"/>
        <v>2.5000000000000001E-3</v>
      </c>
      <c r="K39" s="2">
        <f t="shared" si="10"/>
        <v>1.2500000000000001E-2</v>
      </c>
      <c r="L39" s="2">
        <f t="shared" si="10"/>
        <v>0.05</v>
      </c>
      <c r="M39" s="2">
        <f t="shared" si="10"/>
        <v>0.05</v>
      </c>
      <c r="N39" s="2">
        <f t="shared" si="10"/>
        <v>0</v>
      </c>
      <c r="O39" s="2">
        <f t="shared" si="10"/>
        <v>0</v>
      </c>
      <c r="P39" s="2">
        <f t="shared" si="10"/>
        <v>111.25</v>
      </c>
      <c r="Q39" s="2">
        <f t="shared" si="11"/>
        <v>25.125000000000007</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10</v>
      </c>
      <c r="B40" s="23">
        <v>250</v>
      </c>
      <c r="C40" s="2">
        <f t="shared" si="6"/>
        <v>50</v>
      </c>
      <c r="D40" s="2">
        <f t="shared" si="7"/>
        <v>20.619000000000003</v>
      </c>
      <c r="E40" s="2">
        <f t="shared" si="8"/>
        <v>26.630500000000005</v>
      </c>
      <c r="F40" s="2">
        <f t="shared" si="9"/>
        <v>5.4713999999999992</v>
      </c>
      <c r="G40" s="2">
        <f t="shared" si="10"/>
        <v>0.05</v>
      </c>
      <c r="H40" s="2">
        <f t="shared" si="10"/>
        <v>0.125</v>
      </c>
      <c r="I40" s="2">
        <f t="shared" si="10"/>
        <v>0.125</v>
      </c>
      <c r="J40" s="2">
        <f t="shared" si="10"/>
        <v>2.5000000000000001E-3</v>
      </c>
      <c r="K40" s="2">
        <f t="shared" si="10"/>
        <v>1.2500000000000001E-2</v>
      </c>
      <c r="L40" s="2">
        <f t="shared" si="10"/>
        <v>0.05</v>
      </c>
      <c r="M40" s="2">
        <f t="shared" si="10"/>
        <v>0.05</v>
      </c>
      <c r="N40" s="2">
        <f t="shared" si="10"/>
        <v>0</v>
      </c>
      <c r="O40" s="2">
        <f t="shared" si="10"/>
        <v>0</v>
      </c>
      <c r="P40" s="2">
        <f t="shared" si="10"/>
        <v>111.25</v>
      </c>
      <c r="Q40" s="2">
        <f t="shared" si="11"/>
        <v>25.125000000000007</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11</v>
      </c>
      <c r="B41" s="23">
        <v>250</v>
      </c>
      <c r="C41" s="2">
        <f t="shared" si="6"/>
        <v>50</v>
      </c>
      <c r="D41" s="2">
        <f t="shared" si="7"/>
        <v>20.619000000000003</v>
      </c>
      <c r="E41" s="2">
        <f t="shared" si="8"/>
        <v>26.630500000000005</v>
      </c>
      <c r="F41" s="2">
        <f t="shared" si="9"/>
        <v>5.4713999999999992</v>
      </c>
      <c r="G41" s="2">
        <f t="shared" si="10"/>
        <v>0.05</v>
      </c>
      <c r="H41" s="2">
        <f t="shared" si="10"/>
        <v>0.125</v>
      </c>
      <c r="I41" s="2">
        <f t="shared" si="10"/>
        <v>0.125</v>
      </c>
      <c r="J41" s="2">
        <f t="shared" si="10"/>
        <v>2.5000000000000001E-3</v>
      </c>
      <c r="K41" s="2">
        <f t="shared" si="10"/>
        <v>1.2500000000000001E-2</v>
      </c>
      <c r="L41" s="2">
        <f t="shared" si="10"/>
        <v>0.05</v>
      </c>
      <c r="M41" s="2">
        <f t="shared" si="10"/>
        <v>0.05</v>
      </c>
      <c r="N41" s="2">
        <f t="shared" si="10"/>
        <v>0</v>
      </c>
      <c r="O41" s="2">
        <f t="shared" si="10"/>
        <v>0</v>
      </c>
      <c r="P41" s="2">
        <f t="shared" si="10"/>
        <v>111.25</v>
      </c>
      <c r="Q41" s="2">
        <f t="shared" si="11"/>
        <v>25.125000000000007</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12</v>
      </c>
      <c r="B42" s="23">
        <v>250</v>
      </c>
      <c r="C42" s="2">
        <f t="shared" si="6"/>
        <v>50</v>
      </c>
      <c r="D42" s="2">
        <f t="shared" si="7"/>
        <v>20.619000000000003</v>
      </c>
      <c r="E42" s="2">
        <f t="shared" si="8"/>
        <v>26.630500000000005</v>
      </c>
      <c r="F42" s="2">
        <f t="shared" si="9"/>
        <v>5.4713999999999992</v>
      </c>
      <c r="G42" s="2">
        <f t="shared" si="10"/>
        <v>0.05</v>
      </c>
      <c r="H42" s="2">
        <f t="shared" si="10"/>
        <v>0.125</v>
      </c>
      <c r="I42" s="2">
        <f t="shared" si="10"/>
        <v>0.125</v>
      </c>
      <c r="J42" s="2">
        <f t="shared" si="10"/>
        <v>2.5000000000000001E-3</v>
      </c>
      <c r="K42" s="2">
        <f t="shared" si="10"/>
        <v>1.2500000000000001E-2</v>
      </c>
      <c r="L42" s="2">
        <f t="shared" si="10"/>
        <v>0.05</v>
      </c>
      <c r="M42" s="2">
        <f t="shared" si="10"/>
        <v>0.05</v>
      </c>
      <c r="N42" s="2">
        <f t="shared" si="10"/>
        <v>0</v>
      </c>
      <c r="O42" s="2">
        <f t="shared" si="10"/>
        <v>0</v>
      </c>
      <c r="P42" s="2">
        <f t="shared" si="10"/>
        <v>111.25</v>
      </c>
      <c r="Q42" s="2">
        <f t="shared" si="11"/>
        <v>25.125000000000007</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13</v>
      </c>
      <c r="B43" s="23">
        <v>250</v>
      </c>
      <c r="C43" s="2">
        <f t="shared" si="6"/>
        <v>50</v>
      </c>
      <c r="D43" s="2">
        <f t="shared" si="7"/>
        <v>20.619000000000003</v>
      </c>
      <c r="E43" s="2">
        <f t="shared" si="8"/>
        <v>26.630500000000005</v>
      </c>
      <c r="F43" s="2">
        <f t="shared" si="9"/>
        <v>5.4713999999999992</v>
      </c>
      <c r="G43" s="2">
        <f t="shared" si="10"/>
        <v>0.05</v>
      </c>
      <c r="H43" s="2">
        <f t="shared" si="10"/>
        <v>0.125</v>
      </c>
      <c r="I43" s="2">
        <f t="shared" si="10"/>
        <v>0.125</v>
      </c>
      <c r="J43" s="2">
        <f t="shared" si="10"/>
        <v>2.5000000000000001E-3</v>
      </c>
      <c r="K43" s="2">
        <f t="shared" si="10"/>
        <v>1.2500000000000001E-2</v>
      </c>
      <c r="L43" s="2">
        <f t="shared" si="10"/>
        <v>0.05</v>
      </c>
      <c r="M43" s="2">
        <f t="shared" si="10"/>
        <v>0.05</v>
      </c>
      <c r="N43" s="2">
        <f t="shared" si="10"/>
        <v>0</v>
      </c>
      <c r="O43" s="2">
        <f t="shared" si="10"/>
        <v>0</v>
      </c>
      <c r="P43" s="2">
        <f t="shared" si="10"/>
        <v>111.25</v>
      </c>
      <c r="Q43" s="2">
        <f t="shared" si="11"/>
        <v>25.125000000000007</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14</v>
      </c>
      <c r="B44" s="23">
        <v>250</v>
      </c>
      <c r="C44" s="2">
        <f t="shared" si="6"/>
        <v>50</v>
      </c>
      <c r="D44" s="2">
        <f t="shared" si="7"/>
        <v>20.619000000000003</v>
      </c>
      <c r="E44" s="2">
        <f t="shared" si="8"/>
        <v>26.630500000000005</v>
      </c>
      <c r="F44" s="2">
        <f t="shared" si="9"/>
        <v>5.4713999999999992</v>
      </c>
      <c r="G44" s="2">
        <f t="shared" si="10"/>
        <v>0.05</v>
      </c>
      <c r="H44" s="2">
        <f t="shared" si="10"/>
        <v>0.125</v>
      </c>
      <c r="I44" s="2">
        <f t="shared" si="10"/>
        <v>0.125</v>
      </c>
      <c r="J44" s="2">
        <f t="shared" si="10"/>
        <v>2.5000000000000001E-3</v>
      </c>
      <c r="K44" s="2">
        <f t="shared" si="10"/>
        <v>1.2500000000000001E-2</v>
      </c>
      <c r="L44" s="2">
        <f t="shared" si="10"/>
        <v>0.05</v>
      </c>
      <c r="M44" s="2">
        <f t="shared" si="10"/>
        <v>0.05</v>
      </c>
      <c r="N44" s="2">
        <f t="shared" si="10"/>
        <v>0</v>
      </c>
      <c r="O44" s="2">
        <f t="shared" si="10"/>
        <v>0</v>
      </c>
      <c r="P44" s="2">
        <f t="shared" si="10"/>
        <v>111.25</v>
      </c>
      <c r="Q44" s="2">
        <f t="shared" si="11"/>
        <v>25.125000000000007</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15</v>
      </c>
      <c r="B45" s="23">
        <v>250</v>
      </c>
      <c r="C45" s="2">
        <f t="shared" si="6"/>
        <v>50</v>
      </c>
      <c r="D45" s="2">
        <f t="shared" si="7"/>
        <v>20.619000000000003</v>
      </c>
      <c r="E45" s="2">
        <f t="shared" si="8"/>
        <v>26.630500000000005</v>
      </c>
      <c r="F45" s="2">
        <f t="shared" si="9"/>
        <v>5.4713999999999992</v>
      </c>
      <c r="G45" s="2">
        <f t="shared" si="10"/>
        <v>0.05</v>
      </c>
      <c r="H45" s="2">
        <f t="shared" si="10"/>
        <v>0.125</v>
      </c>
      <c r="I45" s="2">
        <f t="shared" si="10"/>
        <v>0.125</v>
      </c>
      <c r="J45" s="2">
        <f t="shared" si="10"/>
        <v>2.5000000000000001E-3</v>
      </c>
      <c r="K45" s="2">
        <f t="shared" si="10"/>
        <v>1.2500000000000001E-2</v>
      </c>
      <c r="L45" s="2">
        <f t="shared" si="10"/>
        <v>0.05</v>
      </c>
      <c r="M45" s="2">
        <f t="shared" si="10"/>
        <v>0.05</v>
      </c>
      <c r="N45" s="2">
        <f t="shared" si="10"/>
        <v>0</v>
      </c>
      <c r="O45" s="2">
        <f t="shared" si="10"/>
        <v>0</v>
      </c>
      <c r="P45" s="2">
        <f t="shared" si="10"/>
        <v>111.25</v>
      </c>
      <c r="Q45" s="2">
        <f t="shared" si="11"/>
        <v>25.125000000000007</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16</v>
      </c>
      <c r="B46" s="23">
        <v>250</v>
      </c>
      <c r="C46" s="2">
        <f t="shared" si="6"/>
        <v>50</v>
      </c>
      <c r="D46" s="2">
        <f t="shared" si="7"/>
        <v>20.619000000000003</v>
      </c>
      <c r="E46" s="2">
        <f t="shared" si="8"/>
        <v>26.630500000000005</v>
      </c>
      <c r="F46" s="2">
        <f t="shared" si="9"/>
        <v>5.4713999999999992</v>
      </c>
      <c r="G46" s="2">
        <f t="shared" si="10"/>
        <v>0.05</v>
      </c>
      <c r="H46" s="2">
        <f t="shared" si="10"/>
        <v>0.125</v>
      </c>
      <c r="I46" s="2">
        <f t="shared" si="10"/>
        <v>0.125</v>
      </c>
      <c r="J46" s="2">
        <f t="shared" si="10"/>
        <v>2.5000000000000001E-3</v>
      </c>
      <c r="K46" s="2">
        <f t="shared" si="10"/>
        <v>1.2500000000000001E-2</v>
      </c>
      <c r="L46" s="2">
        <f t="shared" si="10"/>
        <v>0.05</v>
      </c>
      <c r="M46" s="2">
        <f t="shared" si="10"/>
        <v>0.05</v>
      </c>
      <c r="N46" s="2">
        <f t="shared" si="10"/>
        <v>0</v>
      </c>
      <c r="O46" s="2">
        <f t="shared" si="10"/>
        <v>0</v>
      </c>
      <c r="P46" s="2">
        <f t="shared" si="10"/>
        <v>111.25</v>
      </c>
      <c r="Q46" s="2">
        <f t="shared" si="11"/>
        <v>25.125000000000007</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17</v>
      </c>
      <c r="B47" s="23">
        <v>250</v>
      </c>
      <c r="C47" s="2">
        <f t="shared" si="6"/>
        <v>50</v>
      </c>
      <c r="D47" s="2">
        <f t="shared" si="7"/>
        <v>20.619000000000003</v>
      </c>
      <c r="E47" s="2">
        <f t="shared" si="8"/>
        <v>26.630500000000005</v>
      </c>
      <c r="F47" s="2">
        <f t="shared" si="9"/>
        <v>5.4713999999999992</v>
      </c>
      <c r="G47" s="2">
        <f t="shared" si="10"/>
        <v>0.05</v>
      </c>
      <c r="H47" s="2">
        <f t="shared" si="10"/>
        <v>0.125</v>
      </c>
      <c r="I47" s="2">
        <f t="shared" si="10"/>
        <v>0.125</v>
      </c>
      <c r="J47" s="2">
        <f t="shared" si="10"/>
        <v>2.5000000000000001E-3</v>
      </c>
      <c r="K47" s="2">
        <f t="shared" si="10"/>
        <v>1.2500000000000001E-2</v>
      </c>
      <c r="L47" s="2">
        <f t="shared" si="10"/>
        <v>0.05</v>
      </c>
      <c r="M47" s="2">
        <f t="shared" si="10"/>
        <v>0.05</v>
      </c>
      <c r="N47" s="2">
        <f t="shared" si="10"/>
        <v>0</v>
      </c>
      <c r="O47" s="2">
        <f t="shared" si="10"/>
        <v>0</v>
      </c>
      <c r="P47" s="2">
        <f t="shared" si="10"/>
        <v>111.25</v>
      </c>
      <c r="Q47" s="2">
        <f t="shared" si="11"/>
        <v>25.125000000000007</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18</v>
      </c>
      <c r="B48" s="23">
        <v>250</v>
      </c>
      <c r="C48" s="2">
        <f t="shared" si="6"/>
        <v>50</v>
      </c>
      <c r="D48" s="2">
        <f t="shared" si="7"/>
        <v>20.619000000000003</v>
      </c>
      <c r="E48" s="2">
        <f t="shared" si="8"/>
        <v>26.630500000000005</v>
      </c>
      <c r="F48" s="2">
        <f t="shared" si="9"/>
        <v>5.4713999999999992</v>
      </c>
      <c r="G48" s="2">
        <f t="shared" si="10"/>
        <v>0.05</v>
      </c>
      <c r="H48" s="2">
        <f t="shared" si="10"/>
        <v>0.125</v>
      </c>
      <c r="I48" s="2">
        <f t="shared" si="10"/>
        <v>0.125</v>
      </c>
      <c r="J48" s="2">
        <f t="shared" si="10"/>
        <v>2.5000000000000001E-3</v>
      </c>
      <c r="K48" s="2">
        <f t="shared" si="10"/>
        <v>1.2500000000000001E-2</v>
      </c>
      <c r="L48" s="2">
        <f t="shared" si="10"/>
        <v>0.05</v>
      </c>
      <c r="M48" s="2">
        <f t="shared" si="10"/>
        <v>0.05</v>
      </c>
      <c r="N48" s="2">
        <f t="shared" si="10"/>
        <v>0</v>
      </c>
      <c r="O48" s="2">
        <f t="shared" si="10"/>
        <v>0</v>
      </c>
      <c r="P48" s="2">
        <f t="shared" si="10"/>
        <v>111.25</v>
      </c>
      <c r="Q48" s="2">
        <f t="shared" si="11"/>
        <v>25.125000000000007</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"&amp;(VLOOKUP(C14,Table24[],6,FALSE))</f>
        <v>Sandy Loam I Grass</v>
      </c>
      <c r="C58" s="44" t="str">
        <f>D16&amp;" I "&amp;(VLOOKUP(D14,Table24[],6,FALSE))</f>
        <v>Sandy Loam I Grass</v>
      </c>
      <c r="D58" s="21" t="str">
        <f>E16&amp;" I "&amp;(VLOOKUP(E14,Table24[],6,FALSE))</f>
        <v>Sandy Loam I Grass</v>
      </c>
      <c r="E58" s="21" t="str">
        <f>F16&amp;" I "&amp;(VLOOKUP(F14,Table24[],6,FALSE))</f>
        <v>Sandy Loam I Grass</v>
      </c>
      <c r="F58" s="21" t="str">
        <f>G16&amp;" I "&amp;(VLOOKUP(G14,Table24[],6,FALSE))</f>
        <v>Sandy Loam I Grass</v>
      </c>
      <c r="G58" s="21" t="str">
        <f>H16&amp;" I "&amp;(VLOOKUP(H14,Table24[],6,FALSE))</f>
        <v>Sandy Loam I Grass</v>
      </c>
      <c r="H58" s="21" t="str">
        <f>I16&amp;" I "&amp;(VLOOKUP(I14,Table24[],6,FALSE))</f>
        <v>Sandy Loam I Grass</v>
      </c>
      <c r="I58" s="21" t="str">
        <f>J16&amp;" I "&amp;(VLOOKUP(J14,Table24[],6,FALSE))</f>
        <v>Sandy Loam I Grass</v>
      </c>
      <c r="J58" s="21" t="str">
        <f>K16&amp;" I "&amp;(VLOOKUP(K14,Table24[],6,FALSE))</f>
        <v>Sandy Loam I Grass</v>
      </c>
      <c r="K58" s="21" t="str">
        <f>L16&amp;" I "&amp;(VLOOKUP(L14,Table24[],6,FALSE))</f>
        <v>Sandy Loam I Grass</v>
      </c>
      <c r="L58" s="21" t="str">
        <f>M16&amp;" I "&amp;(VLOOKUP(M14,Table24[],6,FALSE))</f>
        <v>Sandy Loam I Grass</v>
      </c>
      <c r="M58" s="21" t="str">
        <f>N16&amp;" I "&amp;(VLOOKUP(N14,Table24[],6,FALSE))</f>
        <v>Sandy Loam I Grass</v>
      </c>
      <c r="N58" s="21" t="str">
        <f>O16&amp;" I "&amp;(VLOOKUP(O14,Table24[],6,FALSE))</f>
        <v>Sandy Loam I Grass</v>
      </c>
      <c r="O58" s="21" t="str">
        <f>P16&amp;" I "&amp;(VLOOKUP(P14,Table24[],6,FALSE))</f>
        <v>Sandy Loam I Grass</v>
      </c>
      <c r="P58" s="21" t="str">
        <f>Q16&amp;" I "&amp;(VLOOKUP(Q14,Table24[],6,FALSE))</f>
        <v>Sandy Loam I Grass</v>
      </c>
      <c r="Q58" s="21" t="str">
        <f>R16&amp;" I "&amp;(VLOOKUP(R14,Table24[],6,FALSE))</f>
        <v>Sandy Loam I Grass</v>
      </c>
      <c r="R58" s="21" t="str">
        <f>S16&amp;" I "&amp;(VLOOKUP(S14,Table24[],6,FALSE))</f>
        <v>Sandy Loam I Grass</v>
      </c>
      <c r="S58" s="21" t="str">
        <f>T16&amp;" I "&amp;(VLOOKUP(T14,Table24[],6,FALSE))</f>
        <v>Sandy Loam I Grass</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f>VLOOKUP(R$14,Table24[],5,FALSE)</f>
        <v>6.2</v>
      </c>
      <c r="R59" s="93">
        <f>VLOOKUP(S$14,Table24[],5,FALSE)</f>
        <v>6.2</v>
      </c>
      <c r="S59" s="93">
        <f>VLOOKUP(T$14,Table24[],5,FALSE)</f>
        <v>6.2</v>
      </c>
      <c r="T59" s="93" t="e">
        <f>VLOOKUP(U$14,Table24[],5,FALSE)</f>
        <v>#N/A</v>
      </c>
      <c r="U59" s="93" t="e">
        <f>VLOOKUP(V$14,Table24[],5,FALSE)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99" priority="41" operator="equal">
      <formula>"DECREASE"</formula>
    </cfRule>
    <cfRule type="cellIs" dxfId="398" priority="42" operator="equal">
      <formula>"INCREASE"</formula>
    </cfRule>
  </conditionalFormatting>
  <conditionalFormatting sqref="B62:U65 B31:B50">
    <cfRule type="cellIs" dxfId="397" priority="40" operator="greaterThan">
      <formula>$B$51</formula>
    </cfRule>
  </conditionalFormatting>
  <conditionalFormatting sqref="C31:C50">
    <cfRule type="cellIs" dxfId="396" priority="39" operator="greaterThan">
      <formula>$C$51</formula>
    </cfRule>
  </conditionalFormatting>
  <conditionalFormatting sqref="C18:V18">
    <cfRule type="cellIs" dxfId="395" priority="35" operator="equal">
      <formula>0</formula>
    </cfRule>
  </conditionalFormatting>
  <conditionalFormatting sqref="C17:V17">
    <cfRule type="cellIs" dxfId="394" priority="33" operator="equal">
      <formula>0</formula>
    </cfRule>
  </conditionalFormatting>
  <conditionalFormatting sqref="C19:V19">
    <cfRule type="cellIs" dxfId="393" priority="32" operator="equal">
      <formula>0</formula>
    </cfRule>
  </conditionalFormatting>
  <conditionalFormatting sqref="G31:G50">
    <cfRule type="cellIs" dxfId="392" priority="29" operator="greaterThan">
      <formula>$G$51</formula>
    </cfRule>
  </conditionalFormatting>
  <conditionalFormatting sqref="H31:H50">
    <cfRule type="cellIs" dxfId="391" priority="28" operator="greaterThan">
      <formula>$H$51</formula>
    </cfRule>
  </conditionalFormatting>
  <conditionalFormatting sqref="I31:I50">
    <cfRule type="cellIs" dxfId="390" priority="27" operator="greaterThan">
      <formula>$I$51</formula>
    </cfRule>
  </conditionalFormatting>
  <conditionalFormatting sqref="K31:K50">
    <cfRule type="cellIs" dxfId="389" priority="25" operator="greaterThan">
      <formula>$K$51</formula>
    </cfRule>
  </conditionalFormatting>
  <conditionalFormatting sqref="L31:L50">
    <cfRule type="cellIs" dxfId="388" priority="24" operator="greaterThan">
      <formula>$L$51</formula>
    </cfRule>
  </conditionalFormatting>
  <conditionalFormatting sqref="M31:M50">
    <cfRule type="cellIs" dxfId="387" priority="23" operator="greaterThan">
      <formula>$M$51</formula>
    </cfRule>
  </conditionalFormatting>
  <conditionalFormatting sqref="P31:P50">
    <cfRule type="cellIs" dxfId="386" priority="22" operator="greaterThan">
      <formula>$P$51</formula>
    </cfRule>
  </conditionalFormatting>
  <conditionalFormatting sqref="R31:R50">
    <cfRule type="cellIs" dxfId="385" priority="21" operator="greaterThan">
      <formula>$R$51</formula>
    </cfRule>
  </conditionalFormatting>
  <conditionalFormatting sqref="S31:S50">
    <cfRule type="cellIs" dxfId="384" priority="20" operator="greaterThan">
      <formula>$S$51</formula>
    </cfRule>
  </conditionalFormatting>
  <conditionalFormatting sqref="T31:T50">
    <cfRule type="cellIs" dxfId="383" priority="19" operator="greaterThan">
      <formula>$T$51</formula>
    </cfRule>
  </conditionalFormatting>
  <conditionalFormatting sqref="U31:U50">
    <cfRule type="cellIs" dxfId="382" priority="18" operator="greaterThan">
      <formula>$U$51</formula>
    </cfRule>
  </conditionalFormatting>
  <conditionalFormatting sqref="C22:V22">
    <cfRule type="cellIs" dxfId="381" priority="16" operator="equal">
      <formula>0</formula>
    </cfRule>
  </conditionalFormatting>
  <conditionalFormatting sqref="C24:V24">
    <cfRule type="cellIs" dxfId="380" priority="14" operator="equal">
      <formula>"DECREASE"</formula>
    </cfRule>
    <cfRule type="cellIs" dxfId="379" priority="15" operator="equal">
      <formula>"INCREASE"</formula>
    </cfRule>
  </conditionalFormatting>
  <conditionalFormatting sqref="C23:V23">
    <cfRule type="cellIs" dxfId="378" priority="13" operator="equal">
      <formula>0</formula>
    </cfRule>
  </conditionalFormatting>
  <conditionalFormatting sqref="I1">
    <cfRule type="cellIs" dxfId="377" priority="9" operator="lessThan">
      <formula>5</formula>
    </cfRule>
  </conditionalFormatting>
  <conditionalFormatting sqref="I2">
    <cfRule type="cellIs" dxfId="376" priority="8" operator="greaterThan">
      <formula>5000.1</formula>
    </cfRule>
  </conditionalFormatting>
  <conditionalFormatting sqref="I3">
    <cfRule type="cellIs" dxfId="375" priority="7" operator="greaterThan">
      <formula>4.1</formula>
    </cfRule>
  </conditionalFormatting>
  <conditionalFormatting sqref="C21:V21">
    <cfRule type="cellIs" dxfId="374" priority="6" operator="equal">
      <formula>0</formula>
    </cfRule>
  </conditionalFormatting>
  <conditionalFormatting sqref="B65:U65">
    <cfRule type="cellIs" dxfId="373" priority="2" operator="equal">
      <formula>"UNDER"</formula>
    </cfRule>
    <cfRule type="cellIs" dxfId="372" priority="3" operator="equal">
      <formula>"OVER"</formula>
    </cfRule>
  </conditionalFormatting>
  <conditionalFormatting sqref="J31:J50">
    <cfRule type="cellIs" dxfId="37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H21" sqref="H2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6.89</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170</v>
      </c>
      <c r="G2" s="108" t="s">
        <v>107</v>
      </c>
      <c r="H2" s="109"/>
      <c r="I2" s="35">
        <v>3182</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158</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63.873080000000002</v>
      </c>
      <c r="D18" s="24">
        <f>$D32</f>
        <v>63.873080000000002</v>
      </c>
      <c r="E18" s="24">
        <f>$D33</f>
        <v>63.873080000000002</v>
      </c>
      <c r="F18" s="24">
        <f>$D34</f>
        <v>63.873080000000002</v>
      </c>
      <c r="G18" s="24">
        <f>$D35</f>
        <v>63.873080000000002</v>
      </c>
      <c r="H18" s="24">
        <f>$D36</f>
        <v>63.873080000000002</v>
      </c>
      <c r="I18" s="24">
        <f>$D37</f>
        <v>63.873080000000002</v>
      </c>
      <c r="J18" s="24">
        <f>$D38</f>
        <v>63.873080000000002</v>
      </c>
      <c r="K18" s="24">
        <f>$D39</f>
        <v>63.873080000000002</v>
      </c>
      <c r="L18" s="24">
        <f>$D40</f>
        <v>63.873080000000002</v>
      </c>
      <c r="M18" s="24">
        <f>$D41</f>
        <v>63.873080000000002</v>
      </c>
      <c r="N18" s="24">
        <f>$D42</f>
        <v>63.873080000000002</v>
      </c>
      <c r="O18" s="24">
        <f>$D43</f>
        <v>63.873080000000002</v>
      </c>
      <c r="P18" s="24">
        <f>$D44</f>
        <v>63.873080000000002</v>
      </c>
      <c r="Q18" s="24">
        <f>$D45</f>
        <v>63.873080000000002</v>
      </c>
      <c r="R18" s="24">
        <f>$D46</f>
        <v>63.873080000000002</v>
      </c>
      <c r="S18" s="24">
        <f>$D47</f>
        <v>63.873080000000002</v>
      </c>
      <c r="T18" s="24">
        <f>$D48</f>
        <v>63.873080000000002</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-0.72691999999999268</v>
      </c>
      <c r="D19" s="24">
        <f t="shared" ref="D19:V19" si="1">D18-D17</f>
        <v>-0.72691999999999268</v>
      </c>
      <c r="E19" s="24">
        <f t="shared" si="1"/>
        <v>-0.72691999999999268</v>
      </c>
      <c r="F19" s="24">
        <f t="shared" si="1"/>
        <v>-0.72691999999999268</v>
      </c>
      <c r="G19" s="24">
        <f t="shared" si="1"/>
        <v>-0.72691999999999268</v>
      </c>
      <c r="H19" s="24">
        <f t="shared" si="1"/>
        <v>-0.72691999999999268</v>
      </c>
      <c r="I19" s="24">
        <f t="shared" si="1"/>
        <v>-0.72691999999999268</v>
      </c>
      <c r="J19" s="24">
        <f t="shared" si="1"/>
        <v>-0.72691999999999268</v>
      </c>
      <c r="K19" s="24">
        <f t="shared" si="1"/>
        <v>-0.72691999999999268</v>
      </c>
      <c r="L19" s="24">
        <f t="shared" si="1"/>
        <v>-0.72691999999999268</v>
      </c>
      <c r="M19" s="24">
        <f t="shared" si="1"/>
        <v>-0.72691999999999268</v>
      </c>
      <c r="N19" s="24">
        <f t="shared" si="1"/>
        <v>-0.72691999999999268</v>
      </c>
      <c r="O19" s="24">
        <f t="shared" si="1"/>
        <v>-0.72691999999999268</v>
      </c>
      <c r="P19" s="24">
        <f t="shared" si="1"/>
        <v>-0.72691999999999268</v>
      </c>
      <c r="Q19" s="24">
        <f t="shared" si="1"/>
        <v>-0.72691999999999268</v>
      </c>
      <c r="R19" s="24">
        <f t="shared" si="1"/>
        <v>-0.72691999999999268</v>
      </c>
      <c r="S19" s="24">
        <f t="shared" si="1"/>
        <v>-0.72691999999999268</v>
      </c>
      <c r="T19" s="24">
        <f t="shared" si="1"/>
        <v>-0.72691999999999268</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14.267200000000001</v>
      </c>
      <c r="D22" s="24">
        <f>$E32</f>
        <v>14.267200000000001</v>
      </c>
      <c r="E22" s="24">
        <f>$E33</f>
        <v>14.267200000000001</v>
      </c>
      <c r="F22" s="24">
        <f>$E34</f>
        <v>14.267200000000001</v>
      </c>
      <c r="G22" s="24">
        <f>$E35</f>
        <v>14.267200000000001</v>
      </c>
      <c r="H22" s="24">
        <f>$E36</f>
        <v>14.267200000000001</v>
      </c>
      <c r="I22" s="24">
        <f>$E37</f>
        <v>14.267200000000001</v>
      </c>
      <c r="J22" s="24">
        <f>$E38</f>
        <v>14.267200000000001</v>
      </c>
      <c r="K22" s="24">
        <f>$E39</f>
        <v>14.267200000000001</v>
      </c>
      <c r="L22" s="24">
        <f>$E40</f>
        <v>14.267200000000001</v>
      </c>
      <c r="M22" s="24">
        <f>$E41</f>
        <v>14.267200000000001</v>
      </c>
      <c r="N22" s="24">
        <f>$E42</f>
        <v>14.267200000000001</v>
      </c>
      <c r="O22" s="24">
        <f>$E43</f>
        <v>14.267200000000001</v>
      </c>
      <c r="P22" s="24">
        <f>$E44</f>
        <v>14.267200000000001</v>
      </c>
      <c r="Q22" s="24">
        <f>$E45</f>
        <v>14.267200000000001</v>
      </c>
      <c r="R22" s="24">
        <f>$E46</f>
        <v>14.267200000000001</v>
      </c>
      <c r="S22" s="24">
        <f>$E47</f>
        <v>14.267200000000001</v>
      </c>
      <c r="T22" s="24">
        <f>$E48</f>
        <v>14.267200000000001</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-213.7328</v>
      </c>
      <c r="D23" s="24">
        <f t="shared" ref="D23:V23" si="3">D22-D21</f>
        <v>-213.7328</v>
      </c>
      <c r="E23" s="24">
        <f t="shared" si="3"/>
        <v>-213.7328</v>
      </c>
      <c r="F23" s="24">
        <f t="shared" si="3"/>
        <v>-213.7328</v>
      </c>
      <c r="G23" s="24">
        <f t="shared" si="3"/>
        <v>-213.7328</v>
      </c>
      <c r="H23" s="24">
        <f t="shared" si="3"/>
        <v>-213.7328</v>
      </c>
      <c r="I23" s="24">
        <f t="shared" si="3"/>
        <v>-213.7328</v>
      </c>
      <c r="J23" s="24">
        <f t="shared" si="3"/>
        <v>-213.7328</v>
      </c>
      <c r="K23" s="24">
        <f t="shared" si="3"/>
        <v>-213.7328</v>
      </c>
      <c r="L23" s="24">
        <f t="shared" si="3"/>
        <v>-213.7328</v>
      </c>
      <c r="M23" s="24">
        <f t="shared" si="3"/>
        <v>-213.7328</v>
      </c>
      <c r="N23" s="24">
        <f t="shared" si="3"/>
        <v>-213.7328</v>
      </c>
      <c r="O23" s="24">
        <f t="shared" si="3"/>
        <v>-213.7328</v>
      </c>
      <c r="P23" s="24">
        <f t="shared" si="3"/>
        <v>-213.7328</v>
      </c>
      <c r="Q23" s="24">
        <f t="shared" si="3"/>
        <v>-213.7328</v>
      </c>
      <c r="R23" s="24">
        <f t="shared" si="3"/>
        <v>-213.7328</v>
      </c>
      <c r="S23" s="24">
        <f t="shared" si="3"/>
        <v>-213.7328</v>
      </c>
      <c r="T23" s="24">
        <f t="shared" si="3"/>
        <v>-213.7328</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4.3099999999999996</v>
      </c>
      <c r="C28" s="23">
        <v>0.26</v>
      </c>
      <c r="D28" s="23">
        <v>697</v>
      </c>
      <c r="E28" s="23">
        <v>296</v>
      </c>
      <c r="F28" s="23">
        <v>88.2</v>
      </c>
      <c r="G28" s="23">
        <v>0.91</v>
      </c>
      <c r="H28" s="23">
        <v>15.7</v>
      </c>
      <c r="I28" s="23">
        <v>0.5</v>
      </c>
      <c r="J28" s="23">
        <v>0.01</v>
      </c>
      <c r="K28" s="30">
        <v>0.05</v>
      </c>
      <c r="L28" s="23">
        <v>0.62</v>
      </c>
      <c r="M28" s="23">
        <v>3.9</v>
      </c>
      <c r="N28" s="23"/>
      <c r="O28" s="23"/>
      <c r="P28" s="23">
        <v>4202</v>
      </c>
      <c r="Q28" s="23">
        <v>2220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40</v>
      </c>
      <c r="C31" s="2">
        <f>IF(C$27="%w/w SAR",((C$28*10)*$B31),IF(C$27="%w/w DM",(((C$28*10)*($B$28/100))*$B31),IF(C$27="kg/t SAR",(C$28*$B31),IF(C$27="kg/t DM",((C$28*($B$28/100))*$B31),IF(C$27="mg/kg SAR",((C$28*0.001)*$B31),IF(C$27="mg/kg DM",(((C$28*0.001)*($B$28/100))*$B31),0))))))</f>
        <v>104</v>
      </c>
      <c r="D31" s="2">
        <f>(IF(D$27="%w/w SAR",((D$28*10)*$B31),IF(D$27="%w/w DM",(((D$28*10)*($B$28/100))*$B31),IF(D$27="kg/t SAR",(D$28*$B31),IF(D$27="kg/t DM",((D$28*($B$28/100))*$B31),IF(D$27="mg/kg SAR",((D$28*0.001)*$B31),IF(D$27="mg/kg DM",(((D$28*0.001)*($B$28/100))*$B31),"0")))))))*2.291</f>
        <v>63.873080000000002</v>
      </c>
      <c r="E31" s="2">
        <f>(IF(E$27="%w/w SAR",((E$28*10)*$B31),IF(E$27="%w/w DM",(((E$28*10)*($B$28/100))*$B31),IF(E$27="kg/t SAR",(E$28*$B31),IF(E$27="kg/t DM",((E$28*($B$28/100))*$B31),IF(E$27="mg/kg SAR",((E$28*0.001)*$B31),IF(E$27="mg/kg DM",(((E$28*0.001)*($B$28/100))*$B31),"0")))))))*1.205</f>
        <v>14.267200000000001</v>
      </c>
      <c r="F31" s="2">
        <f>(IF(F$27="%w/w SAR",((F$28*10)*$B31),IF(F$27="%w/w DM",(((F$28*10)*($B$28/100))*$B31),IF(F$27="kg/t SAR",(F$28*$B31),IF(F$27="kg/t DM",((F$28*($B$28/100))*$B31),IF(F$27="mg/kg SAR",((F$28*0.001)*$B31),IF(F$27="mg/kg DM",(((F$28*0.001)*($B$28/100))*$B31),"0")))))))*1.658</f>
        <v>5.849424</v>
      </c>
      <c r="G31" s="2">
        <f t="shared" ref="G31:P46" si="5">IF(G$27="%w/w SAR",((G$28*10)*$B31),IF(G$27="%w/w DM",(((G$28*10)*($B$28/100))*$B31),IF(G$27="kg/t SAR",(G$28*$B31),IF(G$27="kg/t DM",((G$28*($B$28/100))*$B31),IF(G$27="mg/kg SAR",((G$28*0.001)*$B31),IF(G$27="mg/kg DM",(((G$28*0.001)*($B$28/100))*$B31),0))))))</f>
        <v>3.6400000000000002E-2</v>
      </c>
      <c r="H31" s="2">
        <f t="shared" si="5"/>
        <v>0.62799999999999989</v>
      </c>
      <c r="I31" s="2">
        <f t="shared" si="5"/>
        <v>0.02</v>
      </c>
      <c r="J31" s="2">
        <f t="shared" si="5"/>
        <v>4.0000000000000002E-4</v>
      </c>
      <c r="K31" s="2">
        <f t="shared" si="5"/>
        <v>2E-3</v>
      </c>
      <c r="L31" s="2">
        <f t="shared" si="5"/>
        <v>2.4799999999999999E-2</v>
      </c>
      <c r="M31" s="2">
        <f t="shared" si="5"/>
        <v>0.156</v>
      </c>
      <c r="N31" s="2">
        <f t="shared" si="5"/>
        <v>0</v>
      </c>
      <c r="O31" s="2">
        <f t="shared" si="5"/>
        <v>0</v>
      </c>
      <c r="P31" s="2">
        <f t="shared" si="5"/>
        <v>168.07999999999998</v>
      </c>
      <c r="Q31" s="2">
        <f>(IF(Q$27="%w/w SAR",((Q$28*10)*$B31),IF(Q$27="%w/w DM",(((Q$28*10)*($B$28/100))*$B31),IF(Q$27="kg/t SAR",(Q$28*$B31),IF(Q$27="kg/t DM",((Q$28*($B$28/100))*$B31),IF(Q$27="mg/kg SAR",((Q$28*0.001)*$B31),IF(Q$27="mg/kg DM",(((Q$28*0.001)*($B$28/100))*$B31),0)))))))*2.5</f>
        <v>222.00000000000003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40</v>
      </c>
      <c r="C32" s="2">
        <f t="shared" ref="C32:C50" si="6">IF(C$27="%w/w SAR",((C$28*10)*$B32),IF(C$27="%w/w DM",(((C$28*10)*($B$28/100))*$B32),IF(C$27="kg/t SAR",(C$28*$B32),IF(C$27="kg/t DM",((C$28*($B$28/100))*$B32),IF(C$27="mg/kg SAR",((C$28*0.001)*$B32),IF(C$27="mg/kg DM",(((C$28*0.001)*($B$28/100))*$B32),0))))))</f>
        <v>104</v>
      </c>
      <c r="D32" s="2">
        <f t="shared" ref="D32:D50" si="7">(IF(D$27="%w/w SAR",((D$28*10)*$B32),IF(D$27="%w/w DM",(((D$28*10)*($B$28/100))*$B32),IF(D$27="kg/t SAR",(D$28*$B32),IF(D$27="kg/t DM",((D$28*($B$28/100))*$B32),IF(D$27="mg/kg SAR",((D$28*0.001)*$B32),IF(D$27="mg/kg DM",(((D$28*0.001)*($B$28/100))*$B32),"0")))))))*2.291</f>
        <v>63.873080000000002</v>
      </c>
      <c r="E32" s="2">
        <f t="shared" ref="E32:E50" si="8">(IF(E$27="%w/w SAR",((E$28*10)*$B32),IF(E$27="%w/w DM",(((E$28*10)*($B$28/100))*$B32),IF(E$27="kg/t SAR",(E$28*$B32),IF(E$27="kg/t DM",((E$28*($B$28/100))*$B32),IF(E$27="mg/kg SAR",((E$28*0.001)*$B32),IF(E$27="mg/kg DM",(((E$28*0.001)*($B$28/100))*$B32),"0")))))))*1.205</f>
        <v>14.267200000000001</v>
      </c>
      <c r="F32" s="2">
        <f t="shared" ref="F32:F50" si="9">(IF(F$27="%w/w SAR",((F$28*10)*$B32),IF(F$27="%w/w DM",(((F$28*10)*($B$28/100))*$B32),IF(F$27="kg/t SAR",(F$28*$B32),IF(F$27="kg/t DM",((F$28*($B$28/100))*$B32),IF(F$27="mg/kg SAR",((F$28*0.001)*$B32),IF(F$27="mg/kg DM",(((F$28*0.001)*($B$28/100))*$B32),"0")))))))*1.658</f>
        <v>5.849424</v>
      </c>
      <c r="G32" s="2">
        <f t="shared" si="5"/>
        <v>3.6400000000000002E-2</v>
      </c>
      <c r="H32" s="2">
        <f t="shared" si="5"/>
        <v>0.62799999999999989</v>
      </c>
      <c r="I32" s="2">
        <f t="shared" si="5"/>
        <v>0.02</v>
      </c>
      <c r="J32" s="2">
        <f t="shared" si="5"/>
        <v>4.0000000000000002E-4</v>
      </c>
      <c r="K32" s="2">
        <f t="shared" si="5"/>
        <v>2E-3</v>
      </c>
      <c r="L32" s="2">
        <f t="shared" si="5"/>
        <v>2.4799999999999999E-2</v>
      </c>
      <c r="M32" s="2">
        <f t="shared" si="5"/>
        <v>0.156</v>
      </c>
      <c r="N32" s="2">
        <f t="shared" si="5"/>
        <v>0</v>
      </c>
      <c r="O32" s="2">
        <f t="shared" si="5"/>
        <v>0</v>
      </c>
      <c r="P32" s="2">
        <f t="shared" si="5"/>
        <v>168.07999999999998</v>
      </c>
      <c r="Q32" s="2">
        <f t="shared" ref="Q32:Q50" si="10">(IF(Q$27="%w/w SAR",((Q$28*10)*$B32),IF(Q$27="%w/w DM",(((Q$28*10)*($B$28/100))*$B32),IF(Q$27="kg/t SAR",(Q$28*$B32),IF(Q$27="kg/t DM",((Q$28*($B$28/100))*$B32),IF(Q$27="mg/kg SAR",((Q$28*0.001)*$B32),IF(Q$27="mg/kg DM",(((Q$28*0.001)*($B$28/100))*$B32),0)))))))*2.5</f>
        <v>222.00000000000003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40</v>
      </c>
      <c r="C33" s="2">
        <f t="shared" si="6"/>
        <v>104</v>
      </c>
      <c r="D33" s="2">
        <f t="shared" si="7"/>
        <v>63.873080000000002</v>
      </c>
      <c r="E33" s="2">
        <f t="shared" si="8"/>
        <v>14.267200000000001</v>
      </c>
      <c r="F33" s="2">
        <f t="shared" si="9"/>
        <v>5.849424</v>
      </c>
      <c r="G33" s="2">
        <f t="shared" si="5"/>
        <v>3.6400000000000002E-2</v>
      </c>
      <c r="H33" s="2">
        <f t="shared" si="5"/>
        <v>0.62799999999999989</v>
      </c>
      <c r="I33" s="2">
        <f t="shared" si="5"/>
        <v>0.02</v>
      </c>
      <c r="J33" s="2">
        <f t="shared" si="5"/>
        <v>4.0000000000000002E-4</v>
      </c>
      <c r="K33" s="2">
        <f t="shared" si="5"/>
        <v>2E-3</v>
      </c>
      <c r="L33" s="2">
        <f t="shared" si="5"/>
        <v>2.4799999999999999E-2</v>
      </c>
      <c r="M33" s="2">
        <f t="shared" si="5"/>
        <v>0.156</v>
      </c>
      <c r="N33" s="2">
        <f t="shared" si="5"/>
        <v>0</v>
      </c>
      <c r="O33" s="2">
        <f t="shared" si="5"/>
        <v>0</v>
      </c>
      <c r="P33" s="2">
        <f t="shared" si="5"/>
        <v>168.07999999999998</v>
      </c>
      <c r="Q33" s="2">
        <f t="shared" si="10"/>
        <v>222.00000000000003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40</v>
      </c>
      <c r="C34" s="2">
        <f t="shared" si="6"/>
        <v>104</v>
      </c>
      <c r="D34" s="2">
        <f t="shared" si="7"/>
        <v>63.873080000000002</v>
      </c>
      <c r="E34" s="2">
        <f t="shared" si="8"/>
        <v>14.267200000000001</v>
      </c>
      <c r="F34" s="2">
        <f t="shared" si="9"/>
        <v>5.849424</v>
      </c>
      <c r="G34" s="2">
        <f t="shared" si="5"/>
        <v>3.6400000000000002E-2</v>
      </c>
      <c r="H34" s="2">
        <f t="shared" si="5"/>
        <v>0.62799999999999989</v>
      </c>
      <c r="I34" s="2">
        <f t="shared" si="5"/>
        <v>0.02</v>
      </c>
      <c r="J34" s="2">
        <f t="shared" si="5"/>
        <v>4.0000000000000002E-4</v>
      </c>
      <c r="K34" s="2">
        <f t="shared" si="5"/>
        <v>2E-3</v>
      </c>
      <c r="L34" s="2">
        <f t="shared" si="5"/>
        <v>2.4799999999999999E-2</v>
      </c>
      <c r="M34" s="2">
        <f t="shared" si="5"/>
        <v>0.156</v>
      </c>
      <c r="N34" s="2">
        <f t="shared" si="5"/>
        <v>0</v>
      </c>
      <c r="O34" s="2">
        <f t="shared" si="5"/>
        <v>0</v>
      </c>
      <c r="P34" s="2">
        <f t="shared" si="5"/>
        <v>168.07999999999998</v>
      </c>
      <c r="Q34" s="2">
        <f t="shared" si="10"/>
        <v>222.00000000000003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40</v>
      </c>
      <c r="C35" s="2">
        <f t="shared" si="6"/>
        <v>104</v>
      </c>
      <c r="D35" s="2">
        <f t="shared" si="7"/>
        <v>63.873080000000002</v>
      </c>
      <c r="E35" s="2">
        <f t="shared" si="8"/>
        <v>14.267200000000001</v>
      </c>
      <c r="F35" s="2">
        <f t="shared" si="9"/>
        <v>5.849424</v>
      </c>
      <c r="G35" s="2">
        <f t="shared" si="5"/>
        <v>3.6400000000000002E-2</v>
      </c>
      <c r="H35" s="2">
        <f t="shared" si="5"/>
        <v>0.62799999999999989</v>
      </c>
      <c r="I35" s="2">
        <f t="shared" si="5"/>
        <v>0.02</v>
      </c>
      <c r="J35" s="2">
        <f t="shared" si="5"/>
        <v>4.0000000000000002E-4</v>
      </c>
      <c r="K35" s="2">
        <f t="shared" si="5"/>
        <v>2E-3</v>
      </c>
      <c r="L35" s="2">
        <f t="shared" si="5"/>
        <v>2.4799999999999999E-2</v>
      </c>
      <c r="M35" s="2">
        <f t="shared" si="5"/>
        <v>0.156</v>
      </c>
      <c r="N35" s="2">
        <f t="shared" si="5"/>
        <v>0</v>
      </c>
      <c r="O35" s="2">
        <f t="shared" si="5"/>
        <v>0</v>
      </c>
      <c r="P35" s="2">
        <f t="shared" si="5"/>
        <v>168.07999999999998</v>
      </c>
      <c r="Q35" s="2">
        <f t="shared" si="10"/>
        <v>222.00000000000003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40</v>
      </c>
      <c r="C36" s="2">
        <f t="shared" si="6"/>
        <v>104</v>
      </c>
      <c r="D36" s="2">
        <f t="shared" si="7"/>
        <v>63.873080000000002</v>
      </c>
      <c r="E36" s="2">
        <f t="shared" si="8"/>
        <v>14.267200000000001</v>
      </c>
      <c r="F36" s="2">
        <f t="shared" si="9"/>
        <v>5.849424</v>
      </c>
      <c r="G36" s="2">
        <f t="shared" si="5"/>
        <v>3.6400000000000002E-2</v>
      </c>
      <c r="H36" s="2">
        <f t="shared" si="5"/>
        <v>0.62799999999999989</v>
      </c>
      <c r="I36" s="2">
        <f t="shared" si="5"/>
        <v>0.02</v>
      </c>
      <c r="J36" s="2">
        <f t="shared" si="5"/>
        <v>4.0000000000000002E-4</v>
      </c>
      <c r="K36" s="2">
        <f t="shared" si="5"/>
        <v>2E-3</v>
      </c>
      <c r="L36" s="2">
        <f t="shared" si="5"/>
        <v>2.4799999999999999E-2</v>
      </c>
      <c r="M36" s="2">
        <f t="shared" si="5"/>
        <v>0.156</v>
      </c>
      <c r="N36" s="2">
        <f t="shared" si="5"/>
        <v>0</v>
      </c>
      <c r="O36" s="2">
        <f t="shared" si="5"/>
        <v>0</v>
      </c>
      <c r="P36" s="2">
        <f t="shared" si="5"/>
        <v>168.07999999999998</v>
      </c>
      <c r="Q36" s="2">
        <f t="shared" si="10"/>
        <v>222.00000000000003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40</v>
      </c>
      <c r="C37" s="2">
        <f t="shared" si="6"/>
        <v>104</v>
      </c>
      <c r="D37" s="2">
        <f t="shared" si="7"/>
        <v>63.873080000000002</v>
      </c>
      <c r="E37" s="2">
        <f t="shared" si="8"/>
        <v>14.267200000000001</v>
      </c>
      <c r="F37" s="2">
        <f t="shared" si="9"/>
        <v>5.849424</v>
      </c>
      <c r="G37" s="2">
        <f t="shared" si="5"/>
        <v>3.6400000000000002E-2</v>
      </c>
      <c r="H37" s="2">
        <f t="shared" si="5"/>
        <v>0.62799999999999989</v>
      </c>
      <c r="I37" s="2">
        <f t="shared" si="5"/>
        <v>0.02</v>
      </c>
      <c r="J37" s="2">
        <f t="shared" si="5"/>
        <v>4.0000000000000002E-4</v>
      </c>
      <c r="K37" s="2">
        <f t="shared" si="5"/>
        <v>2E-3</v>
      </c>
      <c r="L37" s="2">
        <f t="shared" si="5"/>
        <v>2.4799999999999999E-2</v>
      </c>
      <c r="M37" s="2">
        <f t="shared" si="5"/>
        <v>0.156</v>
      </c>
      <c r="N37" s="2">
        <f t="shared" si="5"/>
        <v>0</v>
      </c>
      <c r="O37" s="2">
        <f t="shared" si="5"/>
        <v>0</v>
      </c>
      <c r="P37" s="2">
        <f t="shared" si="5"/>
        <v>168.07999999999998</v>
      </c>
      <c r="Q37" s="2">
        <f t="shared" si="10"/>
        <v>222.00000000000003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40</v>
      </c>
      <c r="C38" s="2">
        <f t="shared" si="6"/>
        <v>104</v>
      </c>
      <c r="D38" s="2">
        <f t="shared" si="7"/>
        <v>63.873080000000002</v>
      </c>
      <c r="E38" s="2">
        <f t="shared" si="8"/>
        <v>14.267200000000001</v>
      </c>
      <c r="F38" s="2">
        <f t="shared" si="9"/>
        <v>5.849424</v>
      </c>
      <c r="G38" s="2">
        <f t="shared" si="5"/>
        <v>3.6400000000000002E-2</v>
      </c>
      <c r="H38" s="2">
        <f t="shared" si="5"/>
        <v>0.62799999999999989</v>
      </c>
      <c r="I38" s="2">
        <f t="shared" si="5"/>
        <v>0.02</v>
      </c>
      <c r="J38" s="2">
        <f t="shared" si="5"/>
        <v>4.0000000000000002E-4</v>
      </c>
      <c r="K38" s="2">
        <f t="shared" si="5"/>
        <v>2E-3</v>
      </c>
      <c r="L38" s="2">
        <f t="shared" si="5"/>
        <v>2.4799999999999999E-2</v>
      </c>
      <c r="M38" s="2">
        <f t="shared" si="5"/>
        <v>0.156</v>
      </c>
      <c r="N38" s="2">
        <f t="shared" si="5"/>
        <v>0</v>
      </c>
      <c r="O38" s="2">
        <f t="shared" si="5"/>
        <v>0</v>
      </c>
      <c r="P38" s="2">
        <f t="shared" si="5"/>
        <v>168.07999999999998</v>
      </c>
      <c r="Q38" s="2">
        <f t="shared" si="10"/>
        <v>222.00000000000003</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40</v>
      </c>
      <c r="C39" s="2">
        <f t="shared" si="6"/>
        <v>104</v>
      </c>
      <c r="D39" s="2">
        <f t="shared" si="7"/>
        <v>63.873080000000002</v>
      </c>
      <c r="E39" s="2">
        <f t="shared" si="8"/>
        <v>14.267200000000001</v>
      </c>
      <c r="F39" s="2">
        <f t="shared" si="9"/>
        <v>5.849424</v>
      </c>
      <c r="G39" s="2">
        <f t="shared" si="5"/>
        <v>3.6400000000000002E-2</v>
      </c>
      <c r="H39" s="2">
        <f t="shared" si="5"/>
        <v>0.62799999999999989</v>
      </c>
      <c r="I39" s="2">
        <f t="shared" si="5"/>
        <v>0.02</v>
      </c>
      <c r="J39" s="2">
        <f t="shared" si="5"/>
        <v>4.0000000000000002E-4</v>
      </c>
      <c r="K39" s="2">
        <f t="shared" si="5"/>
        <v>2E-3</v>
      </c>
      <c r="L39" s="2">
        <f t="shared" si="5"/>
        <v>2.4799999999999999E-2</v>
      </c>
      <c r="M39" s="2">
        <f t="shared" si="5"/>
        <v>0.156</v>
      </c>
      <c r="N39" s="2">
        <f t="shared" si="5"/>
        <v>0</v>
      </c>
      <c r="O39" s="2">
        <f t="shared" si="5"/>
        <v>0</v>
      </c>
      <c r="P39" s="2">
        <f t="shared" si="5"/>
        <v>168.07999999999998</v>
      </c>
      <c r="Q39" s="2">
        <f t="shared" si="10"/>
        <v>222.00000000000003</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40</v>
      </c>
      <c r="C40" s="2">
        <f t="shared" si="6"/>
        <v>104</v>
      </c>
      <c r="D40" s="2">
        <f t="shared" si="7"/>
        <v>63.873080000000002</v>
      </c>
      <c r="E40" s="2">
        <f t="shared" si="8"/>
        <v>14.267200000000001</v>
      </c>
      <c r="F40" s="2">
        <f t="shared" si="9"/>
        <v>5.849424</v>
      </c>
      <c r="G40" s="2">
        <f t="shared" si="5"/>
        <v>3.6400000000000002E-2</v>
      </c>
      <c r="H40" s="2">
        <f t="shared" si="5"/>
        <v>0.62799999999999989</v>
      </c>
      <c r="I40" s="2">
        <f t="shared" si="5"/>
        <v>0.02</v>
      </c>
      <c r="J40" s="2">
        <f t="shared" si="5"/>
        <v>4.0000000000000002E-4</v>
      </c>
      <c r="K40" s="2">
        <f t="shared" si="5"/>
        <v>2E-3</v>
      </c>
      <c r="L40" s="2">
        <f t="shared" si="5"/>
        <v>2.4799999999999999E-2</v>
      </c>
      <c r="M40" s="2">
        <f t="shared" si="5"/>
        <v>0.156</v>
      </c>
      <c r="N40" s="2">
        <f t="shared" si="5"/>
        <v>0</v>
      </c>
      <c r="O40" s="2">
        <f t="shared" si="5"/>
        <v>0</v>
      </c>
      <c r="P40" s="2">
        <f t="shared" si="5"/>
        <v>168.07999999999998</v>
      </c>
      <c r="Q40" s="2">
        <f t="shared" si="10"/>
        <v>222.00000000000003</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40</v>
      </c>
      <c r="C41" s="2">
        <f t="shared" si="6"/>
        <v>104</v>
      </c>
      <c r="D41" s="2">
        <f t="shared" si="7"/>
        <v>63.873080000000002</v>
      </c>
      <c r="E41" s="2">
        <f t="shared" si="8"/>
        <v>14.267200000000001</v>
      </c>
      <c r="F41" s="2">
        <f t="shared" si="9"/>
        <v>5.849424</v>
      </c>
      <c r="G41" s="2">
        <f t="shared" si="5"/>
        <v>3.6400000000000002E-2</v>
      </c>
      <c r="H41" s="2">
        <f t="shared" si="5"/>
        <v>0.62799999999999989</v>
      </c>
      <c r="I41" s="2">
        <f t="shared" si="5"/>
        <v>0.02</v>
      </c>
      <c r="J41" s="2">
        <f t="shared" si="5"/>
        <v>4.0000000000000002E-4</v>
      </c>
      <c r="K41" s="2">
        <f t="shared" si="5"/>
        <v>2E-3</v>
      </c>
      <c r="L41" s="2">
        <f t="shared" si="5"/>
        <v>2.4799999999999999E-2</v>
      </c>
      <c r="M41" s="2">
        <f t="shared" si="5"/>
        <v>0.156</v>
      </c>
      <c r="N41" s="2">
        <f t="shared" si="5"/>
        <v>0</v>
      </c>
      <c r="O41" s="2">
        <f t="shared" si="5"/>
        <v>0</v>
      </c>
      <c r="P41" s="2">
        <f t="shared" si="5"/>
        <v>168.07999999999998</v>
      </c>
      <c r="Q41" s="2">
        <f t="shared" si="10"/>
        <v>222.00000000000003</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40</v>
      </c>
      <c r="C42" s="2">
        <f t="shared" si="6"/>
        <v>104</v>
      </c>
      <c r="D42" s="2">
        <f t="shared" si="7"/>
        <v>63.873080000000002</v>
      </c>
      <c r="E42" s="2">
        <f t="shared" si="8"/>
        <v>14.267200000000001</v>
      </c>
      <c r="F42" s="2">
        <f t="shared" si="9"/>
        <v>5.849424</v>
      </c>
      <c r="G42" s="2">
        <f t="shared" si="5"/>
        <v>3.6400000000000002E-2</v>
      </c>
      <c r="H42" s="2">
        <f t="shared" si="5"/>
        <v>0.62799999999999989</v>
      </c>
      <c r="I42" s="2">
        <f t="shared" si="5"/>
        <v>0.02</v>
      </c>
      <c r="J42" s="2">
        <f t="shared" si="5"/>
        <v>4.0000000000000002E-4</v>
      </c>
      <c r="K42" s="2">
        <f t="shared" si="5"/>
        <v>2E-3</v>
      </c>
      <c r="L42" s="2">
        <f t="shared" si="5"/>
        <v>2.4799999999999999E-2</v>
      </c>
      <c r="M42" s="2">
        <f t="shared" si="5"/>
        <v>0.156</v>
      </c>
      <c r="N42" s="2">
        <f t="shared" si="5"/>
        <v>0</v>
      </c>
      <c r="O42" s="2">
        <f t="shared" si="5"/>
        <v>0</v>
      </c>
      <c r="P42" s="2">
        <f t="shared" si="5"/>
        <v>168.07999999999998</v>
      </c>
      <c r="Q42" s="2">
        <f t="shared" si="10"/>
        <v>222.00000000000003</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40</v>
      </c>
      <c r="C43" s="2">
        <f t="shared" si="6"/>
        <v>104</v>
      </c>
      <c r="D43" s="2">
        <f t="shared" si="7"/>
        <v>63.873080000000002</v>
      </c>
      <c r="E43" s="2">
        <f t="shared" si="8"/>
        <v>14.267200000000001</v>
      </c>
      <c r="F43" s="2">
        <f t="shared" si="9"/>
        <v>5.849424</v>
      </c>
      <c r="G43" s="2">
        <f t="shared" si="5"/>
        <v>3.6400000000000002E-2</v>
      </c>
      <c r="H43" s="2">
        <f t="shared" si="5"/>
        <v>0.62799999999999989</v>
      </c>
      <c r="I43" s="2">
        <f t="shared" si="5"/>
        <v>0.02</v>
      </c>
      <c r="J43" s="2">
        <f t="shared" si="5"/>
        <v>4.0000000000000002E-4</v>
      </c>
      <c r="K43" s="2">
        <f t="shared" si="5"/>
        <v>2E-3</v>
      </c>
      <c r="L43" s="2">
        <f t="shared" si="5"/>
        <v>2.4799999999999999E-2</v>
      </c>
      <c r="M43" s="2">
        <f t="shared" si="5"/>
        <v>0.156</v>
      </c>
      <c r="N43" s="2">
        <f t="shared" si="5"/>
        <v>0</v>
      </c>
      <c r="O43" s="2">
        <f t="shared" si="5"/>
        <v>0</v>
      </c>
      <c r="P43" s="2">
        <f t="shared" si="5"/>
        <v>168.07999999999998</v>
      </c>
      <c r="Q43" s="2">
        <f t="shared" si="10"/>
        <v>222.00000000000003</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40</v>
      </c>
      <c r="C44" s="2">
        <f t="shared" si="6"/>
        <v>104</v>
      </c>
      <c r="D44" s="2">
        <f t="shared" si="7"/>
        <v>63.873080000000002</v>
      </c>
      <c r="E44" s="2">
        <f t="shared" si="8"/>
        <v>14.267200000000001</v>
      </c>
      <c r="F44" s="2">
        <f t="shared" si="9"/>
        <v>5.849424</v>
      </c>
      <c r="G44" s="2">
        <f t="shared" si="5"/>
        <v>3.6400000000000002E-2</v>
      </c>
      <c r="H44" s="2">
        <f t="shared" si="5"/>
        <v>0.62799999999999989</v>
      </c>
      <c r="I44" s="2">
        <f t="shared" si="5"/>
        <v>0.02</v>
      </c>
      <c r="J44" s="2">
        <f t="shared" si="5"/>
        <v>4.0000000000000002E-4</v>
      </c>
      <c r="K44" s="2">
        <f t="shared" si="5"/>
        <v>2E-3</v>
      </c>
      <c r="L44" s="2">
        <f t="shared" si="5"/>
        <v>2.4799999999999999E-2</v>
      </c>
      <c r="M44" s="2">
        <f t="shared" si="5"/>
        <v>0.156</v>
      </c>
      <c r="N44" s="2">
        <f t="shared" si="5"/>
        <v>0</v>
      </c>
      <c r="O44" s="2">
        <f t="shared" si="5"/>
        <v>0</v>
      </c>
      <c r="P44" s="2">
        <f t="shared" si="5"/>
        <v>168.07999999999998</v>
      </c>
      <c r="Q44" s="2">
        <f t="shared" si="10"/>
        <v>222.00000000000003</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40</v>
      </c>
      <c r="C45" s="2">
        <f t="shared" si="6"/>
        <v>104</v>
      </c>
      <c r="D45" s="2">
        <f t="shared" si="7"/>
        <v>63.873080000000002</v>
      </c>
      <c r="E45" s="2">
        <f t="shared" si="8"/>
        <v>14.267200000000001</v>
      </c>
      <c r="F45" s="2">
        <f t="shared" si="9"/>
        <v>5.849424</v>
      </c>
      <c r="G45" s="2">
        <f t="shared" si="5"/>
        <v>3.6400000000000002E-2</v>
      </c>
      <c r="H45" s="2">
        <f t="shared" si="5"/>
        <v>0.62799999999999989</v>
      </c>
      <c r="I45" s="2">
        <f t="shared" si="5"/>
        <v>0.02</v>
      </c>
      <c r="J45" s="2">
        <f t="shared" si="5"/>
        <v>4.0000000000000002E-4</v>
      </c>
      <c r="K45" s="2">
        <f t="shared" si="5"/>
        <v>2E-3</v>
      </c>
      <c r="L45" s="2">
        <f t="shared" si="5"/>
        <v>2.4799999999999999E-2</v>
      </c>
      <c r="M45" s="2">
        <f t="shared" si="5"/>
        <v>0.156</v>
      </c>
      <c r="N45" s="2">
        <f t="shared" si="5"/>
        <v>0</v>
      </c>
      <c r="O45" s="2">
        <f t="shared" si="5"/>
        <v>0</v>
      </c>
      <c r="P45" s="2">
        <f t="shared" si="5"/>
        <v>168.07999999999998</v>
      </c>
      <c r="Q45" s="2">
        <f t="shared" si="10"/>
        <v>222.00000000000003</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40</v>
      </c>
      <c r="C46" s="2">
        <f t="shared" si="6"/>
        <v>104</v>
      </c>
      <c r="D46" s="2">
        <f t="shared" si="7"/>
        <v>63.873080000000002</v>
      </c>
      <c r="E46" s="2">
        <f t="shared" si="8"/>
        <v>14.267200000000001</v>
      </c>
      <c r="F46" s="2">
        <f t="shared" si="9"/>
        <v>5.849424</v>
      </c>
      <c r="G46" s="2">
        <f t="shared" si="5"/>
        <v>3.6400000000000002E-2</v>
      </c>
      <c r="H46" s="2">
        <f t="shared" si="5"/>
        <v>0.62799999999999989</v>
      </c>
      <c r="I46" s="2">
        <f t="shared" si="5"/>
        <v>0.02</v>
      </c>
      <c r="J46" s="2">
        <f t="shared" si="5"/>
        <v>4.0000000000000002E-4</v>
      </c>
      <c r="K46" s="2">
        <f t="shared" si="5"/>
        <v>2E-3</v>
      </c>
      <c r="L46" s="2">
        <f t="shared" si="5"/>
        <v>2.4799999999999999E-2</v>
      </c>
      <c r="M46" s="2">
        <f t="shared" si="5"/>
        <v>0.156</v>
      </c>
      <c r="N46" s="2">
        <f t="shared" si="5"/>
        <v>0</v>
      </c>
      <c r="O46" s="2">
        <f t="shared" si="5"/>
        <v>0</v>
      </c>
      <c r="P46" s="2">
        <f t="shared" si="5"/>
        <v>168.07999999999998</v>
      </c>
      <c r="Q46" s="2">
        <f t="shared" si="10"/>
        <v>222.00000000000003</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40</v>
      </c>
      <c r="C47" s="2">
        <f t="shared" si="6"/>
        <v>104</v>
      </c>
      <c r="D47" s="2">
        <f t="shared" si="7"/>
        <v>63.873080000000002</v>
      </c>
      <c r="E47" s="2">
        <f t="shared" si="8"/>
        <v>14.267200000000001</v>
      </c>
      <c r="F47" s="2">
        <f t="shared" si="9"/>
        <v>5.849424</v>
      </c>
      <c r="G47" s="2">
        <f t="shared" ref="G47:P50" si="12">IF(G$27="%w/w SAR",((G$28*10)*$B47),IF(G$27="%w/w DM",(((G$28*10)*($B$28/100))*$B47),IF(G$27="kg/t SAR",(G$28*$B47),IF(G$27="kg/t DM",((G$28*($B$28/100))*$B47),IF(G$27="mg/kg SAR",((G$28*0.001)*$B47),IF(G$27="mg/kg DM",(((G$28*0.001)*($B$28/100))*$B47),0))))))</f>
        <v>3.6400000000000002E-2</v>
      </c>
      <c r="H47" s="2">
        <f t="shared" si="12"/>
        <v>0.62799999999999989</v>
      </c>
      <c r="I47" s="2">
        <f t="shared" si="12"/>
        <v>0.02</v>
      </c>
      <c r="J47" s="2">
        <f t="shared" si="12"/>
        <v>4.0000000000000002E-4</v>
      </c>
      <c r="K47" s="2">
        <f t="shared" si="12"/>
        <v>2E-3</v>
      </c>
      <c r="L47" s="2">
        <f t="shared" si="12"/>
        <v>2.4799999999999999E-2</v>
      </c>
      <c r="M47" s="2">
        <f t="shared" si="12"/>
        <v>0.156</v>
      </c>
      <c r="N47" s="2">
        <f t="shared" si="12"/>
        <v>0</v>
      </c>
      <c r="O47" s="2">
        <f t="shared" si="12"/>
        <v>0</v>
      </c>
      <c r="P47" s="2">
        <f t="shared" si="12"/>
        <v>168.07999999999998</v>
      </c>
      <c r="Q47" s="2">
        <f t="shared" si="10"/>
        <v>222.00000000000003</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40</v>
      </c>
      <c r="C48" s="2">
        <f t="shared" si="6"/>
        <v>104</v>
      </c>
      <c r="D48" s="2">
        <f t="shared" si="7"/>
        <v>63.873080000000002</v>
      </c>
      <c r="E48" s="2">
        <f t="shared" si="8"/>
        <v>14.267200000000001</v>
      </c>
      <c r="F48" s="2">
        <f t="shared" si="9"/>
        <v>5.849424</v>
      </c>
      <c r="G48" s="2">
        <f t="shared" si="12"/>
        <v>3.6400000000000002E-2</v>
      </c>
      <c r="H48" s="2">
        <f t="shared" si="12"/>
        <v>0.62799999999999989</v>
      </c>
      <c r="I48" s="2">
        <f t="shared" si="12"/>
        <v>0.02</v>
      </c>
      <c r="J48" s="2">
        <f t="shared" si="12"/>
        <v>4.0000000000000002E-4</v>
      </c>
      <c r="K48" s="2">
        <f t="shared" si="12"/>
        <v>2E-3</v>
      </c>
      <c r="L48" s="2">
        <f t="shared" si="12"/>
        <v>2.4799999999999999E-2</v>
      </c>
      <c r="M48" s="2">
        <f t="shared" si="12"/>
        <v>0.156</v>
      </c>
      <c r="N48" s="2">
        <f t="shared" si="12"/>
        <v>0</v>
      </c>
      <c r="O48" s="2">
        <f t="shared" si="12"/>
        <v>0</v>
      </c>
      <c r="P48" s="2">
        <f t="shared" si="12"/>
        <v>168.07999999999998</v>
      </c>
      <c r="Q48" s="2">
        <f t="shared" si="10"/>
        <v>222.00000000000003</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"&amp;(VLOOKUP(C14,Table245[],6,FALSE))</f>
        <v>Sandy Loam I Grass</v>
      </c>
      <c r="C58" s="44" t="str">
        <f>D16&amp;" I "&amp;(VLOOKUP(D14,Table245[],6,FALSE))</f>
        <v>Sandy Loam I Grass</v>
      </c>
      <c r="D58" s="21" t="str">
        <f>E16&amp;" I "&amp;(VLOOKUP(E14,Table245[],6,FALSE))</f>
        <v>Sandy Loam I Grass</v>
      </c>
      <c r="E58" s="21" t="str">
        <f>F16&amp;" I "&amp;(VLOOKUP(F14,Table245[],6,FALSE))</f>
        <v>Sandy Loam I Grass</v>
      </c>
      <c r="F58" s="21" t="str">
        <f>G16&amp;" I "&amp;(VLOOKUP(G14,Table245[],6,FALSE))</f>
        <v>Sandy Loam I Grass</v>
      </c>
      <c r="G58" s="21" t="str">
        <f>H16&amp;" I "&amp;(VLOOKUP(H14,Table245[],6,FALSE))</f>
        <v>Sandy Loam I Grass</v>
      </c>
      <c r="H58" s="21" t="str">
        <f>I16&amp;" I "&amp;(VLOOKUP(I14,Table245[],6,FALSE))</f>
        <v>Sandy Loam I Grass</v>
      </c>
      <c r="I58" s="21" t="str">
        <f>J16&amp;" I "&amp;(VLOOKUP(J14,Table245[],6,FALSE))</f>
        <v>Sandy Loam I Grass</v>
      </c>
      <c r="J58" s="21" t="str">
        <f>K16&amp;" I "&amp;(VLOOKUP(K14,Table245[],6,FALSE))</f>
        <v>Sandy Loam I Grass</v>
      </c>
      <c r="K58" s="21" t="str">
        <f>L16&amp;" I "&amp;(VLOOKUP(L14,Table245[],6,FALSE))</f>
        <v>Sandy Loam I Grass</v>
      </c>
      <c r="L58" s="21" t="str">
        <f>M16&amp;" I "&amp;(VLOOKUP(M14,Table245[],6,FALSE))</f>
        <v>Sandy Loam I Grass</v>
      </c>
      <c r="M58" s="21" t="str">
        <f>N16&amp;" I "&amp;(VLOOKUP(N14,Table245[],6,FALSE))</f>
        <v>Sandy Loam I Grass</v>
      </c>
      <c r="N58" s="21" t="str">
        <f>O16&amp;" I "&amp;(VLOOKUP(O14,Table245[],6,FALSE))</f>
        <v>Sandy Loam I Grass</v>
      </c>
      <c r="O58" s="21" t="str">
        <f>P16&amp;" I "&amp;(VLOOKUP(P14,Table245[],6,FALSE))</f>
        <v>Sandy Loam I Grass</v>
      </c>
      <c r="P58" s="21" t="str">
        <f>Q16&amp;" I "&amp;(VLOOKUP(Q14,Table245[],6,FALSE))</f>
        <v>Sandy Loam I Grass</v>
      </c>
      <c r="Q58" s="21" t="str">
        <f>R16&amp;" I "&amp;(VLOOKUP(R14,Table245[],6,FALSE))</f>
        <v>Sandy Loam I Grass</v>
      </c>
      <c r="R58" s="21" t="str">
        <f>S16&amp;" I "&amp;(VLOOKUP(S14,Table245[],6,FALSE))</f>
        <v>Sandy Loam I Grass</v>
      </c>
      <c r="S58" s="21" t="str">
        <f>T16&amp;" I "&amp;(VLOOKUP(T14,Table245[],6,FALSE))</f>
        <v>Sandy Loam I Grass</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f>VLOOKUP(R$14,Table245[],5,FALSE)</f>
        <v>6.2</v>
      </c>
      <c r="R59" s="93">
        <f>VLOOKUP(S$14,Table245[],5,FALSE)</f>
        <v>6.2</v>
      </c>
      <c r="S59" s="93">
        <f>VLOOKUP(T$14,Table245[],5,FALSE)</f>
        <v>6.2</v>
      </c>
      <c r="T59" s="93" t="e">
        <f>VLOOKUP(U$14,Table245[],5,FALSE)</f>
        <v>#N/A</v>
      </c>
      <c r="U59" s="93" t="e">
        <f>VLOOKUP(V$14,Table245[],5,FALSE)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40</v>
      </c>
      <c r="C62" s="94">
        <f>B32</f>
        <v>40</v>
      </c>
      <c r="D62" s="94">
        <f>B33</f>
        <v>40</v>
      </c>
      <c r="E62" s="94">
        <f>B34</f>
        <v>40</v>
      </c>
      <c r="F62" s="94">
        <f>B35</f>
        <v>40</v>
      </c>
      <c r="G62" s="94">
        <f>B36</f>
        <v>40</v>
      </c>
      <c r="H62" s="94">
        <f>B37</f>
        <v>40</v>
      </c>
      <c r="I62" s="94">
        <f>B38</f>
        <v>40</v>
      </c>
      <c r="J62" s="94">
        <f>B39</f>
        <v>40</v>
      </c>
      <c r="K62" s="94">
        <f>B40</f>
        <v>40</v>
      </c>
      <c r="L62" s="94">
        <f>B41</f>
        <v>40</v>
      </c>
      <c r="M62" s="94">
        <f>B42</f>
        <v>40</v>
      </c>
      <c r="N62" s="94">
        <f>B43</f>
        <v>40</v>
      </c>
      <c r="O62" s="94">
        <f>B44</f>
        <v>40</v>
      </c>
      <c r="P62" s="94">
        <f>B45</f>
        <v>40</v>
      </c>
      <c r="Q62" s="94">
        <f>B46</f>
        <v>40</v>
      </c>
      <c r="R62" s="94">
        <f>B47</f>
        <v>40</v>
      </c>
      <c r="S62" s="94">
        <f>B48</f>
        <v>40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9" priority="30" operator="equal">
      <formula>"DECREASE"</formula>
    </cfRule>
    <cfRule type="cellIs" dxfId="358" priority="31" operator="equal">
      <formula>"INCREASE"</formula>
    </cfRule>
  </conditionalFormatting>
  <conditionalFormatting sqref="B62:U65 B31:B50">
    <cfRule type="cellIs" dxfId="357" priority="29" operator="greaterThan">
      <formula>$B$51</formula>
    </cfRule>
  </conditionalFormatting>
  <conditionalFormatting sqref="C31:C50">
    <cfRule type="cellIs" dxfId="356" priority="28" operator="greaterThan">
      <formula>$C$51</formula>
    </cfRule>
  </conditionalFormatting>
  <conditionalFormatting sqref="C18:V18">
    <cfRule type="cellIs" dxfId="355" priority="27" operator="equal">
      <formula>0</formula>
    </cfRule>
  </conditionalFormatting>
  <conditionalFormatting sqref="C17:V17">
    <cfRule type="cellIs" dxfId="354" priority="26" operator="equal">
      <formula>0</formula>
    </cfRule>
  </conditionalFormatting>
  <conditionalFormatting sqref="C19:V19">
    <cfRule type="cellIs" dxfId="353" priority="25" operator="equal">
      <formula>0</formula>
    </cfRule>
  </conditionalFormatting>
  <conditionalFormatting sqref="G31:G50">
    <cfRule type="cellIs" dxfId="352" priority="24" operator="greaterThan">
      <formula>$G$51</formula>
    </cfRule>
  </conditionalFormatting>
  <conditionalFormatting sqref="H31:H50">
    <cfRule type="cellIs" dxfId="351" priority="23" operator="greaterThan">
      <formula>$H$51</formula>
    </cfRule>
  </conditionalFormatting>
  <conditionalFormatting sqref="I31:I50">
    <cfRule type="cellIs" dxfId="350" priority="22" operator="greaterThan">
      <formula>$I$51</formula>
    </cfRule>
  </conditionalFormatting>
  <conditionalFormatting sqref="K31:K50">
    <cfRule type="cellIs" dxfId="349" priority="21" operator="greaterThan">
      <formula>$K$51</formula>
    </cfRule>
  </conditionalFormatting>
  <conditionalFormatting sqref="L31:L50">
    <cfRule type="cellIs" dxfId="348" priority="20" operator="greaterThan">
      <formula>$L$51</formula>
    </cfRule>
  </conditionalFormatting>
  <conditionalFormatting sqref="M31:M50">
    <cfRule type="cellIs" dxfId="347" priority="19" operator="greaterThan">
      <formula>$M$51</formula>
    </cfRule>
  </conditionalFormatting>
  <conditionalFormatting sqref="P31:P50">
    <cfRule type="cellIs" dxfId="346" priority="18" operator="greaterThan">
      <formula>$P$51</formula>
    </cfRule>
  </conditionalFormatting>
  <conditionalFormatting sqref="R31:R50">
    <cfRule type="cellIs" dxfId="345" priority="17" operator="greaterThan">
      <formula>$R$51</formula>
    </cfRule>
  </conditionalFormatting>
  <conditionalFormatting sqref="S31:S50">
    <cfRule type="cellIs" dxfId="344" priority="16" operator="greaterThan">
      <formula>$S$51</formula>
    </cfRule>
  </conditionalFormatting>
  <conditionalFormatting sqref="T31:T50">
    <cfRule type="cellIs" dxfId="343" priority="15" operator="greaterThan">
      <formula>$T$51</formula>
    </cfRule>
  </conditionalFormatting>
  <conditionalFormatting sqref="U31:U50">
    <cfRule type="cellIs" dxfId="342" priority="14" operator="greaterThan">
      <formula>$U$51</formula>
    </cfRule>
  </conditionalFormatting>
  <conditionalFormatting sqref="C22:V22">
    <cfRule type="cellIs" dxfId="341" priority="13" operator="equal">
      <formula>0</formula>
    </cfRule>
  </conditionalFormatting>
  <conditionalFormatting sqref="C24:V24">
    <cfRule type="cellIs" dxfId="340" priority="11" operator="equal">
      <formula>"DECREASE"</formula>
    </cfRule>
    <cfRule type="cellIs" dxfId="339" priority="12" operator="equal">
      <formula>"INCREASE"</formula>
    </cfRule>
  </conditionalFormatting>
  <conditionalFormatting sqref="C23:V23">
    <cfRule type="cellIs" dxfId="338" priority="10" operator="equal">
      <formula>0</formula>
    </cfRule>
  </conditionalFormatting>
  <conditionalFormatting sqref="I1">
    <cfRule type="cellIs" dxfId="337" priority="9" operator="lessThan">
      <formula>5</formula>
    </cfRule>
  </conditionalFormatting>
  <conditionalFormatting sqref="C21:V21">
    <cfRule type="cellIs" dxfId="336" priority="6" operator="equal">
      <formula>0</formula>
    </cfRule>
  </conditionalFormatting>
  <conditionalFormatting sqref="B65:U65">
    <cfRule type="cellIs" dxfId="335" priority="4" operator="equal">
      <formula>"UNDER"</formula>
    </cfRule>
    <cfRule type="cellIs" dxfId="334" priority="5" operator="equal">
      <formula>"OVER"</formula>
    </cfRule>
  </conditionalFormatting>
  <conditionalFormatting sqref="I2">
    <cfRule type="cellIs" dxfId="333" priority="3" operator="greaterThan">
      <formula>5000.1</formula>
    </cfRule>
  </conditionalFormatting>
  <conditionalFormatting sqref="I3">
    <cfRule type="cellIs" dxfId="332" priority="2" operator="greaterThan">
      <formula>4.1</formula>
    </cfRule>
  </conditionalFormatting>
  <conditionalFormatting sqref="J31:J50">
    <cfRule type="cellIs" dxfId="33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I3" sqref="I1:I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6.98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1731</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0.52800000000000002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33.517330000000001</v>
      </c>
      <c r="D18" s="24">
        <f>$D32</f>
        <v>33.517330000000001</v>
      </c>
      <c r="E18" s="24">
        <f>$D33</f>
        <v>33.517330000000001</v>
      </c>
      <c r="F18" s="24">
        <f>$D34</f>
        <v>33.517330000000001</v>
      </c>
      <c r="G18" s="24">
        <f>$D35</f>
        <v>33.517330000000001</v>
      </c>
      <c r="H18" s="24">
        <f>$D36</f>
        <v>33.517330000000001</v>
      </c>
      <c r="I18" s="24">
        <f>$D37</f>
        <v>33.517330000000001</v>
      </c>
      <c r="J18" s="24">
        <f>$D38</f>
        <v>33.517330000000001</v>
      </c>
      <c r="K18" s="24">
        <f>$D39</f>
        <v>33.517330000000001</v>
      </c>
      <c r="L18" s="24">
        <f>$D40</f>
        <v>33.517330000000001</v>
      </c>
      <c r="M18" s="24">
        <f>$D41</f>
        <v>33.517330000000001</v>
      </c>
      <c r="N18" s="24">
        <f>$D42</f>
        <v>33.517330000000001</v>
      </c>
      <c r="O18" s="24">
        <f>$D43</f>
        <v>33.517330000000001</v>
      </c>
      <c r="P18" s="24">
        <f>$D44</f>
        <v>33.517330000000001</v>
      </c>
      <c r="Q18" s="24">
        <f>$D45</f>
        <v>33.517330000000001</v>
      </c>
      <c r="R18" s="24">
        <f>$D46</f>
        <v>33.517330000000001</v>
      </c>
      <c r="S18" s="24">
        <f>$D47</f>
        <v>33.517330000000001</v>
      </c>
      <c r="T18" s="24">
        <f>$D48</f>
        <v>33.517330000000001</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-31.082669999999993</v>
      </c>
      <c r="D19" s="24">
        <f t="shared" ref="D19:V19" si="1">D18-D17</f>
        <v>-31.082669999999993</v>
      </c>
      <c r="E19" s="24">
        <f t="shared" si="1"/>
        <v>-31.082669999999993</v>
      </c>
      <c r="F19" s="24">
        <f t="shared" si="1"/>
        <v>-31.082669999999993</v>
      </c>
      <c r="G19" s="24">
        <f t="shared" si="1"/>
        <v>-31.082669999999993</v>
      </c>
      <c r="H19" s="24">
        <f t="shared" si="1"/>
        <v>-31.082669999999993</v>
      </c>
      <c r="I19" s="24">
        <f t="shared" si="1"/>
        <v>-31.082669999999993</v>
      </c>
      <c r="J19" s="24">
        <f t="shared" si="1"/>
        <v>-31.082669999999993</v>
      </c>
      <c r="K19" s="24">
        <f t="shared" si="1"/>
        <v>-31.082669999999993</v>
      </c>
      <c r="L19" s="24">
        <f t="shared" si="1"/>
        <v>-31.082669999999993</v>
      </c>
      <c r="M19" s="24">
        <f t="shared" si="1"/>
        <v>-31.082669999999993</v>
      </c>
      <c r="N19" s="24">
        <f t="shared" si="1"/>
        <v>-31.082669999999993</v>
      </c>
      <c r="O19" s="24">
        <f t="shared" si="1"/>
        <v>-31.082669999999993</v>
      </c>
      <c r="P19" s="24">
        <f t="shared" si="1"/>
        <v>-31.082669999999993</v>
      </c>
      <c r="Q19" s="24">
        <f t="shared" si="1"/>
        <v>-31.082669999999993</v>
      </c>
      <c r="R19" s="24">
        <f t="shared" si="1"/>
        <v>-31.082669999999993</v>
      </c>
      <c r="S19" s="24">
        <f t="shared" si="1"/>
        <v>-31.082669999999993</v>
      </c>
      <c r="T19" s="24">
        <f t="shared" si="1"/>
        <v>-31.082669999999993</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(VLOOKUP(D$14,$AI2:$AK24,3,FALSE))*D$15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5.1495675000000007</v>
      </c>
      <c r="D22" s="24">
        <f>$E32</f>
        <v>5.1495675000000007</v>
      </c>
      <c r="E22" s="24">
        <f>$E33</f>
        <v>5.1495675000000007</v>
      </c>
      <c r="F22" s="24">
        <f>$E34</f>
        <v>5.1495675000000007</v>
      </c>
      <c r="G22" s="24">
        <f>$E35</f>
        <v>5.1495675000000007</v>
      </c>
      <c r="H22" s="24">
        <f>$E36</f>
        <v>5.1495675000000007</v>
      </c>
      <c r="I22" s="24">
        <f>$E37</f>
        <v>5.1495675000000007</v>
      </c>
      <c r="J22" s="24">
        <f>$E38</f>
        <v>5.1495675000000007</v>
      </c>
      <c r="K22" s="24">
        <f>$E39</f>
        <v>5.1495675000000007</v>
      </c>
      <c r="L22" s="24">
        <f>$E40</f>
        <v>5.1495675000000007</v>
      </c>
      <c r="M22" s="24">
        <f>$E41</f>
        <v>5.1495675000000007</v>
      </c>
      <c r="N22" s="24">
        <f>$E42</f>
        <v>5.1495675000000007</v>
      </c>
      <c r="O22" s="24">
        <f>$E43</f>
        <v>5.1495675000000007</v>
      </c>
      <c r="P22" s="24">
        <f>$E44</f>
        <v>5.1495675000000007</v>
      </c>
      <c r="Q22" s="24">
        <f>$E45</f>
        <v>5.1495675000000007</v>
      </c>
      <c r="R22" s="24">
        <f>$E46</f>
        <v>5.1495675000000007</v>
      </c>
      <c r="S22" s="24">
        <f>$E47</f>
        <v>5.1495675000000007</v>
      </c>
      <c r="T22" s="24">
        <f>$E48</f>
        <v>5.1495675000000007</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-222.85043250000001</v>
      </c>
      <c r="D23" s="24">
        <f t="shared" ref="D23:V23" si="3">D22-D21</f>
        <v>-222.85043250000001</v>
      </c>
      <c r="E23" s="24">
        <f t="shared" si="3"/>
        <v>-222.85043250000001</v>
      </c>
      <c r="F23" s="24">
        <f t="shared" si="3"/>
        <v>-222.85043250000001</v>
      </c>
      <c r="G23" s="24">
        <f t="shared" si="3"/>
        <v>-222.85043250000001</v>
      </c>
      <c r="H23" s="24">
        <f t="shared" si="3"/>
        <v>-222.85043250000001</v>
      </c>
      <c r="I23" s="24">
        <f t="shared" si="3"/>
        <v>-222.85043250000001</v>
      </c>
      <c r="J23" s="24">
        <f t="shared" si="3"/>
        <v>-222.85043250000001</v>
      </c>
      <c r="K23" s="24">
        <f t="shared" si="3"/>
        <v>-222.85043250000001</v>
      </c>
      <c r="L23" s="24">
        <f t="shared" si="3"/>
        <v>-222.85043250000001</v>
      </c>
      <c r="M23" s="24">
        <f t="shared" si="3"/>
        <v>-222.85043250000001</v>
      </c>
      <c r="N23" s="24">
        <f t="shared" si="3"/>
        <v>-222.85043250000001</v>
      </c>
      <c r="O23" s="24">
        <f t="shared" si="3"/>
        <v>-222.85043250000001</v>
      </c>
      <c r="P23" s="24">
        <f t="shared" si="3"/>
        <v>-222.85043250000001</v>
      </c>
      <c r="Q23" s="24">
        <f t="shared" si="3"/>
        <v>-222.85043250000001</v>
      </c>
      <c r="R23" s="24">
        <f t="shared" si="3"/>
        <v>-222.85043250000001</v>
      </c>
      <c r="S23" s="24">
        <f t="shared" si="3"/>
        <v>-222.85043250000001</v>
      </c>
      <c r="T23" s="24">
        <f t="shared" si="3"/>
        <v>-222.85043250000001</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12.7</v>
      </c>
      <c r="C28" s="23">
        <v>0.45</v>
      </c>
      <c r="D28" s="23">
        <v>266</v>
      </c>
      <c r="E28" s="23">
        <v>77.7</v>
      </c>
      <c r="F28" s="23">
        <v>366</v>
      </c>
      <c r="G28" s="23">
        <v>1.98</v>
      </c>
      <c r="H28" s="23">
        <v>8.23</v>
      </c>
      <c r="I28" s="23">
        <v>0.5</v>
      </c>
      <c r="J28" s="23">
        <v>1.4999999999999999E-2</v>
      </c>
      <c r="K28" s="30">
        <v>0.05</v>
      </c>
      <c r="L28" s="23">
        <v>0.30299999999999999</v>
      </c>
      <c r="M28" s="23">
        <v>0.67</v>
      </c>
      <c r="N28" s="23"/>
      <c r="O28" s="23"/>
      <c r="P28" s="23">
        <v>625</v>
      </c>
      <c r="Q28" s="23">
        <v>406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55</v>
      </c>
      <c r="C31" s="2">
        <f>IF(C$27="%w/w SAR",((C$28*10)*$B31),IF(C$27="%w/w DM",(((C$28*10)*($B$28/100))*$B31),IF(C$27="kg/t SAR",(C$28*$B31),IF(C$27="kg/t DM",((C$28*($B$28/100))*$B31),IF(C$27="mg/kg SAR",((C$28*0.001)*$B31),IF(C$27="mg/kg DM",(((C$28*0.001)*($B$28/100))*$B31),0))))))</f>
        <v>247.5</v>
      </c>
      <c r="D31" s="2">
        <f>(IF(D$27="%w/w SAR",((D$28*10)*$B31),IF(D$27="%w/w DM",(((D$28*10)*($B$28/100))*$B31),IF(D$27="kg/t SAR",(D$28*$B31),IF(D$27="kg/t DM",((D$28*($B$28/100))*$B31),IF(D$27="mg/kg SAR",((D$28*0.001)*$B31),IF(D$27="mg/kg DM",(((D$28*0.001)*($B$28/100))*$B31),"0")))))))*2.291</f>
        <v>33.517330000000001</v>
      </c>
      <c r="E31" s="2">
        <f>(IF(E$27="%w/w SAR",((E$28*10)*$B31),IF(E$27="%w/w DM",(((E$28*10)*($B$28/100))*$B31),IF(E$27="kg/t SAR",(E$28*$B31),IF(E$27="kg/t DM",((E$28*($B$28/100))*$B31),IF(E$27="mg/kg SAR",((E$28*0.001)*$B31),IF(E$27="mg/kg DM",(((E$28*0.001)*($B$28/100))*$B31),"0")))))))*1.205</f>
        <v>5.1495675000000007</v>
      </c>
      <c r="F31" s="2">
        <f>(IF(F$27="%w/w SAR",((F$28*10)*$B31),IF(F$27="%w/w DM",(((F$28*10)*($B$28/100))*$B31),IF(F$27="kg/t SAR",(F$28*$B31),IF(F$27="kg/t DM",((F$28*($B$28/100))*$B31),IF(F$27="mg/kg SAR",((F$28*0.001)*$B31),IF(F$27="mg/kg DM",(((F$28*0.001)*($B$28/100))*$B31),"0")))))))*1.658</f>
        <v>33.375539999999994</v>
      </c>
      <c r="G31" s="2">
        <f t="shared" ref="G31:P46" si="5">IF(G$27="%w/w SAR",((G$28*10)*$B31),IF(G$27="%w/w DM",(((G$28*10)*($B$28/100))*$B31),IF(G$27="kg/t SAR",(G$28*$B31),IF(G$27="kg/t DM",((G$28*($B$28/100))*$B31),IF(G$27="mg/kg SAR",((G$28*0.001)*$B31),IF(G$27="mg/kg DM",(((G$28*0.001)*($B$28/100))*$B31),0))))))</f>
        <v>0.1089</v>
      </c>
      <c r="H31" s="2">
        <f t="shared" si="5"/>
        <v>0.45265000000000005</v>
      </c>
      <c r="I31" s="2">
        <f t="shared" si="5"/>
        <v>2.75E-2</v>
      </c>
      <c r="J31" s="2">
        <f t="shared" si="5"/>
        <v>8.25E-4</v>
      </c>
      <c r="K31" s="2">
        <f t="shared" si="5"/>
        <v>2.7500000000000003E-3</v>
      </c>
      <c r="L31" s="2">
        <f t="shared" si="5"/>
        <v>1.6664999999999999E-2</v>
      </c>
      <c r="M31" s="2">
        <f t="shared" si="5"/>
        <v>3.6850000000000001E-2</v>
      </c>
      <c r="N31" s="2">
        <f t="shared" si="5"/>
        <v>0</v>
      </c>
      <c r="O31" s="2">
        <f t="shared" si="5"/>
        <v>0</v>
      </c>
      <c r="P31" s="2">
        <f t="shared" si="5"/>
        <v>34.375</v>
      </c>
      <c r="Q31" s="2">
        <f>(IF(Q$27="%w/w SAR",((Q$28*10)*$B31),IF(Q$27="%w/w DM",(((Q$28*10)*($B$28/100))*$B31),IF(Q$27="kg/t SAR",(Q$28*$B31),IF(Q$27="kg/t DM",((Q$28*($B$28/100))*$B31),IF(Q$27="mg/kg SAR",((Q$28*0.001)*$B31),IF(Q$27="mg/kg DM",(((Q$28*0.001)*($B$28/100))*$B31),0)))))))*2.5</f>
        <v>55.825000000000003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55</v>
      </c>
      <c r="C32" s="2">
        <f t="shared" ref="C32:C50" si="6">IF(C$27="%w/w SAR",((C$28*10)*$B32),IF(C$27="%w/w DM",(((C$28*10)*($B$28/100))*$B32),IF(C$27="kg/t SAR",(C$28*$B32),IF(C$27="kg/t DM",((C$28*($B$28/100))*$B32),IF(C$27="mg/kg SAR",((C$28*0.001)*$B32),IF(C$27="mg/kg DM",(((C$28*0.001)*($B$28/100))*$B32),0))))))</f>
        <v>247.5</v>
      </c>
      <c r="D32" s="2">
        <f t="shared" ref="D32:D50" si="7">(IF(D$27="%w/w SAR",((D$28*10)*$B32),IF(D$27="%w/w DM",(((D$28*10)*($B$28/100))*$B32),IF(D$27="kg/t SAR",(D$28*$B32),IF(D$27="kg/t DM",((D$28*($B$28/100))*$B32),IF(D$27="mg/kg SAR",((D$28*0.001)*$B32),IF(D$27="mg/kg DM",(((D$28*0.001)*($B$28/100))*$B32),"0")))))))*2.291</f>
        <v>33.517330000000001</v>
      </c>
      <c r="E32" s="2">
        <f t="shared" ref="E32:E50" si="8">(IF(E$27="%w/w SAR",((E$28*10)*$B32),IF(E$27="%w/w DM",(((E$28*10)*($B$28/100))*$B32),IF(E$27="kg/t SAR",(E$28*$B32),IF(E$27="kg/t DM",((E$28*($B$28/100))*$B32),IF(E$27="mg/kg SAR",((E$28*0.001)*$B32),IF(E$27="mg/kg DM",(((E$28*0.001)*($B$28/100))*$B32),"0")))))))*1.205</f>
        <v>5.1495675000000007</v>
      </c>
      <c r="F32" s="2">
        <f t="shared" ref="F32:F50" si="9">(IF(F$27="%w/w SAR",((F$28*10)*$B32),IF(F$27="%w/w DM",(((F$28*10)*($B$28/100))*$B32),IF(F$27="kg/t SAR",(F$28*$B32),IF(F$27="kg/t DM",((F$28*($B$28/100))*$B32),IF(F$27="mg/kg SAR",((F$28*0.001)*$B32),IF(F$27="mg/kg DM",(((F$28*0.001)*($B$28/100))*$B32),"0")))))))*1.658</f>
        <v>33.375539999999994</v>
      </c>
      <c r="G32" s="2">
        <f t="shared" si="5"/>
        <v>0.1089</v>
      </c>
      <c r="H32" s="2">
        <f t="shared" si="5"/>
        <v>0.45265000000000005</v>
      </c>
      <c r="I32" s="2">
        <f t="shared" si="5"/>
        <v>2.75E-2</v>
      </c>
      <c r="J32" s="2">
        <f t="shared" si="5"/>
        <v>8.25E-4</v>
      </c>
      <c r="K32" s="2">
        <f t="shared" si="5"/>
        <v>2.7500000000000003E-3</v>
      </c>
      <c r="L32" s="2">
        <f t="shared" si="5"/>
        <v>1.6664999999999999E-2</v>
      </c>
      <c r="M32" s="2">
        <f t="shared" si="5"/>
        <v>3.6850000000000001E-2</v>
      </c>
      <c r="N32" s="2">
        <f t="shared" si="5"/>
        <v>0</v>
      </c>
      <c r="O32" s="2">
        <f t="shared" si="5"/>
        <v>0</v>
      </c>
      <c r="P32" s="2">
        <f t="shared" si="5"/>
        <v>34.375</v>
      </c>
      <c r="Q32" s="2">
        <f t="shared" ref="Q32:Q50" si="10">(IF(Q$27="%w/w SAR",((Q$28*10)*$B32),IF(Q$27="%w/w DM",(((Q$28*10)*($B$28/100))*$B32),IF(Q$27="kg/t SAR",(Q$28*$B32),IF(Q$27="kg/t DM",((Q$28*($B$28/100))*$B32),IF(Q$27="mg/kg SAR",((Q$28*0.001)*$B32),IF(Q$27="mg/kg DM",(((Q$28*0.001)*($B$28/100))*$B32),0)))))))*2.5</f>
        <v>55.825000000000003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55</v>
      </c>
      <c r="C33" s="2">
        <f t="shared" si="6"/>
        <v>247.5</v>
      </c>
      <c r="D33" s="2">
        <f t="shared" si="7"/>
        <v>33.517330000000001</v>
      </c>
      <c r="E33" s="2">
        <f t="shared" si="8"/>
        <v>5.1495675000000007</v>
      </c>
      <c r="F33" s="2">
        <f t="shared" si="9"/>
        <v>33.375539999999994</v>
      </c>
      <c r="G33" s="2">
        <f t="shared" si="5"/>
        <v>0.1089</v>
      </c>
      <c r="H33" s="2">
        <f t="shared" si="5"/>
        <v>0.45265000000000005</v>
      </c>
      <c r="I33" s="2">
        <f t="shared" si="5"/>
        <v>2.75E-2</v>
      </c>
      <c r="J33" s="2">
        <f t="shared" si="5"/>
        <v>8.25E-4</v>
      </c>
      <c r="K33" s="2">
        <f t="shared" si="5"/>
        <v>2.7500000000000003E-3</v>
      </c>
      <c r="L33" s="2">
        <f t="shared" si="5"/>
        <v>1.6664999999999999E-2</v>
      </c>
      <c r="M33" s="2">
        <f t="shared" si="5"/>
        <v>3.6850000000000001E-2</v>
      </c>
      <c r="N33" s="2">
        <f t="shared" si="5"/>
        <v>0</v>
      </c>
      <c r="O33" s="2">
        <f t="shared" si="5"/>
        <v>0</v>
      </c>
      <c r="P33" s="2">
        <f t="shared" si="5"/>
        <v>34.375</v>
      </c>
      <c r="Q33" s="2">
        <f t="shared" si="10"/>
        <v>55.825000000000003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55</v>
      </c>
      <c r="C34" s="2">
        <f t="shared" si="6"/>
        <v>247.5</v>
      </c>
      <c r="D34" s="2">
        <f t="shared" si="7"/>
        <v>33.517330000000001</v>
      </c>
      <c r="E34" s="2">
        <f t="shared" si="8"/>
        <v>5.1495675000000007</v>
      </c>
      <c r="F34" s="2">
        <f t="shared" si="9"/>
        <v>33.375539999999994</v>
      </c>
      <c r="G34" s="2">
        <f t="shared" si="5"/>
        <v>0.1089</v>
      </c>
      <c r="H34" s="2">
        <f t="shared" si="5"/>
        <v>0.45265000000000005</v>
      </c>
      <c r="I34" s="2">
        <f t="shared" si="5"/>
        <v>2.75E-2</v>
      </c>
      <c r="J34" s="2">
        <f t="shared" si="5"/>
        <v>8.25E-4</v>
      </c>
      <c r="K34" s="2">
        <f t="shared" si="5"/>
        <v>2.7500000000000003E-3</v>
      </c>
      <c r="L34" s="2">
        <f t="shared" si="5"/>
        <v>1.6664999999999999E-2</v>
      </c>
      <c r="M34" s="2">
        <f t="shared" si="5"/>
        <v>3.6850000000000001E-2</v>
      </c>
      <c r="N34" s="2">
        <f t="shared" si="5"/>
        <v>0</v>
      </c>
      <c r="O34" s="2">
        <f t="shared" si="5"/>
        <v>0</v>
      </c>
      <c r="P34" s="2">
        <f t="shared" si="5"/>
        <v>34.375</v>
      </c>
      <c r="Q34" s="2">
        <f t="shared" si="10"/>
        <v>55.825000000000003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55</v>
      </c>
      <c r="C35" s="2">
        <f t="shared" si="6"/>
        <v>247.5</v>
      </c>
      <c r="D35" s="2">
        <f t="shared" si="7"/>
        <v>33.517330000000001</v>
      </c>
      <c r="E35" s="2">
        <f t="shared" si="8"/>
        <v>5.1495675000000007</v>
      </c>
      <c r="F35" s="2">
        <f t="shared" si="9"/>
        <v>33.375539999999994</v>
      </c>
      <c r="G35" s="2">
        <f t="shared" si="5"/>
        <v>0.1089</v>
      </c>
      <c r="H35" s="2">
        <f t="shared" si="5"/>
        <v>0.45265000000000005</v>
      </c>
      <c r="I35" s="2">
        <f t="shared" si="5"/>
        <v>2.75E-2</v>
      </c>
      <c r="J35" s="2">
        <f t="shared" si="5"/>
        <v>8.25E-4</v>
      </c>
      <c r="K35" s="2">
        <f t="shared" si="5"/>
        <v>2.7500000000000003E-3</v>
      </c>
      <c r="L35" s="2">
        <f t="shared" si="5"/>
        <v>1.6664999999999999E-2</v>
      </c>
      <c r="M35" s="2">
        <f t="shared" si="5"/>
        <v>3.6850000000000001E-2</v>
      </c>
      <c r="N35" s="2">
        <f t="shared" si="5"/>
        <v>0</v>
      </c>
      <c r="O35" s="2">
        <f t="shared" si="5"/>
        <v>0</v>
      </c>
      <c r="P35" s="2">
        <f t="shared" si="5"/>
        <v>34.375</v>
      </c>
      <c r="Q35" s="2">
        <f t="shared" si="10"/>
        <v>55.825000000000003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55</v>
      </c>
      <c r="C36" s="2">
        <f t="shared" si="6"/>
        <v>247.5</v>
      </c>
      <c r="D36" s="2">
        <f t="shared" si="7"/>
        <v>33.517330000000001</v>
      </c>
      <c r="E36" s="2">
        <f t="shared" si="8"/>
        <v>5.1495675000000007</v>
      </c>
      <c r="F36" s="2">
        <f t="shared" si="9"/>
        <v>33.375539999999994</v>
      </c>
      <c r="G36" s="2">
        <f t="shared" si="5"/>
        <v>0.1089</v>
      </c>
      <c r="H36" s="2">
        <f t="shared" si="5"/>
        <v>0.45265000000000005</v>
      </c>
      <c r="I36" s="2">
        <f t="shared" si="5"/>
        <v>2.75E-2</v>
      </c>
      <c r="J36" s="2">
        <f t="shared" si="5"/>
        <v>8.25E-4</v>
      </c>
      <c r="K36" s="2">
        <f t="shared" si="5"/>
        <v>2.7500000000000003E-3</v>
      </c>
      <c r="L36" s="2">
        <f t="shared" si="5"/>
        <v>1.6664999999999999E-2</v>
      </c>
      <c r="M36" s="2">
        <f t="shared" si="5"/>
        <v>3.6850000000000001E-2</v>
      </c>
      <c r="N36" s="2">
        <f t="shared" si="5"/>
        <v>0</v>
      </c>
      <c r="O36" s="2">
        <f t="shared" si="5"/>
        <v>0</v>
      </c>
      <c r="P36" s="2">
        <f t="shared" si="5"/>
        <v>34.375</v>
      </c>
      <c r="Q36" s="2">
        <f t="shared" si="10"/>
        <v>55.825000000000003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55</v>
      </c>
      <c r="C37" s="2">
        <f t="shared" si="6"/>
        <v>247.5</v>
      </c>
      <c r="D37" s="2">
        <f t="shared" si="7"/>
        <v>33.517330000000001</v>
      </c>
      <c r="E37" s="2">
        <f t="shared" si="8"/>
        <v>5.1495675000000007</v>
      </c>
      <c r="F37" s="2">
        <f t="shared" si="9"/>
        <v>33.375539999999994</v>
      </c>
      <c r="G37" s="2">
        <f t="shared" si="5"/>
        <v>0.1089</v>
      </c>
      <c r="H37" s="2">
        <f t="shared" si="5"/>
        <v>0.45265000000000005</v>
      </c>
      <c r="I37" s="2">
        <f t="shared" si="5"/>
        <v>2.75E-2</v>
      </c>
      <c r="J37" s="2">
        <f t="shared" si="5"/>
        <v>8.25E-4</v>
      </c>
      <c r="K37" s="2">
        <f t="shared" si="5"/>
        <v>2.7500000000000003E-3</v>
      </c>
      <c r="L37" s="2">
        <f t="shared" si="5"/>
        <v>1.6664999999999999E-2</v>
      </c>
      <c r="M37" s="2">
        <f t="shared" si="5"/>
        <v>3.6850000000000001E-2</v>
      </c>
      <c r="N37" s="2">
        <f t="shared" si="5"/>
        <v>0</v>
      </c>
      <c r="O37" s="2">
        <f t="shared" si="5"/>
        <v>0</v>
      </c>
      <c r="P37" s="2">
        <f t="shared" si="5"/>
        <v>34.375</v>
      </c>
      <c r="Q37" s="2">
        <f t="shared" si="10"/>
        <v>55.825000000000003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55</v>
      </c>
      <c r="C38" s="2">
        <f t="shared" si="6"/>
        <v>247.5</v>
      </c>
      <c r="D38" s="2">
        <f t="shared" si="7"/>
        <v>33.517330000000001</v>
      </c>
      <c r="E38" s="2">
        <f t="shared" si="8"/>
        <v>5.1495675000000007</v>
      </c>
      <c r="F38" s="2">
        <f t="shared" si="9"/>
        <v>33.375539999999994</v>
      </c>
      <c r="G38" s="2">
        <f t="shared" si="5"/>
        <v>0.1089</v>
      </c>
      <c r="H38" s="2">
        <f t="shared" si="5"/>
        <v>0.45265000000000005</v>
      </c>
      <c r="I38" s="2">
        <f t="shared" si="5"/>
        <v>2.75E-2</v>
      </c>
      <c r="J38" s="2">
        <f t="shared" si="5"/>
        <v>8.25E-4</v>
      </c>
      <c r="K38" s="2">
        <f t="shared" si="5"/>
        <v>2.7500000000000003E-3</v>
      </c>
      <c r="L38" s="2">
        <f t="shared" si="5"/>
        <v>1.6664999999999999E-2</v>
      </c>
      <c r="M38" s="2">
        <f t="shared" si="5"/>
        <v>3.6850000000000001E-2</v>
      </c>
      <c r="N38" s="2">
        <f t="shared" si="5"/>
        <v>0</v>
      </c>
      <c r="O38" s="2">
        <f t="shared" si="5"/>
        <v>0</v>
      </c>
      <c r="P38" s="2">
        <f t="shared" si="5"/>
        <v>34.375</v>
      </c>
      <c r="Q38" s="2">
        <f t="shared" si="10"/>
        <v>55.825000000000003</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55</v>
      </c>
      <c r="C39" s="2">
        <f t="shared" si="6"/>
        <v>247.5</v>
      </c>
      <c r="D39" s="2">
        <f t="shared" si="7"/>
        <v>33.517330000000001</v>
      </c>
      <c r="E39" s="2">
        <f t="shared" si="8"/>
        <v>5.1495675000000007</v>
      </c>
      <c r="F39" s="2">
        <f t="shared" si="9"/>
        <v>33.375539999999994</v>
      </c>
      <c r="G39" s="2">
        <f t="shared" si="5"/>
        <v>0.1089</v>
      </c>
      <c r="H39" s="2">
        <f t="shared" si="5"/>
        <v>0.45265000000000005</v>
      </c>
      <c r="I39" s="2">
        <f t="shared" si="5"/>
        <v>2.75E-2</v>
      </c>
      <c r="J39" s="2">
        <f t="shared" si="5"/>
        <v>8.25E-4</v>
      </c>
      <c r="K39" s="2">
        <f t="shared" si="5"/>
        <v>2.7500000000000003E-3</v>
      </c>
      <c r="L39" s="2">
        <f t="shared" si="5"/>
        <v>1.6664999999999999E-2</v>
      </c>
      <c r="M39" s="2">
        <f t="shared" si="5"/>
        <v>3.6850000000000001E-2</v>
      </c>
      <c r="N39" s="2">
        <f t="shared" si="5"/>
        <v>0</v>
      </c>
      <c r="O39" s="2">
        <f t="shared" si="5"/>
        <v>0</v>
      </c>
      <c r="P39" s="2">
        <f t="shared" si="5"/>
        <v>34.375</v>
      </c>
      <c r="Q39" s="2">
        <f t="shared" si="10"/>
        <v>55.825000000000003</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55</v>
      </c>
      <c r="C40" s="2">
        <f t="shared" si="6"/>
        <v>247.5</v>
      </c>
      <c r="D40" s="2">
        <f t="shared" si="7"/>
        <v>33.517330000000001</v>
      </c>
      <c r="E40" s="2">
        <f t="shared" si="8"/>
        <v>5.1495675000000007</v>
      </c>
      <c r="F40" s="2">
        <f t="shared" si="9"/>
        <v>33.375539999999994</v>
      </c>
      <c r="G40" s="2">
        <f t="shared" si="5"/>
        <v>0.1089</v>
      </c>
      <c r="H40" s="2">
        <f t="shared" si="5"/>
        <v>0.45265000000000005</v>
      </c>
      <c r="I40" s="2">
        <f t="shared" si="5"/>
        <v>2.75E-2</v>
      </c>
      <c r="J40" s="2">
        <f t="shared" si="5"/>
        <v>8.25E-4</v>
      </c>
      <c r="K40" s="2">
        <f t="shared" si="5"/>
        <v>2.7500000000000003E-3</v>
      </c>
      <c r="L40" s="2">
        <f t="shared" si="5"/>
        <v>1.6664999999999999E-2</v>
      </c>
      <c r="M40" s="2">
        <f t="shared" si="5"/>
        <v>3.6850000000000001E-2</v>
      </c>
      <c r="N40" s="2">
        <f t="shared" si="5"/>
        <v>0</v>
      </c>
      <c r="O40" s="2">
        <f t="shared" si="5"/>
        <v>0</v>
      </c>
      <c r="P40" s="2">
        <f t="shared" si="5"/>
        <v>34.375</v>
      </c>
      <c r="Q40" s="2">
        <f t="shared" si="10"/>
        <v>55.825000000000003</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55</v>
      </c>
      <c r="C41" s="2">
        <f t="shared" si="6"/>
        <v>247.5</v>
      </c>
      <c r="D41" s="2">
        <f t="shared" si="7"/>
        <v>33.517330000000001</v>
      </c>
      <c r="E41" s="2">
        <f t="shared" si="8"/>
        <v>5.1495675000000007</v>
      </c>
      <c r="F41" s="2">
        <f t="shared" si="9"/>
        <v>33.375539999999994</v>
      </c>
      <c r="G41" s="2">
        <f t="shared" si="5"/>
        <v>0.1089</v>
      </c>
      <c r="H41" s="2">
        <f t="shared" si="5"/>
        <v>0.45265000000000005</v>
      </c>
      <c r="I41" s="2">
        <f t="shared" si="5"/>
        <v>2.75E-2</v>
      </c>
      <c r="J41" s="2">
        <f t="shared" si="5"/>
        <v>8.25E-4</v>
      </c>
      <c r="K41" s="2">
        <f t="shared" si="5"/>
        <v>2.7500000000000003E-3</v>
      </c>
      <c r="L41" s="2">
        <f t="shared" si="5"/>
        <v>1.6664999999999999E-2</v>
      </c>
      <c r="M41" s="2">
        <f t="shared" si="5"/>
        <v>3.6850000000000001E-2</v>
      </c>
      <c r="N41" s="2">
        <f t="shared" si="5"/>
        <v>0</v>
      </c>
      <c r="O41" s="2">
        <f t="shared" si="5"/>
        <v>0</v>
      </c>
      <c r="P41" s="2">
        <f t="shared" si="5"/>
        <v>34.375</v>
      </c>
      <c r="Q41" s="2">
        <f t="shared" si="10"/>
        <v>55.825000000000003</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55</v>
      </c>
      <c r="C42" s="2">
        <f t="shared" si="6"/>
        <v>247.5</v>
      </c>
      <c r="D42" s="2">
        <f t="shared" si="7"/>
        <v>33.517330000000001</v>
      </c>
      <c r="E42" s="2">
        <f t="shared" si="8"/>
        <v>5.1495675000000007</v>
      </c>
      <c r="F42" s="2">
        <f t="shared" si="9"/>
        <v>33.375539999999994</v>
      </c>
      <c r="G42" s="2">
        <f t="shared" si="5"/>
        <v>0.1089</v>
      </c>
      <c r="H42" s="2">
        <f t="shared" si="5"/>
        <v>0.45265000000000005</v>
      </c>
      <c r="I42" s="2">
        <f t="shared" si="5"/>
        <v>2.75E-2</v>
      </c>
      <c r="J42" s="2">
        <f t="shared" si="5"/>
        <v>8.25E-4</v>
      </c>
      <c r="K42" s="2">
        <f t="shared" si="5"/>
        <v>2.7500000000000003E-3</v>
      </c>
      <c r="L42" s="2">
        <f t="shared" si="5"/>
        <v>1.6664999999999999E-2</v>
      </c>
      <c r="M42" s="2">
        <f t="shared" si="5"/>
        <v>3.6850000000000001E-2</v>
      </c>
      <c r="N42" s="2">
        <f t="shared" si="5"/>
        <v>0</v>
      </c>
      <c r="O42" s="2">
        <f t="shared" si="5"/>
        <v>0</v>
      </c>
      <c r="P42" s="2">
        <f t="shared" si="5"/>
        <v>34.375</v>
      </c>
      <c r="Q42" s="2">
        <f t="shared" si="10"/>
        <v>55.825000000000003</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55</v>
      </c>
      <c r="C43" s="2">
        <f t="shared" si="6"/>
        <v>247.5</v>
      </c>
      <c r="D43" s="2">
        <f t="shared" si="7"/>
        <v>33.517330000000001</v>
      </c>
      <c r="E43" s="2">
        <f t="shared" si="8"/>
        <v>5.1495675000000007</v>
      </c>
      <c r="F43" s="2">
        <f t="shared" si="9"/>
        <v>33.375539999999994</v>
      </c>
      <c r="G43" s="2">
        <f t="shared" si="5"/>
        <v>0.1089</v>
      </c>
      <c r="H43" s="2">
        <f t="shared" si="5"/>
        <v>0.45265000000000005</v>
      </c>
      <c r="I43" s="2">
        <f t="shared" si="5"/>
        <v>2.75E-2</v>
      </c>
      <c r="J43" s="2">
        <f t="shared" si="5"/>
        <v>8.25E-4</v>
      </c>
      <c r="K43" s="2">
        <f t="shared" si="5"/>
        <v>2.7500000000000003E-3</v>
      </c>
      <c r="L43" s="2">
        <f t="shared" si="5"/>
        <v>1.6664999999999999E-2</v>
      </c>
      <c r="M43" s="2">
        <f t="shared" si="5"/>
        <v>3.6850000000000001E-2</v>
      </c>
      <c r="N43" s="2">
        <f t="shared" si="5"/>
        <v>0</v>
      </c>
      <c r="O43" s="2">
        <f t="shared" si="5"/>
        <v>0</v>
      </c>
      <c r="P43" s="2">
        <f t="shared" si="5"/>
        <v>34.375</v>
      </c>
      <c r="Q43" s="2">
        <f t="shared" si="10"/>
        <v>55.825000000000003</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55</v>
      </c>
      <c r="C44" s="2">
        <f t="shared" si="6"/>
        <v>247.5</v>
      </c>
      <c r="D44" s="2">
        <f t="shared" si="7"/>
        <v>33.517330000000001</v>
      </c>
      <c r="E44" s="2">
        <f t="shared" si="8"/>
        <v>5.1495675000000007</v>
      </c>
      <c r="F44" s="2">
        <f t="shared" si="9"/>
        <v>33.375539999999994</v>
      </c>
      <c r="G44" s="2">
        <f t="shared" si="5"/>
        <v>0.1089</v>
      </c>
      <c r="H44" s="2">
        <f t="shared" si="5"/>
        <v>0.45265000000000005</v>
      </c>
      <c r="I44" s="2">
        <f t="shared" si="5"/>
        <v>2.75E-2</v>
      </c>
      <c r="J44" s="2">
        <f t="shared" si="5"/>
        <v>8.25E-4</v>
      </c>
      <c r="K44" s="2">
        <f t="shared" si="5"/>
        <v>2.7500000000000003E-3</v>
      </c>
      <c r="L44" s="2">
        <f t="shared" si="5"/>
        <v>1.6664999999999999E-2</v>
      </c>
      <c r="M44" s="2">
        <f t="shared" si="5"/>
        <v>3.6850000000000001E-2</v>
      </c>
      <c r="N44" s="2">
        <f t="shared" si="5"/>
        <v>0</v>
      </c>
      <c r="O44" s="2">
        <f t="shared" si="5"/>
        <v>0</v>
      </c>
      <c r="P44" s="2">
        <f t="shared" si="5"/>
        <v>34.375</v>
      </c>
      <c r="Q44" s="2">
        <f t="shared" si="10"/>
        <v>55.825000000000003</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55</v>
      </c>
      <c r="C45" s="2">
        <f t="shared" si="6"/>
        <v>247.5</v>
      </c>
      <c r="D45" s="2">
        <f t="shared" si="7"/>
        <v>33.517330000000001</v>
      </c>
      <c r="E45" s="2">
        <f t="shared" si="8"/>
        <v>5.1495675000000007</v>
      </c>
      <c r="F45" s="2">
        <f t="shared" si="9"/>
        <v>33.375539999999994</v>
      </c>
      <c r="G45" s="2">
        <f t="shared" si="5"/>
        <v>0.1089</v>
      </c>
      <c r="H45" s="2">
        <f t="shared" si="5"/>
        <v>0.45265000000000005</v>
      </c>
      <c r="I45" s="2">
        <f t="shared" si="5"/>
        <v>2.75E-2</v>
      </c>
      <c r="J45" s="2">
        <f t="shared" si="5"/>
        <v>8.25E-4</v>
      </c>
      <c r="K45" s="2">
        <f t="shared" si="5"/>
        <v>2.7500000000000003E-3</v>
      </c>
      <c r="L45" s="2">
        <f t="shared" si="5"/>
        <v>1.6664999999999999E-2</v>
      </c>
      <c r="M45" s="2">
        <f t="shared" si="5"/>
        <v>3.6850000000000001E-2</v>
      </c>
      <c r="N45" s="2">
        <f t="shared" si="5"/>
        <v>0</v>
      </c>
      <c r="O45" s="2">
        <f t="shared" si="5"/>
        <v>0</v>
      </c>
      <c r="P45" s="2">
        <f t="shared" si="5"/>
        <v>34.375</v>
      </c>
      <c r="Q45" s="2">
        <f t="shared" si="10"/>
        <v>55.825000000000003</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55</v>
      </c>
      <c r="C46" s="2">
        <f t="shared" si="6"/>
        <v>247.5</v>
      </c>
      <c r="D46" s="2">
        <f t="shared" si="7"/>
        <v>33.517330000000001</v>
      </c>
      <c r="E46" s="2">
        <f t="shared" si="8"/>
        <v>5.1495675000000007</v>
      </c>
      <c r="F46" s="2">
        <f t="shared" si="9"/>
        <v>33.375539999999994</v>
      </c>
      <c r="G46" s="2">
        <f t="shared" si="5"/>
        <v>0.1089</v>
      </c>
      <c r="H46" s="2">
        <f t="shared" si="5"/>
        <v>0.45265000000000005</v>
      </c>
      <c r="I46" s="2">
        <f t="shared" si="5"/>
        <v>2.75E-2</v>
      </c>
      <c r="J46" s="2">
        <f t="shared" si="5"/>
        <v>8.25E-4</v>
      </c>
      <c r="K46" s="2">
        <f t="shared" si="5"/>
        <v>2.7500000000000003E-3</v>
      </c>
      <c r="L46" s="2">
        <f t="shared" si="5"/>
        <v>1.6664999999999999E-2</v>
      </c>
      <c r="M46" s="2">
        <f t="shared" si="5"/>
        <v>3.6850000000000001E-2</v>
      </c>
      <c r="N46" s="2">
        <f t="shared" si="5"/>
        <v>0</v>
      </c>
      <c r="O46" s="2">
        <f t="shared" si="5"/>
        <v>0</v>
      </c>
      <c r="P46" s="2">
        <f t="shared" si="5"/>
        <v>34.375</v>
      </c>
      <c r="Q46" s="2">
        <f t="shared" si="10"/>
        <v>55.825000000000003</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55</v>
      </c>
      <c r="C47" s="2">
        <f t="shared" si="6"/>
        <v>247.5</v>
      </c>
      <c r="D47" s="2">
        <f t="shared" si="7"/>
        <v>33.517330000000001</v>
      </c>
      <c r="E47" s="2">
        <f t="shared" si="8"/>
        <v>5.1495675000000007</v>
      </c>
      <c r="F47" s="2">
        <f t="shared" si="9"/>
        <v>33.375539999999994</v>
      </c>
      <c r="G47" s="2">
        <f t="shared" ref="G47:P50" si="12">IF(G$27="%w/w SAR",((G$28*10)*$B47),IF(G$27="%w/w DM",(((G$28*10)*($B$28/100))*$B47),IF(G$27="kg/t SAR",(G$28*$B47),IF(G$27="kg/t DM",((G$28*($B$28/100))*$B47),IF(G$27="mg/kg SAR",((G$28*0.001)*$B47),IF(G$27="mg/kg DM",(((G$28*0.001)*($B$28/100))*$B47),0))))))</f>
        <v>0.1089</v>
      </c>
      <c r="H47" s="2">
        <f t="shared" si="12"/>
        <v>0.45265000000000005</v>
      </c>
      <c r="I47" s="2">
        <f t="shared" si="12"/>
        <v>2.75E-2</v>
      </c>
      <c r="J47" s="2">
        <f t="shared" si="12"/>
        <v>8.25E-4</v>
      </c>
      <c r="K47" s="2">
        <f t="shared" si="12"/>
        <v>2.7500000000000003E-3</v>
      </c>
      <c r="L47" s="2">
        <f t="shared" si="12"/>
        <v>1.6664999999999999E-2</v>
      </c>
      <c r="M47" s="2">
        <f t="shared" si="12"/>
        <v>3.6850000000000001E-2</v>
      </c>
      <c r="N47" s="2">
        <f t="shared" si="12"/>
        <v>0</v>
      </c>
      <c r="O47" s="2">
        <f t="shared" si="12"/>
        <v>0</v>
      </c>
      <c r="P47" s="2">
        <f t="shared" si="12"/>
        <v>34.375</v>
      </c>
      <c r="Q47" s="2">
        <f t="shared" si="10"/>
        <v>55.825000000000003</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55</v>
      </c>
      <c r="C48" s="2">
        <f t="shared" si="6"/>
        <v>247.5</v>
      </c>
      <c r="D48" s="2">
        <f t="shared" si="7"/>
        <v>33.517330000000001</v>
      </c>
      <c r="E48" s="2">
        <f t="shared" si="8"/>
        <v>5.1495675000000007</v>
      </c>
      <c r="F48" s="2">
        <f t="shared" si="9"/>
        <v>33.375539999999994</v>
      </c>
      <c r="G48" s="2">
        <f t="shared" si="12"/>
        <v>0.1089</v>
      </c>
      <c r="H48" s="2">
        <f t="shared" si="12"/>
        <v>0.45265000000000005</v>
      </c>
      <c r="I48" s="2">
        <f t="shared" si="12"/>
        <v>2.75E-2</v>
      </c>
      <c r="J48" s="2">
        <f t="shared" si="12"/>
        <v>8.25E-4</v>
      </c>
      <c r="K48" s="2">
        <f t="shared" si="12"/>
        <v>2.7500000000000003E-3</v>
      </c>
      <c r="L48" s="2">
        <f t="shared" si="12"/>
        <v>1.6664999999999999E-2</v>
      </c>
      <c r="M48" s="2">
        <f t="shared" si="12"/>
        <v>3.6850000000000001E-2</v>
      </c>
      <c r="N48" s="2">
        <f t="shared" si="12"/>
        <v>0</v>
      </c>
      <c r="O48" s="2">
        <f t="shared" si="12"/>
        <v>0</v>
      </c>
      <c r="P48" s="2">
        <f t="shared" si="12"/>
        <v>34.375</v>
      </c>
      <c r="Q48" s="2">
        <f t="shared" si="10"/>
        <v>55.825000000000003</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"&amp;(VLOOKUP(C14,Table245811[],6,FALSE))</f>
        <v>Sandy Loam I Grass</v>
      </c>
      <c r="C58" s="44" t="str">
        <f>D16&amp;" I "&amp;(VLOOKUP(D14,Table245811[],6,FALSE))</f>
        <v>Sandy Loam I Grass</v>
      </c>
      <c r="D58" s="21" t="str">
        <f>E16&amp;" I "&amp;(VLOOKUP(E14,Table245811[],6,FALSE))</f>
        <v>Sandy Loam I Grass</v>
      </c>
      <c r="E58" s="21" t="str">
        <f>F16&amp;" I "&amp;(VLOOKUP(F14,Table245811[],6,FALSE))</f>
        <v>Sandy Loam I Grass</v>
      </c>
      <c r="F58" s="21" t="str">
        <f>G16&amp;" I "&amp;(VLOOKUP(G14,Table245811[],6,FALSE))</f>
        <v>Sandy Loam I Grass</v>
      </c>
      <c r="G58" s="21" t="str">
        <f>H16&amp;" I "&amp;(VLOOKUP(H14,Table245811[],6,FALSE))</f>
        <v>Sandy Loam I Grass</v>
      </c>
      <c r="H58" s="21" t="str">
        <f>I16&amp;" I "&amp;(VLOOKUP(I14,Table245811[],6,FALSE))</f>
        <v>Sandy Loam I Grass</v>
      </c>
      <c r="I58" s="21" t="str">
        <f>J16&amp;" I "&amp;(VLOOKUP(J14,Table245811[],6,FALSE))</f>
        <v>Sandy Loam I Grass</v>
      </c>
      <c r="J58" s="21" t="str">
        <f>K16&amp;" I "&amp;(VLOOKUP(K14,Table245811[],6,FALSE))</f>
        <v>Sandy Loam I Grass</v>
      </c>
      <c r="K58" s="21" t="str">
        <f>L16&amp;" I "&amp;(VLOOKUP(L14,Table245811[],6,FALSE))</f>
        <v>Sandy Loam I Grass</v>
      </c>
      <c r="L58" s="21" t="str">
        <f>M16&amp;" I "&amp;(VLOOKUP(M14,Table245811[],6,FALSE))</f>
        <v>Sandy Loam I Grass</v>
      </c>
      <c r="M58" s="21" t="str">
        <f>N16&amp;" I "&amp;(VLOOKUP(N14,Table245811[],6,FALSE))</f>
        <v>Sandy Loam I Grass</v>
      </c>
      <c r="N58" s="21" t="str">
        <f>O16&amp;" I "&amp;(VLOOKUP(O14,Table245811[],6,FALSE))</f>
        <v>Sandy Loam I Grass</v>
      </c>
      <c r="O58" s="21" t="str">
        <f>P16&amp;" I "&amp;(VLOOKUP(P14,Table245811[],6,FALSE))</f>
        <v>Sandy Loam I Grass</v>
      </c>
      <c r="P58" s="21" t="str">
        <f>Q16&amp;" I "&amp;(VLOOKUP(Q14,Table245811[],6,FALSE))</f>
        <v>Sandy Loam I Grass</v>
      </c>
      <c r="Q58" s="21" t="str">
        <f>R16&amp;" I "&amp;(VLOOKUP(R14,Table245811[],6,FALSE))</f>
        <v>Sandy Loam I Grass</v>
      </c>
      <c r="R58" s="21" t="str">
        <f>S16&amp;" I "&amp;(VLOOKUP(S14,Table245811[],6,FALSE))</f>
        <v>Sandy Loam I Grass</v>
      </c>
      <c r="S58" s="21" t="str">
        <f>T16&amp;" I "&amp;(VLOOKUP(T14,Table245811[],6,FALSE))</f>
        <v>Sandy Loam I Grass</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f>VLOOKUP(R$14,Table245811[],5,FALSE)</f>
        <v>6.2</v>
      </c>
      <c r="R59" s="93">
        <f>VLOOKUP(S$14,Table245811[],5,FALSE)</f>
        <v>6.2</v>
      </c>
      <c r="S59" s="93">
        <f>VLOOKUP(T$14,Table245811[],5,FALSE)</f>
        <v>6.2</v>
      </c>
      <c r="T59" s="93" t="e">
        <f>VLOOKUP(U$14,Table245811[],5,FALSE)</f>
        <v>#N/A</v>
      </c>
      <c r="U59" s="93" t="e">
        <f>VLOOKUP(V$14,Table245811[],5,FALSE)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55</v>
      </c>
      <c r="C62" s="94">
        <f>B32</f>
        <v>55</v>
      </c>
      <c r="D62" s="94">
        <f>B33</f>
        <v>55</v>
      </c>
      <c r="E62" s="94">
        <f>B34</f>
        <v>55</v>
      </c>
      <c r="F62" s="94">
        <f>B35</f>
        <v>55</v>
      </c>
      <c r="G62" s="94">
        <f>B36</f>
        <v>55</v>
      </c>
      <c r="H62" s="94">
        <f>B37</f>
        <v>55</v>
      </c>
      <c r="I62" s="94">
        <f>B38</f>
        <v>55</v>
      </c>
      <c r="J62" s="94">
        <f>B39</f>
        <v>55</v>
      </c>
      <c r="K62" s="94">
        <f>B40</f>
        <v>55</v>
      </c>
      <c r="L62" s="94">
        <f>B41</f>
        <v>55</v>
      </c>
      <c r="M62" s="94">
        <f>B42</f>
        <v>55</v>
      </c>
      <c r="N62" s="94">
        <f>B43</f>
        <v>55</v>
      </c>
      <c r="O62" s="94">
        <f>B44</f>
        <v>55</v>
      </c>
      <c r="P62" s="94">
        <f>B45</f>
        <v>55</v>
      </c>
      <c r="Q62" s="94">
        <f>B46</f>
        <v>55</v>
      </c>
      <c r="R62" s="94">
        <f>B47</f>
        <v>55</v>
      </c>
      <c r="S62" s="94">
        <f>B48</f>
        <v>55</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9" priority="30" operator="equal">
      <formula>"DECREASE"</formula>
    </cfRule>
    <cfRule type="cellIs" dxfId="318" priority="31" operator="equal">
      <formula>"INCREASE"</formula>
    </cfRule>
  </conditionalFormatting>
  <conditionalFormatting sqref="B62:U65 B31:B50">
    <cfRule type="cellIs" dxfId="317" priority="29" operator="greaterThan">
      <formula>$B$51</formula>
    </cfRule>
  </conditionalFormatting>
  <conditionalFormatting sqref="C31:C50">
    <cfRule type="cellIs" dxfId="316" priority="28" operator="greaterThan">
      <formula>$C$51</formula>
    </cfRule>
  </conditionalFormatting>
  <conditionalFormatting sqref="C18:V18">
    <cfRule type="cellIs" dxfId="315" priority="27" operator="equal">
      <formula>0</formula>
    </cfRule>
  </conditionalFormatting>
  <conditionalFormatting sqref="C17:V17">
    <cfRule type="cellIs" dxfId="314" priority="26" operator="equal">
      <formula>0</formula>
    </cfRule>
  </conditionalFormatting>
  <conditionalFormatting sqref="C19:V19">
    <cfRule type="cellIs" dxfId="313" priority="25" operator="equal">
      <formula>0</formula>
    </cfRule>
  </conditionalFormatting>
  <conditionalFormatting sqref="G31:G50">
    <cfRule type="cellIs" dxfId="312" priority="24" operator="greaterThan">
      <formula>$G$51</formula>
    </cfRule>
  </conditionalFormatting>
  <conditionalFormatting sqref="H31:H50">
    <cfRule type="cellIs" dxfId="311" priority="23" operator="greaterThan">
      <formula>$H$51</formula>
    </cfRule>
  </conditionalFormatting>
  <conditionalFormatting sqref="I31:I50">
    <cfRule type="cellIs" dxfId="310" priority="22" operator="greaterThan">
      <formula>$I$51</formula>
    </cfRule>
  </conditionalFormatting>
  <conditionalFormatting sqref="K31:K50">
    <cfRule type="cellIs" dxfId="309" priority="21" operator="greaterThan">
      <formula>$K$51</formula>
    </cfRule>
  </conditionalFormatting>
  <conditionalFormatting sqref="L31:L50">
    <cfRule type="cellIs" dxfId="308" priority="20" operator="greaterThan">
      <formula>$L$51</formula>
    </cfRule>
  </conditionalFormatting>
  <conditionalFormatting sqref="M31:M50">
    <cfRule type="cellIs" dxfId="307" priority="19" operator="greaterThan">
      <formula>$M$51</formula>
    </cfRule>
  </conditionalFormatting>
  <conditionalFormatting sqref="P31:P50">
    <cfRule type="cellIs" dxfId="306" priority="18" operator="greaterThan">
      <formula>$P$51</formula>
    </cfRule>
  </conditionalFormatting>
  <conditionalFormatting sqref="R31:R50">
    <cfRule type="cellIs" dxfId="305" priority="17" operator="greaterThan">
      <formula>$R$51</formula>
    </cfRule>
  </conditionalFormatting>
  <conditionalFormatting sqref="S31:S50">
    <cfRule type="cellIs" dxfId="304" priority="16" operator="greaterThan">
      <formula>$S$51</formula>
    </cfRule>
  </conditionalFormatting>
  <conditionalFormatting sqref="T31:T50">
    <cfRule type="cellIs" dxfId="303" priority="15" operator="greaterThan">
      <formula>$T$51</formula>
    </cfRule>
  </conditionalFormatting>
  <conditionalFormatting sqref="U31:U50">
    <cfRule type="cellIs" dxfId="302" priority="14" operator="greaterThan">
      <formula>$U$51</formula>
    </cfRule>
  </conditionalFormatting>
  <conditionalFormatting sqref="C22:V22">
    <cfRule type="cellIs" dxfId="301" priority="13" operator="equal">
      <formula>0</formula>
    </cfRule>
  </conditionalFormatting>
  <conditionalFormatting sqref="C24:V24">
    <cfRule type="cellIs" dxfId="300" priority="11" operator="equal">
      <formula>"DECREASE"</formula>
    </cfRule>
    <cfRule type="cellIs" dxfId="299" priority="12" operator="equal">
      <formula>"INCREASE"</formula>
    </cfRule>
  </conditionalFormatting>
  <conditionalFormatting sqref="C23:V23">
    <cfRule type="cellIs" dxfId="298" priority="10" operator="equal">
      <formula>0</formula>
    </cfRule>
  </conditionalFormatting>
  <conditionalFormatting sqref="I1">
    <cfRule type="cellIs" dxfId="297" priority="9" operator="lessThan">
      <formula>5</formula>
    </cfRule>
  </conditionalFormatting>
  <conditionalFormatting sqref="C21:V21">
    <cfRule type="cellIs" dxfId="296" priority="6" operator="equal">
      <formula>0</formula>
    </cfRule>
  </conditionalFormatting>
  <conditionalFormatting sqref="B65:U65">
    <cfRule type="cellIs" dxfId="295" priority="4" operator="equal">
      <formula>"UNDER"</formula>
    </cfRule>
    <cfRule type="cellIs" dxfId="294" priority="5" operator="equal">
      <formula>"OVER"</formula>
    </cfRule>
  </conditionalFormatting>
  <conditionalFormatting sqref="I2">
    <cfRule type="cellIs" dxfId="293" priority="3" operator="greaterThan">
      <formula>5000.1</formula>
    </cfRule>
  </conditionalFormatting>
  <conditionalFormatting sqref="I3">
    <cfRule type="cellIs" dxfId="292" priority="2" operator="greaterThan">
      <formula>4.1</formula>
    </cfRule>
  </conditionalFormatting>
  <conditionalFormatting sqref="J31:J50">
    <cfRule type="cellIs" dxfId="29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I1" sqref="I1:I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11.1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768</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0.14530000000000001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35.052300000000002</v>
      </c>
      <c r="D18" s="24">
        <f>$D32</f>
        <v>35.052300000000002</v>
      </c>
      <c r="E18" s="24">
        <f>$D33</f>
        <v>35.052300000000002</v>
      </c>
      <c r="F18" s="24">
        <f>$D34</f>
        <v>35.052300000000002</v>
      </c>
      <c r="G18" s="24">
        <f>$D35</f>
        <v>35.052300000000002</v>
      </c>
      <c r="H18" s="24">
        <f>$D36</f>
        <v>35.052300000000002</v>
      </c>
      <c r="I18" s="24">
        <f>$D37</f>
        <v>35.052300000000002</v>
      </c>
      <c r="J18" s="24">
        <f>$D38</f>
        <v>35.052300000000002</v>
      </c>
      <c r="K18" s="24">
        <f>$D39</f>
        <v>35.052300000000002</v>
      </c>
      <c r="L18" s="24">
        <f>$D40</f>
        <v>35.052300000000002</v>
      </c>
      <c r="M18" s="24">
        <f>$D41</f>
        <v>35.052300000000002</v>
      </c>
      <c r="N18" s="24">
        <f>$D42</f>
        <v>35.052300000000002</v>
      </c>
      <c r="O18" s="24">
        <f>$D43</f>
        <v>35.052300000000002</v>
      </c>
      <c r="P18" s="24">
        <f>$D44</f>
        <v>35.052300000000002</v>
      </c>
      <c r="Q18" s="24">
        <f>$D45</f>
        <v>35.052300000000002</v>
      </c>
      <c r="R18" s="24">
        <f>$D46</f>
        <v>35.052300000000002</v>
      </c>
      <c r="S18" s="24">
        <f>$D47</f>
        <v>35.052300000000002</v>
      </c>
      <c r="T18" s="24">
        <f>$D48</f>
        <v>35.052300000000002</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-29.547699999999992</v>
      </c>
      <c r="D19" s="24">
        <f t="shared" ref="D19:V19" si="1">D18-D17</f>
        <v>-29.547699999999992</v>
      </c>
      <c r="E19" s="24">
        <f t="shared" si="1"/>
        <v>-29.547699999999992</v>
      </c>
      <c r="F19" s="24">
        <f t="shared" si="1"/>
        <v>-29.547699999999992</v>
      </c>
      <c r="G19" s="24">
        <f t="shared" si="1"/>
        <v>-29.547699999999992</v>
      </c>
      <c r="H19" s="24">
        <f t="shared" si="1"/>
        <v>-29.547699999999992</v>
      </c>
      <c r="I19" s="24">
        <f t="shared" si="1"/>
        <v>-29.547699999999992</v>
      </c>
      <c r="J19" s="24">
        <f t="shared" si="1"/>
        <v>-29.547699999999992</v>
      </c>
      <c r="K19" s="24">
        <f t="shared" si="1"/>
        <v>-29.547699999999992</v>
      </c>
      <c r="L19" s="24">
        <f t="shared" si="1"/>
        <v>-29.547699999999992</v>
      </c>
      <c r="M19" s="24">
        <f t="shared" si="1"/>
        <v>-29.547699999999992</v>
      </c>
      <c r="N19" s="24">
        <f t="shared" si="1"/>
        <v>-29.547699999999992</v>
      </c>
      <c r="O19" s="24">
        <f t="shared" si="1"/>
        <v>-29.547699999999992</v>
      </c>
      <c r="P19" s="24">
        <f t="shared" si="1"/>
        <v>-29.547699999999992</v>
      </c>
      <c r="Q19" s="24">
        <f t="shared" si="1"/>
        <v>-29.547699999999992</v>
      </c>
      <c r="R19" s="24">
        <f t="shared" si="1"/>
        <v>-29.547699999999992</v>
      </c>
      <c r="S19" s="24">
        <f t="shared" si="1"/>
        <v>-29.547699999999992</v>
      </c>
      <c r="T19" s="24">
        <f t="shared" si="1"/>
        <v>-29.547699999999992</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17.382125000000002</v>
      </c>
      <c r="D22" s="24">
        <f>$E32</f>
        <v>17.382125000000002</v>
      </c>
      <c r="E22" s="24">
        <f>$E33</f>
        <v>17.382125000000002</v>
      </c>
      <c r="F22" s="24">
        <f>$E34</f>
        <v>17.382125000000002</v>
      </c>
      <c r="G22" s="24">
        <f>$E35</f>
        <v>17.382125000000002</v>
      </c>
      <c r="H22" s="24">
        <f>$E36</f>
        <v>17.382125000000002</v>
      </c>
      <c r="I22" s="24">
        <f>$E37</f>
        <v>17.382125000000002</v>
      </c>
      <c r="J22" s="24">
        <f>$E38</f>
        <v>17.382125000000002</v>
      </c>
      <c r="K22" s="24">
        <f>$E39</f>
        <v>17.382125000000002</v>
      </c>
      <c r="L22" s="24">
        <f>$E40</f>
        <v>17.382125000000002</v>
      </c>
      <c r="M22" s="24">
        <f>$E41</f>
        <v>17.382125000000002</v>
      </c>
      <c r="N22" s="24">
        <f>$E42</f>
        <v>17.382125000000002</v>
      </c>
      <c r="O22" s="24">
        <f>$E43</f>
        <v>17.382125000000002</v>
      </c>
      <c r="P22" s="24">
        <f>$E44</f>
        <v>17.382125000000002</v>
      </c>
      <c r="Q22" s="24">
        <f>$E45</f>
        <v>17.382125000000002</v>
      </c>
      <c r="R22" s="24">
        <f>$E46</f>
        <v>17.382125000000002</v>
      </c>
      <c r="S22" s="24">
        <f>$E47</f>
        <v>17.382125000000002</v>
      </c>
      <c r="T22" s="24">
        <f>$E48</f>
        <v>17.382125000000002</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-210.617875</v>
      </c>
      <c r="D23" s="24">
        <f t="shared" ref="D23:V23" si="3">D22-D21</f>
        <v>-210.617875</v>
      </c>
      <c r="E23" s="24">
        <f t="shared" si="3"/>
        <v>-210.617875</v>
      </c>
      <c r="F23" s="24">
        <f t="shared" si="3"/>
        <v>-210.617875</v>
      </c>
      <c r="G23" s="24">
        <f t="shared" si="3"/>
        <v>-210.617875</v>
      </c>
      <c r="H23" s="24">
        <f t="shared" si="3"/>
        <v>-210.617875</v>
      </c>
      <c r="I23" s="24">
        <f t="shared" si="3"/>
        <v>-210.617875</v>
      </c>
      <c r="J23" s="24">
        <f t="shared" si="3"/>
        <v>-210.617875</v>
      </c>
      <c r="K23" s="24">
        <f t="shared" si="3"/>
        <v>-210.617875</v>
      </c>
      <c r="L23" s="24">
        <f t="shared" si="3"/>
        <v>-210.617875</v>
      </c>
      <c r="M23" s="24">
        <f t="shared" si="3"/>
        <v>-210.617875</v>
      </c>
      <c r="N23" s="24">
        <f t="shared" si="3"/>
        <v>-210.617875</v>
      </c>
      <c r="O23" s="24">
        <f t="shared" si="3"/>
        <v>-210.617875</v>
      </c>
      <c r="P23" s="24">
        <f t="shared" si="3"/>
        <v>-210.617875</v>
      </c>
      <c r="Q23" s="24">
        <f t="shared" si="3"/>
        <v>-210.617875</v>
      </c>
      <c r="R23" s="24">
        <f t="shared" si="3"/>
        <v>-210.617875</v>
      </c>
      <c r="S23" s="24">
        <f t="shared" si="3"/>
        <v>-210.617875</v>
      </c>
      <c r="T23" s="24">
        <f t="shared" si="3"/>
        <v>-210.617875</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52</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1.2</v>
      </c>
      <c r="C28" s="23">
        <v>0.06</v>
      </c>
      <c r="D28" s="23">
        <v>61.2</v>
      </c>
      <c r="E28" s="23">
        <v>57.7</v>
      </c>
      <c r="F28" s="23">
        <v>10</v>
      </c>
      <c r="G28" s="23">
        <v>5.48</v>
      </c>
      <c r="H28" s="23">
        <v>2.63</v>
      </c>
      <c r="I28" s="23">
        <v>1.91</v>
      </c>
      <c r="J28" s="23">
        <v>0.01</v>
      </c>
      <c r="K28" s="30">
        <v>0.05</v>
      </c>
      <c r="L28" s="23">
        <v>0.2</v>
      </c>
      <c r="M28" s="23">
        <v>0.2</v>
      </c>
      <c r="N28" s="23"/>
      <c r="O28" s="23"/>
      <c r="P28" s="23">
        <v>859</v>
      </c>
      <c r="Q28" s="23">
        <v>82.1</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15</v>
      </c>
      <c r="D31" s="2">
        <f>(IF(D$27="%w/w SAR",((D$28*10)*$B31),IF(D$27="%w/w DM",(((D$28*10)*($B$28/100))*$B31),IF(D$27="kg/t SAR",(D$28*$B31),IF(D$27="kg/t DM",((D$28*($B$28/100))*$B31),IF(D$27="mg/kg SAR",((D$28*0.001)*$B31),IF(D$27="mg/kg DM",(((D$28*0.001)*($B$28/100))*$B31),"0")))))))*2.291</f>
        <v>35.052300000000002</v>
      </c>
      <c r="E31" s="2">
        <f>(IF(E$27="%w/w SAR",((E$28*10)*$B31),IF(E$27="%w/w DM",(((E$28*10)*($B$28/100))*$B31),IF(E$27="kg/t SAR",(E$28*$B31),IF(E$27="kg/t DM",((E$28*($B$28/100))*$B31),IF(E$27="mg/kg SAR",((E$28*0.001)*$B31),IF(E$27="mg/kg DM",(((E$28*0.001)*($B$28/100))*$B31),"0")))))))*1.205</f>
        <v>17.382125000000002</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1.37</v>
      </c>
      <c r="H31" s="2">
        <f t="shared" si="5"/>
        <v>0.65749999999999997</v>
      </c>
      <c r="I31" s="2">
        <f t="shared" si="5"/>
        <v>0.47749999999999998</v>
      </c>
      <c r="J31" s="2">
        <f t="shared" si="5"/>
        <v>2.5000000000000001E-3</v>
      </c>
      <c r="K31" s="2">
        <f t="shared" si="5"/>
        <v>1.2500000000000001E-2</v>
      </c>
      <c r="L31" s="2">
        <f t="shared" si="5"/>
        <v>0.05</v>
      </c>
      <c r="M31" s="2">
        <f t="shared" si="5"/>
        <v>0.05</v>
      </c>
      <c r="N31" s="2">
        <f t="shared" si="5"/>
        <v>0</v>
      </c>
      <c r="O31" s="2">
        <f t="shared" si="5"/>
        <v>0</v>
      </c>
      <c r="P31" s="2">
        <f t="shared" si="5"/>
        <v>214.75</v>
      </c>
      <c r="Q31" s="2">
        <f>(IF(Q$27="%w/w SAR",((Q$28*10)*$B31),IF(Q$27="%w/w DM",(((Q$28*10)*($B$28/100))*$B31),IF(Q$27="kg/t SAR",(Q$28*$B31),IF(Q$27="kg/t DM",((Q$28*($B$28/100))*$B31),IF(Q$27="mg/kg SAR",((Q$28*0.001)*$B31),IF(Q$27="mg/kg DM",(((Q$28*0.001)*($B$28/100))*$B31),0)))))))*2.5</f>
        <v>51.3125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15</v>
      </c>
      <c r="D32" s="2">
        <f t="shared" ref="D32:D50" si="7">(IF(D$27="%w/w SAR",((D$28*10)*$B32),IF(D$27="%w/w DM",(((D$28*10)*($B$28/100))*$B32),IF(D$27="kg/t SAR",(D$28*$B32),IF(D$27="kg/t DM",((D$28*($B$28/100))*$B32),IF(D$27="mg/kg SAR",((D$28*0.001)*$B32),IF(D$27="mg/kg DM",(((D$28*0.001)*($B$28/100))*$B32),"0")))))))*2.291</f>
        <v>35.052300000000002</v>
      </c>
      <c r="E32" s="2">
        <f t="shared" ref="E32:E50" si="8">(IF(E$27="%w/w SAR",((E$28*10)*$B32),IF(E$27="%w/w DM",(((E$28*10)*($B$28/100))*$B32),IF(E$27="kg/t SAR",(E$28*$B32),IF(E$27="kg/t DM",((E$28*($B$28/100))*$B32),IF(E$27="mg/kg SAR",((E$28*0.001)*$B32),IF(E$27="mg/kg DM",(((E$28*0.001)*($B$28/100))*$B32),"0")))))))*1.205</f>
        <v>17.382125000000002</v>
      </c>
      <c r="F32" s="2">
        <f t="shared" ref="F32:F50" si="9">(IF(F$27="%w/w SAR",((F$28*10)*$B32),IF(F$27="%w/w DM",(((F$28*10)*($B$28/100))*$B32),IF(F$27="kg/t SAR",(F$28*$B32),IF(F$27="kg/t DM",((F$28*($B$28/100))*$B32),IF(F$27="mg/kg SAR",((F$28*0.001)*$B32),IF(F$27="mg/kg DM",(((F$28*0.001)*($B$28/100))*$B32),"0")))))))*1.658</f>
        <v>4.1449999999999996</v>
      </c>
      <c r="G32" s="2">
        <f t="shared" si="5"/>
        <v>1.37</v>
      </c>
      <c r="H32" s="2">
        <f t="shared" si="5"/>
        <v>0.65749999999999997</v>
      </c>
      <c r="I32" s="2">
        <f t="shared" si="5"/>
        <v>0.47749999999999998</v>
      </c>
      <c r="J32" s="2">
        <f t="shared" si="5"/>
        <v>2.5000000000000001E-3</v>
      </c>
      <c r="K32" s="2">
        <f t="shared" si="5"/>
        <v>1.2500000000000001E-2</v>
      </c>
      <c r="L32" s="2">
        <f t="shared" si="5"/>
        <v>0.05</v>
      </c>
      <c r="M32" s="2">
        <f t="shared" si="5"/>
        <v>0.05</v>
      </c>
      <c r="N32" s="2">
        <f t="shared" si="5"/>
        <v>0</v>
      </c>
      <c r="O32" s="2">
        <f t="shared" si="5"/>
        <v>0</v>
      </c>
      <c r="P32" s="2">
        <f t="shared" si="5"/>
        <v>214.75</v>
      </c>
      <c r="Q32" s="2">
        <f t="shared" ref="Q32:Q50" si="10">(IF(Q$27="%w/w SAR",((Q$28*10)*$B32),IF(Q$27="%w/w DM",(((Q$28*10)*($B$28/100))*$B32),IF(Q$27="kg/t SAR",(Q$28*$B32),IF(Q$27="kg/t DM",((Q$28*($B$28/100))*$B32),IF(Q$27="mg/kg SAR",((Q$28*0.001)*$B32),IF(Q$27="mg/kg DM",(((Q$28*0.001)*($B$28/100))*$B32),0)))))))*2.5</f>
        <v>51.3125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250</v>
      </c>
      <c r="C33" s="2">
        <f t="shared" si="6"/>
        <v>15</v>
      </c>
      <c r="D33" s="2">
        <f t="shared" si="7"/>
        <v>35.052300000000002</v>
      </c>
      <c r="E33" s="2">
        <f t="shared" si="8"/>
        <v>17.382125000000002</v>
      </c>
      <c r="F33" s="2">
        <f t="shared" si="9"/>
        <v>4.1449999999999996</v>
      </c>
      <c r="G33" s="2">
        <f t="shared" si="5"/>
        <v>1.37</v>
      </c>
      <c r="H33" s="2">
        <f t="shared" si="5"/>
        <v>0.65749999999999997</v>
      </c>
      <c r="I33" s="2">
        <f t="shared" si="5"/>
        <v>0.47749999999999998</v>
      </c>
      <c r="J33" s="2">
        <f t="shared" si="5"/>
        <v>2.5000000000000001E-3</v>
      </c>
      <c r="K33" s="2">
        <f t="shared" si="5"/>
        <v>1.2500000000000001E-2</v>
      </c>
      <c r="L33" s="2">
        <f t="shared" si="5"/>
        <v>0.05</v>
      </c>
      <c r="M33" s="2">
        <f t="shared" si="5"/>
        <v>0.05</v>
      </c>
      <c r="N33" s="2">
        <f t="shared" si="5"/>
        <v>0</v>
      </c>
      <c r="O33" s="2">
        <f t="shared" si="5"/>
        <v>0</v>
      </c>
      <c r="P33" s="2">
        <f t="shared" si="5"/>
        <v>214.75</v>
      </c>
      <c r="Q33" s="2">
        <f t="shared" si="10"/>
        <v>51.3125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15</v>
      </c>
      <c r="D34" s="2">
        <f t="shared" si="7"/>
        <v>35.052300000000002</v>
      </c>
      <c r="E34" s="2">
        <f t="shared" si="8"/>
        <v>17.382125000000002</v>
      </c>
      <c r="F34" s="2">
        <f t="shared" si="9"/>
        <v>4.1449999999999996</v>
      </c>
      <c r="G34" s="2">
        <f t="shared" si="5"/>
        <v>1.37</v>
      </c>
      <c r="H34" s="2">
        <f t="shared" si="5"/>
        <v>0.65749999999999997</v>
      </c>
      <c r="I34" s="2">
        <f t="shared" si="5"/>
        <v>0.47749999999999998</v>
      </c>
      <c r="J34" s="2">
        <f t="shared" si="5"/>
        <v>2.5000000000000001E-3</v>
      </c>
      <c r="K34" s="2">
        <f t="shared" si="5"/>
        <v>1.2500000000000001E-2</v>
      </c>
      <c r="L34" s="2">
        <f t="shared" si="5"/>
        <v>0.05</v>
      </c>
      <c r="M34" s="2">
        <f t="shared" si="5"/>
        <v>0.05</v>
      </c>
      <c r="N34" s="2">
        <f t="shared" si="5"/>
        <v>0</v>
      </c>
      <c r="O34" s="2">
        <f t="shared" si="5"/>
        <v>0</v>
      </c>
      <c r="P34" s="2">
        <f t="shared" si="5"/>
        <v>214.75</v>
      </c>
      <c r="Q34" s="2">
        <f t="shared" si="10"/>
        <v>51.3125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250</v>
      </c>
      <c r="C35" s="2">
        <f t="shared" si="6"/>
        <v>15</v>
      </c>
      <c r="D35" s="2">
        <f t="shared" si="7"/>
        <v>35.052300000000002</v>
      </c>
      <c r="E35" s="2">
        <f t="shared" si="8"/>
        <v>17.382125000000002</v>
      </c>
      <c r="F35" s="2">
        <f t="shared" si="9"/>
        <v>4.1449999999999996</v>
      </c>
      <c r="G35" s="2">
        <f t="shared" si="5"/>
        <v>1.37</v>
      </c>
      <c r="H35" s="2">
        <f t="shared" si="5"/>
        <v>0.65749999999999997</v>
      </c>
      <c r="I35" s="2">
        <f t="shared" si="5"/>
        <v>0.47749999999999998</v>
      </c>
      <c r="J35" s="2">
        <f t="shared" si="5"/>
        <v>2.5000000000000001E-3</v>
      </c>
      <c r="K35" s="2">
        <f t="shared" si="5"/>
        <v>1.2500000000000001E-2</v>
      </c>
      <c r="L35" s="2">
        <f t="shared" si="5"/>
        <v>0.05</v>
      </c>
      <c r="M35" s="2">
        <f t="shared" si="5"/>
        <v>0.05</v>
      </c>
      <c r="N35" s="2">
        <f t="shared" si="5"/>
        <v>0</v>
      </c>
      <c r="O35" s="2">
        <f t="shared" si="5"/>
        <v>0</v>
      </c>
      <c r="P35" s="2">
        <f t="shared" si="5"/>
        <v>214.75</v>
      </c>
      <c r="Q35" s="2">
        <f t="shared" si="10"/>
        <v>51.3125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250</v>
      </c>
      <c r="C36" s="2">
        <f t="shared" si="6"/>
        <v>15</v>
      </c>
      <c r="D36" s="2">
        <f t="shared" si="7"/>
        <v>35.052300000000002</v>
      </c>
      <c r="E36" s="2">
        <f t="shared" si="8"/>
        <v>17.382125000000002</v>
      </c>
      <c r="F36" s="2">
        <f t="shared" si="9"/>
        <v>4.1449999999999996</v>
      </c>
      <c r="G36" s="2">
        <f t="shared" si="5"/>
        <v>1.37</v>
      </c>
      <c r="H36" s="2">
        <f t="shared" si="5"/>
        <v>0.65749999999999997</v>
      </c>
      <c r="I36" s="2">
        <f t="shared" si="5"/>
        <v>0.47749999999999998</v>
      </c>
      <c r="J36" s="2">
        <f t="shared" si="5"/>
        <v>2.5000000000000001E-3</v>
      </c>
      <c r="K36" s="2">
        <f t="shared" si="5"/>
        <v>1.2500000000000001E-2</v>
      </c>
      <c r="L36" s="2">
        <f t="shared" si="5"/>
        <v>0.05</v>
      </c>
      <c r="M36" s="2">
        <f t="shared" si="5"/>
        <v>0.05</v>
      </c>
      <c r="N36" s="2">
        <f t="shared" si="5"/>
        <v>0</v>
      </c>
      <c r="O36" s="2">
        <f t="shared" si="5"/>
        <v>0</v>
      </c>
      <c r="P36" s="2">
        <f t="shared" si="5"/>
        <v>214.75</v>
      </c>
      <c r="Q36" s="2">
        <f t="shared" si="10"/>
        <v>51.3125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250</v>
      </c>
      <c r="C37" s="2">
        <f t="shared" si="6"/>
        <v>15</v>
      </c>
      <c r="D37" s="2">
        <f t="shared" si="7"/>
        <v>35.052300000000002</v>
      </c>
      <c r="E37" s="2">
        <f t="shared" si="8"/>
        <v>17.382125000000002</v>
      </c>
      <c r="F37" s="2">
        <f t="shared" si="9"/>
        <v>4.1449999999999996</v>
      </c>
      <c r="G37" s="2">
        <f t="shared" si="5"/>
        <v>1.37</v>
      </c>
      <c r="H37" s="2">
        <f t="shared" si="5"/>
        <v>0.65749999999999997</v>
      </c>
      <c r="I37" s="2">
        <f t="shared" si="5"/>
        <v>0.47749999999999998</v>
      </c>
      <c r="J37" s="2">
        <f t="shared" si="5"/>
        <v>2.5000000000000001E-3</v>
      </c>
      <c r="K37" s="2">
        <f t="shared" si="5"/>
        <v>1.2500000000000001E-2</v>
      </c>
      <c r="L37" s="2">
        <f t="shared" si="5"/>
        <v>0.05</v>
      </c>
      <c r="M37" s="2">
        <f t="shared" si="5"/>
        <v>0.05</v>
      </c>
      <c r="N37" s="2">
        <f t="shared" si="5"/>
        <v>0</v>
      </c>
      <c r="O37" s="2">
        <f t="shared" si="5"/>
        <v>0</v>
      </c>
      <c r="P37" s="2">
        <f t="shared" si="5"/>
        <v>214.75</v>
      </c>
      <c r="Q37" s="2">
        <f t="shared" si="10"/>
        <v>51.3125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250</v>
      </c>
      <c r="C38" s="2">
        <f t="shared" si="6"/>
        <v>15</v>
      </c>
      <c r="D38" s="2">
        <f t="shared" si="7"/>
        <v>35.052300000000002</v>
      </c>
      <c r="E38" s="2">
        <f t="shared" si="8"/>
        <v>17.382125000000002</v>
      </c>
      <c r="F38" s="2">
        <f t="shared" si="9"/>
        <v>4.1449999999999996</v>
      </c>
      <c r="G38" s="2">
        <f t="shared" si="5"/>
        <v>1.37</v>
      </c>
      <c r="H38" s="2">
        <f t="shared" si="5"/>
        <v>0.65749999999999997</v>
      </c>
      <c r="I38" s="2">
        <f t="shared" si="5"/>
        <v>0.47749999999999998</v>
      </c>
      <c r="J38" s="2">
        <f t="shared" si="5"/>
        <v>2.5000000000000001E-3</v>
      </c>
      <c r="K38" s="2">
        <f t="shared" si="5"/>
        <v>1.2500000000000001E-2</v>
      </c>
      <c r="L38" s="2">
        <f t="shared" si="5"/>
        <v>0.05</v>
      </c>
      <c r="M38" s="2">
        <f t="shared" si="5"/>
        <v>0.05</v>
      </c>
      <c r="N38" s="2">
        <f t="shared" si="5"/>
        <v>0</v>
      </c>
      <c r="O38" s="2">
        <f t="shared" si="5"/>
        <v>0</v>
      </c>
      <c r="P38" s="2">
        <f t="shared" si="5"/>
        <v>214.75</v>
      </c>
      <c r="Q38" s="2">
        <f t="shared" si="10"/>
        <v>51.3125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250</v>
      </c>
      <c r="C39" s="2">
        <f t="shared" si="6"/>
        <v>15</v>
      </c>
      <c r="D39" s="2">
        <f t="shared" si="7"/>
        <v>35.052300000000002</v>
      </c>
      <c r="E39" s="2">
        <f t="shared" si="8"/>
        <v>17.382125000000002</v>
      </c>
      <c r="F39" s="2">
        <f t="shared" si="9"/>
        <v>4.1449999999999996</v>
      </c>
      <c r="G39" s="2">
        <f t="shared" si="5"/>
        <v>1.37</v>
      </c>
      <c r="H39" s="2">
        <f t="shared" si="5"/>
        <v>0.65749999999999997</v>
      </c>
      <c r="I39" s="2">
        <f t="shared" si="5"/>
        <v>0.47749999999999998</v>
      </c>
      <c r="J39" s="2">
        <f t="shared" si="5"/>
        <v>2.5000000000000001E-3</v>
      </c>
      <c r="K39" s="2">
        <f t="shared" si="5"/>
        <v>1.2500000000000001E-2</v>
      </c>
      <c r="L39" s="2">
        <f t="shared" si="5"/>
        <v>0.05</v>
      </c>
      <c r="M39" s="2">
        <f t="shared" si="5"/>
        <v>0.05</v>
      </c>
      <c r="N39" s="2">
        <f t="shared" si="5"/>
        <v>0</v>
      </c>
      <c r="O39" s="2">
        <f t="shared" si="5"/>
        <v>0</v>
      </c>
      <c r="P39" s="2">
        <f t="shared" si="5"/>
        <v>214.75</v>
      </c>
      <c r="Q39" s="2">
        <f t="shared" si="10"/>
        <v>51.3125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250</v>
      </c>
      <c r="C40" s="2">
        <f t="shared" si="6"/>
        <v>15</v>
      </c>
      <c r="D40" s="2">
        <f t="shared" si="7"/>
        <v>35.052300000000002</v>
      </c>
      <c r="E40" s="2">
        <f t="shared" si="8"/>
        <v>17.382125000000002</v>
      </c>
      <c r="F40" s="2">
        <f t="shared" si="9"/>
        <v>4.1449999999999996</v>
      </c>
      <c r="G40" s="2">
        <f t="shared" si="5"/>
        <v>1.37</v>
      </c>
      <c r="H40" s="2">
        <f t="shared" si="5"/>
        <v>0.65749999999999997</v>
      </c>
      <c r="I40" s="2">
        <f t="shared" si="5"/>
        <v>0.47749999999999998</v>
      </c>
      <c r="J40" s="2">
        <f t="shared" si="5"/>
        <v>2.5000000000000001E-3</v>
      </c>
      <c r="K40" s="2">
        <f t="shared" si="5"/>
        <v>1.2500000000000001E-2</v>
      </c>
      <c r="L40" s="2">
        <f t="shared" si="5"/>
        <v>0.05</v>
      </c>
      <c r="M40" s="2">
        <f t="shared" si="5"/>
        <v>0.05</v>
      </c>
      <c r="N40" s="2">
        <f t="shared" si="5"/>
        <v>0</v>
      </c>
      <c r="O40" s="2">
        <f t="shared" si="5"/>
        <v>0</v>
      </c>
      <c r="P40" s="2">
        <f t="shared" si="5"/>
        <v>214.75</v>
      </c>
      <c r="Q40" s="2">
        <f t="shared" si="10"/>
        <v>51.3125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250</v>
      </c>
      <c r="C41" s="2">
        <f t="shared" si="6"/>
        <v>15</v>
      </c>
      <c r="D41" s="2">
        <f t="shared" si="7"/>
        <v>35.052300000000002</v>
      </c>
      <c r="E41" s="2">
        <f t="shared" si="8"/>
        <v>17.382125000000002</v>
      </c>
      <c r="F41" s="2">
        <f t="shared" si="9"/>
        <v>4.1449999999999996</v>
      </c>
      <c r="G41" s="2">
        <f t="shared" si="5"/>
        <v>1.37</v>
      </c>
      <c r="H41" s="2">
        <f t="shared" si="5"/>
        <v>0.65749999999999997</v>
      </c>
      <c r="I41" s="2">
        <f t="shared" si="5"/>
        <v>0.47749999999999998</v>
      </c>
      <c r="J41" s="2">
        <f t="shared" si="5"/>
        <v>2.5000000000000001E-3</v>
      </c>
      <c r="K41" s="2">
        <f t="shared" si="5"/>
        <v>1.2500000000000001E-2</v>
      </c>
      <c r="L41" s="2">
        <f t="shared" si="5"/>
        <v>0.05</v>
      </c>
      <c r="M41" s="2">
        <f t="shared" si="5"/>
        <v>0.05</v>
      </c>
      <c r="N41" s="2">
        <f t="shared" si="5"/>
        <v>0</v>
      </c>
      <c r="O41" s="2">
        <f t="shared" si="5"/>
        <v>0</v>
      </c>
      <c r="P41" s="2">
        <f t="shared" si="5"/>
        <v>214.75</v>
      </c>
      <c r="Q41" s="2">
        <f t="shared" si="10"/>
        <v>51.3125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250</v>
      </c>
      <c r="C42" s="2">
        <f t="shared" si="6"/>
        <v>15</v>
      </c>
      <c r="D42" s="2">
        <f t="shared" si="7"/>
        <v>35.052300000000002</v>
      </c>
      <c r="E42" s="2">
        <f t="shared" si="8"/>
        <v>17.382125000000002</v>
      </c>
      <c r="F42" s="2">
        <f t="shared" si="9"/>
        <v>4.1449999999999996</v>
      </c>
      <c r="G42" s="2">
        <f t="shared" si="5"/>
        <v>1.37</v>
      </c>
      <c r="H42" s="2">
        <f t="shared" si="5"/>
        <v>0.65749999999999997</v>
      </c>
      <c r="I42" s="2">
        <f t="shared" si="5"/>
        <v>0.47749999999999998</v>
      </c>
      <c r="J42" s="2">
        <f t="shared" si="5"/>
        <v>2.5000000000000001E-3</v>
      </c>
      <c r="K42" s="2">
        <f t="shared" si="5"/>
        <v>1.2500000000000001E-2</v>
      </c>
      <c r="L42" s="2">
        <f t="shared" si="5"/>
        <v>0.05</v>
      </c>
      <c r="M42" s="2">
        <f t="shared" si="5"/>
        <v>0.05</v>
      </c>
      <c r="N42" s="2">
        <f t="shared" si="5"/>
        <v>0</v>
      </c>
      <c r="O42" s="2">
        <f t="shared" si="5"/>
        <v>0</v>
      </c>
      <c r="P42" s="2">
        <f t="shared" si="5"/>
        <v>214.75</v>
      </c>
      <c r="Q42" s="2">
        <f t="shared" si="10"/>
        <v>51.3125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250</v>
      </c>
      <c r="C43" s="2">
        <f t="shared" si="6"/>
        <v>15</v>
      </c>
      <c r="D43" s="2">
        <f t="shared" si="7"/>
        <v>35.052300000000002</v>
      </c>
      <c r="E43" s="2">
        <f t="shared" si="8"/>
        <v>17.382125000000002</v>
      </c>
      <c r="F43" s="2">
        <f t="shared" si="9"/>
        <v>4.1449999999999996</v>
      </c>
      <c r="G43" s="2">
        <f t="shared" si="5"/>
        <v>1.37</v>
      </c>
      <c r="H43" s="2">
        <f t="shared" si="5"/>
        <v>0.65749999999999997</v>
      </c>
      <c r="I43" s="2">
        <f t="shared" si="5"/>
        <v>0.47749999999999998</v>
      </c>
      <c r="J43" s="2">
        <f t="shared" si="5"/>
        <v>2.5000000000000001E-3</v>
      </c>
      <c r="K43" s="2">
        <f t="shared" si="5"/>
        <v>1.2500000000000001E-2</v>
      </c>
      <c r="L43" s="2">
        <f t="shared" si="5"/>
        <v>0.05</v>
      </c>
      <c r="M43" s="2">
        <f t="shared" si="5"/>
        <v>0.05</v>
      </c>
      <c r="N43" s="2">
        <f t="shared" si="5"/>
        <v>0</v>
      </c>
      <c r="O43" s="2">
        <f t="shared" si="5"/>
        <v>0</v>
      </c>
      <c r="P43" s="2">
        <f t="shared" si="5"/>
        <v>214.75</v>
      </c>
      <c r="Q43" s="2">
        <f t="shared" si="10"/>
        <v>51.3125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250</v>
      </c>
      <c r="C44" s="2">
        <f t="shared" si="6"/>
        <v>15</v>
      </c>
      <c r="D44" s="2">
        <f t="shared" si="7"/>
        <v>35.052300000000002</v>
      </c>
      <c r="E44" s="2">
        <f t="shared" si="8"/>
        <v>17.382125000000002</v>
      </c>
      <c r="F44" s="2">
        <f t="shared" si="9"/>
        <v>4.1449999999999996</v>
      </c>
      <c r="G44" s="2">
        <f t="shared" si="5"/>
        <v>1.37</v>
      </c>
      <c r="H44" s="2">
        <f t="shared" si="5"/>
        <v>0.65749999999999997</v>
      </c>
      <c r="I44" s="2">
        <f t="shared" si="5"/>
        <v>0.47749999999999998</v>
      </c>
      <c r="J44" s="2">
        <f t="shared" si="5"/>
        <v>2.5000000000000001E-3</v>
      </c>
      <c r="K44" s="2">
        <f t="shared" si="5"/>
        <v>1.2500000000000001E-2</v>
      </c>
      <c r="L44" s="2">
        <f t="shared" si="5"/>
        <v>0.05</v>
      </c>
      <c r="M44" s="2">
        <f t="shared" si="5"/>
        <v>0.05</v>
      </c>
      <c r="N44" s="2">
        <f t="shared" si="5"/>
        <v>0</v>
      </c>
      <c r="O44" s="2">
        <f t="shared" si="5"/>
        <v>0</v>
      </c>
      <c r="P44" s="2">
        <f t="shared" si="5"/>
        <v>214.75</v>
      </c>
      <c r="Q44" s="2">
        <f t="shared" si="10"/>
        <v>51.3125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250</v>
      </c>
      <c r="C45" s="2">
        <f t="shared" si="6"/>
        <v>15</v>
      </c>
      <c r="D45" s="2">
        <f t="shared" si="7"/>
        <v>35.052300000000002</v>
      </c>
      <c r="E45" s="2">
        <f t="shared" si="8"/>
        <v>17.382125000000002</v>
      </c>
      <c r="F45" s="2">
        <f t="shared" si="9"/>
        <v>4.1449999999999996</v>
      </c>
      <c r="G45" s="2">
        <f t="shared" si="5"/>
        <v>1.37</v>
      </c>
      <c r="H45" s="2">
        <f t="shared" si="5"/>
        <v>0.65749999999999997</v>
      </c>
      <c r="I45" s="2">
        <f t="shared" si="5"/>
        <v>0.47749999999999998</v>
      </c>
      <c r="J45" s="2">
        <f t="shared" si="5"/>
        <v>2.5000000000000001E-3</v>
      </c>
      <c r="K45" s="2">
        <f t="shared" si="5"/>
        <v>1.2500000000000001E-2</v>
      </c>
      <c r="L45" s="2">
        <f t="shared" si="5"/>
        <v>0.05</v>
      </c>
      <c r="M45" s="2">
        <f t="shared" si="5"/>
        <v>0.05</v>
      </c>
      <c r="N45" s="2">
        <f t="shared" si="5"/>
        <v>0</v>
      </c>
      <c r="O45" s="2">
        <f t="shared" si="5"/>
        <v>0</v>
      </c>
      <c r="P45" s="2">
        <f t="shared" si="5"/>
        <v>214.75</v>
      </c>
      <c r="Q45" s="2">
        <f t="shared" si="10"/>
        <v>51.3125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250</v>
      </c>
      <c r="C46" s="2">
        <f t="shared" si="6"/>
        <v>15</v>
      </c>
      <c r="D46" s="2">
        <f t="shared" si="7"/>
        <v>35.052300000000002</v>
      </c>
      <c r="E46" s="2">
        <f t="shared" si="8"/>
        <v>17.382125000000002</v>
      </c>
      <c r="F46" s="2">
        <f t="shared" si="9"/>
        <v>4.1449999999999996</v>
      </c>
      <c r="G46" s="2">
        <f t="shared" si="5"/>
        <v>1.37</v>
      </c>
      <c r="H46" s="2">
        <f t="shared" si="5"/>
        <v>0.65749999999999997</v>
      </c>
      <c r="I46" s="2">
        <f t="shared" si="5"/>
        <v>0.47749999999999998</v>
      </c>
      <c r="J46" s="2">
        <f t="shared" si="5"/>
        <v>2.5000000000000001E-3</v>
      </c>
      <c r="K46" s="2">
        <f t="shared" si="5"/>
        <v>1.2500000000000001E-2</v>
      </c>
      <c r="L46" s="2">
        <f t="shared" si="5"/>
        <v>0.05</v>
      </c>
      <c r="M46" s="2">
        <f t="shared" si="5"/>
        <v>0.05</v>
      </c>
      <c r="N46" s="2">
        <f t="shared" si="5"/>
        <v>0</v>
      </c>
      <c r="O46" s="2">
        <f t="shared" si="5"/>
        <v>0</v>
      </c>
      <c r="P46" s="2">
        <f t="shared" si="5"/>
        <v>214.75</v>
      </c>
      <c r="Q46" s="2">
        <f t="shared" si="10"/>
        <v>51.3125</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250</v>
      </c>
      <c r="C47" s="2">
        <f t="shared" si="6"/>
        <v>15</v>
      </c>
      <c r="D47" s="2">
        <f t="shared" si="7"/>
        <v>35.052300000000002</v>
      </c>
      <c r="E47" s="2">
        <f t="shared" si="8"/>
        <v>17.382125000000002</v>
      </c>
      <c r="F47" s="2">
        <f t="shared" si="9"/>
        <v>4.1449999999999996</v>
      </c>
      <c r="G47" s="2">
        <f t="shared" ref="G47:P50" si="12">IF(G$27="%w/w SAR",((G$28*10)*$B47),IF(G$27="%w/w DM",(((G$28*10)*($B$28/100))*$B47),IF(G$27="kg/t SAR",(G$28*$B47),IF(G$27="kg/t DM",((G$28*($B$28/100))*$B47),IF(G$27="mg/kg SAR",((G$28*0.001)*$B47),IF(G$27="mg/kg DM",(((G$28*0.001)*($B$28/100))*$B47),0))))))</f>
        <v>1.37</v>
      </c>
      <c r="H47" s="2">
        <f t="shared" si="12"/>
        <v>0.65749999999999997</v>
      </c>
      <c r="I47" s="2">
        <f t="shared" si="12"/>
        <v>0.47749999999999998</v>
      </c>
      <c r="J47" s="2">
        <f t="shared" si="12"/>
        <v>2.5000000000000001E-3</v>
      </c>
      <c r="K47" s="2">
        <f t="shared" si="12"/>
        <v>1.2500000000000001E-2</v>
      </c>
      <c r="L47" s="2">
        <f t="shared" si="12"/>
        <v>0.05</v>
      </c>
      <c r="M47" s="2">
        <f t="shared" si="12"/>
        <v>0.05</v>
      </c>
      <c r="N47" s="2">
        <f t="shared" si="12"/>
        <v>0</v>
      </c>
      <c r="O47" s="2">
        <f t="shared" si="12"/>
        <v>0</v>
      </c>
      <c r="P47" s="2">
        <f t="shared" si="12"/>
        <v>214.75</v>
      </c>
      <c r="Q47" s="2">
        <f t="shared" si="10"/>
        <v>51.3125</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250</v>
      </c>
      <c r="C48" s="2">
        <f t="shared" si="6"/>
        <v>15</v>
      </c>
      <c r="D48" s="2">
        <f t="shared" si="7"/>
        <v>35.052300000000002</v>
      </c>
      <c r="E48" s="2">
        <f t="shared" si="8"/>
        <v>17.382125000000002</v>
      </c>
      <c r="F48" s="2">
        <f t="shared" si="9"/>
        <v>4.1449999999999996</v>
      </c>
      <c r="G48" s="2">
        <f t="shared" si="12"/>
        <v>1.37</v>
      </c>
      <c r="H48" s="2">
        <f t="shared" si="12"/>
        <v>0.65749999999999997</v>
      </c>
      <c r="I48" s="2">
        <f t="shared" si="12"/>
        <v>0.47749999999999998</v>
      </c>
      <c r="J48" s="2">
        <f t="shared" si="12"/>
        <v>2.5000000000000001E-3</v>
      </c>
      <c r="K48" s="2">
        <f t="shared" si="12"/>
        <v>1.2500000000000001E-2</v>
      </c>
      <c r="L48" s="2">
        <f t="shared" si="12"/>
        <v>0.05</v>
      </c>
      <c r="M48" s="2">
        <f t="shared" si="12"/>
        <v>0.05</v>
      </c>
      <c r="N48" s="2">
        <f t="shared" si="12"/>
        <v>0</v>
      </c>
      <c r="O48" s="2">
        <f t="shared" si="12"/>
        <v>0</v>
      </c>
      <c r="P48" s="2">
        <f t="shared" si="12"/>
        <v>214.75</v>
      </c>
      <c r="Q48" s="2">
        <f t="shared" si="10"/>
        <v>51.3125</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"&amp;(VLOOKUP(C14,Table24581112[],6,FALSE))</f>
        <v>Sandy Loam I Grass</v>
      </c>
      <c r="C58" s="44" t="str">
        <f>D16&amp;" I "&amp;(VLOOKUP(D14,Table24581112[],6,FALSE))</f>
        <v>Sandy Loam I Grass</v>
      </c>
      <c r="D58" s="21" t="str">
        <f>E16&amp;" I "&amp;(VLOOKUP(E14,Table24581112[],6,FALSE))</f>
        <v>Sandy Loam I Grass</v>
      </c>
      <c r="E58" s="21" t="str">
        <f>F16&amp;" I "&amp;(VLOOKUP(F14,Table24581112[],6,FALSE))</f>
        <v>Sandy Loam I Grass</v>
      </c>
      <c r="F58" s="21" t="str">
        <f>G16&amp;" I "&amp;(VLOOKUP(G14,Table24581112[],6,FALSE))</f>
        <v>Sandy Loam I Grass</v>
      </c>
      <c r="G58" s="21" t="str">
        <f>H16&amp;" I "&amp;(VLOOKUP(H14,Table24581112[],6,FALSE))</f>
        <v>Sandy Loam I Grass</v>
      </c>
      <c r="H58" s="21" t="str">
        <f>I16&amp;" I "&amp;(VLOOKUP(I14,Table24581112[],6,FALSE))</f>
        <v>Sandy Loam I Grass</v>
      </c>
      <c r="I58" s="21" t="str">
        <f>J16&amp;" I "&amp;(VLOOKUP(J14,Table24581112[],6,FALSE))</f>
        <v>Sandy Loam I Grass</v>
      </c>
      <c r="J58" s="21" t="str">
        <f>K16&amp;" I "&amp;(VLOOKUP(K14,Table24581112[],6,FALSE))</f>
        <v>Sandy Loam I Grass</v>
      </c>
      <c r="K58" s="21" t="str">
        <f>L16&amp;" I "&amp;(VLOOKUP(L14,Table24581112[],6,FALSE))</f>
        <v>Sandy Loam I Grass</v>
      </c>
      <c r="L58" s="21" t="str">
        <f>M16&amp;" I "&amp;(VLOOKUP(M14,Table24581112[],6,FALSE))</f>
        <v>Sandy Loam I Grass</v>
      </c>
      <c r="M58" s="21" t="str">
        <f>N16&amp;" I "&amp;(VLOOKUP(N14,Table24581112[],6,FALSE))</f>
        <v>Sandy Loam I Grass</v>
      </c>
      <c r="N58" s="21" t="str">
        <f>O16&amp;" I "&amp;(VLOOKUP(O14,Table24581112[],6,FALSE))</f>
        <v>Sandy Loam I Grass</v>
      </c>
      <c r="O58" s="21" t="str">
        <f>P16&amp;" I "&amp;(VLOOKUP(P14,Table24581112[],6,FALSE))</f>
        <v>Sandy Loam I Grass</v>
      </c>
      <c r="P58" s="21" t="str">
        <f>Q16&amp;" I "&amp;(VLOOKUP(Q14,Table24581112[],6,FALSE))</f>
        <v>Sandy Loam I Grass</v>
      </c>
      <c r="Q58" s="21" t="str">
        <f>R16&amp;" I "&amp;(VLOOKUP(R14,Table24581112[],6,FALSE))</f>
        <v>Sandy Loam I Grass</v>
      </c>
      <c r="R58" s="21" t="str">
        <f>S16&amp;" I "&amp;(VLOOKUP(S14,Table24581112[],6,FALSE))</f>
        <v>Sandy Loam I Grass</v>
      </c>
      <c r="S58" s="21" t="str">
        <f>T16&amp;" I "&amp;(VLOOKUP(T14,Table24581112[],6,FALSE))</f>
        <v>Sandy Loam I Grass</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f>VLOOKUP(O$14,Table24581112[],5,FALSE)</f>
        <v>6.2</v>
      </c>
      <c r="O59" s="93">
        <f>VLOOKUP(P$14,Table24581112[],5,FALSE)</f>
        <v>6.2</v>
      </c>
      <c r="P59" s="93">
        <f>VLOOKUP(Q$14,Table24581112[],5,FALSE)</f>
        <v>6.2</v>
      </c>
      <c r="Q59" s="93">
        <f>VLOOKUP(R$14,Table24581112[],5,FALSE)</f>
        <v>6.2</v>
      </c>
      <c r="R59" s="93">
        <f>VLOOKUP(S$14,Table24581112[],5,FALSE)</f>
        <v>6.2</v>
      </c>
      <c r="S59" s="93">
        <f>VLOOKUP(T$14,Table24581112[],5,FALSE)</f>
        <v>6.2</v>
      </c>
      <c r="T59" s="93" t="e">
        <f>VLOOKUP(U$14,Table24581112[],5,FALSE)</f>
        <v>#N/A</v>
      </c>
      <c r="U59" s="93" t="e">
        <f>VLOOKUP(V$14,Table24581112[],5,FALSE)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I1" sqref="I1:I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6.96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172</v>
      </c>
      <c r="G2" s="108" t="s">
        <v>107</v>
      </c>
      <c r="H2" s="109"/>
      <c r="I2" s="35">
        <v>887</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64.439873399999996</v>
      </c>
      <c r="D18" s="24">
        <f>$D32</f>
        <v>64.439873399999996</v>
      </c>
      <c r="E18" s="24">
        <f>$D33</f>
        <v>64.439873399999996</v>
      </c>
      <c r="F18" s="24">
        <f>$D34</f>
        <v>64.439873399999996</v>
      </c>
      <c r="G18" s="24">
        <f>$D35</f>
        <v>64.439873399999996</v>
      </c>
      <c r="H18" s="24">
        <f>$D36</f>
        <v>64.439873399999996</v>
      </c>
      <c r="I18" s="24">
        <f>$D37</f>
        <v>64.439873399999996</v>
      </c>
      <c r="J18" s="24">
        <f>$D38</f>
        <v>64.439873399999996</v>
      </c>
      <c r="K18" s="24">
        <f>$D39</f>
        <v>64.439873399999996</v>
      </c>
      <c r="L18" s="24">
        <f>$D40</f>
        <v>64.439873399999996</v>
      </c>
      <c r="M18" s="24">
        <f>$D41</f>
        <v>64.439873399999996</v>
      </c>
      <c r="N18" s="24">
        <f>$D42</f>
        <v>64.439873399999996</v>
      </c>
      <c r="O18" s="24">
        <f>$D43</f>
        <v>64.439873399999996</v>
      </c>
      <c r="P18" s="24">
        <f>$D44</f>
        <v>64.439873399999996</v>
      </c>
      <c r="Q18" s="24">
        <f>$D45</f>
        <v>64.439873399999996</v>
      </c>
      <c r="R18" s="24">
        <f>$D46</f>
        <v>64.439873399999996</v>
      </c>
      <c r="S18" s="24">
        <f>$D47</f>
        <v>64.439873399999996</v>
      </c>
      <c r="T18" s="24">
        <f>$D48</f>
        <v>64.439873399999996</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-0.16012659999999812</v>
      </c>
      <c r="D19" s="24">
        <f t="shared" ref="D19:V19" si="1">D18-D17</f>
        <v>-0.16012659999999812</v>
      </c>
      <c r="E19" s="24">
        <f t="shared" si="1"/>
        <v>-0.16012659999999812</v>
      </c>
      <c r="F19" s="24">
        <f t="shared" si="1"/>
        <v>-0.16012659999999812</v>
      </c>
      <c r="G19" s="24">
        <f t="shared" si="1"/>
        <v>-0.16012659999999812</v>
      </c>
      <c r="H19" s="24">
        <f t="shared" si="1"/>
        <v>-0.16012659999999812</v>
      </c>
      <c r="I19" s="24">
        <f t="shared" si="1"/>
        <v>-0.16012659999999812</v>
      </c>
      <c r="J19" s="24">
        <f t="shared" si="1"/>
        <v>-0.16012659999999812</v>
      </c>
      <c r="K19" s="24">
        <f t="shared" si="1"/>
        <v>-0.16012659999999812</v>
      </c>
      <c r="L19" s="24">
        <f t="shared" si="1"/>
        <v>-0.16012659999999812</v>
      </c>
      <c r="M19" s="24">
        <f t="shared" si="1"/>
        <v>-0.16012659999999812</v>
      </c>
      <c r="N19" s="24">
        <f t="shared" si="1"/>
        <v>-0.16012659999999812</v>
      </c>
      <c r="O19" s="24">
        <f t="shared" si="1"/>
        <v>-0.16012659999999812</v>
      </c>
      <c r="P19" s="24">
        <f t="shared" si="1"/>
        <v>-0.16012659999999812</v>
      </c>
      <c r="Q19" s="24">
        <f t="shared" si="1"/>
        <v>-0.16012659999999812</v>
      </c>
      <c r="R19" s="24">
        <f t="shared" si="1"/>
        <v>-0.16012659999999812</v>
      </c>
      <c r="S19" s="24">
        <f t="shared" si="1"/>
        <v>-0.16012659999999812</v>
      </c>
      <c r="T19" s="24">
        <f t="shared" si="1"/>
        <v>-0.16012659999999812</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9.9848469000000026</v>
      </c>
      <c r="D22" s="24">
        <f>$E32</f>
        <v>9.9848469000000026</v>
      </c>
      <c r="E22" s="24">
        <f>$E33</f>
        <v>9.9848469000000026</v>
      </c>
      <c r="F22" s="24">
        <f>$E34</f>
        <v>9.9848469000000026</v>
      </c>
      <c r="G22" s="24">
        <f>$E35</f>
        <v>9.9848469000000026</v>
      </c>
      <c r="H22" s="24">
        <f>$E36</f>
        <v>9.9848469000000026</v>
      </c>
      <c r="I22" s="24">
        <f>$E37</f>
        <v>9.9848469000000026</v>
      </c>
      <c r="J22" s="24">
        <f>$E38</f>
        <v>9.9848469000000026</v>
      </c>
      <c r="K22" s="24">
        <f>$E39</f>
        <v>9.9848469000000026</v>
      </c>
      <c r="L22" s="24">
        <f>$E40</f>
        <v>9.9848469000000026</v>
      </c>
      <c r="M22" s="24">
        <f>$E41</f>
        <v>9.9848469000000026</v>
      </c>
      <c r="N22" s="24">
        <f>$E42</f>
        <v>9.9848469000000026</v>
      </c>
      <c r="O22" s="24">
        <f>$E43</f>
        <v>9.9848469000000026</v>
      </c>
      <c r="P22" s="24">
        <f>$E44</f>
        <v>9.9848469000000026</v>
      </c>
      <c r="Q22" s="24">
        <f>$E45</f>
        <v>9.9848469000000026</v>
      </c>
      <c r="R22" s="24">
        <f>$E46</f>
        <v>9.9848469000000026</v>
      </c>
      <c r="S22" s="24">
        <f>$E47</f>
        <v>9.9848469000000026</v>
      </c>
      <c r="T22" s="24">
        <f>$E48</f>
        <v>9.9848469000000026</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-218.01515309999999</v>
      </c>
      <c r="D23" s="24">
        <f t="shared" ref="D23:V23" si="3">D22-D21</f>
        <v>-218.01515309999999</v>
      </c>
      <c r="E23" s="24">
        <f t="shared" si="3"/>
        <v>-218.01515309999999</v>
      </c>
      <c r="F23" s="24">
        <f t="shared" si="3"/>
        <v>-218.01515309999999</v>
      </c>
      <c r="G23" s="24">
        <f t="shared" si="3"/>
        <v>-218.01515309999999</v>
      </c>
      <c r="H23" s="24">
        <f t="shared" si="3"/>
        <v>-218.01515309999999</v>
      </c>
      <c r="I23" s="24">
        <f t="shared" si="3"/>
        <v>-218.01515309999999</v>
      </c>
      <c r="J23" s="24">
        <f t="shared" si="3"/>
        <v>-218.01515309999999</v>
      </c>
      <c r="K23" s="24">
        <f t="shared" si="3"/>
        <v>-218.01515309999999</v>
      </c>
      <c r="L23" s="24">
        <f t="shared" si="3"/>
        <v>-218.01515309999999</v>
      </c>
      <c r="M23" s="24">
        <f t="shared" si="3"/>
        <v>-218.01515309999999</v>
      </c>
      <c r="N23" s="24">
        <f t="shared" si="3"/>
        <v>-218.01515309999999</v>
      </c>
      <c r="O23" s="24">
        <f t="shared" si="3"/>
        <v>-218.01515309999999</v>
      </c>
      <c r="P23" s="24">
        <f t="shared" si="3"/>
        <v>-218.01515309999999</v>
      </c>
      <c r="Q23" s="24">
        <f t="shared" si="3"/>
        <v>-218.01515309999999</v>
      </c>
      <c r="R23" s="24">
        <f t="shared" si="3"/>
        <v>-218.01515309999999</v>
      </c>
      <c r="S23" s="24">
        <f t="shared" si="3"/>
        <v>-218.01515309999999</v>
      </c>
      <c r="T23" s="24">
        <f t="shared" si="3"/>
        <v>-218.01515309999999</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57</v>
      </c>
      <c r="G27" s="101" t="s">
        <v>55</v>
      </c>
      <c r="H27" s="101" t="s">
        <v>55</v>
      </c>
      <c r="I27" s="101" t="s">
        <v>55</v>
      </c>
      <c r="J27" s="101" t="s">
        <v>55</v>
      </c>
      <c r="K27" s="101" t="s">
        <v>55</v>
      </c>
      <c r="L27" s="101" t="s">
        <v>55</v>
      </c>
      <c r="M27" s="101" t="s">
        <v>55</v>
      </c>
      <c r="N27" s="101"/>
      <c r="O27" s="101"/>
      <c r="P27" s="101" t="s">
        <v>57</v>
      </c>
      <c r="Q27" s="101" t="s">
        <v>57</v>
      </c>
      <c r="R27" s="101"/>
      <c r="S27" s="101"/>
      <c r="T27" s="101"/>
      <c r="U27" s="101"/>
    </row>
    <row r="28" spans="1:40" s="64" customFormat="1" x14ac:dyDescent="0.25">
      <c r="A28" s="82"/>
      <c r="B28" s="31">
        <v>9.0500000000000007</v>
      </c>
      <c r="C28" s="23">
        <v>7.42</v>
      </c>
      <c r="D28" s="23">
        <v>1.48</v>
      </c>
      <c r="E28" s="23">
        <v>0.436</v>
      </c>
      <c r="F28" s="23">
        <v>0.156</v>
      </c>
      <c r="G28" s="23">
        <v>105</v>
      </c>
      <c r="H28" s="23">
        <v>229</v>
      </c>
      <c r="I28" s="23">
        <v>3.29</v>
      </c>
      <c r="J28" s="23">
        <v>0.1</v>
      </c>
      <c r="K28" s="30">
        <v>0.1</v>
      </c>
      <c r="L28" s="23">
        <v>20.2</v>
      </c>
      <c r="M28" s="23">
        <v>70.400000000000006</v>
      </c>
      <c r="N28" s="23"/>
      <c r="O28" s="23"/>
      <c r="P28" s="23">
        <v>0.72399999999999998</v>
      </c>
      <c r="Q28" s="23">
        <v>1.25</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21</v>
      </c>
      <c r="C31" s="2">
        <f>IF(C$27="%w/w SAR",((C$28*10)*$B31),IF(C$27="%w/w DM",(((C$28*10)*($B$28/100))*$B31),IF(C$27="kg/t SAR",(C$28*$B31),IF(C$27="kg/t DM",((C$28*($B$28/100))*$B31),IF(C$27="mg/kg SAR",((C$28*0.001)*$B31),IF(C$27="mg/kg DM",(((C$28*0.001)*($B$28/100))*$B31),0))))))</f>
        <v>141.01710000000003</v>
      </c>
      <c r="D31" s="2">
        <f>(IF(D$27="%w/w SAR",((D$28*10)*$B31),IF(D$27="%w/w DM",(((D$28*10)*($B$28/100))*$B31),IF(D$27="kg/t SAR",(D$28*$B31),IF(D$27="kg/t DM",((D$28*($B$28/100))*$B31),IF(D$27="mg/kg SAR",((D$28*0.001)*$B31),IF(D$27="mg/kg DM",(((D$28*0.001)*($B$28/100))*$B31),"0")))))))*2.291</f>
        <v>64.439873399999996</v>
      </c>
      <c r="E31" s="2">
        <f>(IF(E$27="%w/w SAR",((E$28*10)*$B31),IF(E$27="%w/w DM",(((E$28*10)*($B$28/100))*$B31),IF(E$27="kg/t SAR",(E$28*$B31),IF(E$27="kg/t DM",((E$28*($B$28/100))*$B31),IF(E$27="mg/kg SAR",((E$28*0.001)*$B31),IF(E$27="mg/kg DM",(((E$28*0.001)*($B$28/100))*$B31),"0")))))))*1.205</f>
        <v>9.9848469000000026</v>
      </c>
      <c r="F31" s="2">
        <f>(IF(F$27="%w/w SAR",((F$28*10)*$B31),IF(F$27="%w/w DM",(((F$28*10)*($B$28/100))*$B31),IF(F$27="kg/t SAR",(F$28*$B31),IF(F$27="kg/t DM",((F$28*($B$28/100))*$B31),IF(F$27="mg/kg SAR",((F$28*0.001)*$B31),IF(F$27="mg/kg DM",(((F$28*0.001)*($B$28/100))*$B31),"0")))))))*1.658</f>
        <v>4.9156052400000005</v>
      </c>
      <c r="G31" s="2">
        <f t="shared" ref="G31:P46" si="5">IF(G$27="%w/w SAR",((G$28*10)*$B31),IF(G$27="%w/w DM",(((G$28*10)*($B$28/100))*$B31),IF(G$27="kg/t SAR",(G$28*$B31),IF(G$27="kg/t DM",((G$28*($B$28/100))*$B31),IF(G$27="mg/kg SAR",((G$28*0.001)*$B31),IF(G$27="mg/kg DM",(((G$28*0.001)*($B$28/100))*$B31),0))))))</f>
        <v>0.19955250000000002</v>
      </c>
      <c r="H31" s="2">
        <f t="shared" si="5"/>
        <v>0.43521450000000006</v>
      </c>
      <c r="I31" s="2">
        <f t="shared" si="5"/>
        <v>6.2526450000000003E-3</v>
      </c>
      <c r="J31" s="2">
        <f t="shared" si="5"/>
        <v>1.9005000000000004E-4</v>
      </c>
      <c r="K31" s="2">
        <f t="shared" si="5"/>
        <v>1.9005000000000004E-4</v>
      </c>
      <c r="L31" s="2">
        <f t="shared" si="5"/>
        <v>3.8390100000000003E-2</v>
      </c>
      <c r="M31" s="2">
        <f t="shared" si="5"/>
        <v>0.13379520000000003</v>
      </c>
      <c r="N31" s="2">
        <f t="shared" si="5"/>
        <v>0</v>
      </c>
      <c r="O31" s="2">
        <f t="shared" si="5"/>
        <v>0</v>
      </c>
      <c r="P31" s="2">
        <f t="shared" si="5"/>
        <v>13.759620000000004</v>
      </c>
      <c r="Q31" s="2">
        <f>(IF(Q$27="%w/w SAR",((Q$28*10)*$B31),IF(Q$27="%w/w DM",(((Q$28*10)*($B$28/100))*$B31),IF(Q$27="kg/t SAR",(Q$28*$B31),IF(Q$27="kg/t DM",((Q$28*($B$28/100))*$B31),IF(Q$27="mg/kg SAR",((Q$28*0.001)*$B31),IF(Q$27="mg/kg DM",(((Q$28*0.001)*($B$28/100))*$B31),0)))))))*2.5</f>
        <v>59.390625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21</v>
      </c>
      <c r="C32" s="2">
        <f t="shared" ref="C32:C50" si="6">IF(C$27="%w/w SAR",((C$28*10)*$B32),IF(C$27="%w/w DM",(((C$28*10)*($B$28/100))*$B32),IF(C$27="kg/t SAR",(C$28*$B32),IF(C$27="kg/t DM",((C$28*($B$28/100))*$B32),IF(C$27="mg/kg SAR",((C$28*0.001)*$B32),IF(C$27="mg/kg DM",(((C$28*0.001)*($B$28/100))*$B32),0))))))</f>
        <v>141.01710000000003</v>
      </c>
      <c r="D32" s="2">
        <f t="shared" ref="D32:D50" si="7">(IF(D$27="%w/w SAR",((D$28*10)*$B32),IF(D$27="%w/w DM",(((D$28*10)*($B$28/100))*$B32),IF(D$27="kg/t SAR",(D$28*$B32),IF(D$27="kg/t DM",((D$28*($B$28/100))*$B32),IF(D$27="mg/kg SAR",((D$28*0.001)*$B32),IF(D$27="mg/kg DM",(((D$28*0.001)*($B$28/100))*$B32),"0")))))))*2.291</f>
        <v>64.439873399999996</v>
      </c>
      <c r="E32" s="2">
        <f t="shared" ref="E32:E50" si="8">(IF(E$27="%w/w SAR",((E$28*10)*$B32),IF(E$27="%w/w DM",(((E$28*10)*($B$28/100))*$B32),IF(E$27="kg/t SAR",(E$28*$B32),IF(E$27="kg/t DM",((E$28*($B$28/100))*$B32),IF(E$27="mg/kg SAR",((E$28*0.001)*$B32),IF(E$27="mg/kg DM",(((E$28*0.001)*($B$28/100))*$B32),"0")))))))*1.205</f>
        <v>9.9848469000000026</v>
      </c>
      <c r="F32" s="2">
        <f t="shared" ref="F32:F50" si="9">(IF(F$27="%w/w SAR",((F$28*10)*$B32),IF(F$27="%w/w DM",(((F$28*10)*($B$28/100))*$B32),IF(F$27="kg/t SAR",(F$28*$B32),IF(F$27="kg/t DM",((F$28*($B$28/100))*$B32),IF(F$27="mg/kg SAR",((F$28*0.001)*$B32),IF(F$27="mg/kg DM",(((F$28*0.001)*($B$28/100))*$B32),"0")))))))*1.658</f>
        <v>4.9156052400000005</v>
      </c>
      <c r="G32" s="2">
        <f t="shared" si="5"/>
        <v>0.19955250000000002</v>
      </c>
      <c r="H32" s="2">
        <f t="shared" si="5"/>
        <v>0.43521450000000006</v>
      </c>
      <c r="I32" s="2">
        <f t="shared" si="5"/>
        <v>6.2526450000000003E-3</v>
      </c>
      <c r="J32" s="2">
        <f t="shared" si="5"/>
        <v>1.9005000000000004E-4</v>
      </c>
      <c r="K32" s="2">
        <f t="shared" si="5"/>
        <v>1.9005000000000004E-4</v>
      </c>
      <c r="L32" s="2">
        <f t="shared" si="5"/>
        <v>3.8390100000000003E-2</v>
      </c>
      <c r="M32" s="2">
        <f t="shared" si="5"/>
        <v>0.13379520000000003</v>
      </c>
      <c r="N32" s="2">
        <f t="shared" si="5"/>
        <v>0</v>
      </c>
      <c r="O32" s="2">
        <f t="shared" si="5"/>
        <v>0</v>
      </c>
      <c r="P32" s="2">
        <f t="shared" si="5"/>
        <v>13.759620000000004</v>
      </c>
      <c r="Q32" s="2">
        <f t="shared" ref="Q32:Q50" si="10">(IF(Q$27="%w/w SAR",((Q$28*10)*$B32),IF(Q$27="%w/w DM",(((Q$28*10)*($B$28/100))*$B32),IF(Q$27="kg/t SAR",(Q$28*$B32),IF(Q$27="kg/t DM",((Q$28*($B$28/100))*$B32),IF(Q$27="mg/kg SAR",((Q$28*0.001)*$B32),IF(Q$27="mg/kg DM",(((Q$28*0.001)*($B$28/100))*$B32),0)))))))*2.5</f>
        <v>59.390625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21</v>
      </c>
      <c r="C33" s="2">
        <f t="shared" si="6"/>
        <v>141.01710000000003</v>
      </c>
      <c r="D33" s="2">
        <f t="shared" si="7"/>
        <v>64.439873399999996</v>
      </c>
      <c r="E33" s="2">
        <f t="shared" si="8"/>
        <v>9.9848469000000026</v>
      </c>
      <c r="F33" s="2">
        <f t="shared" si="9"/>
        <v>4.9156052400000005</v>
      </c>
      <c r="G33" s="2">
        <f t="shared" si="5"/>
        <v>0.19955250000000002</v>
      </c>
      <c r="H33" s="2">
        <f t="shared" si="5"/>
        <v>0.43521450000000006</v>
      </c>
      <c r="I33" s="2">
        <f t="shared" si="5"/>
        <v>6.2526450000000003E-3</v>
      </c>
      <c r="J33" s="2">
        <f t="shared" si="5"/>
        <v>1.9005000000000004E-4</v>
      </c>
      <c r="K33" s="2">
        <f t="shared" si="5"/>
        <v>1.9005000000000004E-4</v>
      </c>
      <c r="L33" s="2">
        <f t="shared" si="5"/>
        <v>3.8390100000000003E-2</v>
      </c>
      <c r="M33" s="2">
        <f t="shared" si="5"/>
        <v>0.13379520000000003</v>
      </c>
      <c r="N33" s="2">
        <f t="shared" si="5"/>
        <v>0</v>
      </c>
      <c r="O33" s="2">
        <f t="shared" si="5"/>
        <v>0</v>
      </c>
      <c r="P33" s="2">
        <f t="shared" si="5"/>
        <v>13.759620000000004</v>
      </c>
      <c r="Q33" s="2">
        <f t="shared" si="10"/>
        <v>59.390625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21</v>
      </c>
      <c r="C34" s="2">
        <f t="shared" si="6"/>
        <v>141.01710000000003</v>
      </c>
      <c r="D34" s="2">
        <f t="shared" si="7"/>
        <v>64.439873399999996</v>
      </c>
      <c r="E34" s="2">
        <f t="shared" si="8"/>
        <v>9.9848469000000026</v>
      </c>
      <c r="F34" s="2">
        <f t="shared" si="9"/>
        <v>4.9156052400000005</v>
      </c>
      <c r="G34" s="2">
        <f t="shared" si="5"/>
        <v>0.19955250000000002</v>
      </c>
      <c r="H34" s="2">
        <f t="shared" si="5"/>
        <v>0.43521450000000006</v>
      </c>
      <c r="I34" s="2">
        <f t="shared" si="5"/>
        <v>6.2526450000000003E-3</v>
      </c>
      <c r="J34" s="2">
        <f t="shared" si="5"/>
        <v>1.9005000000000004E-4</v>
      </c>
      <c r="K34" s="2">
        <f t="shared" si="5"/>
        <v>1.9005000000000004E-4</v>
      </c>
      <c r="L34" s="2">
        <f t="shared" si="5"/>
        <v>3.8390100000000003E-2</v>
      </c>
      <c r="M34" s="2">
        <f t="shared" si="5"/>
        <v>0.13379520000000003</v>
      </c>
      <c r="N34" s="2">
        <f t="shared" si="5"/>
        <v>0</v>
      </c>
      <c r="O34" s="2">
        <f t="shared" si="5"/>
        <v>0</v>
      </c>
      <c r="P34" s="2">
        <f t="shared" si="5"/>
        <v>13.759620000000004</v>
      </c>
      <c r="Q34" s="2">
        <f t="shared" si="10"/>
        <v>59.390625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21</v>
      </c>
      <c r="C35" s="2">
        <f t="shared" si="6"/>
        <v>141.01710000000003</v>
      </c>
      <c r="D35" s="2">
        <f t="shared" si="7"/>
        <v>64.439873399999996</v>
      </c>
      <c r="E35" s="2">
        <f t="shared" si="8"/>
        <v>9.9848469000000026</v>
      </c>
      <c r="F35" s="2">
        <f t="shared" si="9"/>
        <v>4.9156052400000005</v>
      </c>
      <c r="G35" s="2">
        <f t="shared" si="5"/>
        <v>0.19955250000000002</v>
      </c>
      <c r="H35" s="2">
        <f t="shared" si="5"/>
        <v>0.43521450000000006</v>
      </c>
      <c r="I35" s="2">
        <f t="shared" si="5"/>
        <v>6.2526450000000003E-3</v>
      </c>
      <c r="J35" s="2">
        <f t="shared" si="5"/>
        <v>1.9005000000000004E-4</v>
      </c>
      <c r="K35" s="2">
        <f t="shared" si="5"/>
        <v>1.9005000000000004E-4</v>
      </c>
      <c r="L35" s="2">
        <f t="shared" si="5"/>
        <v>3.8390100000000003E-2</v>
      </c>
      <c r="M35" s="2">
        <f t="shared" si="5"/>
        <v>0.13379520000000003</v>
      </c>
      <c r="N35" s="2">
        <f t="shared" si="5"/>
        <v>0</v>
      </c>
      <c r="O35" s="2">
        <f t="shared" si="5"/>
        <v>0</v>
      </c>
      <c r="P35" s="2">
        <f t="shared" si="5"/>
        <v>13.759620000000004</v>
      </c>
      <c r="Q35" s="2">
        <f t="shared" si="10"/>
        <v>59.390625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21</v>
      </c>
      <c r="C36" s="2">
        <f t="shared" si="6"/>
        <v>141.01710000000003</v>
      </c>
      <c r="D36" s="2">
        <f t="shared" si="7"/>
        <v>64.439873399999996</v>
      </c>
      <c r="E36" s="2">
        <f t="shared" si="8"/>
        <v>9.9848469000000026</v>
      </c>
      <c r="F36" s="2">
        <f t="shared" si="9"/>
        <v>4.9156052400000005</v>
      </c>
      <c r="G36" s="2">
        <f t="shared" si="5"/>
        <v>0.19955250000000002</v>
      </c>
      <c r="H36" s="2">
        <f t="shared" si="5"/>
        <v>0.43521450000000006</v>
      </c>
      <c r="I36" s="2">
        <f t="shared" si="5"/>
        <v>6.2526450000000003E-3</v>
      </c>
      <c r="J36" s="2">
        <f t="shared" si="5"/>
        <v>1.9005000000000004E-4</v>
      </c>
      <c r="K36" s="2">
        <f t="shared" si="5"/>
        <v>1.9005000000000004E-4</v>
      </c>
      <c r="L36" s="2">
        <f t="shared" si="5"/>
        <v>3.8390100000000003E-2</v>
      </c>
      <c r="M36" s="2">
        <f t="shared" si="5"/>
        <v>0.13379520000000003</v>
      </c>
      <c r="N36" s="2">
        <f t="shared" si="5"/>
        <v>0</v>
      </c>
      <c r="O36" s="2">
        <f t="shared" si="5"/>
        <v>0</v>
      </c>
      <c r="P36" s="2">
        <f t="shared" si="5"/>
        <v>13.759620000000004</v>
      </c>
      <c r="Q36" s="2">
        <f t="shared" si="10"/>
        <v>59.390625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21</v>
      </c>
      <c r="C37" s="2">
        <f t="shared" si="6"/>
        <v>141.01710000000003</v>
      </c>
      <c r="D37" s="2">
        <f t="shared" si="7"/>
        <v>64.439873399999996</v>
      </c>
      <c r="E37" s="2">
        <f t="shared" si="8"/>
        <v>9.9848469000000026</v>
      </c>
      <c r="F37" s="2">
        <f t="shared" si="9"/>
        <v>4.9156052400000005</v>
      </c>
      <c r="G37" s="2">
        <f t="shared" si="5"/>
        <v>0.19955250000000002</v>
      </c>
      <c r="H37" s="2">
        <f t="shared" si="5"/>
        <v>0.43521450000000006</v>
      </c>
      <c r="I37" s="2">
        <f t="shared" si="5"/>
        <v>6.2526450000000003E-3</v>
      </c>
      <c r="J37" s="2">
        <f t="shared" si="5"/>
        <v>1.9005000000000004E-4</v>
      </c>
      <c r="K37" s="2">
        <f t="shared" si="5"/>
        <v>1.9005000000000004E-4</v>
      </c>
      <c r="L37" s="2">
        <f t="shared" si="5"/>
        <v>3.8390100000000003E-2</v>
      </c>
      <c r="M37" s="2">
        <f t="shared" si="5"/>
        <v>0.13379520000000003</v>
      </c>
      <c r="N37" s="2">
        <f t="shared" si="5"/>
        <v>0</v>
      </c>
      <c r="O37" s="2">
        <f t="shared" si="5"/>
        <v>0</v>
      </c>
      <c r="P37" s="2">
        <f t="shared" si="5"/>
        <v>13.759620000000004</v>
      </c>
      <c r="Q37" s="2">
        <f t="shared" si="10"/>
        <v>59.390625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21</v>
      </c>
      <c r="C38" s="2">
        <f t="shared" si="6"/>
        <v>141.01710000000003</v>
      </c>
      <c r="D38" s="2">
        <f t="shared" si="7"/>
        <v>64.439873399999996</v>
      </c>
      <c r="E38" s="2">
        <f t="shared" si="8"/>
        <v>9.9848469000000026</v>
      </c>
      <c r="F38" s="2">
        <f t="shared" si="9"/>
        <v>4.9156052400000005</v>
      </c>
      <c r="G38" s="2">
        <f t="shared" si="5"/>
        <v>0.19955250000000002</v>
      </c>
      <c r="H38" s="2">
        <f t="shared" si="5"/>
        <v>0.43521450000000006</v>
      </c>
      <c r="I38" s="2">
        <f t="shared" si="5"/>
        <v>6.2526450000000003E-3</v>
      </c>
      <c r="J38" s="2">
        <f t="shared" si="5"/>
        <v>1.9005000000000004E-4</v>
      </c>
      <c r="K38" s="2">
        <f t="shared" si="5"/>
        <v>1.9005000000000004E-4</v>
      </c>
      <c r="L38" s="2">
        <f t="shared" si="5"/>
        <v>3.8390100000000003E-2</v>
      </c>
      <c r="M38" s="2">
        <f t="shared" si="5"/>
        <v>0.13379520000000003</v>
      </c>
      <c r="N38" s="2">
        <f t="shared" si="5"/>
        <v>0</v>
      </c>
      <c r="O38" s="2">
        <f t="shared" si="5"/>
        <v>0</v>
      </c>
      <c r="P38" s="2">
        <f t="shared" si="5"/>
        <v>13.759620000000004</v>
      </c>
      <c r="Q38" s="2">
        <f t="shared" si="10"/>
        <v>59.390625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21</v>
      </c>
      <c r="C39" s="2">
        <f t="shared" si="6"/>
        <v>141.01710000000003</v>
      </c>
      <c r="D39" s="2">
        <f t="shared" si="7"/>
        <v>64.439873399999996</v>
      </c>
      <c r="E39" s="2">
        <f t="shared" si="8"/>
        <v>9.9848469000000026</v>
      </c>
      <c r="F39" s="2">
        <f t="shared" si="9"/>
        <v>4.9156052400000005</v>
      </c>
      <c r="G39" s="2">
        <f t="shared" si="5"/>
        <v>0.19955250000000002</v>
      </c>
      <c r="H39" s="2">
        <f t="shared" si="5"/>
        <v>0.43521450000000006</v>
      </c>
      <c r="I39" s="2">
        <f t="shared" si="5"/>
        <v>6.2526450000000003E-3</v>
      </c>
      <c r="J39" s="2">
        <f t="shared" si="5"/>
        <v>1.9005000000000004E-4</v>
      </c>
      <c r="K39" s="2">
        <f t="shared" si="5"/>
        <v>1.9005000000000004E-4</v>
      </c>
      <c r="L39" s="2">
        <f t="shared" si="5"/>
        <v>3.8390100000000003E-2</v>
      </c>
      <c r="M39" s="2">
        <f t="shared" si="5"/>
        <v>0.13379520000000003</v>
      </c>
      <c r="N39" s="2">
        <f t="shared" si="5"/>
        <v>0</v>
      </c>
      <c r="O39" s="2">
        <f t="shared" si="5"/>
        <v>0</v>
      </c>
      <c r="P39" s="2">
        <f t="shared" si="5"/>
        <v>13.759620000000004</v>
      </c>
      <c r="Q39" s="2">
        <f t="shared" si="10"/>
        <v>59.390625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21</v>
      </c>
      <c r="C40" s="2">
        <f t="shared" si="6"/>
        <v>141.01710000000003</v>
      </c>
      <c r="D40" s="2">
        <f t="shared" si="7"/>
        <v>64.439873399999996</v>
      </c>
      <c r="E40" s="2">
        <f t="shared" si="8"/>
        <v>9.9848469000000026</v>
      </c>
      <c r="F40" s="2">
        <f t="shared" si="9"/>
        <v>4.9156052400000005</v>
      </c>
      <c r="G40" s="2">
        <f t="shared" si="5"/>
        <v>0.19955250000000002</v>
      </c>
      <c r="H40" s="2">
        <f t="shared" si="5"/>
        <v>0.43521450000000006</v>
      </c>
      <c r="I40" s="2">
        <f t="shared" si="5"/>
        <v>6.2526450000000003E-3</v>
      </c>
      <c r="J40" s="2">
        <f t="shared" si="5"/>
        <v>1.9005000000000004E-4</v>
      </c>
      <c r="K40" s="2">
        <f t="shared" si="5"/>
        <v>1.9005000000000004E-4</v>
      </c>
      <c r="L40" s="2">
        <f t="shared" si="5"/>
        <v>3.8390100000000003E-2</v>
      </c>
      <c r="M40" s="2">
        <f t="shared" si="5"/>
        <v>0.13379520000000003</v>
      </c>
      <c r="N40" s="2">
        <f t="shared" si="5"/>
        <v>0</v>
      </c>
      <c r="O40" s="2">
        <f t="shared" si="5"/>
        <v>0</v>
      </c>
      <c r="P40" s="2">
        <f t="shared" si="5"/>
        <v>13.759620000000004</v>
      </c>
      <c r="Q40" s="2">
        <f t="shared" si="10"/>
        <v>59.390625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21</v>
      </c>
      <c r="C41" s="2">
        <f t="shared" si="6"/>
        <v>141.01710000000003</v>
      </c>
      <c r="D41" s="2">
        <f t="shared" si="7"/>
        <v>64.439873399999996</v>
      </c>
      <c r="E41" s="2">
        <f t="shared" si="8"/>
        <v>9.9848469000000026</v>
      </c>
      <c r="F41" s="2">
        <f t="shared" si="9"/>
        <v>4.9156052400000005</v>
      </c>
      <c r="G41" s="2">
        <f t="shared" si="5"/>
        <v>0.19955250000000002</v>
      </c>
      <c r="H41" s="2">
        <f t="shared" si="5"/>
        <v>0.43521450000000006</v>
      </c>
      <c r="I41" s="2">
        <f t="shared" si="5"/>
        <v>6.2526450000000003E-3</v>
      </c>
      <c r="J41" s="2">
        <f t="shared" si="5"/>
        <v>1.9005000000000004E-4</v>
      </c>
      <c r="K41" s="2">
        <f t="shared" si="5"/>
        <v>1.9005000000000004E-4</v>
      </c>
      <c r="L41" s="2">
        <f t="shared" si="5"/>
        <v>3.8390100000000003E-2</v>
      </c>
      <c r="M41" s="2">
        <f t="shared" si="5"/>
        <v>0.13379520000000003</v>
      </c>
      <c r="N41" s="2">
        <f t="shared" si="5"/>
        <v>0</v>
      </c>
      <c r="O41" s="2">
        <f t="shared" si="5"/>
        <v>0</v>
      </c>
      <c r="P41" s="2">
        <f t="shared" si="5"/>
        <v>13.759620000000004</v>
      </c>
      <c r="Q41" s="2">
        <f t="shared" si="10"/>
        <v>59.390625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21</v>
      </c>
      <c r="C42" s="2">
        <f t="shared" si="6"/>
        <v>141.01710000000003</v>
      </c>
      <c r="D42" s="2">
        <f t="shared" si="7"/>
        <v>64.439873399999996</v>
      </c>
      <c r="E42" s="2">
        <f t="shared" si="8"/>
        <v>9.9848469000000026</v>
      </c>
      <c r="F42" s="2">
        <f t="shared" si="9"/>
        <v>4.9156052400000005</v>
      </c>
      <c r="G42" s="2">
        <f t="shared" si="5"/>
        <v>0.19955250000000002</v>
      </c>
      <c r="H42" s="2">
        <f t="shared" si="5"/>
        <v>0.43521450000000006</v>
      </c>
      <c r="I42" s="2">
        <f t="shared" si="5"/>
        <v>6.2526450000000003E-3</v>
      </c>
      <c r="J42" s="2">
        <f t="shared" si="5"/>
        <v>1.9005000000000004E-4</v>
      </c>
      <c r="K42" s="2">
        <f t="shared" si="5"/>
        <v>1.9005000000000004E-4</v>
      </c>
      <c r="L42" s="2">
        <f t="shared" si="5"/>
        <v>3.8390100000000003E-2</v>
      </c>
      <c r="M42" s="2">
        <f t="shared" si="5"/>
        <v>0.13379520000000003</v>
      </c>
      <c r="N42" s="2">
        <f t="shared" si="5"/>
        <v>0</v>
      </c>
      <c r="O42" s="2">
        <f t="shared" si="5"/>
        <v>0</v>
      </c>
      <c r="P42" s="2">
        <f t="shared" si="5"/>
        <v>13.759620000000004</v>
      </c>
      <c r="Q42" s="2">
        <f t="shared" si="10"/>
        <v>59.390625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21</v>
      </c>
      <c r="C43" s="2">
        <f t="shared" si="6"/>
        <v>141.01710000000003</v>
      </c>
      <c r="D43" s="2">
        <f t="shared" si="7"/>
        <v>64.439873399999996</v>
      </c>
      <c r="E43" s="2">
        <f t="shared" si="8"/>
        <v>9.9848469000000026</v>
      </c>
      <c r="F43" s="2">
        <f t="shared" si="9"/>
        <v>4.9156052400000005</v>
      </c>
      <c r="G43" s="2">
        <f t="shared" si="5"/>
        <v>0.19955250000000002</v>
      </c>
      <c r="H43" s="2">
        <f t="shared" si="5"/>
        <v>0.43521450000000006</v>
      </c>
      <c r="I43" s="2">
        <f t="shared" si="5"/>
        <v>6.2526450000000003E-3</v>
      </c>
      <c r="J43" s="2">
        <f t="shared" si="5"/>
        <v>1.9005000000000004E-4</v>
      </c>
      <c r="K43" s="2">
        <f t="shared" si="5"/>
        <v>1.9005000000000004E-4</v>
      </c>
      <c r="L43" s="2">
        <f t="shared" si="5"/>
        <v>3.8390100000000003E-2</v>
      </c>
      <c r="M43" s="2">
        <f t="shared" si="5"/>
        <v>0.13379520000000003</v>
      </c>
      <c r="N43" s="2">
        <f t="shared" si="5"/>
        <v>0</v>
      </c>
      <c r="O43" s="2">
        <f t="shared" si="5"/>
        <v>0</v>
      </c>
      <c r="P43" s="2">
        <f t="shared" si="5"/>
        <v>13.759620000000004</v>
      </c>
      <c r="Q43" s="2">
        <f t="shared" si="10"/>
        <v>59.390625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21</v>
      </c>
      <c r="C44" s="2">
        <f t="shared" si="6"/>
        <v>141.01710000000003</v>
      </c>
      <c r="D44" s="2">
        <f t="shared" si="7"/>
        <v>64.439873399999996</v>
      </c>
      <c r="E44" s="2">
        <f t="shared" si="8"/>
        <v>9.9848469000000026</v>
      </c>
      <c r="F44" s="2">
        <f t="shared" si="9"/>
        <v>4.9156052400000005</v>
      </c>
      <c r="G44" s="2">
        <f t="shared" si="5"/>
        <v>0.19955250000000002</v>
      </c>
      <c r="H44" s="2">
        <f t="shared" si="5"/>
        <v>0.43521450000000006</v>
      </c>
      <c r="I44" s="2">
        <f t="shared" si="5"/>
        <v>6.2526450000000003E-3</v>
      </c>
      <c r="J44" s="2">
        <f t="shared" si="5"/>
        <v>1.9005000000000004E-4</v>
      </c>
      <c r="K44" s="2">
        <f t="shared" si="5"/>
        <v>1.9005000000000004E-4</v>
      </c>
      <c r="L44" s="2">
        <f t="shared" si="5"/>
        <v>3.8390100000000003E-2</v>
      </c>
      <c r="M44" s="2">
        <f t="shared" si="5"/>
        <v>0.13379520000000003</v>
      </c>
      <c r="N44" s="2">
        <f t="shared" si="5"/>
        <v>0</v>
      </c>
      <c r="O44" s="2">
        <f t="shared" si="5"/>
        <v>0</v>
      </c>
      <c r="P44" s="2">
        <f t="shared" si="5"/>
        <v>13.759620000000004</v>
      </c>
      <c r="Q44" s="2">
        <f t="shared" si="10"/>
        <v>59.390625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21</v>
      </c>
      <c r="C45" s="2">
        <f t="shared" si="6"/>
        <v>141.01710000000003</v>
      </c>
      <c r="D45" s="2">
        <f t="shared" si="7"/>
        <v>64.439873399999996</v>
      </c>
      <c r="E45" s="2">
        <f t="shared" si="8"/>
        <v>9.9848469000000026</v>
      </c>
      <c r="F45" s="2">
        <f t="shared" si="9"/>
        <v>4.9156052400000005</v>
      </c>
      <c r="G45" s="2">
        <f t="shared" si="5"/>
        <v>0.19955250000000002</v>
      </c>
      <c r="H45" s="2">
        <f t="shared" si="5"/>
        <v>0.43521450000000006</v>
      </c>
      <c r="I45" s="2">
        <f t="shared" si="5"/>
        <v>6.2526450000000003E-3</v>
      </c>
      <c r="J45" s="2">
        <f t="shared" si="5"/>
        <v>1.9005000000000004E-4</v>
      </c>
      <c r="K45" s="2">
        <f t="shared" si="5"/>
        <v>1.9005000000000004E-4</v>
      </c>
      <c r="L45" s="2">
        <f t="shared" si="5"/>
        <v>3.8390100000000003E-2</v>
      </c>
      <c r="M45" s="2">
        <f t="shared" si="5"/>
        <v>0.13379520000000003</v>
      </c>
      <c r="N45" s="2">
        <f t="shared" si="5"/>
        <v>0</v>
      </c>
      <c r="O45" s="2">
        <f t="shared" si="5"/>
        <v>0</v>
      </c>
      <c r="P45" s="2">
        <f t="shared" si="5"/>
        <v>13.759620000000004</v>
      </c>
      <c r="Q45" s="2">
        <f t="shared" si="10"/>
        <v>59.390625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21</v>
      </c>
      <c r="C46" s="2">
        <f t="shared" si="6"/>
        <v>141.01710000000003</v>
      </c>
      <c r="D46" s="2">
        <f t="shared" si="7"/>
        <v>64.439873399999996</v>
      </c>
      <c r="E46" s="2">
        <f t="shared" si="8"/>
        <v>9.9848469000000026</v>
      </c>
      <c r="F46" s="2">
        <f t="shared" si="9"/>
        <v>4.9156052400000005</v>
      </c>
      <c r="G46" s="2">
        <f t="shared" si="5"/>
        <v>0.19955250000000002</v>
      </c>
      <c r="H46" s="2">
        <f t="shared" si="5"/>
        <v>0.43521450000000006</v>
      </c>
      <c r="I46" s="2">
        <f t="shared" si="5"/>
        <v>6.2526450000000003E-3</v>
      </c>
      <c r="J46" s="2">
        <f t="shared" si="5"/>
        <v>1.9005000000000004E-4</v>
      </c>
      <c r="K46" s="2">
        <f t="shared" si="5"/>
        <v>1.9005000000000004E-4</v>
      </c>
      <c r="L46" s="2">
        <f t="shared" si="5"/>
        <v>3.8390100000000003E-2</v>
      </c>
      <c r="M46" s="2">
        <f t="shared" si="5"/>
        <v>0.13379520000000003</v>
      </c>
      <c r="N46" s="2">
        <f t="shared" si="5"/>
        <v>0</v>
      </c>
      <c r="O46" s="2">
        <f t="shared" si="5"/>
        <v>0</v>
      </c>
      <c r="P46" s="2">
        <f t="shared" si="5"/>
        <v>13.759620000000004</v>
      </c>
      <c r="Q46" s="2">
        <f t="shared" si="10"/>
        <v>59.390625</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21</v>
      </c>
      <c r="C47" s="2">
        <f t="shared" si="6"/>
        <v>141.01710000000003</v>
      </c>
      <c r="D47" s="2">
        <f t="shared" si="7"/>
        <v>64.439873399999996</v>
      </c>
      <c r="E47" s="2">
        <f t="shared" si="8"/>
        <v>9.9848469000000026</v>
      </c>
      <c r="F47" s="2">
        <f t="shared" si="9"/>
        <v>4.9156052400000005</v>
      </c>
      <c r="G47" s="2">
        <f t="shared" ref="G47:P50" si="12">IF(G$27="%w/w SAR",((G$28*10)*$B47),IF(G$27="%w/w DM",(((G$28*10)*($B$28/100))*$B47),IF(G$27="kg/t SAR",(G$28*$B47),IF(G$27="kg/t DM",((G$28*($B$28/100))*$B47),IF(G$27="mg/kg SAR",((G$28*0.001)*$B47),IF(G$27="mg/kg DM",(((G$28*0.001)*($B$28/100))*$B47),0))))))</f>
        <v>0.19955250000000002</v>
      </c>
      <c r="H47" s="2">
        <f t="shared" si="12"/>
        <v>0.43521450000000006</v>
      </c>
      <c r="I47" s="2">
        <f t="shared" si="12"/>
        <v>6.2526450000000003E-3</v>
      </c>
      <c r="J47" s="2">
        <f t="shared" si="12"/>
        <v>1.9005000000000004E-4</v>
      </c>
      <c r="K47" s="2">
        <f t="shared" si="12"/>
        <v>1.9005000000000004E-4</v>
      </c>
      <c r="L47" s="2">
        <f t="shared" si="12"/>
        <v>3.8390100000000003E-2</v>
      </c>
      <c r="M47" s="2">
        <f t="shared" si="12"/>
        <v>0.13379520000000003</v>
      </c>
      <c r="N47" s="2">
        <f t="shared" si="12"/>
        <v>0</v>
      </c>
      <c r="O47" s="2">
        <f t="shared" si="12"/>
        <v>0</v>
      </c>
      <c r="P47" s="2">
        <f t="shared" si="12"/>
        <v>13.759620000000004</v>
      </c>
      <c r="Q47" s="2">
        <f t="shared" si="10"/>
        <v>59.390625</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21</v>
      </c>
      <c r="C48" s="2">
        <f t="shared" si="6"/>
        <v>141.01710000000003</v>
      </c>
      <c r="D48" s="2">
        <f t="shared" si="7"/>
        <v>64.439873399999996</v>
      </c>
      <c r="E48" s="2">
        <f t="shared" si="8"/>
        <v>9.9848469000000026</v>
      </c>
      <c r="F48" s="2">
        <f t="shared" si="9"/>
        <v>4.9156052400000005</v>
      </c>
      <c r="G48" s="2">
        <f t="shared" si="12"/>
        <v>0.19955250000000002</v>
      </c>
      <c r="H48" s="2">
        <f t="shared" si="12"/>
        <v>0.43521450000000006</v>
      </c>
      <c r="I48" s="2">
        <f t="shared" si="12"/>
        <v>6.2526450000000003E-3</v>
      </c>
      <c r="J48" s="2">
        <f t="shared" si="12"/>
        <v>1.9005000000000004E-4</v>
      </c>
      <c r="K48" s="2">
        <f t="shared" si="12"/>
        <v>1.9005000000000004E-4</v>
      </c>
      <c r="L48" s="2">
        <f t="shared" si="12"/>
        <v>3.8390100000000003E-2</v>
      </c>
      <c r="M48" s="2">
        <f t="shared" si="12"/>
        <v>0.13379520000000003</v>
      </c>
      <c r="N48" s="2">
        <f t="shared" si="12"/>
        <v>0</v>
      </c>
      <c r="O48" s="2">
        <f t="shared" si="12"/>
        <v>0</v>
      </c>
      <c r="P48" s="2">
        <f t="shared" si="12"/>
        <v>13.759620000000004</v>
      </c>
      <c r="Q48" s="2">
        <f t="shared" si="10"/>
        <v>59.390625</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"&amp;(VLOOKUP(C14,Table24581114[],6,FALSE))</f>
        <v>Sandy Loam I Grass</v>
      </c>
      <c r="C58" s="44" t="str">
        <f>D16&amp;" I "&amp;(VLOOKUP(D14,Table24581114[],6,FALSE))</f>
        <v>Sandy Loam I Grass</v>
      </c>
      <c r="D58" s="21" t="str">
        <f>E16&amp;" I "&amp;(VLOOKUP(E14,Table24581114[],6,FALSE))</f>
        <v>Sandy Loam I Grass</v>
      </c>
      <c r="E58" s="21" t="str">
        <f>F16&amp;" I "&amp;(VLOOKUP(F14,Table24581114[],6,FALSE))</f>
        <v>Sandy Loam I Grass</v>
      </c>
      <c r="F58" s="21" t="str">
        <f>G16&amp;" I "&amp;(VLOOKUP(G14,Table24581114[],6,FALSE))</f>
        <v>Sandy Loam I Grass</v>
      </c>
      <c r="G58" s="21" t="str">
        <f>H16&amp;" I "&amp;(VLOOKUP(H14,Table24581114[],6,FALSE))</f>
        <v>Sandy Loam I Grass</v>
      </c>
      <c r="H58" s="21" t="str">
        <f>I16&amp;" I "&amp;(VLOOKUP(I14,Table24581114[],6,FALSE))</f>
        <v>Sandy Loam I Grass</v>
      </c>
      <c r="I58" s="21" t="str">
        <f>J16&amp;" I "&amp;(VLOOKUP(J14,Table24581114[],6,FALSE))</f>
        <v>Sandy Loam I Grass</v>
      </c>
      <c r="J58" s="21" t="str">
        <f>K16&amp;" I "&amp;(VLOOKUP(K14,Table24581114[],6,FALSE))</f>
        <v>Sandy Loam I Grass</v>
      </c>
      <c r="K58" s="21" t="str">
        <f>L16&amp;" I "&amp;(VLOOKUP(L14,Table24581114[],6,FALSE))</f>
        <v>Sandy Loam I Grass</v>
      </c>
      <c r="L58" s="21" t="str">
        <f>M16&amp;" I "&amp;(VLOOKUP(M14,Table24581114[],6,FALSE))</f>
        <v>Sandy Loam I Grass</v>
      </c>
      <c r="M58" s="21" t="str">
        <f>N16&amp;" I "&amp;(VLOOKUP(N14,Table24581114[],6,FALSE))</f>
        <v>Sandy Loam I Grass</v>
      </c>
      <c r="N58" s="21" t="str">
        <f>O16&amp;" I "&amp;(VLOOKUP(O14,Table24581114[],6,FALSE))</f>
        <v>Sandy Loam I Grass</v>
      </c>
      <c r="O58" s="21" t="str">
        <f>P16&amp;" I "&amp;(VLOOKUP(P14,Table24581114[],6,FALSE))</f>
        <v>Sandy Loam I Grass</v>
      </c>
      <c r="P58" s="21" t="str">
        <f>Q16&amp;" I "&amp;(VLOOKUP(Q14,Table24581114[],6,FALSE))</f>
        <v>Sandy Loam I Grass</v>
      </c>
      <c r="Q58" s="21" t="str">
        <f>R16&amp;" I "&amp;(VLOOKUP(R14,Table24581114[],6,FALSE))</f>
        <v>Sandy Loam I Grass</v>
      </c>
      <c r="R58" s="21" t="str">
        <f>S16&amp;" I "&amp;(VLOOKUP(S14,Table24581114[],6,FALSE))</f>
        <v>Sandy Loam I Grass</v>
      </c>
      <c r="S58" s="21" t="str">
        <f>T16&amp;" I "&amp;(VLOOKUP(T14,Table24581114[],6,FALSE))</f>
        <v>Sandy Loam I Grass</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6.2</v>
      </c>
      <c r="N59" s="93">
        <f>VLOOKUP(O$14,Table24581114[],5,FALSE)</f>
        <v>6.2</v>
      </c>
      <c r="O59" s="93">
        <f>VLOOKUP(P$14,Table24581114[],5,FALSE)</f>
        <v>6.2</v>
      </c>
      <c r="P59" s="93">
        <f>VLOOKUP(Q$14,Table24581114[],5,FALSE)</f>
        <v>6.2</v>
      </c>
      <c r="Q59" s="93">
        <f>VLOOKUP(R$14,Table24581114[],5,FALSE)</f>
        <v>6.2</v>
      </c>
      <c r="R59" s="93">
        <f>VLOOKUP(S$14,Table24581114[],5,FALSE)</f>
        <v>6.2</v>
      </c>
      <c r="S59" s="93">
        <f>VLOOKUP(T$14,Table24581114[],5,FALSE)</f>
        <v>6.2</v>
      </c>
      <c r="T59" s="93" t="e">
        <f>VLOOKUP(U$14,Table24581114[],5,FALSE)</f>
        <v>#N/A</v>
      </c>
      <c r="U59" s="93" t="e">
        <f>VLOOKUP(V$14,Table24581114[],5,FALSE)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21</v>
      </c>
      <c r="C62" s="94">
        <f>B32</f>
        <v>21</v>
      </c>
      <c r="D62" s="94">
        <f>B33</f>
        <v>21</v>
      </c>
      <c r="E62" s="94">
        <f>B34</f>
        <v>21</v>
      </c>
      <c r="F62" s="94">
        <f>B35</f>
        <v>21</v>
      </c>
      <c r="G62" s="94">
        <f>B36</f>
        <v>21</v>
      </c>
      <c r="H62" s="94">
        <f>B37</f>
        <v>21</v>
      </c>
      <c r="I62" s="94">
        <f>B38</f>
        <v>21</v>
      </c>
      <c r="J62" s="94">
        <f>B39</f>
        <v>21</v>
      </c>
      <c r="K62" s="94">
        <f>B40</f>
        <v>21</v>
      </c>
      <c r="L62" s="94">
        <f>B41</f>
        <v>21</v>
      </c>
      <c r="M62" s="94">
        <f>B42</f>
        <v>21</v>
      </c>
      <c r="N62" s="94">
        <f>B43</f>
        <v>21</v>
      </c>
      <c r="O62" s="94">
        <f>B44</f>
        <v>21</v>
      </c>
      <c r="P62" s="94">
        <f>B45</f>
        <v>21</v>
      </c>
      <c r="Q62" s="94">
        <f>B46</f>
        <v>21</v>
      </c>
      <c r="R62" s="94">
        <f>B47</f>
        <v>21</v>
      </c>
      <c r="S62" s="94">
        <f>B48</f>
        <v>21</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4.18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259</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0.27110000000000001</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62.716124999999998</v>
      </c>
      <c r="D18" s="24">
        <f>$D32</f>
        <v>62.716124999999998</v>
      </c>
      <c r="E18" s="24">
        <f>$D33</f>
        <v>62.716124999999998</v>
      </c>
      <c r="F18" s="24">
        <f>$D34</f>
        <v>62.716124999999998</v>
      </c>
      <c r="G18" s="24">
        <f>$D35</f>
        <v>62.716124999999998</v>
      </c>
      <c r="H18" s="24">
        <f>$D36</f>
        <v>62.716124999999998</v>
      </c>
      <c r="I18" s="24">
        <f>$D37</f>
        <v>62.716124999999998</v>
      </c>
      <c r="J18" s="24">
        <f>$D38</f>
        <v>62.716124999999998</v>
      </c>
      <c r="K18" s="24">
        <f>$D39</f>
        <v>0</v>
      </c>
      <c r="L18" s="24">
        <f>$D40</f>
        <v>62.716124999999998</v>
      </c>
      <c r="M18" s="24">
        <f>$D41</f>
        <v>0</v>
      </c>
      <c r="N18" s="24">
        <f>$D42</f>
        <v>62.716124999999998</v>
      </c>
      <c r="O18" s="24">
        <f>$D43</f>
        <v>0</v>
      </c>
      <c r="P18" s="24">
        <f>$D44</f>
        <v>62.716124999999998</v>
      </c>
      <c r="Q18" s="24">
        <f>$D45</f>
        <v>62.716124999999998</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-1.8838749999999962</v>
      </c>
      <c r="D19" s="24">
        <f t="shared" ref="D19:V19" si="1">D18-D17</f>
        <v>-1.8838749999999962</v>
      </c>
      <c r="E19" s="24">
        <f t="shared" si="1"/>
        <v>-1.8838749999999962</v>
      </c>
      <c r="F19" s="24">
        <f t="shared" si="1"/>
        <v>-1.8838749999999962</v>
      </c>
      <c r="G19" s="24">
        <f t="shared" si="1"/>
        <v>-1.8838749999999962</v>
      </c>
      <c r="H19" s="24">
        <f t="shared" si="1"/>
        <v>-1.8838749999999962</v>
      </c>
      <c r="I19" s="24">
        <f t="shared" si="1"/>
        <v>-1.8838749999999962</v>
      </c>
      <c r="J19" s="24">
        <f t="shared" si="1"/>
        <v>-1.8838749999999962</v>
      </c>
      <c r="K19" s="24">
        <f t="shared" si="1"/>
        <v>-64.599999999999994</v>
      </c>
      <c r="L19" s="24">
        <f t="shared" si="1"/>
        <v>-1.8838749999999962</v>
      </c>
      <c r="M19" s="24">
        <f t="shared" si="1"/>
        <v>-64.599999999999994</v>
      </c>
      <c r="N19" s="24">
        <f t="shared" si="1"/>
        <v>-1.8838749999999962</v>
      </c>
      <c r="O19" s="24">
        <f t="shared" si="1"/>
        <v>-64.599999999999994</v>
      </c>
      <c r="P19" s="24">
        <f t="shared" si="1"/>
        <v>-1.8838749999999962</v>
      </c>
      <c r="Q19" s="24">
        <f t="shared" si="1"/>
        <v>-1.8838749999999962</v>
      </c>
      <c r="R19" s="24">
        <f t="shared" si="1"/>
        <v>-64.599999999999994</v>
      </c>
      <c r="S19" s="24">
        <f t="shared" si="1"/>
        <v>-64.599999999999994</v>
      </c>
      <c r="T19" s="24">
        <f t="shared" si="1"/>
        <v>-64.599999999999994</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DECREASE</v>
      </c>
      <c r="M20" s="33" t="str">
        <f>IF($B41="","",IF(M$19&gt;=0,"INCREASE","DECREASE"))</f>
        <v/>
      </c>
      <c r="N20" s="33" t="str">
        <f>IF($B42="","",IF(N$19&gt;=0,"INCREASE","DECREASE"))</f>
        <v>DECREASE</v>
      </c>
      <c r="O20" s="33" t="str">
        <f>IF($B43="","",IF(O$19&gt;=0,"INCREASE","DECREASE"))</f>
        <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34.570245</v>
      </c>
      <c r="D22" s="24">
        <f>$E32</f>
        <v>34.570245</v>
      </c>
      <c r="E22" s="24">
        <f>$E33</f>
        <v>34.570245</v>
      </c>
      <c r="F22" s="24">
        <f>$E34</f>
        <v>34.570245</v>
      </c>
      <c r="G22" s="24">
        <f>$E35</f>
        <v>34.570245</v>
      </c>
      <c r="H22" s="24">
        <f>$E36</f>
        <v>34.570245</v>
      </c>
      <c r="I22" s="24">
        <f>$E37</f>
        <v>34.570245</v>
      </c>
      <c r="J22" s="24">
        <f>$E38</f>
        <v>34.570245</v>
      </c>
      <c r="K22" s="24">
        <f>$E39</f>
        <v>0</v>
      </c>
      <c r="L22" s="24">
        <f>$E40</f>
        <v>34.570245</v>
      </c>
      <c r="M22" s="24">
        <f>$E41</f>
        <v>0</v>
      </c>
      <c r="N22" s="24">
        <f>$E42</f>
        <v>34.570245</v>
      </c>
      <c r="O22" s="24">
        <f>$E43</f>
        <v>0</v>
      </c>
      <c r="P22" s="24">
        <f>$E44</f>
        <v>34.570245</v>
      </c>
      <c r="Q22" s="24">
        <f>$E45</f>
        <v>34.570245</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-193.429755</v>
      </c>
      <c r="D23" s="24">
        <f t="shared" ref="D23:V23" si="3">D22-D21</f>
        <v>-193.429755</v>
      </c>
      <c r="E23" s="24">
        <f t="shared" si="3"/>
        <v>-193.429755</v>
      </c>
      <c r="F23" s="24">
        <f t="shared" si="3"/>
        <v>-193.429755</v>
      </c>
      <c r="G23" s="24">
        <f t="shared" si="3"/>
        <v>-193.429755</v>
      </c>
      <c r="H23" s="24">
        <f t="shared" si="3"/>
        <v>-193.429755</v>
      </c>
      <c r="I23" s="24">
        <f t="shared" si="3"/>
        <v>-193.429755</v>
      </c>
      <c r="J23" s="24">
        <f t="shared" si="3"/>
        <v>-193.429755</v>
      </c>
      <c r="K23" s="24">
        <f t="shared" si="3"/>
        <v>-228</v>
      </c>
      <c r="L23" s="24">
        <f t="shared" si="3"/>
        <v>-193.429755</v>
      </c>
      <c r="M23" s="24">
        <f t="shared" si="3"/>
        <v>-228</v>
      </c>
      <c r="N23" s="24">
        <f t="shared" si="3"/>
        <v>-193.429755</v>
      </c>
      <c r="O23" s="24">
        <f t="shared" si="3"/>
        <v>-228</v>
      </c>
      <c r="P23" s="24">
        <f t="shared" si="3"/>
        <v>-193.429755</v>
      </c>
      <c r="Q23" s="24">
        <f t="shared" si="3"/>
        <v>-193.429755</v>
      </c>
      <c r="R23" s="24">
        <f t="shared" si="3"/>
        <v>-228</v>
      </c>
      <c r="S23" s="24">
        <f t="shared" si="3"/>
        <v>-228</v>
      </c>
      <c r="T23" s="24">
        <f t="shared" si="3"/>
        <v>-228</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55</v>
      </c>
      <c r="N27" s="101"/>
      <c r="O27" s="101"/>
      <c r="P27" s="101" t="s">
        <v>54</v>
      </c>
      <c r="Q27" s="101" t="s">
        <v>54</v>
      </c>
      <c r="R27" s="101"/>
      <c r="S27" s="101"/>
      <c r="T27" s="101"/>
      <c r="U27" s="101"/>
    </row>
    <row r="28" spans="1:40" s="64" customFormat="1" x14ac:dyDescent="0.25">
      <c r="A28" s="82"/>
      <c r="B28" s="31">
        <v>2.0099999999999998</v>
      </c>
      <c r="C28" s="23">
        <v>0.09</v>
      </c>
      <c r="D28" s="23">
        <v>125</v>
      </c>
      <c r="E28" s="23">
        <v>131</v>
      </c>
      <c r="F28" s="23">
        <v>18</v>
      </c>
      <c r="G28" s="23">
        <v>0.95799999999999996</v>
      </c>
      <c r="H28" s="23">
        <v>1.8</v>
      </c>
      <c r="I28" s="23">
        <v>0.5</v>
      </c>
      <c r="J28" s="23">
        <v>0.1</v>
      </c>
      <c r="K28" s="30">
        <v>0.05</v>
      </c>
      <c r="L28" s="23">
        <v>0.2</v>
      </c>
      <c r="M28" s="23">
        <v>18.2</v>
      </c>
      <c r="N28" s="23"/>
      <c r="O28" s="23"/>
      <c r="P28" s="23">
        <v>141</v>
      </c>
      <c r="Q28" s="23">
        <v>64.400000000000006</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219</v>
      </c>
      <c r="C31" s="2">
        <f>IF(C$27="%w/w SAR",((C$28*10)*$B31),IF(C$27="%w/w DM",(((C$28*10)*($B$28/100))*$B31),IF(C$27="kg/t SAR",(C$28*$B31),IF(C$27="kg/t DM",((C$28*($B$28/100))*$B31),IF(C$27="mg/kg SAR",((C$28*0.001)*$B31),IF(C$27="mg/kg DM",(((C$28*0.001)*($B$28/100))*$B31),0))))))</f>
        <v>197.1</v>
      </c>
      <c r="D31" s="2">
        <f>(IF(D$27="%w/w SAR",((D$28*10)*$B31),IF(D$27="%w/w DM",(((D$28*10)*($B$28/100))*$B31),IF(D$27="kg/t SAR",(D$28*$B31),IF(D$27="kg/t DM",((D$28*($B$28/100))*$B31),IF(D$27="mg/kg SAR",((D$28*0.001)*$B31),IF(D$27="mg/kg DM",(((D$28*0.001)*($B$28/100))*$B31),"0")))))))*2.291</f>
        <v>62.716124999999998</v>
      </c>
      <c r="E31" s="2">
        <f>(IF(E$27="%w/w SAR",((E$28*10)*$B31),IF(E$27="%w/w DM",(((E$28*10)*($B$28/100))*$B31),IF(E$27="kg/t SAR",(E$28*$B31),IF(E$27="kg/t DM",((E$28*($B$28/100))*$B31),IF(E$27="mg/kg SAR",((E$28*0.001)*$B31),IF(E$27="mg/kg DM",(((E$28*0.001)*($B$28/100))*$B31),"0")))))))*1.205</f>
        <v>34.570245</v>
      </c>
      <c r="F31" s="2">
        <f>(IF(F$27="%w/w SAR",((F$28*10)*$B31),IF(F$27="%w/w DM",(((F$28*10)*($B$28/100))*$B31),IF(F$27="kg/t SAR",(F$28*$B31),IF(F$27="kg/t DM",((F$28*($B$28/100))*$B31),IF(F$27="mg/kg SAR",((F$28*0.001)*$B31),IF(F$27="mg/kg DM",(((F$28*0.001)*($B$28/100))*$B31),"0")))))))*1.658</f>
        <v>6.5358360000000006</v>
      </c>
      <c r="G31" s="2">
        <f t="shared" ref="G31:P46" si="5">IF(G$27="%w/w SAR",((G$28*10)*$B31),IF(G$27="%w/w DM",(((G$28*10)*($B$28/100))*$B31),IF(G$27="kg/t SAR",(G$28*$B31),IF(G$27="kg/t DM",((G$28*($B$28/100))*$B31),IF(G$27="mg/kg SAR",((G$28*0.001)*$B31),IF(G$27="mg/kg DM",(((G$28*0.001)*($B$28/100))*$B31),0))))))</f>
        <v>0.20980199999999999</v>
      </c>
      <c r="H31" s="2">
        <f t="shared" si="5"/>
        <v>0.39420000000000005</v>
      </c>
      <c r="I31" s="2">
        <f t="shared" si="5"/>
        <v>0.1095</v>
      </c>
      <c r="J31" s="2">
        <f t="shared" si="5"/>
        <v>2.1899999999999999E-2</v>
      </c>
      <c r="K31" s="2">
        <f t="shared" si="5"/>
        <v>1.095E-2</v>
      </c>
      <c r="L31" s="2">
        <f t="shared" si="5"/>
        <v>4.3799999999999999E-2</v>
      </c>
      <c r="M31" s="2">
        <f t="shared" si="5"/>
        <v>8.0114579999999991E-2</v>
      </c>
      <c r="N31" s="2">
        <f t="shared" si="5"/>
        <v>0</v>
      </c>
      <c r="O31" s="2">
        <f t="shared" si="5"/>
        <v>0</v>
      </c>
      <c r="P31" s="2">
        <f t="shared" si="5"/>
        <v>30.879000000000005</v>
      </c>
      <c r="Q31" s="2">
        <f>(IF(Q$27="%w/w SAR",((Q$28*10)*$B31),IF(Q$27="%w/w DM",(((Q$28*10)*($B$28/100))*$B31),IF(Q$27="kg/t SAR",(Q$28*$B31),IF(Q$27="kg/t DM",((Q$28*($B$28/100))*$B31),IF(Q$27="mg/kg SAR",((Q$28*0.001)*$B31),IF(Q$27="mg/kg DM",(((Q$28*0.001)*($B$28/100))*$B31),0)))))))*2.5</f>
        <v>35.259000000000007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219</v>
      </c>
      <c r="C32" s="2">
        <f t="shared" ref="C32:C50" si="6">IF(C$27="%w/w SAR",((C$28*10)*$B32),IF(C$27="%w/w DM",(((C$28*10)*($B$28/100))*$B32),IF(C$27="kg/t SAR",(C$28*$B32),IF(C$27="kg/t DM",((C$28*($B$28/100))*$B32),IF(C$27="mg/kg SAR",((C$28*0.001)*$B32),IF(C$27="mg/kg DM",(((C$28*0.001)*($B$28/100))*$B32),0))))))</f>
        <v>197.1</v>
      </c>
      <c r="D32" s="2">
        <f t="shared" ref="D32:D50" si="7">(IF(D$27="%w/w SAR",((D$28*10)*$B32),IF(D$27="%w/w DM",(((D$28*10)*($B$28/100))*$B32),IF(D$27="kg/t SAR",(D$28*$B32),IF(D$27="kg/t DM",((D$28*($B$28/100))*$B32),IF(D$27="mg/kg SAR",((D$28*0.001)*$B32),IF(D$27="mg/kg DM",(((D$28*0.001)*($B$28/100))*$B32),"0")))))))*2.291</f>
        <v>62.716124999999998</v>
      </c>
      <c r="E32" s="2">
        <f t="shared" ref="E32:E50" si="8">(IF(E$27="%w/w SAR",((E$28*10)*$B32),IF(E$27="%w/w DM",(((E$28*10)*($B$28/100))*$B32),IF(E$27="kg/t SAR",(E$28*$B32),IF(E$27="kg/t DM",((E$28*($B$28/100))*$B32),IF(E$27="mg/kg SAR",((E$28*0.001)*$B32),IF(E$27="mg/kg DM",(((E$28*0.001)*($B$28/100))*$B32),"0")))))))*1.205</f>
        <v>34.570245</v>
      </c>
      <c r="F32" s="2">
        <f t="shared" ref="F32:F50" si="9">(IF(F$27="%w/w SAR",((F$28*10)*$B32),IF(F$27="%w/w DM",(((F$28*10)*($B$28/100))*$B32),IF(F$27="kg/t SAR",(F$28*$B32),IF(F$27="kg/t DM",((F$28*($B$28/100))*$B32),IF(F$27="mg/kg SAR",((F$28*0.001)*$B32),IF(F$27="mg/kg DM",(((F$28*0.001)*($B$28/100))*$B32),"0")))))))*1.658</f>
        <v>6.5358360000000006</v>
      </c>
      <c r="G32" s="2">
        <f t="shared" si="5"/>
        <v>0.20980199999999999</v>
      </c>
      <c r="H32" s="2">
        <f t="shared" si="5"/>
        <v>0.39420000000000005</v>
      </c>
      <c r="I32" s="2">
        <f t="shared" si="5"/>
        <v>0.1095</v>
      </c>
      <c r="J32" s="2">
        <f t="shared" si="5"/>
        <v>2.1899999999999999E-2</v>
      </c>
      <c r="K32" s="2">
        <f t="shared" si="5"/>
        <v>1.095E-2</v>
      </c>
      <c r="L32" s="2">
        <f t="shared" si="5"/>
        <v>4.3799999999999999E-2</v>
      </c>
      <c r="M32" s="2">
        <f t="shared" si="5"/>
        <v>8.0114579999999991E-2</v>
      </c>
      <c r="N32" s="2">
        <f t="shared" si="5"/>
        <v>0</v>
      </c>
      <c r="O32" s="2">
        <f t="shared" si="5"/>
        <v>0</v>
      </c>
      <c r="P32" s="2">
        <f t="shared" si="5"/>
        <v>30.879000000000005</v>
      </c>
      <c r="Q32" s="2">
        <f t="shared" ref="Q32:Q50" si="10">(IF(Q$27="%w/w SAR",((Q$28*10)*$B32),IF(Q$27="%w/w DM",(((Q$28*10)*($B$28/100))*$B32),IF(Q$27="kg/t SAR",(Q$28*$B32),IF(Q$27="kg/t DM",((Q$28*($B$28/100))*$B32),IF(Q$27="mg/kg SAR",((Q$28*0.001)*$B32),IF(Q$27="mg/kg DM",(((Q$28*0.001)*($B$28/100))*$B32),0)))))))*2.5</f>
        <v>35.259000000000007</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219</v>
      </c>
      <c r="C33" s="2">
        <f t="shared" si="6"/>
        <v>197.1</v>
      </c>
      <c r="D33" s="2">
        <f t="shared" si="7"/>
        <v>62.716124999999998</v>
      </c>
      <c r="E33" s="2">
        <f t="shared" si="8"/>
        <v>34.570245</v>
      </c>
      <c r="F33" s="2">
        <f t="shared" si="9"/>
        <v>6.5358360000000006</v>
      </c>
      <c r="G33" s="2">
        <f t="shared" si="5"/>
        <v>0.20980199999999999</v>
      </c>
      <c r="H33" s="2">
        <f t="shared" si="5"/>
        <v>0.39420000000000005</v>
      </c>
      <c r="I33" s="2">
        <f t="shared" si="5"/>
        <v>0.1095</v>
      </c>
      <c r="J33" s="2">
        <f t="shared" si="5"/>
        <v>2.1899999999999999E-2</v>
      </c>
      <c r="K33" s="2">
        <f t="shared" si="5"/>
        <v>1.095E-2</v>
      </c>
      <c r="L33" s="2">
        <f t="shared" si="5"/>
        <v>4.3799999999999999E-2</v>
      </c>
      <c r="M33" s="2">
        <f t="shared" si="5"/>
        <v>8.0114579999999991E-2</v>
      </c>
      <c r="N33" s="2">
        <f t="shared" si="5"/>
        <v>0</v>
      </c>
      <c r="O33" s="2">
        <f t="shared" si="5"/>
        <v>0</v>
      </c>
      <c r="P33" s="2">
        <f t="shared" si="5"/>
        <v>30.879000000000005</v>
      </c>
      <c r="Q33" s="2">
        <f t="shared" si="10"/>
        <v>35.259000000000007</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219</v>
      </c>
      <c r="C34" s="2">
        <f t="shared" si="6"/>
        <v>197.1</v>
      </c>
      <c r="D34" s="2">
        <f t="shared" si="7"/>
        <v>62.716124999999998</v>
      </c>
      <c r="E34" s="2">
        <f t="shared" si="8"/>
        <v>34.570245</v>
      </c>
      <c r="F34" s="2">
        <f t="shared" si="9"/>
        <v>6.5358360000000006</v>
      </c>
      <c r="G34" s="2">
        <f t="shared" si="5"/>
        <v>0.20980199999999999</v>
      </c>
      <c r="H34" s="2">
        <f t="shared" si="5"/>
        <v>0.39420000000000005</v>
      </c>
      <c r="I34" s="2">
        <f t="shared" si="5"/>
        <v>0.1095</v>
      </c>
      <c r="J34" s="2">
        <f t="shared" si="5"/>
        <v>2.1899999999999999E-2</v>
      </c>
      <c r="K34" s="2">
        <f t="shared" si="5"/>
        <v>1.095E-2</v>
      </c>
      <c r="L34" s="2">
        <f t="shared" si="5"/>
        <v>4.3799999999999999E-2</v>
      </c>
      <c r="M34" s="2">
        <f t="shared" si="5"/>
        <v>8.0114579999999991E-2</v>
      </c>
      <c r="N34" s="2">
        <f t="shared" si="5"/>
        <v>0</v>
      </c>
      <c r="O34" s="2">
        <f t="shared" si="5"/>
        <v>0</v>
      </c>
      <c r="P34" s="2">
        <f t="shared" si="5"/>
        <v>30.879000000000005</v>
      </c>
      <c r="Q34" s="2">
        <f t="shared" si="10"/>
        <v>35.259000000000007</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219</v>
      </c>
      <c r="C35" s="2">
        <f t="shared" si="6"/>
        <v>197.1</v>
      </c>
      <c r="D35" s="2">
        <f t="shared" si="7"/>
        <v>62.716124999999998</v>
      </c>
      <c r="E35" s="2">
        <f t="shared" si="8"/>
        <v>34.570245</v>
      </c>
      <c r="F35" s="2">
        <f t="shared" si="9"/>
        <v>6.5358360000000006</v>
      </c>
      <c r="G35" s="2">
        <f t="shared" si="5"/>
        <v>0.20980199999999999</v>
      </c>
      <c r="H35" s="2">
        <f t="shared" si="5"/>
        <v>0.39420000000000005</v>
      </c>
      <c r="I35" s="2">
        <f t="shared" si="5"/>
        <v>0.1095</v>
      </c>
      <c r="J35" s="2">
        <f t="shared" si="5"/>
        <v>2.1899999999999999E-2</v>
      </c>
      <c r="K35" s="2">
        <f t="shared" si="5"/>
        <v>1.095E-2</v>
      </c>
      <c r="L35" s="2">
        <f t="shared" si="5"/>
        <v>4.3799999999999999E-2</v>
      </c>
      <c r="M35" s="2">
        <f t="shared" si="5"/>
        <v>8.0114579999999991E-2</v>
      </c>
      <c r="N35" s="2">
        <f t="shared" si="5"/>
        <v>0</v>
      </c>
      <c r="O35" s="2">
        <f t="shared" si="5"/>
        <v>0</v>
      </c>
      <c r="P35" s="2">
        <f t="shared" si="5"/>
        <v>30.879000000000005</v>
      </c>
      <c r="Q35" s="2">
        <f t="shared" si="10"/>
        <v>35.259000000000007</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219</v>
      </c>
      <c r="C36" s="2">
        <f t="shared" si="6"/>
        <v>197.1</v>
      </c>
      <c r="D36" s="2">
        <f t="shared" si="7"/>
        <v>62.716124999999998</v>
      </c>
      <c r="E36" s="2">
        <f t="shared" si="8"/>
        <v>34.570245</v>
      </c>
      <c r="F36" s="2">
        <f t="shared" si="9"/>
        <v>6.5358360000000006</v>
      </c>
      <c r="G36" s="2">
        <f t="shared" si="5"/>
        <v>0.20980199999999999</v>
      </c>
      <c r="H36" s="2">
        <f t="shared" si="5"/>
        <v>0.39420000000000005</v>
      </c>
      <c r="I36" s="2">
        <f t="shared" si="5"/>
        <v>0.1095</v>
      </c>
      <c r="J36" s="2">
        <f t="shared" si="5"/>
        <v>2.1899999999999999E-2</v>
      </c>
      <c r="K36" s="2">
        <f t="shared" si="5"/>
        <v>1.095E-2</v>
      </c>
      <c r="L36" s="2">
        <f t="shared" si="5"/>
        <v>4.3799999999999999E-2</v>
      </c>
      <c r="M36" s="2">
        <f t="shared" si="5"/>
        <v>8.0114579999999991E-2</v>
      </c>
      <c r="N36" s="2">
        <f t="shared" si="5"/>
        <v>0</v>
      </c>
      <c r="O36" s="2">
        <f t="shared" si="5"/>
        <v>0</v>
      </c>
      <c r="P36" s="2">
        <f t="shared" si="5"/>
        <v>30.879000000000005</v>
      </c>
      <c r="Q36" s="2">
        <f t="shared" si="10"/>
        <v>35.259000000000007</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219</v>
      </c>
      <c r="C37" s="2">
        <f t="shared" si="6"/>
        <v>197.1</v>
      </c>
      <c r="D37" s="2">
        <f t="shared" si="7"/>
        <v>62.716124999999998</v>
      </c>
      <c r="E37" s="2">
        <f t="shared" si="8"/>
        <v>34.570245</v>
      </c>
      <c r="F37" s="2">
        <f t="shared" si="9"/>
        <v>6.5358360000000006</v>
      </c>
      <c r="G37" s="2">
        <f t="shared" si="5"/>
        <v>0.20980199999999999</v>
      </c>
      <c r="H37" s="2">
        <f t="shared" si="5"/>
        <v>0.39420000000000005</v>
      </c>
      <c r="I37" s="2">
        <f t="shared" si="5"/>
        <v>0.1095</v>
      </c>
      <c r="J37" s="2">
        <f t="shared" si="5"/>
        <v>2.1899999999999999E-2</v>
      </c>
      <c r="K37" s="2">
        <f t="shared" si="5"/>
        <v>1.095E-2</v>
      </c>
      <c r="L37" s="2">
        <f t="shared" si="5"/>
        <v>4.3799999999999999E-2</v>
      </c>
      <c r="M37" s="2">
        <f t="shared" si="5"/>
        <v>8.0114579999999991E-2</v>
      </c>
      <c r="N37" s="2">
        <f t="shared" si="5"/>
        <v>0</v>
      </c>
      <c r="O37" s="2">
        <f t="shared" si="5"/>
        <v>0</v>
      </c>
      <c r="P37" s="2">
        <f t="shared" si="5"/>
        <v>30.879000000000005</v>
      </c>
      <c r="Q37" s="2">
        <f t="shared" si="10"/>
        <v>35.259000000000007</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219</v>
      </c>
      <c r="C38" s="2">
        <f t="shared" si="6"/>
        <v>197.1</v>
      </c>
      <c r="D38" s="2">
        <f t="shared" si="7"/>
        <v>62.716124999999998</v>
      </c>
      <c r="E38" s="2">
        <f t="shared" si="8"/>
        <v>34.570245</v>
      </c>
      <c r="F38" s="2">
        <f t="shared" si="9"/>
        <v>6.5358360000000006</v>
      </c>
      <c r="G38" s="2">
        <f t="shared" si="5"/>
        <v>0.20980199999999999</v>
      </c>
      <c r="H38" s="2">
        <f t="shared" si="5"/>
        <v>0.39420000000000005</v>
      </c>
      <c r="I38" s="2">
        <f t="shared" si="5"/>
        <v>0.1095</v>
      </c>
      <c r="J38" s="2">
        <f t="shared" si="5"/>
        <v>2.1899999999999999E-2</v>
      </c>
      <c r="K38" s="2">
        <f t="shared" si="5"/>
        <v>1.095E-2</v>
      </c>
      <c r="L38" s="2">
        <f t="shared" si="5"/>
        <v>4.3799999999999999E-2</v>
      </c>
      <c r="M38" s="2">
        <f t="shared" si="5"/>
        <v>8.0114579999999991E-2</v>
      </c>
      <c r="N38" s="2">
        <f t="shared" si="5"/>
        <v>0</v>
      </c>
      <c r="O38" s="2">
        <f t="shared" si="5"/>
        <v>0</v>
      </c>
      <c r="P38" s="2">
        <f t="shared" si="5"/>
        <v>30.879000000000005</v>
      </c>
      <c r="Q38" s="2">
        <f t="shared" si="10"/>
        <v>35.259000000000007</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219</v>
      </c>
      <c r="C40" s="2">
        <f t="shared" si="6"/>
        <v>197.1</v>
      </c>
      <c r="D40" s="2">
        <f t="shared" si="7"/>
        <v>62.716124999999998</v>
      </c>
      <c r="E40" s="2">
        <f t="shared" si="8"/>
        <v>34.570245</v>
      </c>
      <c r="F40" s="2">
        <f t="shared" si="9"/>
        <v>6.5358360000000006</v>
      </c>
      <c r="G40" s="2">
        <f t="shared" si="5"/>
        <v>0.20980199999999999</v>
      </c>
      <c r="H40" s="2">
        <f t="shared" si="5"/>
        <v>0.39420000000000005</v>
      </c>
      <c r="I40" s="2">
        <f t="shared" si="5"/>
        <v>0.1095</v>
      </c>
      <c r="J40" s="2">
        <f t="shared" si="5"/>
        <v>2.1899999999999999E-2</v>
      </c>
      <c r="K40" s="2">
        <f t="shared" si="5"/>
        <v>1.095E-2</v>
      </c>
      <c r="L40" s="2">
        <f t="shared" si="5"/>
        <v>4.3799999999999999E-2</v>
      </c>
      <c r="M40" s="2">
        <f t="shared" si="5"/>
        <v>8.0114579999999991E-2</v>
      </c>
      <c r="N40" s="2">
        <f t="shared" si="5"/>
        <v>0</v>
      </c>
      <c r="O40" s="2">
        <f t="shared" si="5"/>
        <v>0</v>
      </c>
      <c r="P40" s="2">
        <f t="shared" si="5"/>
        <v>30.879000000000005</v>
      </c>
      <c r="Q40" s="2">
        <f t="shared" si="10"/>
        <v>35.259000000000007</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219</v>
      </c>
      <c r="C42" s="2">
        <f t="shared" si="6"/>
        <v>197.1</v>
      </c>
      <c r="D42" s="2">
        <f t="shared" si="7"/>
        <v>62.716124999999998</v>
      </c>
      <c r="E42" s="2">
        <f t="shared" si="8"/>
        <v>34.570245</v>
      </c>
      <c r="F42" s="2">
        <f t="shared" si="9"/>
        <v>6.5358360000000006</v>
      </c>
      <c r="G42" s="2">
        <f t="shared" si="5"/>
        <v>0.20980199999999999</v>
      </c>
      <c r="H42" s="2">
        <f t="shared" si="5"/>
        <v>0.39420000000000005</v>
      </c>
      <c r="I42" s="2">
        <f t="shared" si="5"/>
        <v>0.1095</v>
      </c>
      <c r="J42" s="2">
        <f t="shared" si="5"/>
        <v>2.1899999999999999E-2</v>
      </c>
      <c r="K42" s="2">
        <f t="shared" si="5"/>
        <v>1.095E-2</v>
      </c>
      <c r="L42" s="2">
        <f t="shared" si="5"/>
        <v>4.3799999999999999E-2</v>
      </c>
      <c r="M42" s="2">
        <f t="shared" si="5"/>
        <v>8.0114579999999991E-2</v>
      </c>
      <c r="N42" s="2">
        <f t="shared" si="5"/>
        <v>0</v>
      </c>
      <c r="O42" s="2">
        <f t="shared" si="5"/>
        <v>0</v>
      </c>
      <c r="P42" s="2">
        <f t="shared" si="5"/>
        <v>30.879000000000005</v>
      </c>
      <c r="Q42" s="2">
        <f t="shared" si="10"/>
        <v>35.259000000000007</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219</v>
      </c>
      <c r="C44" s="2">
        <f t="shared" si="6"/>
        <v>197.1</v>
      </c>
      <c r="D44" s="2">
        <f t="shared" si="7"/>
        <v>62.716124999999998</v>
      </c>
      <c r="E44" s="2">
        <f t="shared" si="8"/>
        <v>34.570245</v>
      </c>
      <c r="F44" s="2">
        <f t="shared" si="9"/>
        <v>6.5358360000000006</v>
      </c>
      <c r="G44" s="2">
        <f t="shared" si="5"/>
        <v>0.20980199999999999</v>
      </c>
      <c r="H44" s="2">
        <f t="shared" si="5"/>
        <v>0.39420000000000005</v>
      </c>
      <c r="I44" s="2">
        <f t="shared" si="5"/>
        <v>0.1095</v>
      </c>
      <c r="J44" s="2">
        <f t="shared" si="5"/>
        <v>2.1899999999999999E-2</v>
      </c>
      <c r="K44" s="2">
        <f t="shared" si="5"/>
        <v>1.095E-2</v>
      </c>
      <c r="L44" s="2">
        <f t="shared" si="5"/>
        <v>4.3799999999999999E-2</v>
      </c>
      <c r="M44" s="2">
        <f t="shared" si="5"/>
        <v>8.0114579999999991E-2</v>
      </c>
      <c r="N44" s="2">
        <f t="shared" si="5"/>
        <v>0</v>
      </c>
      <c r="O44" s="2">
        <f t="shared" si="5"/>
        <v>0</v>
      </c>
      <c r="P44" s="2">
        <f t="shared" si="5"/>
        <v>30.879000000000005</v>
      </c>
      <c r="Q44" s="2">
        <f t="shared" si="10"/>
        <v>35.259000000000007</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219</v>
      </c>
      <c r="C45" s="2">
        <f t="shared" si="6"/>
        <v>197.1</v>
      </c>
      <c r="D45" s="2">
        <f t="shared" si="7"/>
        <v>62.716124999999998</v>
      </c>
      <c r="E45" s="2">
        <f t="shared" si="8"/>
        <v>34.570245</v>
      </c>
      <c r="F45" s="2">
        <f t="shared" si="9"/>
        <v>6.5358360000000006</v>
      </c>
      <c r="G45" s="2">
        <f t="shared" si="5"/>
        <v>0.20980199999999999</v>
      </c>
      <c r="H45" s="2">
        <f t="shared" si="5"/>
        <v>0.39420000000000005</v>
      </c>
      <c r="I45" s="2">
        <f t="shared" si="5"/>
        <v>0.1095</v>
      </c>
      <c r="J45" s="2">
        <f t="shared" si="5"/>
        <v>2.1899999999999999E-2</v>
      </c>
      <c r="K45" s="2">
        <f t="shared" si="5"/>
        <v>1.095E-2</v>
      </c>
      <c r="L45" s="2">
        <f t="shared" si="5"/>
        <v>4.3799999999999999E-2</v>
      </c>
      <c r="M45" s="2">
        <f t="shared" si="5"/>
        <v>8.0114579999999991E-2</v>
      </c>
      <c r="N45" s="2">
        <f t="shared" si="5"/>
        <v>0</v>
      </c>
      <c r="O45" s="2">
        <f t="shared" si="5"/>
        <v>0</v>
      </c>
      <c r="P45" s="2">
        <f t="shared" si="5"/>
        <v>30.879000000000005</v>
      </c>
      <c r="Q45" s="2">
        <f t="shared" si="10"/>
        <v>35.259000000000007</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"&amp;(VLOOKUP(C14,Table245810[],6,FALSE))</f>
        <v>Sandy Loam I Grass</v>
      </c>
      <c r="C58" s="44" t="str">
        <f>D16&amp;" I "&amp;(VLOOKUP(D14,Table245810[],6,FALSE))</f>
        <v>Sandy Loam I Grass</v>
      </c>
      <c r="D58" s="21" t="str">
        <f>E16&amp;" I "&amp;(VLOOKUP(E14,Table245810[],6,FALSE))</f>
        <v>Sandy Loam I Grass</v>
      </c>
      <c r="E58" s="21" t="str">
        <f>F16&amp;" I "&amp;(VLOOKUP(F14,Table245810[],6,FALSE))</f>
        <v>Sandy Loam I Grass</v>
      </c>
      <c r="F58" s="21" t="str">
        <f>G16&amp;" I "&amp;(VLOOKUP(G14,Table245810[],6,FALSE))</f>
        <v>Sandy Loam I Grass</v>
      </c>
      <c r="G58" s="21" t="str">
        <f>H16&amp;" I "&amp;(VLOOKUP(H14,Table245810[],6,FALSE))</f>
        <v>Sandy Loam I Grass</v>
      </c>
      <c r="H58" s="21" t="str">
        <f>I16&amp;" I "&amp;(VLOOKUP(I14,Table245810[],6,FALSE))</f>
        <v>Sandy Loam I Grass</v>
      </c>
      <c r="I58" s="21" t="str">
        <f>J16&amp;" I "&amp;(VLOOKUP(J14,Table245810[],6,FALSE))</f>
        <v>Sandy Loam I Grass</v>
      </c>
      <c r="J58" s="21" t="str">
        <f>K16&amp;" I "&amp;(VLOOKUP(K14,Table245810[],6,FALSE))</f>
        <v>Sandy Loam I Grass</v>
      </c>
      <c r="K58" s="21" t="str">
        <f>L16&amp;" I "&amp;(VLOOKUP(L14,Table245810[],6,FALSE))</f>
        <v>Sandy Loam I Grass</v>
      </c>
      <c r="L58" s="21" t="str">
        <f>M16&amp;" I "&amp;(VLOOKUP(M14,Table245810[],6,FALSE))</f>
        <v>Sandy Loam I Grass</v>
      </c>
      <c r="M58" s="21" t="str">
        <f>N16&amp;" I "&amp;(VLOOKUP(N14,Table245810[],6,FALSE))</f>
        <v>Sandy Loam I Grass</v>
      </c>
      <c r="N58" s="21" t="str">
        <f>O16&amp;" I "&amp;(VLOOKUP(O14,Table245810[],6,FALSE))</f>
        <v>Sandy Loam I Grass</v>
      </c>
      <c r="O58" s="21" t="str">
        <f>P16&amp;" I "&amp;(VLOOKUP(P14,Table245810[],6,FALSE))</f>
        <v>Sandy Loam I Grass</v>
      </c>
      <c r="P58" s="21" t="str">
        <f>Q16&amp;" I "&amp;(VLOOKUP(Q14,Table245810[],6,FALSE))</f>
        <v>Sandy Loam I Grass</v>
      </c>
      <c r="Q58" s="21" t="str">
        <f>R16&amp;" I "&amp;(VLOOKUP(R14,Table245810[],6,FALSE))</f>
        <v>Sandy Loam I Grass</v>
      </c>
      <c r="R58" s="21" t="str">
        <f>S16&amp;" I "&amp;(VLOOKUP(S14,Table245810[],6,FALSE))</f>
        <v>Sandy Loam I Grass</v>
      </c>
      <c r="S58" s="21" t="str">
        <f>T16&amp;" I "&amp;(VLOOKUP(T14,Table245810[],6,FALSE))</f>
        <v>Sandy Loam I Grass</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f>VLOOKUP(N$14,Table245810[],5,FALSE)</f>
        <v>6.2</v>
      </c>
      <c r="N59" s="93">
        <f>VLOOKUP(O$14,Table245810[],5,FALSE)</f>
        <v>6.2</v>
      </c>
      <c r="O59" s="93">
        <f>VLOOKUP(P$14,Table245810[],5,FALSE)</f>
        <v>6.2</v>
      </c>
      <c r="P59" s="93">
        <f>VLOOKUP(Q$14,Table245810[],5,FALSE)</f>
        <v>6.2</v>
      </c>
      <c r="Q59" s="93">
        <f>VLOOKUP(R$14,Table245810[],5,FALSE)</f>
        <v>6.2</v>
      </c>
      <c r="R59" s="93">
        <f>VLOOKUP(S$14,Table245810[],5,FALSE)</f>
        <v>6.2</v>
      </c>
      <c r="S59" s="93">
        <f>VLOOKUP(T$14,Table245810[],5,FALSE)</f>
        <v>6.2</v>
      </c>
      <c r="T59" s="93" t="e">
        <f>VLOOKUP(U$14,Table245810[],5,FALSE)</f>
        <v>#N/A</v>
      </c>
      <c r="U59" s="93" t="e">
        <f>VLOOKUP(V$14,Table245810[],5,FALSE)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219</v>
      </c>
      <c r="C62" s="94">
        <f>B32</f>
        <v>219</v>
      </c>
      <c r="D62" s="94">
        <f>B33</f>
        <v>219</v>
      </c>
      <c r="E62" s="94">
        <f>B34</f>
        <v>219</v>
      </c>
      <c r="F62" s="94">
        <f>B35</f>
        <v>219</v>
      </c>
      <c r="G62" s="94">
        <f>B36</f>
        <v>219</v>
      </c>
      <c r="H62" s="94">
        <f>B37</f>
        <v>219</v>
      </c>
      <c r="I62" s="94">
        <f>B38</f>
        <v>219</v>
      </c>
      <c r="J62" s="94">
        <f>B39</f>
        <v>0</v>
      </c>
      <c r="K62" s="94">
        <f>B40</f>
        <v>219</v>
      </c>
      <c r="L62" s="94">
        <f>B41</f>
        <v>0</v>
      </c>
      <c r="M62" s="94">
        <f>B42</f>
        <v>219</v>
      </c>
      <c r="N62" s="94">
        <f>B43</f>
        <v>0</v>
      </c>
      <c r="O62" s="94">
        <f>B44</f>
        <v>219</v>
      </c>
      <c r="P62" s="94">
        <f>B45</f>
        <v>219</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F4" sqref="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6.58</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3840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0.192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63.891407999999998</v>
      </c>
      <c r="D18" s="24">
        <f>$D32</f>
        <v>63.891407999999998</v>
      </c>
      <c r="E18" s="24">
        <f>$D33</f>
        <v>63.891407999999998</v>
      </c>
      <c r="F18" s="24">
        <f>$D34</f>
        <v>63.891407999999998</v>
      </c>
      <c r="G18" s="24">
        <f>$D35</f>
        <v>63.891407999999998</v>
      </c>
      <c r="H18" s="24">
        <f>$D36</f>
        <v>63.891407999999998</v>
      </c>
      <c r="I18" s="24">
        <f>$D37</f>
        <v>63.891407999999998</v>
      </c>
      <c r="J18" s="24">
        <f>$D38</f>
        <v>63.891407999999998</v>
      </c>
      <c r="K18" s="24">
        <f>$D39</f>
        <v>63.891407999999998</v>
      </c>
      <c r="L18" s="24">
        <f>$D40</f>
        <v>63.891407999999998</v>
      </c>
      <c r="M18" s="24">
        <f>$D41</f>
        <v>63.891407999999998</v>
      </c>
      <c r="N18" s="24">
        <f>$D42</f>
        <v>63.891407999999998</v>
      </c>
      <c r="O18" s="24">
        <f>$D43</f>
        <v>63.891407999999998</v>
      </c>
      <c r="P18" s="24">
        <f>$D44</f>
        <v>63.891407999999998</v>
      </c>
      <c r="Q18" s="24">
        <f>$D45</f>
        <v>63.891407999999998</v>
      </c>
      <c r="R18" s="24">
        <f>$D46</f>
        <v>63.891407999999998</v>
      </c>
      <c r="S18" s="24">
        <f>$D47</f>
        <v>63.891407999999998</v>
      </c>
      <c r="T18" s="24">
        <f>$D48</f>
        <v>63.891407999999998</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-0.70859199999999589</v>
      </c>
      <c r="D19" s="24">
        <f t="shared" ref="D19:V19" si="1">D18-D17</f>
        <v>-0.70859199999999589</v>
      </c>
      <c r="E19" s="24">
        <f t="shared" si="1"/>
        <v>-0.70859199999999589</v>
      </c>
      <c r="F19" s="24">
        <f t="shared" si="1"/>
        <v>-0.70859199999999589</v>
      </c>
      <c r="G19" s="24">
        <f t="shared" si="1"/>
        <v>-0.70859199999999589</v>
      </c>
      <c r="H19" s="24">
        <f t="shared" si="1"/>
        <v>-0.70859199999999589</v>
      </c>
      <c r="I19" s="24">
        <f t="shared" si="1"/>
        <v>-0.70859199999999589</v>
      </c>
      <c r="J19" s="24">
        <f t="shared" si="1"/>
        <v>-0.70859199999999589</v>
      </c>
      <c r="K19" s="24">
        <f t="shared" si="1"/>
        <v>-0.70859199999999589</v>
      </c>
      <c r="L19" s="24">
        <f t="shared" si="1"/>
        <v>-0.70859199999999589</v>
      </c>
      <c r="M19" s="24">
        <f t="shared" si="1"/>
        <v>-0.70859199999999589</v>
      </c>
      <c r="N19" s="24">
        <f t="shared" si="1"/>
        <v>-0.70859199999999589</v>
      </c>
      <c r="O19" s="24">
        <f t="shared" si="1"/>
        <v>-0.70859199999999589</v>
      </c>
      <c r="P19" s="24">
        <f t="shared" si="1"/>
        <v>-0.70859199999999589</v>
      </c>
      <c r="Q19" s="24">
        <f t="shared" si="1"/>
        <v>-0.70859199999999589</v>
      </c>
      <c r="R19" s="24">
        <f t="shared" si="1"/>
        <v>-0.70859199999999589</v>
      </c>
      <c r="S19" s="24">
        <f t="shared" si="1"/>
        <v>-0.70859199999999589</v>
      </c>
      <c r="T19" s="24">
        <f t="shared" si="1"/>
        <v>-0.70859199999999589</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13.892445000000002</v>
      </c>
      <c r="D22" s="24">
        <f>$E32</f>
        <v>13.892445000000002</v>
      </c>
      <c r="E22" s="24">
        <f>$E33</f>
        <v>13.892445000000002</v>
      </c>
      <c r="F22" s="24">
        <f>$E34</f>
        <v>13.892445000000002</v>
      </c>
      <c r="G22" s="24">
        <f>$E35</f>
        <v>13.892445000000002</v>
      </c>
      <c r="H22" s="24">
        <f>$E36</f>
        <v>13.892445000000002</v>
      </c>
      <c r="I22" s="24">
        <f>$E37</f>
        <v>13.892445000000002</v>
      </c>
      <c r="J22" s="24">
        <f>$E38</f>
        <v>13.892445000000002</v>
      </c>
      <c r="K22" s="24">
        <f>$E39</f>
        <v>13.892445000000002</v>
      </c>
      <c r="L22" s="24">
        <f>$E40</f>
        <v>13.892445000000002</v>
      </c>
      <c r="M22" s="24">
        <f>$E41</f>
        <v>13.892445000000002</v>
      </c>
      <c r="N22" s="24">
        <f>$E42</f>
        <v>13.892445000000002</v>
      </c>
      <c r="O22" s="24">
        <f>$E43</f>
        <v>13.892445000000002</v>
      </c>
      <c r="P22" s="24">
        <f>$E44</f>
        <v>13.892445000000002</v>
      </c>
      <c r="Q22" s="24">
        <f>$E45</f>
        <v>13.892445000000002</v>
      </c>
      <c r="R22" s="24">
        <f>$E46</f>
        <v>13.892445000000002</v>
      </c>
      <c r="S22" s="24">
        <f>$E47</f>
        <v>13.892445000000002</v>
      </c>
      <c r="T22" s="24">
        <f>$E48</f>
        <v>13.892445000000002</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-214.10755499999999</v>
      </c>
      <c r="D23" s="24">
        <f t="shared" ref="D23:V23" si="3">D22-D21</f>
        <v>-214.10755499999999</v>
      </c>
      <c r="E23" s="24">
        <f t="shared" si="3"/>
        <v>-214.10755499999999</v>
      </c>
      <c r="F23" s="24">
        <f t="shared" si="3"/>
        <v>-214.10755499999999</v>
      </c>
      <c r="G23" s="24">
        <f t="shared" si="3"/>
        <v>-214.10755499999999</v>
      </c>
      <c r="H23" s="24">
        <f t="shared" si="3"/>
        <v>-214.10755499999999</v>
      </c>
      <c r="I23" s="24">
        <f t="shared" si="3"/>
        <v>-214.10755499999999</v>
      </c>
      <c r="J23" s="24">
        <f t="shared" si="3"/>
        <v>-214.10755499999999</v>
      </c>
      <c r="K23" s="24">
        <f t="shared" si="3"/>
        <v>-214.10755499999999</v>
      </c>
      <c r="L23" s="24">
        <f t="shared" si="3"/>
        <v>-214.10755499999999</v>
      </c>
      <c r="M23" s="24">
        <f t="shared" si="3"/>
        <v>-214.10755499999999</v>
      </c>
      <c r="N23" s="24">
        <f t="shared" si="3"/>
        <v>-214.10755499999999</v>
      </c>
      <c r="O23" s="24">
        <f t="shared" si="3"/>
        <v>-214.10755499999999</v>
      </c>
      <c r="P23" s="24">
        <f t="shared" si="3"/>
        <v>-214.10755499999999</v>
      </c>
      <c r="Q23" s="24">
        <f t="shared" si="3"/>
        <v>-214.10755499999999</v>
      </c>
      <c r="R23" s="24">
        <f t="shared" si="3"/>
        <v>-214.10755499999999</v>
      </c>
      <c r="S23" s="24">
        <f t="shared" si="3"/>
        <v>-214.10755499999999</v>
      </c>
      <c r="T23" s="24">
        <f t="shared" si="3"/>
        <v>-214.10755499999999</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6.33</v>
      </c>
      <c r="C28" s="23">
        <v>1.02</v>
      </c>
      <c r="D28" s="23">
        <v>1328</v>
      </c>
      <c r="E28" s="23">
        <v>549</v>
      </c>
      <c r="F28" s="23">
        <v>144</v>
      </c>
      <c r="G28" s="23">
        <v>5.29</v>
      </c>
      <c r="H28" s="23">
        <v>27.4</v>
      </c>
      <c r="I28" s="23">
        <v>0.5</v>
      </c>
      <c r="J28" s="23">
        <v>1.0999999999999999E-2</v>
      </c>
      <c r="K28" s="30">
        <v>0.05</v>
      </c>
      <c r="L28" s="23">
        <v>0.61599999999999999</v>
      </c>
      <c r="M28" s="23">
        <v>1.53</v>
      </c>
      <c r="N28" s="23"/>
      <c r="O28" s="23"/>
      <c r="P28" s="23">
        <v>112</v>
      </c>
      <c r="Q28" s="23">
        <v>590</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21</v>
      </c>
      <c r="C31" s="2">
        <f>IF(C$27="%w/w SAR",((C$28*10)*$B31),IF(C$27="%w/w DM",(((C$28*10)*($B$28/100))*$B31),IF(C$27="kg/t SAR",(C$28*$B31),IF(C$27="kg/t DM",((C$28*($B$28/100))*$B31),IF(C$27="mg/kg SAR",((C$28*0.001)*$B31),IF(C$27="mg/kg DM",(((C$28*0.001)*($B$28/100))*$B31),0))))))</f>
        <v>214.2</v>
      </c>
      <c r="D31" s="2">
        <f>(IF(D$27="%w/w SAR",((D$28*10)*$B31),IF(D$27="%w/w DM",(((D$28*10)*($B$28/100))*$B31),IF(D$27="kg/t SAR",(D$28*$B31),IF(D$27="kg/t DM",((D$28*($B$28/100))*$B31),IF(D$27="mg/kg SAR",((D$28*0.001)*$B31),IF(D$27="mg/kg DM",(((D$28*0.001)*($B$28/100))*$B31),"0")))))))*2.291</f>
        <v>63.891407999999998</v>
      </c>
      <c r="E31" s="2">
        <f>(IF(E$27="%w/w SAR",((E$28*10)*$B31),IF(E$27="%w/w DM",(((E$28*10)*($B$28/100))*$B31),IF(E$27="kg/t SAR",(E$28*$B31),IF(E$27="kg/t DM",((E$28*($B$28/100))*$B31),IF(E$27="mg/kg SAR",((E$28*0.001)*$B31),IF(E$27="mg/kg DM",(((E$28*0.001)*($B$28/100))*$B31),"0")))))))*1.205</f>
        <v>13.892445000000002</v>
      </c>
      <c r="F31" s="2">
        <f>(IF(F$27="%w/w SAR",((F$28*10)*$B31),IF(F$27="%w/w DM",(((F$28*10)*($B$28/100))*$B31),IF(F$27="kg/t SAR",(F$28*$B31),IF(F$27="kg/t DM",((F$28*($B$28/100))*$B31),IF(F$27="mg/kg SAR",((F$28*0.001)*$B31),IF(F$27="mg/kg DM",(((F$28*0.001)*($B$28/100))*$B31),"0")))))))*1.658</f>
        <v>5.0137920000000005</v>
      </c>
      <c r="G31" s="2">
        <f t="shared" ref="G31:P46" si="5">IF(G$27="%w/w SAR",((G$28*10)*$B31),IF(G$27="%w/w DM",(((G$28*10)*($B$28/100))*$B31),IF(G$27="kg/t SAR",(G$28*$B31),IF(G$27="kg/t DM",((G$28*($B$28/100))*$B31),IF(G$27="mg/kg SAR",((G$28*0.001)*$B31),IF(G$27="mg/kg DM",(((G$28*0.001)*($B$28/100))*$B31),0))))))</f>
        <v>0.11109000000000001</v>
      </c>
      <c r="H31" s="2">
        <f t="shared" si="5"/>
        <v>0.57540000000000002</v>
      </c>
      <c r="I31" s="2">
        <f t="shared" si="5"/>
        <v>1.0500000000000001E-2</v>
      </c>
      <c r="J31" s="2">
        <f t="shared" si="5"/>
        <v>2.31E-4</v>
      </c>
      <c r="K31" s="2">
        <f t="shared" si="5"/>
        <v>1.0500000000000002E-3</v>
      </c>
      <c r="L31" s="2">
        <f t="shared" si="5"/>
        <v>1.2936E-2</v>
      </c>
      <c r="M31" s="2">
        <f t="shared" si="5"/>
        <v>3.2130000000000006E-2</v>
      </c>
      <c r="N31" s="2">
        <f t="shared" si="5"/>
        <v>0</v>
      </c>
      <c r="O31" s="2">
        <f t="shared" si="5"/>
        <v>0</v>
      </c>
      <c r="P31" s="2">
        <f t="shared" si="5"/>
        <v>2.3519999999999999</v>
      </c>
      <c r="Q31" s="2">
        <f>(IF(Q$27="%w/w SAR",((Q$28*10)*$B31),IF(Q$27="%w/w DM",(((Q$28*10)*($B$28/100))*$B31),IF(Q$27="kg/t SAR",(Q$28*$B31),IF(Q$27="kg/t DM",((Q$28*($B$28/100))*$B31),IF(Q$27="mg/kg SAR",((Q$28*0.001)*$B31),IF(Q$27="mg/kg DM",(((Q$28*0.001)*($B$28/100))*$B31),0)))))))*2.5</f>
        <v>30.974999999999998</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21</v>
      </c>
      <c r="C32" s="2">
        <f t="shared" ref="C32:C50" si="6">IF(C$27="%w/w SAR",((C$28*10)*$B32),IF(C$27="%w/w DM",(((C$28*10)*($B$28/100))*$B32),IF(C$27="kg/t SAR",(C$28*$B32),IF(C$27="kg/t DM",((C$28*($B$28/100))*$B32),IF(C$27="mg/kg SAR",((C$28*0.001)*$B32),IF(C$27="mg/kg DM",(((C$28*0.001)*($B$28/100))*$B32),0))))))</f>
        <v>214.2</v>
      </c>
      <c r="D32" s="2">
        <f t="shared" ref="D32:D50" si="7">(IF(D$27="%w/w SAR",((D$28*10)*$B32),IF(D$27="%w/w DM",(((D$28*10)*($B$28/100))*$B32),IF(D$27="kg/t SAR",(D$28*$B32),IF(D$27="kg/t DM",((D$28*($B$28/100))*$B32),IF(D$27="mg/kg SAR",((D$28*0.001)*$B32),IF(D$27="mg/kg DM",(((D$28*0.001)*($B$28/100))*$B32),"0")))))))*2.291</f>
        <v>63.891407999999998</v>
      </c>
      <c r="E32" s="2">
        <f t="shared" ref="E32:E50" si="8">(IF(E$27="%w/w SAR",((E$28*10)*$B32),IF(E$27="%w/w DM",(((E$28*10)*($B$28/100))*$B32),IF(E$27="kg/t SAR",(E$28*$B32),IF(E$27="kg/t DM",((E$28*($B$28/100))*$B32),IF(E$27="mg/kg SAR",((E$28*0.001)*$B32),IF(E$27="mg/kg DM",(((E$28*0.001)*($B$28/100))*$B32),"0")))))))*1.205</f>
        <v>13.892445000000002</v>
      </c>
      <c r="F32" s="2">
        <f t="shared" ref="F32:F50" si="9">(IF(F$27="%w/w SAR",((F$28*10)*$B32),IF(F$27="%w/w DM",(((F$28*10)*($B$28/100))*$B32),IF(F$27="kg/t SAR",(F$28*$B32),IF(F$27="kg/t DM",((F$28*($B$28/100))*$B32),IF(F$27="mg/kg SAR",((F$28*0.001)*$B32),IF(F$27="mg/kg DM",(((F$28*0.001)*($B$28/100))*$B32),"0")))))))*1.658</f>
        <v>5.0137920000000005</v>
      </c>
      <c r="G32" s="2">
        <f t="shared" si="5"/>
        <v>0.11109000000000001</v>
      </c>
      <c r="H32" s="2">
        <f t="shared" si="5"/>
        <v>0.57540000000000002</v>
      </c>
      <c r="I32" s="2">
        <f t="shared" si="5"/>
        <v>1.0500000000000001E-2</v>
      </c>
      <c r="J32" s="2">
        <f t="shared" si="5"/>
        <v>2.31E-4</v>
      </c>
      <c r="K32" s="2">
        <f t="shared" si="5"/>
        <v>1.0500000000000002E-3</v>
      </c>
      <c r="L32" s="2">
        <f t="shared" si="5"/>
        <v>1.2936E-2</v>
      </c>
      <c r="M32" s="2">
        <f t="shared" si="5"/>
        <v>3.2130000000000006E-2</v>
      </c>
      <c r="N32" s="2">
        <f t="shared" si="5"/>
        <v>0</v>
      </c>
      <c r="O32" s="2">
        <f t="shared" si="5"/>
        <v>0</v>
      </c>
      <c r="P32" s="2">
        <f t="shared" si="5"/>
        <v>2.3519999999999999</v>
      </c>
      <c r="Q32" s="2">
        <f t="shared" ref="Q32:Q50" si="10">(IF(Q$27="%w/w SAR",((Q$28*10)*$B32),IF(Q$27="%w/w DM",(((Q$28*10)*($B$28/100))*$B32),IF(Q$27="kg/t SAR",(Q$28*$B32),IF(Q$27="kg/t DM",((Q$28*($B$28/100))*$B32),IF(Q$27="mg/kg SAR",((Q$28*0.001)*$B32),IF(Q$27="mg/kg DM",(((Q$28*0.001)*($B$28/100))*$B32),0)))))))*2.5</f>
        <v>30.974999999999998</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21</v>
      </c>
      <c r="C33" s="2">
        <f t="shared" si="6"/>
        <v>214.2</v>
      </c>
      <c r="D33" s="2">
        <f t="shared" si="7"/>
        <v>63.891407999999998</v>
      </c>
      <c r="E33" s="2">
        <f t="shared" si="8"/>
        <v>13.892445000000002</v>
      </c>
      <c r="F33" s="2">
        <f t="shared" si="9"/>
        <v>5.0137920000000005</v>
      </c>
      <c r="G33" s="2">
        <f t="shared" si="5"/>
        <v>0.11109000000000001</v>
      </c>
      <c r="H33" s="2">
        <f t="shared" si="5"/>
        <v>0.57540000000000002</v>
      </c>
      <c r="I33" s="2">
        <f t="shared" si="5"/>
        <v>1.0500000000000001E-2</v>
      </c>
      <c r="J33" s="2">
        <f t="shared" si="5"/>
        <v>2.31E-4</v>
      </c>
      <c r="K33" s="2">
        <f t="shared" si="5"/>
        <v>1.0500000000000002E-3</v>
      </c>
      <c r="L33" s="2">
        <f t="shared" si="5"/>
        <v>1.2936E-2</v>
      </c>
      <c r="M33" s="2">
        <f t="shared" si="5"/>
        <v>3.2130000000000006E-2</v>
      </c>
      <c r="N33" s="2">
        <f t="shared" si="5"/>
        <v>0</v>
      </c>
      <c r="O33" s="2">
        <f t="shared" si="5"/>
        <v>0</v>
      </c>
      <c r="P33" s="2">
        <f t="shared" si="5"/>
        <v>2.3519999999999999</v>
      </c>
      <c r="Q33" s="2">
        <f t="shared" si="10"/>
        <v>30.974999999999998</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21</v>
      </c>
      <c r="C34" s="2">
        <f t="shared" si="6"/>
        <v>214.2</v>
      </c>
      <c r="D34" s="2">
        <f t="shared" si="7"/>
        <v>63.891407999999998</v>
      </c>
      <c r="E34" s="2">
        <f t="shared" si="8"/>
        <v>13.892445000000002</v>
      </c>
      <c r="F34" s="2">
        <f t="shared" si="9"/>
        <v>5.0137920000000005</v>
      </c>
      <c r="G34" s="2">
        <f t="shared" si="5"/>
        <v>0.11109000000000001</v>
      </c>
      <c r="H34" s="2">
        <f t="shared" si="5"/>
        <v>0.57540000000000002</v>
      </c>
      <c r="I34" s="2">
        <f t="shared" si="5"/>
        <v>1.0500000000000001E-2</v>
      </c>
      <c r="J34" s="2">
        <f t="shared" si="5"/>
        <v>2.31E-4</v>
      </c>
      <c r="K34" s="2">
        <f t="shared" si="5"/>
        <v>1.0500000000000002E-3</v>
      </c>
      <c r="L34" s="2">
        <f t="shared" si="5"/>
        <v>1.2936E-2</v>
      </c>
      <c r="M34" s="2">
        <f t="shared" si="5"/>
        <v>3.2130000000000006E-2</v>
      </c>
      <c r="N34" s="2">
        <f t="shared" si="5"/>
        <v>0</v>
      </c>
      <c r="O34" s="2">
        <f t="shared" si="5"/>
        <v>0</v>
      </c>
      <c r="P34" s="2">
        <f t="shared" si="5"/>
        <v>2.3519999999999999</v>
      </c>
      <c r="Q34" s="2">
        <f t="shared" si="10"/>
        <v>30.974999999999998</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21</v>
      </c>
      <c r="C35" s="2">
        <f t="shared" si="6"/>
        <v>214.2</v>
      </c>
      <c r="D35" s="2">
        <f t="shared" si="7"/>
        <v>63.891407999999998</v>
      </c>
      <c r="E35" s="2">
        <f t="shared" si="8"/>
        <v>13.892445000000002</v>
      </c>
      <c r="F35" s="2">
        <f t="shared" si="9"/>
        <v>5.0137920000000005</v>
      </c>
      <c r="G35" s="2">
        <f t="shared" si="5"/>
        <v>0.11109000000000001</v>
      </c>
      <c r="H35" s="2">
        <f t="shared" si="5"/>
        <v>0.57540000000000002</v>
      </c>
      <c r="I35" s="2">
        <f t="shared" si="5"/>
        <v>1.0500000000000001E-2</v>
      </c>
      <c r="J35" s="2">
        <f t="shared" si="5"/>
        <v>2.31E-4</v>
      </c>
      <c r="K35" s="2">
        <f t="shared" si="5"/>
        <v>1.0500000000000002E-3</v>
      </c>
      <c r="L35" s="2">
        <f t="shared" si="5"/>
        <v>1.2936E-2</v>
      </c>
      <c r="M35" s="2">
        <f t="shared" si="5"/>
        <v>3.2130000000000006E-2</v>
      </c>
      <c r="N35" s="2">
        <f t="shared" si="5"/>
        <v>0</v>
      </c>
      <c r="O35" s="2">
        <f t="shared" si="5"/>
        <v>0</v>
      </c>
      <c r="P35" s="2">
        <f t="shared" si="5"/>
        <v>2.3519999999999999</v>
      </c>
      <c r="Q35" s="2">
        <f t="shared" si="10"/>
        <v>30.974999999999998</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21</v>
      </c>
      <c r="C36" s="2">
        <f t="shared" si="6"/>
        <v>214.2</v>
      </c>
      <c r="D36" s="2">
        <f t="shared" si="7"/>
        <v>63.891407999999998</v>
      </c>
      <c r="E36" s="2">
        <f t="shared" si="8"/>
        <v>13.892445000000002</v>
      </c>
      <c r="F36" s="2">
        <f t="shared" si="9"/>
        <v>5.0137920000000005</v>
      </c>
      <c r="G36" s="2">
        <f t="shared" si="5"/>
        <v>0.11109000000000001</v>
      </c>
      <c r="H36" s="2">
        <f t="shared" si="5"/>
        <v>0.57540000000000002</v>
      </c>
      <c r="I36" s="2">
        <f t="shared" si="5"/>
        <v>1.0500000000000001E-2</v>
      </c>
      <c r="J36" s="2">
        <f t="shared" si="5"/>
        <v>2.31E-4</v>
      </c>
      <c r="K36" s="2">
        <f t="shared" si="5"/>
        <v>1.0500000000000002E-3</v>
      </c>
      <c r="L36" s="2">
        <f t="shared" si="5"/>
        <v>1.2936E-2</v>
      </c>
      <c r="M36" s="2">
        <f t="shared" si="5"/>
        <v>3.2130000000000006E-2</v>
      </c>
      <c r="N36" s="2">
        <f t="shared" si="5"/>
        <v>0</v>
      </c>
      <c r="O36" s="2">
        <f t="shared" si="5"/>
        <v>0</v>
      </c>
      <c r="P36" s="2">
        <f t="shared" si="5"/>
        <v>2.3519999999999999</v>
      </c>
      <c r="Q36" s="2">
        <f t="shared" si="10"/>
        <v>30.974999999999998</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21</v>
      </c>
      <c r="C37" s="2">
        <f t="shared" si="6"/>
        <v>214.2</v>
      </c>
      <c r="D37" s="2">
        <f t="shared" si="7"/>
        <v>63.891407999999998</v>
      </c>
      <c r="E37" s="2">
        <f t="shared" si="8"/>
        <v>13.892445000000002</v>
      </c>
      <c r="F37" s="2">
        <f t="shared" si="9"/>
        <v>5.0137920000000005</v>
      </c>
      <c r="G37" s="2">
        <f t="shared" si="5"/>
        <v>0.11109000000000001</v>
      </c>
      <c r="H37" s="2">
        <f t="shared" si="5"/>
        <v>0.57540000000000002</v>
      </c>
      <c r="I37" s="2">
        <f t="shared" si="5"/>
        <v>1.0500000000000001E-2</v>
      </c>
      <c r="J37" s="2">
        <f t="shared" si="5"/>
        <v>2.31E-4</v>
      </c>
      <c r="K37" s="2">
        <f t="shared" si="5"/>
        <v>1.0500000000000002E-3</v>
      </c>
      <c r="L37" s="2">
        <f t="shared" si="5"/>
        <v>1.2936E-2</v>
      </c>
      <c r="M37" s="2">
        <f t="shared" si="5"/>
        <v>3.2130000000000006E-2</v>
      </c>
      <c r="N37" s="2">
        <f t="shared" si="5"/>
        <v>0</v>
      </c>
      <c r="O37" s="2">
        <f t="shared" si="5"/>
        <v>0</v>
      </c>
      <c r="P37" s="2">
        <f t="shared" si="5"/>
        <v>2.3519999999999999</v>
      </c>
      <c r="Q37" s="2">
        <f t="shared" si="10"/>
        <v>30.974999999999998</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21</v>
      </c>
      <c r="C38" s="2">
        <f t="shared" si="6"/>
        <v>214.2</v>
      </c>
      <c r="D38" s="2">
        <f t="shared" si="7"/>
        <v>63.891407999999998</v>
      </c>
      <c r="E38" s="2">
        <f t="shared" si="8"/>
        <v>13.892445000000002</v>
      </c>
      <c r="F38" s="2">
        <f t="shared" si="9"/>
        <v>5.0137920000000005</v>
      </c>
      <c r="G38" s="2">
        <f t="shared" si="5"/>
        <v>0.11109000000000001</v>
      </c>
      <c r="H38" s="2">
        <f t="shared" si="5"/>
        <v>0.57540000000000002</v>
      </c>
      <c r="I38" s="2">
        <f t="shared" si="5"/>
        <v>1.0500000000000001E-2</v>
      </c>
      <c r="J38" s="2">
        <f t="shared" si="5"/>
        <v>2.31E-4</v>
      </c>
      <c r="K38" s="2">
        <f t="shared" si="5"/>
        <v>1.0500000000000002E-3</v>
      </c>
      <c r="L38" s="2">
        <f t="shared" si="5"/>
        <v>1.2936E-2</v>
      </c>
      <c r="M38" s="2">
        <f t="shared" si="5"/>
        <v>3.2130000000000006E-2</v>
      </c>
      <c r="N38" s="2">
        <f t="shared" si="5"/>
        <v>0</v>
      </c>
      <c r="O38" s="2">
        <f t="shared" si="5"/>
        <v>0</v>
      </c>
      <c r="P38" s="2">
        <f t="shared" si="5"/>
        <v>2.3519999999999999</v>
      </c>
      <c r="Q38" s="2">
        <f t="shared" si="10"/>
        <v>30.974999999999998</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21</v>
      </c>
      <c r="C39" s="2">
        <f t="shared" si="6"/>
        <v>214.2</v>
      </c>
      <c r="D39" s="2">
        <f t="shared" si="7"/>
        <v>63.891407999999998</v>
      </c>
      <c r="E39" s="2">
        <f t="shared" si="8"/>
        <v>13.892445000000002</v>
      </c>
      <c r="F39" s="2">
        <f t="shared" si="9"/>
        <v>5.0137920000000005</v>
      </c>
      <c r="G39" s="2">
        <f t="shared" si="5"/>
        <v>0.11109000000000001</v>
      </c>
      <c r="H39" s="2">
        <f t="shared" si="5"/>
        <v>0.57540000000000002</v>
      </c>
      <c r="I39" s="2">
        <f t="shared" si="5"/>
        <v>1.0500000000000001E-2</v>
      </c>
      <c r="J39" s="2">
        <f t="shared" si="5"/>
        <v>2.31E-4</v>
      </c>
      <c r="K39" s="2">
        <f t="shared" si="5"/>
        <v>1.0500000000000002E-3</v>
      </c>
      <c r="L39" s="2">
        <f t="shared" si="5"/>
        <v>1.2936E-2</v>
      </c>
      <c r="M39" s="2">
        <f t="shared" si="5"/>
        <v>3.2130000000000006E-2</v>
      </c>
      <c r="N39" s="2">
        <f t="shared" si="5"/>
        <v>0</v>
      </c>
      <c r="O39" s="2">
        <f t="shared" si="5"/>
        <v>0</v>
      </c>
      <c r="P39" s="2">
        <f t="shared" si="5"/>
        <v>2.3519999999999999</v>
      </c>
      <c r="Q39" s="2">
        <f t="shared" si="10"/>
        <v>30.974999999999998</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21</v>
      </c>
      <c r="C40" s="2">
        <f t="shared" si="6"/>
        <v>214.2</v>
      </c>
      <c r="D40" s="2">
        <f t="shared" si="7"/>
        <v>63.891407999999998</v>
      </c>
      <c r="E40" s="2">
        <f t="shared" si="8"/>
        <v>13.892445000000002</v>
      </c>
      <c r="F40" s="2">
        <f t="shared" si="9"/>
        <v>5.0137920000000005</v>
      </c>
      <c r="G40" s="2">
        <f t="shared" si="5"/>
        <v>0.11109000000000001</v>
      </c>
      <c r="H40" s="2">
        <f t="shared" si="5"/>
        <v>0.57540000000000002</v>
      </c>
      <c r="I40" s="2">
        <f t="shared" si="5"/>
        <v>1.0500000000000001E-2</v>
      </c>
      <c r="J40" s="2">
        <f t="shared" si="5"/>
        <v>2.31E-4</v>
      </c>
      <c r="K40" s="2">
        <f t="shared" si="5"/>
        <v>1.0500000000000002E-3</v>
      </c>
      <c r="L40" s="2">
        <f t="shared" si="5"/>
        <v>1.2936E-2</v>
      </c>
      <c r="M40" s="2">
        <f t="shared" si="5"/>
        <v>3.2130000000000006E-2</v>
      </c>
      <c r="N40" s="2">
        <f t="shared" si="5"/>
        <v>0</v>
      </c>
      <c r="O40" s="2">
        <f t="shared" si="5"/>
        <v>0</v>
      </c>
      <c r="P40" s="2">
        <f t="shared" si="5"/>
        <v>2.3519999999999999</v>
      </c>
      <c r="Q40" s="2">
        <f t="shared" si="10"/>
        <v>30.974999999999998</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21</v>
      </c>
      <c r="C41" s="2">
        <f t="shared" si="6"/>
        <v>214.2</v>
      </c>
      <c r="D41" s="2">
        <f t="shared" si="7"/>
        <v>63.891407999999998</v>
      </c>
      <c r="E41" s="2">
        <f t="shared" si="8"/>
        <v>13.892445000000002</v>
      </c>
      <c r="F41" s="2">
        <f t="shared" si="9"/>
        <v>5.0137920000000005</v>
      </c>
      <c r="G41" s="2">
        <f t="shared" si="5"/>
        <v>0.11109000000000001</v>
      </c>
      <c r="H41" s="2">
        <f t="shared" si="5"/>
        <v>0.57540000000000002</v>
      </c>
      <c r="I41" s="2">
        <f t="shared" si="5"/>
        <v>1.0500000000000001E-2</v>
      </c>
      <c r="J41" s="2">
        <f t="shared" si="5"/>
        <v>2.31E-4</v>
      </c>
      <c r="K41" s="2">
        <f t="shared" si="5"/>
        <v>1.0500000000000002E-3</v>
      </c>
      <c r="L41" s="2">
        <f t="shared" si="5"/>
        <v>1.2936E-2</v>
      </c>
      <c r="M41" s="2">
        <f t="shared" si="5"/>
        <v>3.2130000000000006E-2</v>
      </c>
      <c r="N41" s="2">
        <f t="shared" si="5"/>
        <v>0</v>
      </c>
      <c r="O41" s="2">
        <f t="shared" si="5"/>
        <v>0</v>
      </c>
      <c r="P41" s="2">
        <f t="shared" si="5"/>
        <v>2.3519999999999999</v>
      </c>
      <c r="Q41" s="2">
        <f t="shared" si="10"/>
        <v>30.974999999999998</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21</v>
      </c>
      <c r="C42" s="2">
        <f t="shared" si="6"/>
        <v>214.2</v>
      </c>
      <c r="D42" s="2">
        <f t="shared" si="7"/>
        <v>63.891407999999998</v>
      </c>
      <c r="E42" s="2">
        <f t="shared" si="8"/>
        <v>13.892445000000002</v>
      </c>
      <c r="F42" s="2">
        <f t="shared" si="9"/>
        <v>5.0137920000000005</v>
      </c>
      <c r="G42" s="2">
        <f t="shared" si="5"/>
        <v>0.11109000000000001</v>
      </c>
      <c r="H42" s="2">
        <f t="shared" si="5"/>
        <v>0.57540000000000002</v>
      </c>
      <c r="I42" s="2">
        <f t="shared" si="5"/>
        <v>1.0500000000000001E-2</v>
      </c>
      <c r="J42" s="2">
        <f t="shared" si="5"/>
        <v>2.31E-4</v>
      </c>
      <c r="K42" s="2">
        <f t="shared" si="5"/>
        <v>1.0500000000000002E-3</v>
      </c>
      <c r="L42" s="2">
        <f t="shared" si="5"/>
        <v>1.2936E-2</v>
      </c>
      <c r="M42" s="2">
        <f t="shared" si="5"/>
        <v>3.2130000000000006E-2</v>
      </c>
      <c r="N42" s="2">
        <f t="shared" si="5"/>
        <v>0</v>
      </c>
      <c r="O42" s="2">
        <f t="shared" si="5"/>
        <v>0</v>
      </c>
      <c r="P42" s="2">
        <f t="shared" si="5"/>
        <v>2.3519999999999999</v>
      </c>
      <c r="Q42" s="2">
        <f t="shared" si="10"/>
        <v>30.974999999999998</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21</v>
      </c>
      <c r="C43" s="2">
        <f t="shared" si="6"/>
        <v>214.2</v>
      </c>
      <c r="D43" s="2">
        <f t="shared" si="7"/>
        <v>63.891407999999998</v>
      </c>
      <c r="E43" s="2">
        <f t="shared" si="8"/>
        <v>13.892445000000002</v>
      </c>
      <c r="F43" s="2">
        <f t="shared" si="9"/>
        <v>5.0137920000000005</v>
      </c>
      <c r="G43" s="2">
        <f t="shared" si="5"/>
        <v>0.11109000000000001</v>
      </c>
      <c r="H43" s="2">
        <f t="shared" si="5"/>
        <v>0.57540000000000002</v>
      </c>
      <c r="I43" s="2">
        <f t="shared" si="5"/>
        <v>1.0500000000000001E-2</v>
      </c>
      <c r="J43" s="2">
        <f t="shared" si="5"/>
        <v>2.31E-4</v>
      </c>
      <c r="K43" s="2">
        <f t="shared" si="5"/>
        <v>1.0500000000000002E-3</v>
      </c>
      <c r="L43" s="2">
        <f t="shared" si="5"/>
        <v>1.2936E-2</v>
      </c>
      <c r="M43" s="2">
        <f t="shared" si="5"/>
        <v>3.2130000000000006E-2</v>
      </c>
      <c r="N43" s="2">
        <f t="shared" si="5"/>
        <v>0</v>
      </c>
      <c r="O43" s="2">
        <f t="shared" si="5"/>
        <v>0</v>
      </c>
      <c r="P43" s="2">
        <f t="shared" si="5"/>
        <v>2.3519999999999999</v>
      </c>
      <c r="Q43" s="2">
        <f t="shared" si="10"/>
        <v>30.974999999999998</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21</v>
      </c>
      <c r="C44" s="2">
        <f t="shared" si="6"/>
        <v>214.2</v>
      </c>
      <c r="D44" s="2">
        <f t="shared" si="7"/>
        <v>63.891407999999998</v>
      </c>
      <c r="E44" s="2">
        <f t="shared" si="8"/>
        <v>13.892445000000002</v>
      </c>
      <c r="F44" s="2">
        <f t="shared" si="9"/>
        <v>5.0137920000000005</v>
      </c>
      <c r="G44" s="2">
        <f t="shared" si="5"/>
        <v>0.11109000000000001</v>
      </c>
      <c r="H44" s="2">
        <f t="shared" si="5"/>
        <v>0.57540000000000002</v>
      </c>
      <c r="I44" s="2">
        <f t="shared" si="5"/>
        <v>1.0500000000000001E-2</v>
      </c>
      <c r="J44" s="2">
        <f t="shared" si="5"/>
        <v>2.31E-4</v>
      </c>
      <c r="K44" s="2">
        <f t="shared" si="5"/>
        <v>1.0500000000000002E-3</v>
      </c>
      <c r="L44" s="2">
        <f t="shared" si="5"/>
        <v>1.2936E-2</v>
      </c>
      <c r="M44" s="2">
        <f t="shared" si="5"/>
        <v>3.2130000000000006E-2</v>
      </c>
      <c r="N44" s="2">
        <f t="shared" si="5"/>
        <v>0</v>
      </c>
      <c r="O44" s="2">
        <f t="shared" si="5"/>
        <v>0</v>
      </c>
      <c r="P44" s="2">
        <f t="shared" si="5"/>
        <v>2.3519999999999999</v>
      </c>
      <c r="Q44" s="2">
        <f t="shared" si="10"/>
        <v>30.974999999999998</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21</v>
      </c>
      <c r="C45" s="2">
        <f t="shared" si="6"/>
        <v>214.2</v>
      </c>
      <c r="D45" s="2">
        <f t="shared" si="7"/>
        <v>63.891407999999998</v>
      </c>
      <c r="E45" s="2">
        <f t="shared" si="8"/>
        <v>13.892445000000002</v>
      </c>
      <c r="F45" s="2">
        <f t="shared" si="9"/>
        <v>5.0137920000000005</v>
      </c>
      <c r="G45" s="2">
        <f t="shared" si="5"/>
        <v>0.11109000000000001</v>
      </c>
      <c r="H45" s="2">
        <f t="shared" si="5"/>
        <v>0.57540000000000002</v>
      </c>
      <c r="I45" s="2">
        <f t="shared" si="5"/>
        <v>1.0500000000000001E-2</v>
      </c>
      <c r="J45" s="2">
        <f t="shared" si="5"/>
        <v>2.31E-4</v>
      </c>
      <c r="K45" s="2">
        <f t="shared" si="5"/>
        <v>1.0500000000000002E-3</v>
      </c>
      <c r="L45" s="2">
        <f t="shared" si="5"/>
        <v>1.2936E-2</v>
      </c>
      <c r="M45" s="2">
        <f t="shared" si="5"/>
        <v>3.2130000000000006E-2</v>
      </c>
      <c r="N45" s="2">
        <f t="shared" si="5"/>
        <v>0</v>
      </c>
      <c r="O45" s="2">
        <f t="shared" si="5"/>
        <v>0</v>
      </c>
      <c r="P45" s="2">
        <f t="shared" si="5"/>
        <v>2.3519999999999999</v>
      </c>
      <c r="Q45" s="2">
        <f t="shared" si="10"/>
        <v>30.974999999999998</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21</v>
      </c>
      <c r="C46" s="2">
        <f t="shared" si="6"/>
        <v>214.2</v>
      </c>
      <c r="D46" s="2">
        <f t="shared" si="7"/>
        <v>63.891407999999998</v>
      </c>
      <c r="E46" s="2">
        <f t="shared" si="8"/>
        <v>13.892445000000002</v>
      </c>
      <c r="F46" s="2">
        <f t="shared" si="9"/>
        <v>5.0137920000000005</v>
      </c>
      <c r="G46" s="2">
        <f t="shared" si="5"/>
        <v>0.11109000000000001</v>
      </c>
      <c r="H46" s="2">
        <f t="shared" si="5"/>
        <v>0.57540000000000002</v>
      </c>
      <c r="I46" s="2">
        <f t="shared" si="5"/>
        <v>1.0500000000000001E-2</v>
      </c>
      <c r="J46" s="2">
        <f t="shared" si="5"/>
        <v>2.31E-4</v>
      </c>
      <c r="K46" s="2">
        <f t="shared" si="5"/>
        <v>1.0500000000000002E-3</v>
      </c>
      <c r="L46" s="2">
        <f t="shared" si="5"/>
        <v>1.2936E-2</v>
      </c>
      <c r="M46" s="2">
        <f t="shared" si="5"/>
        <v>3.2130000000000006E-2</v>
      </c>
      <c r="N46" s="2">
        <f t="shared" si="5"/>
        <v>0</v>
      </c>
      <c r="O46" s="2">
        <f t="shared" si="5"/>
        <v>0</v>
      </c>
      <c r="P46" s="2">
        <f t="shared" si="5"/>
        <v>2.3519999999999999</v>
      </c>
      <c r="Q46" s="2">
        <f t="shared" si="10"/>
        <v>30.974999999999998</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21</v>
      </c>
      <c r="C47" s="2">
        <f t="shared" si="6"/>
        <v>214.2</v>
      </c>
      <c r="D47" s="2">
        <f t="shared" si="7"/>
        <v>63.891407999999998</v>
      </c>
      <c r="E47" s="2">
        <f t="shared" si="8"/>
        <v>13.892445000000002</v>
      </c>
      <c r="F47" s="2">
        <f t="shared" si="9"/>
        <v>5.0137920000000005</v>
      </c>
      <c r="G47" s="2">
        <f t="shared" ref="G47:P50" si="12">IF(G$27="%w/w SAR",((G$28*10)*$B47),IF(G$27="%w/w DM",(((G$28*10)*($B$28/100))*$B47),IF(G$27="kg/t SAR",(G$28*$B47),IF(G$27="kg/t DM",((G$28*($B$28/100))*$B47),IF(G$27="mg/kg SAR",((G$28*0.001)*$B47),IF(G$27="mg/kg DM",(((G$28*0.001)*($B$28/100))*$B47),0))))))</f>
        <v>0.11109000000000001</v>
      </c>
      <c r="H47" s="2">
        <f t="shared" si="12"/>
        <v>0.57540000000000002</v>
      </c>
      <c r="I47" s="2">
        <f t="shared" si="12"/>
        <v>1.0500000000000001E-2</v>
      </c>
      <c r="J47" s="2">
        <f t="shared" si="12"/>
        <v>2.31E-4</v>
      </c>
      <c r="K47" s="2">
        <f t="shared" si="12"/>
        <v>1.0500000000000002E-3</v>
      </c>
      <c r="L47" s="2">
        <f t="shared" si="12"/>
        <v>1.2936E-2</v>
      </c>
      <c r="M47" s="2">
        <f t="shared" si="12"/>
        <v>3.2130000000000006E-2</v>
      </c>
      <c r="N47" s="2">
        <f t="shared" si="12"/>
        <v>0</v>
      </c>
      <c r="O47" s="2">
        <f t="shared" si="12"/>
        <v>0</v>
      </c>
      <c r="P47" s="2">
        <f t="shared" si="12"/>
        <v>2.3519999999999999</v>
      </c>
      <c r="Q47" s="2">
        <f t="shared" si="10"/>
        <v>30.974999999999998</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21</v>
      </c>
      <c r="C48" s="2">
        <f t="shared" si="6"/>
        <v>214.2</v>
      </c>
      <c r="D48" s="2">
        <f t="shared" si="7"/>
        <v>63.891407999999998</v>
      </c>
      <c r="E48" s="2">
        <f t="shared" si="8"/>
        <v>13.892445000000002</v>
      </c>
      <c r="F48" s="2">
        <f t="shared" si="9"/>
        <v>5.0137920000000005</v>
      </c>
      <c r="G48" s="2">
        <f t="shared" si="12"/>
        <v>0.11109000000000001</v>
      </c>
      <c r="H48" s="2">
        <f t="shared" si="12"/>
        <v>0.57540000000000002</v>
      </c>
      <c r="I48" s="2">
        <f t="shared" si="12"/>
        <v>1.0500000000000001E-2</v>
      </c>
      <c r="J48" s="2">
        <f t="shared" si="12"/>
        <v>2.31E-4</v>
      </c>
      <c r="K48" s="2">
        <f t="shared" si="12"/>
        <v>1.0500000000000002E-3</v>
      </c>
      <c r="L48" s="2">
        <f t="shared" si="12"/>
        <v>1.2936E-2</v>
      </c>
      <c r="M48" s="2">
        <f t="shared" si="12"/>
        <v>3.2130000000000006E-2</v>
      </c>
      <c r="N48" s="2">
        <f t="shared" si="12"/>
        <v>0</v>
      </c>
      <c r="O48" s="2">
        <f t="shared" si="12"/>
        <v>0</v>
      </c>
      <c r="P48" s="2">
        <f t="shared" si="12"/>
        <v>2.3519999999999999</v>
      </c>
      <c r="Q48" s="2">
        <f t="shared" si="10"/>
        <v>30.974999999999998</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"&amp;(VLOOKUP(C14,Table2458[],6,FALSE))</f>
        <v>Sandy Loam I Grass</v>
      </c>
      <c r="C58" s="44" t="str">
        <f>D16&amp;" I "&amp;(VLOOKUP(D14,Table2458[],6,FALSE))</f>
        <v>Sandy Loam I Grass</v>
      </c>
      <c r="D58" s="21" t="str">
        <f>E16&amp;" I "&amp;(VLOOKUP(E14,Table2458[],6,FALSE))</f>
        <v>Sandy Loam I Grass</v>
      </c>
      <c r="E58" s="21" t="str">
        <f>F16&amp;" I "&amp;(VLOOKUP(F14,Table2458[],6,FALSE))</f>
        <v>Sandy Loam I Grass</v>
      </c>
      <c r="F58" s="21" t="str">
        <f>G16&amp;" I "&amp;(VLOOKUP(G14,Table2458[],6,FALSE))</f>
        <v>Sandy Loam I Grass</v>
      </c>
      <c r="G58" s="21" t="str">
        <f>H16&amp;" I "&amp;(VLOOKUP(H14,Table2458[],6,FALSE))</f>
        <v>Sandy Loam I Grass</v>
      </c>
      <c r="H58" s="21" t="str">
        <f>I16&amp;" I "&amp;(VLOOKUP(I14,Table2458[],6,FALSE))</f>
        <v>Sandy Loam I Grass</v>
      </c>
      <c r="I58" s="21" t="str">
        <f>J16&amp;" I "&amp;(VLOOKUP(J14,Table2458[],6,FALSE))</f>
        <v>Sandy Loam I Grass</v>
      </c>
      <c r="J58" s="21" t="str">
        <f>K16&amp;" I "&amp;(VLOOKUP(K14,Table2458[],6,FALSE))</f>
        <v>Sandy Loam I Grass</v>
      </c>
      <c r="K58" s="21" t="str">
        <f>L16&amp;" I "&amp;(VLOOKUP(L14,Table2458[],6,FALSE))</f>
        <v>Sandy Loam I Grass</v>
      </c>
      <c r="L58" s="21" t="str">
        <f>M16&amp;" I "&amp;(VLOOKUP(M14,Table2458[],6,FALSE))</f>
        <v>Sandy Loam I Grass</v>
      </c>
      <c r="M58" s="21" t="str">
        <f>N16&amp;" I "&amp;(VLOOKUP(N14,Table2458[],6,FALSE))</f>
        <v>Sandy Loam I Grass</v>
      </c>
      <c r="N58" s="21" t="str">
        <f>O16&amp;" I "&amp;(VLOOKUP(O14,Table2458[],6,FALSE))</f>
        <v>Sandy Loam I Grass</v>
      </c>
      <c r="O58" s="21" t="str">
        <f>P16&amp;" I "&amp;(VLOOKUP(P14,Table2458[],6,FALSE))</f>
        <v>Sandy Loam I Grass</v>
      </c>
      <c r="P58" s="21" t="str">
        <f>Q16&amp;" I "&amp;(VLOOKUP(Q14,Table2458[],6,FALSE))</f>
        <v>Sandy Loam I Grass</v>
      </c>
      <c r="Q58" s="21" t="str">
        <f>R16&amp;" I "&amp;(VLOOKUP(R14,Table2458[],6,FALSE))</f>
        <v>Sandy Loam I Grass</v>
      </c>
      <c r="R58" s="21" t="str">
        <f>S16&amp;" I "&amp;(VLOOKUP(S14,Table2458[],6,FALSE))</f>
        <v>Sandy Loam I Grass</v>
      </c>
      <c r="S58" s="21" t="str">
        <f>T16&amp;" I "&amp;(VLOOKUP(T14,Table2458[],6,FALSE))</f>
        <v>Sandy Loam I Grass</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f>VLOOKUP(N$14,Table2458[],5,FALSE)</f>
        <v>6.2</v>
      </c>
      <c r="N59" s="93">
        <f>VLOOKUP(O$14,Table2458[],5,FALSE)</f>
        <v>6.2</v>
      </c>
      <c r="O59" s="93">
        <f>VLOOKUP(P$14,Table2458[],5,FALSE)</f>
        <v>6.2</v>
      </c>
      <c r="P59" s="93">
        <f>VLOOKUP(Q$14,Table2458[],5,FALSE)</f>
        <v>6.2</v>
      </c>
      <c r="Q59" s="93">
        <f>VLOOKUP(R$14,Table2458[],5,FALSE)</f>
        <v>6.2</v>
      </c>
      <c r="R59" s="93">
        <f>VLOOKUP(S$14,Table2458[],5,FALSE)</f>
        <v>6.2</v>
      </c>
      <c r="S59" s="93">
        <f>VLOOKUP(T$14,Table2458[],5,FALSE)</f>
        <v>6.2</v>
      </c>
      <c r="T59" s="93" t="e">
        <f>VLOOKUP(U$14,Table2458[],5,FALSE)</f>
        <v>#N/A</v>
      </c>
      <c r="U59" s="93" t="e">
        <f>VLOOKUP(V$14,Table2458[],5,FALSE)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21</v>
      </c>
      <c r="C62" s="94">
        <f>B32</f>
        <v>21</v>
      </c>
      <c r="D62" s="94">
        <f>B33</f>
        <v>21</v>
      </c>
      <c r="E62" s="94">
        <f>B34</f>
        <v>21</v>
      </c>
      <c r="F62" s="94">
        <f>B35</f>
        <v>21</v>
      </c>
      <c r="G62" s="94">
        <f>B36</f>
        <v>21</v>
      </c>
      <c r="H62" s="94">
        <f>B37</f>
        <v>21</v>
      </c>
      <c r="I62" s="94">
        <f>B38</f>
        <v>21</v>
      </c>
      <c r="J62" s="94">
        <f>B39</f>
        <v>21</v>
      </c>
      <c r="K62" s="94">
        <f>B40</f>
        <v>21</v>
      </c>
      <c r="L62" s="94">
        <f>B41</f>
        <v>21</v>
      </c>
      <c r="M62" s="94">
        <f>B42</f>
        <v>21</v>
      </c>
      <c r="N62" s="94">
        <f>B43</f>
        <v>21</v>
      </c>
      <c r="O62" s="94">
        <f>B44</f>
        <v>21</v>
      </c>
      <c r="P62" s="94">
        <f>B45</f>
        <v>21</v>
      </c>
      <c r="Q62" s="94">
        <f>B46</f>
        <v>21</v>
      </c>
      <c r="R62" s="94">
        <f>B47</f>
        <v>21</v>
      </c>
      <c r="S62" s="94">
        <f>B48</f>
        <v>21</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6.91</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2115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0.41199999999999998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62.388511999999999</v>
      </c>
      <c r="D18" s="24">
        <f>$D32</f>
        <v>62.388511999999999</v>
      </c>
      <c r="E18" s="24">
        <f>$D33</f>
        <v>62.388511999999999</v>
      </c>
      <c r="F18" s="24">
        <f>$D34</f>
        <v>62.388511999999999</v>
      </c>
      <c r="G18" s="24">
        <f>$D35</f>
        <v>62.388511999999999</v>
      </c>
      <c r="H18" s="24">
        <f>$D36</f>
        <v>62.388511999999999</v>
      </c>
      <c r="I18" s="24">
        <f>$D37</f>
        <v>62.388511999999999</v>
      </c>
      <c r="J18" s="24">
        <f>$D38</f>
        <v>62.388511999999999</v>
      </c>
      <c r="K18" s="24">
        <f>$D39</f>
        <v>62.388511999999999</v>
      </c>
      <c r="L18" s="24">
        <f>$D40</f>
        <v>62.388511999999999</v>
      </c>
      <c r="M18" s="24">
        <f>$D41</f>
        <v>62.388511999999999</v>
      </c>
      <c r="N18" s="24">
        <f>$D42</f>
        <v>62.388511999999999</v>
      </c>
      <c r="O18" s="24">
        <f>$D43</f>
        <v>62.388511999999999</v>
      </c>
      <c r="P18" s="24">
        <f>$D44</f>
        <v>62.388511999999999</v>
      </c>
      <c r="Q18" s="24">
        <f>$D45</f>
        <v>62.388511999999999</v>
      </c>
      <c r="R18" s="24">
        <f>$D46</f>
        <v>62.388511999999999</v>
      </c>
      <c r="S18" s="24">
        <f>$D47</f>
        <v>62.388511999999999</v>
      </c>
      <c r="T18" s="24">
        <f>$D48</f>
        <v>62.388511999999999</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-2.2114879999999957</v>
      </c>
      <c r="D19" s="24">
        <f t="shared" ref="D19:V19" si="1">D18-D17</f>
        <v>-2.2114879999999957</v>
      </c>
      <c r="E19" s="24">
        <f t="shared" si="1"/>
        <v>-2.2114879999999957</v>
      </c>
      <c r="F19" s="24">
        <f t="shared" si="1"/>
        <v>-2.2114879999999957</v>
      </c>
      <c r="G19" s="24">
        <f t="shared" si="1"/>
        <v>-2.2114879999999957</v>
      </c>
      <c r="H19" s="24">
        <f t="shared" si="1"/>
        <v>-2.2114879999999957</v>
      </c>
      <c r="I19" s="24">
        <f t="shared" si="1"/>
        <v>-2.2114879999999957</v>
      </c>
      <c r="J19" s="24">
        <f t="shared" si="1"/>
        <v>-2.2114879999999957</v>
      </c>
      <c r="K19" s="24">
        <f t="shared" si="1"/>
        <v>-2.2114879999999957</v>
      </c>
      <c r="L19" s="24">
        <f t="shared" si="1"/>
        <v>-2.2114879999999957</v>
      </c>
      <c r="M19" s="24">
        <f t="shared" si="1"/>
        <v>-2.2114879999999957</v>
      </c>
      <c r="N19" s="24">
        <f t="shared" si="1"/>
        <v>-2.2114879999999957</v>
      </c>
      <c r="O19" s="24">
        <f t="shared" si="1"/>
        <v>-2.2114879999999957</v>
      </c>
      <c r="P19" s="24">
        <f t="shared" si="1"/>
        <v>-2.2114879999999957</v>
      </c>
      <c r="Q19" s="24">
        <f t="shared" si="1"/>
        <v>-2.2114879999999957</v>
      </c>
      <c r="R19" s="24">
        <f t="shared" si="1"/>
        <v>-2.2114879999999957</v>
      </c>
      <c r="S19" s="24">
        <f t="shared" si="1"/>
        <v>-2.2114879999999957</v>
      </c>
      <c r="T19" s="24">
        <f t="shared" si="1"/>
        <v>-2.2114879999999957</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10.031625000000002</v>
      </c>
      <c r="D22" s="24">
        <f>$E32</f>
        <v>10.031625000000002</v>
      </c>
      <c r="E22" s="24">
        <f>$E33</f>
        <v>10.031625000000002</v>
      </c>
      <c r="F22" s="24">
        <f>$E34</f>
        <v>10.031625000000002</v>
      </c>
      <c r="G22" s="24">
        <f>$E35</f>
        <v>10.031625000000002</v>
      </c>
      <c r="H22" s="24">
        <f>$E36</f>
        <v>10.031625000000002</v>
      </c>
      <c r="I22" s="24">
        <f>$E37</f>
        <v>10.031625000000002</v>
      </c>
      <c r="J22" s="24">
        <f>$E38</f>
        <v>10.031625000000002</v>
      </c>
      <c r="K22" s="24">
        <f>$E39</f>
        <v>10.031625000000002</v>
      </c>
      <c r="L22" s="24">
        <f>$E40</f>
        <v>10.031625000000002</v>
      </c>
      <c r="M22" s="24">
        <f>$E41</f>
        <v>10.031625000000002</v>
      </c>
      <c r="N22" s="24">
        <f>$E42</f>
        <v>10.031625000000002</v>
      </c>
      <c r="O22" s="24">
        <f>$E43</f>
        <v>10.031625000000002</v>
      </c>
      <c r="P22" s="24">
        <f>$E44</f>
        <v>10.031625000000002</v>
      </c>
      <c r="Q22" s="24">
        <f>$E45</f>
        <v>10.031625000000002</v>
      </c>
      <c r="R22" s="24">
        <f>$E46</f>
        <v>10.031625000000002</v>
      </c>
      <c r="S22" s="24">
        <f>$E47</f>
        <v>10.031625000000002</v>
      </c>
      <c r="T22" s="24">
        <f>$E48</f>
        <v>10.031625000000002</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-217.96837500000001</v>
      </c>
      <c r="D23" s="24">
        <f t="shared" ref="D23:V23" si="3">D22-D21</f>
        <v>-217.96837500000001</v>
      </c>
      <c r="E23" s="24">
        <f t="shared" si="3"/>
        <v>-217.96837500000001</v>
      </c>
      <c r="F23" s="24">
        <f t="shared" si="3"/>
        <v>-217.96837500000001</v>
      </c>
      <c r="G23" s="24">
        <f t="shared" si="3"/>
        <v>-217.96837500000001</v>
      </c>
      <c r="H23" s="24">
        <f t="shared" si="3"/>
        <v>-217.96837500000001</v>
      </c>
      <c r="I23" s="24">
        <f t="shared" si="3"/>
        <v>-217.96837500000001</v>
      </c>
      <c r="J23" s="24">
        <f t="shared" si="3"/>
        <v>-217.96837500000001</v>
      </c>
      <c r="K23" s="24">
        <f t="shared" si="3"/>
        <v>-217.96837500000001</v>
      </c>
      <c r="L23" s="24">
        <f t="shared" si="3"/>
        <v>-217.96837500000001</v>
      </c>
      <c r="M23" s="24">
        <f t="shared" si="3"/>
        <v>-217.96837500000001</v>
      </c>
      <c r="N23" s="24">
        <f t="shared" si="3"/>
        <v>-217.96837500000001</v>
      </c>
      <c r="O23" s="24">
        <f t="shared" si="3"/>
        <v>-217.96837500000001</v>
      </c>
      <c r="P23" s="24">
        <f t="shared" si="3"/>
        <v>-217.96837500000001</v>
      </c>
      <c r="Q23" s="24">
        <f t="shared" si="3"/>
        <v>-217.96837500000001</v>
      </c>
      <c r="R23" s="24">
        <f t="shared" si="3"/>
        <v>-217.96837500000001</v>
      </c>
      <c r="S23" s="24">
        <f t="shared" si="3"/>
        <v>-217.96837500000001</v>
      </c>
      <c r="T23" s="24">
        <f t="shared" si="3"/>
        <v>-217.96837500000001</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5.23</v>
      </c>
      <c r="C28" s="23">
        <v>0.41</v>
      </c>
      <c r="D28" s="23">
        <v>736</v>
      </c>
      <c r="E28" s="23">
        <v>225</v>
      </c>
      <c r="F28" s="23">
        <v>186</v>
      </c>
      <c r="G28" s="23">
        <v>3.53</v>
      </c>
      <c r="H28" s="23">
        <v>20.399999999999999</v>
      </c>
      <c r="I28" s="23">
        <v>0.5</v>
      </c>
      <c r="J28" s="23">
        <v>1.2E-2</v>
      </c>
      <c r="K28" s="30">
        <v>0.05</v>
      </c>
      <c r="L28" s="23">
        <v>0.67400000000000004</v>
      </c>
      <c r="M28" s="23">
        <v>1.42</v>
      </c>
      <c r="N28" s="23"/>
      <c r="O28" s="23"/>
      <c r="P28" s="23">
        <v>627</v>
      </c>
      <c r="Q28" s="23">
        <v>474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37</v>
      </c>
      <c r="C31" s="2">
        <f>IF(C$27="%w/w SAR",((C$28*10)*$B31),IF(C$27="%w/w DM",(((C$28*10)*($B$28/100))*$B31),IF(C$27="kg/t SAR",(C$28*$B31),IF(C$27="kg/t DM",((C$28*($B$28/100))*$B31),IF(C$27="mg/kg SAR",((C$28*0.001)*$B31),IF(C$27="mg/kg DM",(((C$28*0.001)*($B$28/100))*$B31),0))))))</f>
        <v>151.69999999999999</v>
      </c>
      <c r="D31" s="2">
        <f>(IF(D$27="%w/w SAR",((D$28*10)*$B31),IF(D$27="%w/w DM",(((D$28*10)*($B$28/100))*$B31),IF(D$27="kg/t SAR",(D$28*$B31),IF(D$27="kg/t DM",((D$28*($B$28/100))*$B31),IF(D$27="mg/kg SAR",((D$28*0.001)*$B31),IF(D$27="mg/kg DM",(((D$28*0.001)*($B$28/100))*$B31),"0")))))))*2.291</f>
        <v>62.388511999999999</v>
      </c>
      <c r="E31" s="2">
        <f>(IF(E$27="%w/w SAR",((E$28*10)*$B31),IF(E$27="%w/w DM",(((E$28*10)*($B$28/100))*$B31),IF(E$27="kg/t SAR",(E$28*$B31),IF(E$27="kg/t DM",((E$28*($B$28/100))*$B31),IF(E$27="mg/kg SAR",((E$28*0.001)*$B31),IF(E$27="mg/kg DM",(((E$28*0.001)*($B$28/100))*$B31),"0")))))))*1.205</f>
        <v>10.031625000000002</v>
      </c>
      <c r="F31" s="2">
        <f>(IF(F$27="%w/w SAR",((F$28*10)*$B31),IF(F$27="%w/w DM",(((F$28*10)*($B$28/100))*$B31),IF(F$27="kg/t SAR",(F$28*$B31),IF(F$27="kg/t DM",((F$28*($B$28/100))*$B31),IF(F$27="mg/kg SAR",((F$28*0.001)*$B31),IF(F$27="mg/kg DM",(((F$28*0.001)*($B$28/100))*$B31),"0")))))))*1.658</f>
        <v>11.410355999999998</v>
      </c>
      <c r="G31" s="2">
        <f t="shared" ref="G31:P46" si="5">IF(G$27="%w/w SAR",((G$28*10)*$B31),IF(G$27="%w/w DM",(((G$28*10)*($B$28/100))*$B31),IF(G$27="kg/t SAR",(G$28*$B31),IF(G$27="kg/t DM",((G$28*($B$28/100))*$B31),IF(G$27="mg/kg SAR",((G$28*0.001)*$B31),IF(G$27="mg/kg DM",(((G$28*0.001)*($B$28/100))*$B31),0))))))</f>
        <v>0.13060999999999998</v>
      </c>
      <c r="H31" s="2">
        <f t="shared" si="5"/>
        <v>0.75479999999999992</v>
      </c>
      <c r="I31" s="2">
        <f t="shared" si="5"/>
        <v>1.8499999999999999E-2</v>
      </c>
      <c r="J31" s="2">
        <f t="shared" si="5"/>
        <v>4.44E-4</v>
      </c>
      <c r="K31" s="2">
        <f t="shared" si="5"/>
        <v>1.8500000000000001E-3</v>
      </c>
      <c r="L31" s="2">
        <f t="shared" si="5"/>
        <v>2.4938000000000002E-2</v>
      </c>
      <c r="M31" s="2">
        <f t="shared" si="5"/>
        <v>5.2540000000000003E-2</v>
      </c>
      <c r="N31" s="2">
        <f t="shared" si="5"/>
        <v>0</v>
      </c>
      <c r="O31" s="2">
        <f t="shared" si="5"/>
        <v>0</v>
      </c>
      <c r="P31" s="2">
        <f t="shared" si="5"/>
        <v>23.199000000000002</v>
      </c>
      <c r="Q31" s="2">
        <f>(IF(Q$27="%w/w SAR",((Q$28*10)*$B31),IF(Q$27="%w/w DM",(((Q$28*10)*($B$28/100))*$B31),IF(Q$27="kg/t SAR",(Q$28*$B31),IF(Q$27="kg/t DM",((Q$28*($B$28/100))*$B31),IF(Q$27="mg/kg SAR",((Q$28*0.001)*$B31),IF(Q$27="mg/kg DM",(((Q$28*0.001)*($B$28/100))*$B31),0)))))))*2.5</f>
        <v>43.844999999999999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37</v>
      </c>
      <c r="C32" s="2">
        <f t="shared" ref="C32:C50" si="6">IF(C$27="%w/w SAR",((C$28*10)*$B32),IF(C$27="%w/w DM",(((C$28*10)*($B$28/100))*$B32),IF(C$27="kg/t SAR",(C$28*$B32),IF(C$27="kg/t DM",((C$28*($B$28/100))*$B32),IF(C$27="mg/kg SAR",((C$28*0.001)*$B32),IF(C$27="mg/kg DM",(((C$28*0.001)*($B$28/100))*$B32),0))))))</f>
        <v>151.69999999999999</v>
      </c>
      <c r="D32" s="2">
        <f t="shared" ref="D32:D50" si="7">(IF(D$27="%w/w SAR",((D$28*10)*$B32),IF(D$27="%w/w DM",(((D$28*10)*($B$28/100))*$B32),IF(D$27="kg/t SAR",(D$28*$B32),IF(D$27="kg/t DM",((D$28*($B$28/100))*$B32),IF(D$27="mg/kg SAR",((D$28*0.001)*$B32),IF(D$27="mg/kg DM",(((D$28*0.001)*($B$28/100))*$B32),"0")))))))*2.291</f>
        <v>62.388511999999999</v>
      </c>
      <c r="E32" s="2">
        <f t="shared" ref="E32:E50" si="8">(IF(E$27="%w/w SAR",((E$28*10)*$B32),IF(E$27="%w/w DM",(((E$28*10)*($B$28/100))*$B32),IF(E$27="kg/t SAR",(E$28*$B32),IF(E$27="kg/t DM",((E$28*($B$28/100))*$B32),IF(E$27="mg/kg SAR",((E$28*0.001)*$B32),IF(E$27="mg/kg DM",(((E$28*0.001)*($B$28/100))*$B32),"0")))))))*1.205</f>
        <v>10.031625000000002</v>
      </c>
      <c r="F32" s="2">
        <f t="shared" ref="F32:F50" si="9">(IF(F$27="%w/w SAR",((F$28*10)*$B32),IF(F$27="%w/w DM",(((F$28*10)*($B$28/100))*$B32),IF(F$27="kg/t SAR",(F$28*$B32),IF(F$27="kg/t DM",((F$28*($B$28/100))*$B32),IF(F$27="mg/kg SAR",((F$28*0.001)*$B32),IF(F$27="mg/kg DM",(((F$28*0.001)*($B$28/100))*$B32),"0")))))))*1.658</f>
        <v>11.410355999999998</v>
      </c>
      <c r="G32" s="2">
        <f t="shared" si="5"/>
        <v>0.13060999999999998</v>
      </c>
      <c r="H32" s="2">
        <f t="shared" si="5"/>
        <v>0.75479999999999992</v>
      </c>
      <c r="I32" s="2">
        <f t="shared" si="5"/>
        <v>1.8499999999999999E-2</v>
      </c>
      <c r="J32" s="2">
        <f t="shared" si="5"/>
        <v>4.44E-4</v>
      </c>
      <c r="K32" s="2">
        <f t="shared" si="5"/>
        <v>1.8500000000000001E-3</v>
      </c>
      <c r="L32" s="2">
        <f t="shared" si="5"/>
        <v>2.4938000000000002E-2</v>
      </c>
      <c r="M32" s="2">
        <f t="shared" si="5"/>
        <v>5.2540000000000003E-2</v>
      </c>
      <c r="N32" s="2">
        <f t="shared" si="5"/>
        <v>0</v>
      </c>
      <c r="O32" s="2">
        <f t="shared" si="5"/>
        <v>0</v>
      </c>
      <c r="P32" s="2">
        <f t="shared" si="5"/>
        <v>23.199000000000002</v>
      </c>
      <c r="Q32" s="2">
        <f t="shared" ref="Q32:Q50" si="10">(IF(Q$27="%w/w SAR",((Q$28*10)*$B32),IF(Q$27="%w/w DM",(((Q$28*10)*($B$28/100))*$B32),IF(Q$27="kg/t SAR",(Q$28*$B32),IF(Q$27="kg/t DM",((Q$28*($B$28/100))*$B32),IF(Q$27="mg/kg SAR",((Q$28*0.001)*$B32),IF(Q$27="mg/kg DM",(((Q$28*0.001)*($B$28/100))*$B32),0)))))))*2.5</f>
        <v>43.844999999999999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37</v>
      </c>
      <c r="C33" s="2">
        <f t="shared" si="6"/>
        <v>151.69999999999999</v>
      </c>
      <c r="D33" s="2">
        <f t="shared" si="7"/>
        <v>62.388511999999999</v>
      </c>
      <c r="E33" s="2">
        <f t="shared" si="8"/>
        <v>10.031625000000002</v>
      </c>
      <c r="F33" s="2">
        <f t="shared" si="9"/>
        <v>11.410355999999998</v>
      </c>
      <c r="G33" s="2">
        <f t="shared" si="5"/>
        <v>0.13060999999999998</v>
      </c>
      <c r="H33" s="2">
        <f t="shared" si="5"/>
        <v>0.75479999999999992</v>
      </c>
      <c r="I33" s="2">
        <f t="shared" si="5"/>
        <v>1.8499999999999999E-2</v>
      </c>
      <c r="J33" s="2">
        <f t="shared" si="5"/>
        <v>4.44E-4</v>
      </c>
      <c r="K33" s="2">
        <f t="shared" si="5"/>
        <v>1.8500000000000001E-3</v>
      </c>
      <c r="L33" s="2">
        <f t="shared" si="5"/>
        <v>2.4938000000000002E-2</v>
      </c>
      <c r="M33" s="2">
        <f t="shared" si="5"/>
        <v>5.2540000000000003E-2</v>
      </c>
      <c r="N33" s="2">
        <f t="shared" si="5"/>
        <v>0</v>
      </c>
      <c r="O33" s="2">
        <f t="shared" si="5"/>
        <v>0</v>
      </c>
      <c r="P33" s="2">
        <f t="shared" si="5"/>
        <v>23.199000000000002</v>
      </c>
      <c r="Q33" s="2">
        <f t="shared" si="10"/>
        <v>43.844999999999999</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37</v>
      </c>
      <c r="C34" s="2">
        <f t="shared" si="6"/>
        <v>151.69999999999999</v>
      </c>
      <c r="D34" s="2">
        <f t="shared" si="7"/>
        <v>62.388511999999999</v>
      </c>
      <c r="E34" s="2">
        <f t="shared" si="8"/>
        <v>10.031625000000002</v>
      </c>
      <c r="F34" s="2">
        <f t="shared" si="9"/>
        <v>11.410355999999998</v>
      </c>
      <c r="G34" s="2">
        <f t="shared" si="5"/>
        <v>0.13060999999999998</v>
      </c>
      <c r="H34" s="2">
        <f t="shared" si="5"/>
        <v>0.75479999999999992</v>
      </c>
      <c r="I34" s="2">
        <f t="shared" si="5"/>
        <v>1.8499999999999999E-2</v>
      </c>
      <c r="J34" s="2">
        <f t="shared" si="5"/>
        <v>4.44E-4</v>
      </c>
      <c r="K34" s="2">
        <f t="shared" si="5"/>
        <v>1.8500000000000001E-3</v>
      </c>
      <c r="L34" s="2">
        <f t="shared" si="5"/>
        <v>2.4938000000000002E-2</v>
      </c>
      <c r="M34" s="2">
        <f t="shared" si="5"/>
        <v>5.2540000000000003E-2</v>
      </c>
      <c r="N34" s="2">
        <f t="shared" si="5"/>
        <v>0</v>
      </c>
      <c r="O34" s="2">
        <f t="shared" si="5"/>
        <v>0</v>
      </c>
      <c r="P34" s="2">
        <f t="shared" si="5"/>
        <v>23.199000000000002</v>
      </c>
      <c r="Q34" s="2">
        <f t="shared" si="10"/>
        <v>43.844999999999999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37</v>
      </c>
      <c r="C35" s="2">
        <f t="shared" si="6"/>
        <v>151.69999999999999</v>
      </c>
      <c r="D35" s="2">
        <f t="shared" si="7"/>
        <v>62.388511999999999</v>
      </c>
      <c r="E35" s="2">
        <f t="shared" si="8"/>
        <v>10.031625000000002</v>
      </c>
      <c r="F35" s="2">
        <f t="shared" si="9"/>
        <v>11.410355999999998</v>
      </c>
      <c r="G35" s="2">
        <f t="shared" si="5"/>
        <v>0.13060999999999998</v>
      </c>
      <c r="H35" s="2">
        <f t="shared" si="5"/>
        <v>0.75479999999999992</v>
      </c>
      <c r="I35" s="2">
        <f t="shared" si="5"/>
        <v>1.8499999999999999E-2</v>
      </c>
      <c r="J35" s="2">
        <f t="shared" si="5"/>
        <v>4.44E-4</v>
      </c>
      <c r="K35" s="2">
        <f t="shared" si="5"/>
        <v>1.8500000000000001E-3</v>
      </c>
      <c r="L35" s="2">
        <f t="shared" si="5"/>
        <v>2.4938000000000002E-2</v>
      </c>
      <c r="M35" s="2">
        <f t="shared" si="5"/>
        <v>5.2540000000000003E-2</v>
      </c>
      <c r="N35" s="2">
        <f t="shared" si="5"/>
        <v>0</v>
      </c>
      <c r="O35" s="2">
        <f t="shared" si="5"/>
        <v>0</v>
      </c>
      <c r="P35" s="2">
        <f t="shared" si="5"/>
        <v>23.199000000000002</v>
      </c>
      <c r="Q35" s="2">
        <f t="shared" si="10"/>
        <v>43.844999999999999</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37</v>
      </c>
      <c r="C36" s="2">
        <f t="shared" si="6"/>
        <v>151.69999999999999</v>
      </c>
      <c r="D36" s="2">
        <f t="shared" si="7"/>
        <v>62.388511999999999</v>
      </c>
      <c r="E36" s="2">
        <f t="shared" si="8"/>
        <v>10.031625000000002</v>
      </c>
      <c r="F36" s="2">
        <f t="shared" si="9"/>
        <v>11.410355999999998</v>
      </c>
      <c r="G36" s="2">
        <f t="shared" si="5"/>
        <v>0.13060999999999998</v>
      </c>
      <c r="H36" s="2">
        <f t="shared" si="5"/>
        <v>0.75479999999999992</v>
      </c>
      <c r="I36" s="2">
        <f t="shared" si="5"/>
        <v>1.8499999999999999E-2</v>
      </c>
      <c r="J36" s="2">
        <f t="shared" si="5"/>
        <v>4.44E-4</v>
      </c>
      <c r="K36" s="2">
        <f t="shared" si="5"/>
        <v>1.8500000000000001E-3</v>
      </c>
      <c r="L36" s="2">
        <f t="shared" si="5"/>
        <v>2.4938000000000002E-2</v>
      </c>
      <c r="M36" s="2">
        <f t="shared" si="5"/>
        <v>5.2540000000000003E-2</v>
      </c>
      <c r="N36" s="2">
        <f t="shared" si="5"/>
        <v>0</v>
      </c>
      <c r="O36" s="2">
        <f t="shared" si="5"/>
        <v>0</v>
      </c>
      <c r="P36" s="2">
        <f t="shared" si="5"/>
        <v>23.199000000000002</v>
      </c>
      <c r="Q36" s="2">
        <f t="shared" si="10"/>
        <v>43.844999999999999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37</v>
      </c>
      <c r="C37" s="2">
        <f t="shared" si="6"/>
        <v>151.69999999999999</v>
      </c>
      <c r="D37" s="2">
        <f t="shared" si="7"/>
        <v>62.388511999999999</v>
      </c>
      <c r="E37" s="2">
        <f t="shared" si="8"/>
        <v>10.031625000000002</v>
      </c>
      <c r="F37" s="2">
        <f t="shared" si="9"/>
        <v>11.410355999999998</v>
      </c>
      <c r="G37" s="2">
        <f t="shared" si="5"/>
        <v>0.13060999999999998</v>
      </c>
      <c r="H37" s="2">
        <f t="shared" si="5"/>
        <v>0.75479999999999992</v>
      </c>
      <c r="I37" s="2">
        <f t="shared" si="5"/>
        <v>1.8499999999999999E-2</v>
      </c>
      <c r="J37" s="2">
        <f t="shared" si="5"/>
        <v>4.44E-4</v>
      </c>
      <c r="K37" s="2">
        <f t="shared" si="5"/>
        <v>1.8500000000000001E-3</v>
      </c>
      <c r="L37" s="2">
        <f t="shared" si="5"/>
        <v>2.4938000000000002E-2</v>
      </c>
      <c r="M37" s="2">
        <f t="shared" si="5"/>
        <v>5.2540000000000003E-2</v>
      </c>
      <c r="N37" s="2">
        <f t="shared" si="5"/>
        <v>0</v>
      </c>
      <c r="O37" s="2">
        <f t="shared" si="5"/>
        <v>0</v>
      </c>
      <c r="P37" s="2">
        <f t="shared" si="5"/>
        <v>23.199000000000002</v>
      </c>
      <c r="Q37" s="2">
        <f t="shared" si="10"/>
        <v>43.844999999999999</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37</v>
      </c>
      <c r="C38" s="2">
        <f t="shared" si="6"/>
        <v>151.69999999999999</v>
      </c>
      <c r="D38" s="2">
        <f t="shared" si="7"/>
        <v>62.388511999999999</v>
      </c>
      <c r="E38" s="2">
        <f t="shared" si="8"/>
        <v>10.031625000000002</v>
      </c>
      <c r="F38" s="2">
        <f t="shared" si="9"/>
        <v>11.410355999999998</v>
      </c>
      <c r="G38" s="2">
        <f t="shared" si="5"/>
        <v>0.13060999999999998</v>
      </c>
      <c r="H38" s="2">
        <f t="shared" si="5"/>
        <v>0.75479999999999992</v>
      </c>
      <c r="I38" s="2">
        <f t="shared" si="5"/>
        <v>1.8499999999999999E-2</v>
      </c>
      <c r="J38" s="2">
        <f t="shared" si="5"/>
        <v>4.44E-4</v>
      </c>
      <c r="K38" s="2">
        <f t="shared" si="5"/>
        <v>1.8500000000000001E-3</v>
      </c>
      <c r="L38" s="2">
        <f t="shared" si="5"/>
        <v>2.4938000000000002E-2</v>
      </c>
      <c r="M38" s="2">
        <f t="shared" si="5"/>
        <v>5.2540000000000003E-2</v>
      </c>
      <c r="N38" s="2">
        <f t="shared" si="5"/>
        <v>0</v>
      </c>
      <c r="O38" s="2">
        <f t="shared" si="5"/>
        <v>0</v>
      </c>
      <c r="P38" s="2">
        <f t="shared" si="5"/>
        <v>23.199000000000002</v>
      </c>
      <c r="Q38" s="2">
        <f t="shared" si="10"/>
        <v>43.844999999999999</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37</v>
      </c>
      <c r="C39" s="2">
        <f t="shared" si="6"/>
        <v>151.69999999999999</v>
      </c>
      <c r="D39" s="2">
        <f t="shared" si="7"/>
        <v>62.388511999999999</v>
      </c>
      <c r="E39" s="2">
        <f t="shared" si="8"/>
        <v>10.031625000000002</v>
      </c>
      <c r="F39" s="2">
        <f t="shared" si="9"/>
        <v>11.410355999999998</v>
      </c>
      <c r="G39" s="2">
        <f t="shared" si="5"/>
        <v>0.13060999999999998</v>
      </c>
      <c r="H39" s="2">
        <f t="shared" si="5"/>
        <v>0.75479999999999992</v>
      </c>
      <c r="I39" s="2">
        <f t="shared" si="5"/>
        <v>1.8499999999999999E-2</v>
      </c>
      <c r="J39" s="2">
        <f t="shared" si="5"/>
        <v>4.44E-4</v>
      </c>
      <c r="K39" s="2">
        <f t="shared" si="5"/>
        <v>1.8500000000000001E-3</v>
      </c>
      <c r="L39" s="2">
        <f t="shared" si="5"/>
        <v>2.4938000000000002E-2</v>
      </c>
      <c r="M39" s="2">
        <f t="shared" si="5"/>
        <v>5.2540000000000003E-2</v>
      </c>
      <c r="N39" s="2">
        <f t="shared" si="5"/>
        <v>0</v>
      </c>
      <c r="O39" s="2">
        <f t="shared" si="5"/>
        <v>0</v>
      </c>
      <c r="P39" s="2">
        <f t="shared" si="5"/>
        <v>23.199000000000002</v>
      </c>
      <c r="Q39" s="2">
        <f t="shared" si="10"/>
        <v>43.844999999999999</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37</v>
      </c>
      <c r="C40" s="2">
        <f t="shared" si="6"/>
        <v>151.69999999999999</v>
      </c>
      <c r="D40" s="2">
        <f t="shared" si="7"/>
        <v>62.388511999999999</v>
      </c>
      <c r="E40" s="2">
        <f t="shared" si="8"/>
        <v>10.031625000000002</v>
      </c>
      <c r="F40" s="2">
        <f t="shared" si="9"/>
        <v>11.410355999999998</v>
      </c>
      <c r="G40" s="2">
        <f t="shared" si="5"/>
        <v>0.13060999999999998</v>
      </c>
      <c r="H40" s="2">
        <f t="shared" si="5"/>
        <v>0.75479999999999992</v>
      </c>
      <c r="I40" s="2">
        <f t="shared" si="5"/>
        <v>1.8499999999999999E-2</v>
      </c>
      <c r="J40" s="2">
        <f t="shared" si="5"/>
        <v>4.44E-4</v>
      </c>
      <c r="K40" s="2">
        <f t="shared" si="5"/>
        <v>1.8500000000000001E-3</v>
      </c>
      <c r="L40" s="2">
        <f t="shared" si="5"/>
        <v>2.4938000000000002E-2</v>
      </c>
      <c r="M40" s="2">
        <f t="shared" si="5"/>
        <v>5.2540000000000003E-2</v>
      </c>
      <c r="N40" s="2">
        <f t="shared" si="5"/>
        <v>0</v>
      </c>
      <c r="O40" s="2">
        <f t="shared" si="5"/>
        <v>0</v>
      </c>
      <c r="P40" s="2">
        <f t="shared" si="5"/>
        <v>23.199000000000002</v>
      </c>
      <c r="Q40" s="2">
        <f t="shared" si="10"/>
        <v>43.844999999999999</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37</v>
      </c>
      <c r="C41" s="2">
        <f t="shared" si="6"/>
        <v>151.69999999999999</v>
      </c>
      <c r="D41" s="2">
        <f t="shared" si="7"/>
        <v>62.388511999999999</v>
      </c>
      <c r="E41" s="2">
        <f t="shared" si="8"/>
        <v>10.031625000000002</v>
      </c>
      <c r="F41" s="2">
        <f t="shared" si="9"/>
        <v>11.410355999999998</v>
      </c>
      <c r="G41" s="2">
        <f t="shared" si="5"/>
        <v>0.13060999999999998</v>
      </c>
      <c r="H41" s="2">
        <f t="shared" si="5"/>
        <v>0.75479999999999992</v>
      </c>
      <c r="I41" s="2">
        <f t="shared" si="5"/>
        <v>1.8499999999999999E-2</v>
      </c>
      <c r="J41" s="2">
        <f t="shared" si="5"/>
        <v>4.44E-4</v>
      </c>
      <c r="K41" s="2">
        <f t="shared" si="5"/>
        <v>1.8500000000000001E-3</v>
      </c>
      <c r="L41" s="2">
        <f t="shared" si="5"/>
        <v>2.4938000000000002E-2</v>
      </c>
      <c r="M41" s="2">
        <f t="shared" si="5"/>
        <v>5.2540000000000003E-2</v>
      </c>
      <c r="N41" s="2">
        <f t="shared" si="5"/>
        <v>0</v>
      </c>
      <c r="O41" s="2">
        <f t="shared" si="5"/>
        <v>0</v>
      </c>
      <c r="P41" s="2">
        <f t="shared" si="5"/>
        <v>23.199000000000002</v>
      </c>
      <c r="Q41" s="2">
        <f t="shared" si="10"/>
        <v>43.844999999999999</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37</v>
      </c>
      <c r="C42" s="2">
        <f t="shared" si="6"/>
        <v>151.69999999999999</v>
      </c>
      <c r="D42" s="2">
        <f t="shared" si="7"/>
        <v>62.388511999999999</v>
      </c>
      <c r="E42" s="2">
        <f t="shared" si="8"/>
        <v>10.031625000000002</v>
      </c>
      <c r="F42" s="2">
        <f t="shared" si="9"/>
        <v>11.410355999999998</v>
      </c>
      <c r="G42" s="2">
        <f t="shared" si="5"/>
        <v>0.13060999999999998</v>
      </c>
      <c r="H42" s="2">
        <f t="shared" si="5"/>
        <v>0.75479999999999992</v>
      </c>
      <c r="I42" s="2">
        <f t="shared" si="5"/>
        <v>1.8499999999999999E-2</v>
      </c>
      <c r="J42" s="2">
        <f t="shared" si="5"/>
        <v>4.44E-4</v>
      </c>
      <c r="K42" s="2">
        <f t="shared" si="5"/>
        <v>1.8500000000000001E-3</v>
      </c>
      <c r="L42" s="2">
        <f t="shared" si="5"/>
        <v>2.4938000000000002E-2</v>
      </c>
      <c r="M42" s="2">
        <f t="shared" si="5"/>
        <v>5.2540000000000003E-2</v>
      </c>
      <c r="N42" s="2">
        <f t="shared" si="5"/>
        <v>0</v>
      </c>
      <c r="O42" s="2">
        <f t="shared" si="5"/>
        <v>0</v>
      </c>
      <c r="P42" s="2">
        <f t="shared" si="5"/>
        <v>23.199000000000002</v>
      </c>
      <c r="Q42" s="2">
        <f t="shared" si="10"/>
        <v>43.844999999999999</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37</v>
      </c>
      <c r="C43" s="2">
        <f t="shared" si="6"/>
        <v>151.69999999999999</v>
      </c>
      <c r="D43" s="2">
        <f t="shared" si="7"/>
        <v>62.388511999999999</v>
      </c>
      <c r="E43" s="2">
        <f t="shared" si="8"/>
        <v>10.031625000000002</v>
      </c>
      <c r="F43" s="2">
        <f t="shared" si="9"/>
        <v>11.410355999999998</v>
      </c>
      <c r="G43" s="2">
        <f t="shared" si="5"/>
        <v>0.13060999999999998</v>
      </c>
      <c r="H43" s="2">
        <f t="shared" si="5"/>
        <v>0.75479999999999992</v>
      </c>
      <c r="I43" s="2">
        <f t="shared" si="5"/>
        <v>1.8499999999999999E-2</v>
      </c>
      <c r="J43" s="2">
        <f t="shared" si="5"/>
        <v>4.44E-4</v>
      </c>
      <c r="K43" s="2">
        <f t="shared" si="5"/>
        <v>1.8500000000000001E-3</v>
      </c>
      <c r="L43" s="2">
        <f t="shared" si="5"/>
        <v>2.4938000000000002E-2</v>
      </c>
      <c r="M43" s="2">
        <f t="shared" si="5"/>
        <v>5.2540000000000003E-2</v>
      </c>
      <c r="N43" s="2">
        <f t="shared" si="5"/>
        <v>0</v>
      </c>
      <c r="O43" s="2">
        <f t="shared" si="5"/>
        <v>0</v>
      </c>
      <c r="P43" s="2">
        <f t="shared" si="5"/>
        <v>23.199000000000002</v>
      </c>
      <c r="Q43" s="2">
        <f t="shared" si="10"/>
        <v>43.844999999999999</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37</v>
      </c>
      <c r="C44" s="2">
        <f t="shared" si="6"/>
        <v>151.69999999999999</v>
      </c>
      <c r="D44" s="2">
        <f t="shared" si="7"/>
        <v>62.388511999999999</v>
      </c>
      <c r="E44" s="2">
        <f t="shared" si="8"/>
        <v>10.031625000000002</v>
      </c>
      <c r="F44" s="2">
        <f t="shared" si="9"/>
        <v>11.410355999999998</v>
      </c>
      <c r="G44" s="2">
        <f t="shared" si="5"/>
        <v>0.13060999999999998</v>
      </c>
      <c r="H44" s="2">
        <f t="shared" si="5"/>
        <v>0.75479999999999992</v>
      </c>
      <c r="I44" s="2">
        <f t="shared" si="5"/>
        <v>1.8499999999999999E-2</v>
      </c>
      <c r="J44" s="2">
        <f t="shared" si="5"/>
        <v>4.44E-4</v>
      </c>
      <c r="K44" s="2">
        <f t="shared" si="5"/>
        <v>1.8500000000000001E-3</v>
      </c>
      <c r="L44" s="2">
        <f t="shared" si="5"/>
        <v>2.4938000000000002E-2</v>
      </c>
      <c r="M44" s="2">
        <f t="shared" si="5"/>
        <v>5.2540000000000003E-2</v>
      </c>
      <c r="N44" s="2">
        <f t="shared" si="5"/>
        <v>0</v>
      </c>
      <c r="O44" s="2">
        <f t="shared" si="5"/>
        <v>0</v>
      </c>
      <c r="P44" s="2">
        <f t="shared" si="5"/>
        <v>23.199000000000002</v>
      </c>
      <c r="Q44" s="2">
        <f t="shared" si="10"/>
        <v>43.844999999999999</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37</v>
      </c>
      <c r="C45" s="2">
        <f t="shared" si="6"/>
        <v>151.69999999999999</v>
      </c>
      <c r="D45" s="2">
        <f t="shared" si="7"/>
        <v>62.388511999999999</v>
      </c>
      <c r="E45" s="2">
        <f t="shared" si="8"/>
        <v>10.031625000000002</v>
      </c>
      <c r="F45" s="2">
        <f t="shared" si="9"/>
        <v>11.410355999999998</v>
      </c>
      <c r="G45" s="2">
        <f t="shared" si="5"/>
        <v>0.13060999999999998</v>
      </c>
      <c r="H45" s="2">
        <f t="shared" si="5"/>
        <v>0.75479999999999992</v>
      </c>
      <c r="I45" s="2">
        <f t="shared" si="5"/>
        <v>1.8499999999999999E-2</v>
      </c>
      <c r="J45" s="2">
        <f t="shared" si="5"/>
        <v>4.44E-4</v>
      </c>
      <c r="K45" s="2">
        <f t="shared" si="5"/>
        <v>1.8500000000000001E-3</v>
      </c>
      <c r="L45" s="2">
        <f t="shared" si="5"/>
        <v>2.4938000000000002E-2</v>
      </c>
      <c r="M45" s="2">
        <f t="shared" si="5"/>
        <v>5.2540000000000003E-2</v>
      </c>
      <c r="N45" s="2">
        <f t="shared" si="5"/>
        <v>0</v>
      </c>
      <c r="O45" s="2">
        <f t="shared" si="5"/>
        <v>0</v>
      </c>
      <c r="P45" s="2">
        <f t="shared" si="5"/>
        <v>23.199000000000002</v>
      </c>
      <c r="Q45" s="2">
        <f t="shared" si="10"/>
        <v>43.844999999999999</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37</v>
      </c>
      <c r="C46" s="2">
        <f t="shared" si="6"/>
        <v>151.69999999999999</v>
      </c>
      <c r="D46" s="2">
        <f t="shared" si="7"/>
        <v>62.388511999999999</v>
      </c>
      <c r="E46" s="2">
        <f t="shared" si="8"/>
        <v>10.031625000000002</v>
      </c>
      <c r="F46" s="2">
        <f t="shared" si="9"/>
        <v>11.410355999999998</v>
      </c>
      <c r="G46" s="2">
        <f t="shared" si="5"/>
        <v>0.13060999999999998</v>
      </c>
      <c r="H46" s="2">
        <f t="shared" si="5"/>
        <v>0.75479999999999992</v>
      </c>
      <c r="I46" s="2">
        <f t="shared" si="5"/>
        <v>1.8499999999999999E-2</v>
      </c>
      <c r="J46" s="2">
        <f t="shared" si="5"/>
        <v>4.44E-4</v>
      </c>
      <c r="K46" s="2">
        <f t="shared" si="5"/>
        <v>1.8500000000000001E-3</v>
      </c>
      <c r="L46" s="2">
        <f t="shared" si="5"/>
        <v>2.4938000000000002E-2</v>
      </c>
      <c r="M46" s="2">
        <f t="shared" si="5"/>
        <v>5.2540000000000003E-2</v>
      </c>
      <c r="N46" s="2">
        <f t="shared" si="5"/>
        <v>0</v>
      </c>
      <c r="O46" s="2">
        <f t="shared" si="5"/>
        <v>0</v>
      </c>
      <c r="P46" s="2">
        <f t="shared" si="5"/>
        <v>23.199000000000002</v>
      </c>
      <c r="Q46" s="2">
        <f t="shared" si="10"/>
        <v>43.844999999999999</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37</v>
      </c>
      <c r="C47" s="2">
        <f t="shared" si="6"/>
        <v>151.69999999999999</v>
      </c>
      <c r="D47" s="2">
        <f t="shared" si="7"/>
        <v>62.388511999999999</v>
      </c>
      <c r="E47" s="2">
        <f t="shared" si="8"/>
        <v>10.031625000000002</v>
      </c>
      <c r="F47" s="2">
        <f t="shared" si="9"/>
        <v>11.410355999999998</v>
      </c>
      <c r="G47" s="2">
        <f t="shared" ref="G47:P50" si="12">IF(G$27="%w/w SAR",((G$28*10)*$B47),IF(G$27="%w/w DM",(((G$28*10)*($B$28/100))*$B47),IF(G$27="kg/t SAR",(G$28*$B47),IF(G$27="kg/t DM",((G$28*($B$28/100))*$B47),IF(G$27="mg/kg SAR",((G$28*0.001)*$B47),IF(G$27="mg/kg DM",(((G$28*0.001)*($B$28/100))*$B47),0))))))</f>
        <v>0.13060999999999998</v>
      </c>
      <c r="H47" s="2">
        <f t="shared" si="12"/>
        <v>0.75479999999999992</v>
      </c>
      <c r="I47" s="2">
        <f t="shared" si="12"/>
        <v>1.8499999999999999E-2</v>
      </c>
      <c r="J47" s="2">
        <f t="shared" si="12"/>
        <v>4.44E-4</v>
      </c>
      <c r="K47" s="2">
        <f t="shared" si="12"/>
        <v>1.8500000000000001E-3</v>
      </c>
      <c r="L47" s="2">
        <f t="shared" si="12"/>
        <v>2.4938000000000002E-2</v>
      </c>
      <c r="M47" s="2">
        <f t="shared" si="12"/>
        <v>5.2540000000000003E-2</v>
      </c>
      <c r="N47" s="2">
        <f t="shared" si="12"/>
        <v>0</v>
      </c>
      <c r="O47" s="2">
        <f t="shared" si="12"/>
        <v>0</v>
      </c>
      <c r="P47" s="2">
        <f t="shared" si="12"/>
        <v>23.199000000000002</v>
      </c>
      <c r="Q47" s="2">
        <f t="shared" si="10"/>
        <v>43.844999999999999</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37</v>
      </c>
      <c r="C48" s="2">
        <f t="shared" si="6"/>
        <v>151.69999999999999</v>
      </c>
      <c r="D48" s="2">
        <f t="shared" si="7"/>
        <v>62.388511999999999</v>
      </c>
      <c r="E48" s="2">
        <f t="shared" si="8"/>
        <v>10.031625000000002</v>
      </c>
      <c r="F48" s="2">
        <f t="shared" si="9"/>
        <v>11.410355999999998</v>
      </c>
      <c r="G48" s="2">
        <f t="shared" si="12"/>
        <v>0.13060999999999998</v>
      </c>
      <c r="H48" s="2">
        <f t="shared" si="12"/>
        <v>0.75479999999999992</v>
      </c>
      <c r="I48" s="2">
        <f t="shared" si="12"/>
        <v>1.8499999999999999E-2</v>
      </c>
      <c r="J48" s="2">
        <f t="shared" si="12"/>
        <v>4.44E-4</v>
      </c>
      <c r="K48" s="2">
        <f t="shared" si="12"/>
        <v>1.8500000000000001E-3</v>
      </c>
      <c r="L48" s="2">
        <f t="shared" si="12"/>
        <v>2.4938000000000002E-2</v>
      </c>
      <c r="M48" s="2">
        <f t="shared" si="12"/>
        <v>5.2540000000000003E-2</v>
      </c>
      <c r="N48" s="2">
        <f t="shared" si="12"/>
        <v>0</v>
      </c>
      <c r="O48" s="2">
        <f t="shared" si="12"/>
        <v>0</v>
      </c>
      <c r="P48" s="2">
        <f t="shared" si="12"/>
        <v>23.199000000000002</v>
      </c>
      <c r="Q48" s="2">
        <f t="shared" si="10"/>
        <v>43.844999999999999</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"&amp;(VLOOKUP(C14,Table24581113[],6,FALSE))</f>
        <v>Sandy Loam I Grass</v>
      </c>
      <c r="C58" s="44" t="str">
        <f>D16&amp;" I "&amp;(VLOOKUP(D14,Table24581113[],6,FALSE))</f>
        <v>Sandy Loam I Grass</v>
      </c>
      <c r="D58" s="21" t="str">
        <f>E16&amp;" I "&amp;(VLOOKUP(E14,Table24581113[],6,FALSE))</f>
        <v>Sandy Loam I Grass</v>
      </c>
      <c r="E58" s="21" t="str">
        <f>F16&amp;" I "&amp;(VLOOKUP(F14,Table24581113[],6,FALSE))</f>
        <v>Sandy Loam I Grass</v>
      </c>
      <c r="F58" s="21" t="str">
        <f>G16&amp;" I "&amp;(VLOOKUP(G14,Table24581113[],6,FALSE))</f>
        <v>Sandy Loam I Grass</v>
      </c>
      <c r="G58" s="21" t="str">
        <f>H16&amp;" I "&amp;(VLOOKUP(H14,Table24581113[],6,FALSE))</f>
        <v>Sandy Loam I Grass</v>
      </c>
      <c r="H58" s="21" t="str">
        <f>I16&amp;" I "&amp;(VLOOKUP(I14,Table24581113[],6,FALSE))</f>
        <v>Sandy Loam I Grass</v>
      </c>
      <c r="I58" s="21" t="str">
        <f>J16&amp;" I "&amp;(VLOOKUP(J14,Table24581113[],6,FALSE))</f>
        <v>Sandy Loam I Grass</v>
      </c>
      <c r="J58" s="21" t="str">
        <f>K16&amp;" I "&amp;(VLOOKUP(K14,Table24581113[],6,FALSE))</f>
        <v>Sandy Loam I Grass</v>
      </c>
      <c r="K58" s="21" t="str">
        <f>L16&amp;" I "&amp;(VLOOKUP(L14,Table24581113[],6,FALSE))</f>
        <v>Sandy Loam I Grass</v>
      </c>
      <c r="L58" s="21" t="str">
        <f>M16&amp;" I "&amp;(VLOOKUP(M14,Table24581113[],6,FALSE))</f>
        <v>Sandy Loam I Grass</v>
      </c>
      <c r="M58" s="21" t="str">
        <f>N16&amp;" I "&amp;(VLOOKUP(N14,Table24581113[],6,FALSE))</f>
        <v>Sandy Loam I Grass</v>
      </c>
      <c r="N58" s="21" t="str">
        <f>O16&amp;" I "&amp;(VLOOKUP(O14,Table24581113[],6,FALSE))</f>
        <v>Sandy Loam I Grass</v>
      </c>
      <c r="O58" s="21" t="str">
        <f>P16&amp;" I "&amp;(VLOOKUP(P14,Table24581113[],6,FALSE))</f>
        <v>Sandy Loam I Grass</v>
      </c>
      <c r="P58" s="21" t="str">
        <f>Q16&amp;" I "&amp;(VLOOKUP(Q14,Table24581113[],6,FALSE))</f>
        <v>Sandy Loam I Grass</v>
      </c>
      <c r="Q58" s="21" t="str">
        <f>R16&amp;" I "&amp;(VLOOKUP(R14,Table24581113[],6,FALSE))</f>
        <v>Sandy Loam I Grass</v>
      </c>
      <c r="R58" s="21" t="str">
        <f>S16&amp;" I "&amp;(VLOOKUP(S14,Table24581113[],6,FALSE))</f>
        <v>Sandy Loam I Grass</v>
      </c>
      <c r="S58" s="21" t="str">
        <f>T16&amp;" I "&amp;(VLOOKUP(T14,Table24581113[],6,FALSE))</f>
        <v>Sandy Loam I Grass</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f>VLOOKUP(N$14,Table24581113[],5,FALSE)</f>
        <v>6.2</v>
      </c>
      <c r="N59" s="93">
        <f>VLOOKUP(O$14,Table24581113[],5,FALSE)</f>
        <v>6.2</v>
      </c>
      <c r="O59" s="93">
        <f>VLOOKUP(P$14,Table24581113[],5,FALSE)</f>
        <v>6.2</v>
      </c>
      <c r="P59" s="93">
        <f>VLOOKUP(Q$14,Table24581113[],5,FALSE)</f>
        <v>6.2</v>
      </c>
      <c r="Q59" s="93">
        <f>VLOOKUP(R$14,Table24581113[],5,FALSE)</f>
        <v>6.2</v>
      </c>
      <c r="R59" s="93">
        <f>VLOOKUP(S$14,Table24581113[],5,FALSE)</f>
        <v>6.2</v>
      </c>
      <c r="S59" s="93">
        <f>VLOOKUP(T$14,Table24581113[],5,FALSE)</f>
        <v>6.2</v>
      </c>
      <c r="T59" s="93" t="e">
        <f>VLOOKUP(U$14,Table24581113[],5,FALSE)</f>
        <v>#N/A</v>
      </c>
      <c r="U59" s="93" t="e">
        <f>VLOOKUP(V$14,Table24581113[],5,FALSE)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37</v>
      </c>
      <c r="C62" s="94">
        <f>B32</f>
        <v>37</v>
      </c>
      <c r="D62" s="94">
        <f>B33</f>
        <v>37</v>
      </c>
      <c r="E62" s="94">
        <f>B34</f>
        <v>37</v>
      </c>
      <c r="F62" s="94">
        <f>B35</f>
        <v>37</v>
      </c>
      <c r="G62" s="94">
        <f>B36</f>
        <v>37</v>
      </c>
      <c r="H62" s="94">
        <f>B37</f>
        <v>37</v>
      </c>
      <c r="I62" s="94">
        <f>B38</f>
        <v>37</v>
      </c>
      <c r="J62" s="94">
        <f>B39</f>
        <v>37</v>
      </c>
      <c r="K62" s="94">
        <f>B40</f>
        <v>37</v>
      </c>
      <c r="L62" s="94">
        <f>B41</f>
        <v>37</v>
      </c>
      <c r="M62" s="94">
        <f>B42</f>
        <v>37</v>
      </c>
      <c r="N62" s="94">
        <f>B43</f>
        <v>37</v>
      </c>
      <c r="O62" s="94">
        <f>B44</f>
        <v>37</v>
      </c>
      <c r="P62" s="94">
        <f>B45</f>
        <v>37</v>
      </c>
      <c r="Q62" s="94">
        <f>B46</f>
        <v>37</v>
      </c>
      <c r="R62" s="94">
        <f>B47</f>
        <v>37</v>
      </c>
      <c r="S62" s="94">
        <f>B48</f>
        <v>37</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J4" sqref="J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4.17</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171</v>
      </c>
      <c r="G2" s="108" t="s">
        <v>107</v>
      </c>
      <c r="H2" s="109"/>
      <c r="I2" s="35">
        <v>375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0.40799999999999997</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35.224125000000001</v>
      </c>
      <c r="D18" s="24">
        <f>$D32</f>
        <v>35.224125000000001</v>
      </c>
      <c r="E18" s="24">
        <f>$D33</f>
        <v>35.224125000000001</v>
      </c>
      <c r="F18" s="24">
        <f>$D34</f>
        <v>35.224125000000001</v>
      </c>
      <c r="G18" s="24">
        <f>$D35</f>
        <v>35.224125000000001</v>
      </c>
      <c r="H18" s="24">
        <f>$D36</f>
        <v>35.224125000000001</v>
      </c>
      <c r="I18" s="24">
        <f>$D37</f>
        <v>35.224125000000001</v>
      </c>
      <c r="J18" s="24">
        <f>$D38</f>
        <v>35.224125000000001</v>
      </c>
      <c r="K18" s="24">
        <f>$D39</f>
        <v>0</v>
      </c>
      <c r="L18" s="24">
        <f>$D40</f>
        <v>35.224125000000001</v>
      </c>
      <c r="M18" s="24">
        <f>$D41</f>
        <v>0</v>
      </c>
      <c r="N18" s="24">
        <f>$D42</f>
        <v>35.224125000000001</v>
      </c>
      <c r="O18" s="24">
        <f>$D43</f>
        <v>0</v>
      </c>
      <c r="P18" s="24">
        <f>$D44</f>
        <v>35.224125000000001</v>
      </c>
      <c r="Q18" s="24">
        <f>$D45</f>
        <v>35.224125000000001</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-29.375874999999994</v>
      </c>
      <c r="D19" s="24">
        <f t="shared" ref="D19:V19" si="1">D18-D17</f>
        <v>-29.375874999999994</v>
      </c>
      <c r="E19" s="24">
        <f t="shared" si="1"/>
        <v>-29.375874999999994</v>
      </c>
      <c r="F19" s="24">
        <f t="shared" si="1"/>
        <v>-29.375874999999994</v>
      </c>
      <c r="G19" s="24">
        <f t="shared" si="1"/>
        <v>-29.375874999999994</v>
      </c>
      <c r="H19" s="24">
        <f t="shared" si="1"/>
        <v>-29.375874999999994</v>
      </c>
      <c r="I19" s="24">
        <f t="shared" si="1"/>
        <v>-29.375874999999994</v>
      </c>
      <c r="J19" s="24">
        <f t="shared" si="1"/>
        <v>-29.375874999999994</v>
      </c>
      <c r="K19" s="24">
        <f t="shared" si="1"/>
        <v>-64.599999999999994</v>
      </c>
      <c r="L19" s="24">
        <f t="shared" si="1"/>
        <v>-29.375874999999994</v>
      </c>
      <c r="M19" s="24">
        <f t="shared" si="1"/>
        <v>-64.599999999999994</v>
      </c>
      <c r="N19" s="24">
        <f t="shared" si="1"/>
        <v>-29.375874999999994</v>
      </c>
      <c r="O19" s="24">
        <f t="shared" si="1"/>
        <v>-64.599999999999994</v>
      </c>
      <c r="P19" s="24">
        <f t="shared" si="1"/>
        <v>-29.375874999999994</v>
      </c>
      <c r="Q19" s="24">
        <f t="shared" si="1"/>
        <v>-29.375874999999994</v>
      </c>
      <c r="R19" s="24">
        <f t="shared" si="1"/>
        <v>-64.599999999999994</v>
      </c>
      <c r="S19" s="24">
        <f t="shared" si="1"/>
        <v>-64.599999999999994</v>
      </c>
      <c r="T19" s="24">
        <f t="shared" si="1"/>
        <v>-64.599999999999994</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
      </c>
      <c r="L20" s="33" t="str">
        <f>IF($B40="","",IF(L$19&gt;=0,"INCREASE","DECREASE"))</f>
        <v>DECREASE</v>
      </c>
      <c r="M20" s="33" t="str">
        <f>IF($B41="","",IF(M$19&gt;=0,"INCREASE","DECREASE"))</f>
        <v/>
      </c>
      <c r="N20" s="33" t="str">
        <f>IF($B42="","",IF(N$19&gt;=0,"INCREASE","DECREASE"))</f>
        <v>DECREASE</v>
      </c>
      <c r="O20" s="33" t="str">
        <f>IF($B43="","",IF(O$19&gt;=0,"INCREASE","DECREASE"))</f>
        <v/>
      </c>
      <c r="P20" s="33" t="str">
        <f>IF($B44="","",IF(P$19&gt;=0,"INCREASE","DECREASE"))</f>
        <v>DECREASE</v>
      </c>
      <c r="Q20" s="33" t="str">
        <f>IF($B45="","",IF(Q$19&gt;=0,"INCREASE","DECREASE"))</f>
        <v>DECREASE</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22.533500000000004</v>
      </c>
      <c r="D22" s="24">
        <f>$E32</f>
        <v>22.533500000000004</v>
      </c>
      <c r="E22" s="24">
        <f>$E33</f>
        <v>22.533500000000004</v>
      </c>
      <c r="F22" s="24">
        <f>$E34</f>
        <v>22.533500000000004</v>
      </c>
      <c r="G22" s="24">
        <f>$E35</f>
        <v>22.533500000000004</v>
      </c>
      <c r="H22" s="24">
        <f>$E36</f>
        <v>22.533500000000004</v>
      </c>
      <c r="I22" s="24">
        <f>$E37</f>
        <v>22.533500000000004</v>
      </c>
      <c r="J22" s="24">
        <f>$E38</f>
        <v>22.533500000000004</v>
      </c>
      <c r="K22" s="24">
        <f>$E39</f>
        <v>0</v>
      </c>
      <c r="L22" s="24">
        <f>$E40</f>
        <v>22.533500000000004</v>
      </c>
      <c r="M22" s="24">
        <f>$E41</f>
        <v>0</v>
      </c>
      <c r="N22" s="24">
        <f>$E42</f>
        <v>22.533500000000004</v>
      </c>
      <c r="O22" s="24">
        <f>$E43</f>
        <v>0</v>
      </c>
      <c r="P22" s="24">
        <f>$E44</f>
        <v>22.533500000000004</v>
      </c>
      <c r="Q22" s="24">
        <f>$E45</f>
        <v>22.533500000000004</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-205.4665</v>
      </c>
      <c r="D23" s="24">
        <f t="shared" ref="D23:V23" si="3">D22-D21</f>
        <v>-205.4665</v>
      </c>
      <c r="E23" s="24">
        <f t="shared" si="3"/>
        <v>-205.4665</v>
      </c>
      <c r="F23" s="24">
        <f t="shared" si="3"/>
        <v>-205.4665</v>
      </c>
      <c r="G23" s="24">
        <f t="shared" si="3"/>
        <v>-205.4665</v>
      </c>
      <c r="H23" s="24">
        <f t="shared" si="3"/>
        <v>-205.4665</v>
      </c>
      <c r="I23" s="24">
        <f t="shared" si="3"/>
        <v>-205.4665</v>
      </c>
      <c r="J23" s="24">
        <f t="shared" si="3"/>
        <v>-205.4665</v>
      </c>
      <c r="K23" s="24">
        <f t="shared" si="3"/>
        <v>-228</v>
      </c>
      <c r="L23" s="24">
        <f t="shared" si="3"/>
        <v>-205.4665</v>
      </c>
      <c r="M23" s="24">
        <f t="shared" si="3"/>
        <v>-228</v>
      </c>
      <c r="N23" s="24">
        <f t="shared" si="3"/>
        <v>-205.4665</v>
      </c>
      <c r="O23" s="24">
        <f t="shared" si="3"/>
        <v>-228</v>
      </c>
      <c r="P23" s="24">
        <f t="shared" si="3"/>
        <v>-205.4665</v>
      </c>
      <c r="Q23" s="24">
        <f t="shared" si="3"/>
        <v>-205.4665</v>
      </c>
      <c r="R23" s="24">
        <f t="shared" si="3"/>
        <v>-228</v>
      </c>
      <c r="S23" s="24">
        <f t="shared" si="3"/>
        <v>-228</v>
      </c>
      <c r="T23" s="24">
        <f t="shared" si="3"/>
        <v>-228</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1.55</v>
      </c>
      <c r="C28" s="23">
        <v>0.03</v>
      </c>
      <c r="D28" s="23">
        <v>61.5</v>
      </c>
      <c r="E28" s="23">
        <v>74.8</v>
      </c>
      <c r="F28" s="23">
        <v>24</v>
      </c>
      <c r="G28" s="23">
        <v>0.21199999999999999</v>
      </c>
      <c r="H28" s="23">
        <v>1.77</v>
      </c>
      <c r="I28" s="23">
        <v>0.5</v>
      </c>
      <c r="J28" s="23">
        <v>0.01</v>
      </c>
      <c r="K28" s="30">
        <v>0.05</v>
      </c>
      <c r="L28" s="23">
        <v>0.27600000000000002</v>
      </c>
      <c r="M28" s="23">
        <v>0.45500000000000002</v>
      </c>
      <c r="N28" s="23"/>
      <c r="O28" s="23"/>
      <c r="P28" s="23">
        <v>284</v>
      </c>
      <c r="Q28" s="23">
        <v>125</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35.224125000000001</v>
      </c>
      <c r="E31" s="2">
        <f>(IF(E$27="%w/w SAR",((E$28*10)*$B31),IF(E$27="%w/w DM",(((E$28*10)*($B$28/100))*$B31),IF(E$27="kg/t SAR",(E$28*$B31),IF(E$27="kg/t DM",((E$28*($B$28/100))*$B31),IF(E$27="mg/kg SAR",((E$28*0.001)*$B31),IF(E$27="mg/kg DM",(((E$28*0.001)*($B$28/100))*$B31),"0")))))))*1.205</f>
        <v>22.533500000000004</v>
      </c>
      <c r="F31" s="2">
        <f>(IF(F$27="%w/w SAR",((F$28*10)*$B31),IF(F$27="%w/w DM",(((F$28*10)*($B$28/100))*$B31),IF(F$27="kg/t SAR",(F$28*$B31),IF(F$27="kg/t DM",((F$28*($B$28/100))*$B31),IF(F$27="mg/kg SAR",((F$28*0.001)*$B31),IF(F$27="mg/kg DM",(((F$28*0.001)*($B$28/100))*$B31),"0")))))))*1.658</f>
        <v>9.9480000000000004</v>
      </c>
      <c r="G31" s="2">
        <f t="shared" ref="G31:P46" si="5">IF(G$27="%w/w SAR",((G$28*10)*$B31),IF(G$27="%w/w DM",(((G$28*10)*($B$28/100))*$B31),IF(G$27="kg/t SAR",(G$28*$B31),IF(G$27="kg/t DM",((G$28*($B$28/100))*$B31),IF(G$27="mg/kg SAR",((G$28*0.001)*$B31),IF(G$27="mg/kg DM",(((G$28*0.001)*($B$28/100))*$B31),0))))))</f>
        <v>5.2999999999999999E-2</v>
      </c>
      <c r="H31" s="2">
        <f t="shared" si="5"/>
        <v>0.4425</v>
      </c>
      <c r="I31" s="2">
        <f t="shared" si="5"/>
        <v>0.125</v>
      </c>
      <c r="J31" s="2">
        <f t="shared" si="5"/>
        <v>2.5000000000000001E-3</v>
      </c>
      <c r="K31" s="2">
        <f t="shared" si="5"/>
        <v>1.2500000000000001E-2</v>
      </c>
      <c r="L31" s="2">
        <f t="shared" si="5"/>
        <v>6.9000000000000006E-2</v>
      </c>
      <c r="M31" s="2">
        <f t="shared" si="5"/>
        <v>0.11375</v>
      </c>
      <c r="N31" s="2">
        <f t="shared" si="5"/>
        <v>0</v>
      </c>
      <c r="O31" s="2">
        <f t="shared" si="5"/>
        <v>0</v>
      </c>
      <c r="P31" s="2">
        <f t="shared" si="5"/>
        <v>71.000000000000014</v>
      </c>
      <c r="Q31" s="2">
        <f>(IF(Q$27="%w/w SAR",((Q$28*10)*$B31),IF(Q$27="%w/w DM",(((Q$28*10)*($B$28/100))*$B31),IF(Q$27="kg/t SAR",(Q$28*$B31),IF(Q$27="kg/t DM",((Q$28*($B$28/100))*$B31),IF(Q$27="mg/kg SAR",((Q$28*0.001)*$B31),IF(Q$27="mg/kg DM",(((Q$28*0.001)*($B$28/100))*$B31),0)))))))*2.5</f>
        <v>78.125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35.224125000000001</v>
      </c>
      <c r="E32" s="2">
        <f t="shared" ref="E32:E50" si="8">(IF(E$27="%w/w SAR",((E$28*10)*$B32),IF(E$27="%w/w DM",(((E$28*10)*($B$28/100))*$B32),IF(E$27="kg/t SAR",(E$28*$B32),IF(E$27="kg/t DM",((E$28*($B$28/100))*$B32),IF(E$27="mg/kg SAR",((E$28*0.001)*$B32),IF(E$27="mg/kg DM",(((E$28*0.001)*($B$28/100))*$B32),"0")))))))*1.205</f>
        <v>22.533500000000004</v>
      </c>
      <c r="F32" s="2">
        <f t="shared" ref="F32:F50" si="9">(IF(F$27="%w/w SAR",((F$28*10)*$B32),IF(F$27="%w/w DM",(((F$28*10)*($B$28/100))*$B32),IF(F$27="kg/t SAR",(F$28*$B32),IF(F$27="kg/t DM",((F$28*($B$28/100))*$B32),IF(F$27="mg/kg SAR",((F$28*0.001)*$B32),IF(F$27="mg/kg DM",(((F$28*0.001)*($B$28/100))*$B32),"0")))))))*1.658</f>
        <v>9.9480000000000004</v>
      </c>
      <c r="G32" s="2">
        <f t="shared" si="5"/>
        <v>5.2999999999999999E-2</v>
      </c>
      <c r="H32" s="2">
        <f t="shared" si="5"/>
        <v>0.4425</v>
      </c>
      <c r="I32" s="2">
        <f t="shared" si="5"/>
        <v>0.125</v>
      </c>
      <c r="J32" s="2">
        <f t="shared" si="5"/>
        <v>2.5000000000000001E-3</v>
      </c>
      <c r="K32" s="2">
        <f t="shared" si="5"/>
        <v>1.2500000000000001E-2</v>
      </c>
      <c r="L32" s="2">
        <f t="shared" si="5"/>
        <v>6.9000000000000006E-2</v>
      </c>
      <c r="M32" s="2">
        <f t="shared" si="5"/>
        <v>0.11375</v>
      </c>
      <c r="N32" s="2">
        <f t="shared" si="5"/>
        <v>0</v>
      </c>
      <c r="O32" s="2">
        <f t="shared" si="5"/>
        <v>0</v>
      </c>
      <c r="P32" s="2">
        <f t="shared" si="5"/>
        <v>71.000000000000014</v>
      </c>
      <c r="Q32" s="2">
        <f t="shared" ref="Q32:Q50" si="10">(IF(Q$27="%w/w SAR",((Q$28*10)*$B32),IF(Q$27="%w/w DM",(((Q$28*10)*($B$28/100))*$B32),IF(Q$27="kg/t SAR",(Q$28*$B32),IF(Q$27="kg/t DM",((Q$28*($B$28/100))*$B32),IF(Q$27="mg/kg SAR",((Q$28*0.001)*$B32),IF(Q$27="mg/kg DM",(((Q$28*0.001)*($B$28/100))*$B32),0)))))))*2.5</f>
        <v>78.125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250</v>
      </c>
      <c r="C33" s="2">
        <f t="shared" si="6"/>
        <v>75</v>
      </c>
      <c r="D33" s="2">
        <f t="shared" si="7"/>
        <v>35.224125000000001</v>
      </c>
      <c r="E33" s="2">
        <f t="shared" si="8"/>
        <v>22.533500000000004</v>
      </c>
      <c r="F33" s="2">
        <f t="shared" si="9"/>
        <v>9.9480000000000004</v>
      </c>
      <c r="G33" s="2">
        <f t="shared" si="5"/>
        <v>5.2999999999999999E-2</v>
      </c>
      <c r="H33" s="2">
        <f t="shared" si="5"/>
        <v>0.4425</v>
      </c>
      <c r="I33" s="2">
        <f t="shared" si="5"/>
        <v>0.125</v>
      </c>
      <c r="J33" s="2">
        <f t="shared" si="5"/>
        <v>2.5000000000000001E-3</v>
      </c>
      <c r="K33" s="2">
        <f t="shared" si="5"/>
        <v>1.2500000000000001E-2</v>
      </c>
      <c r="L33" s="2">
        <f t="shared" si="5"/>
        <v>6.9000000000000006E-2</v>
      </c>
      <c r="M33" s="2">
        <f t="shared" si="5"/>
        <v>0.11375</v>
      </c>
      <c r="N33" s="2">
        <f t="shared" si="5"/>
        <v>0</v>
      </c>
      <c r="O33" s="2">
        <f t="shared" si="5"/>
        <v>0</v>
      </c>
      <c r="P33" s="2">
        <f t="shared" si="5"/>
        <v>71.000000000000014</v>
      </c>
      <c r="Q33" s="2">
        <f t="shared" si="10"/>
        <v>78.125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250</v>
      </c>
      <c r="C34" s="2">
        <f t="shared" si="6"/>
        <v>75</v>
      </c>
      <c r="D34" s="2">
        <f t="shared" si="7"/>
        <v>35.224125000000001</v>
      </c>
      <c r="E34" s="2">
        <f t="shared" si="8"/>
        <v>22.533500000000004</v>
      </c>
      <c r="F34" s="2">
        <f t="shared" si="9"/>
        <v>9.9480000000000004</v>
      </c>
      <c r="G34" s="2">
        <f t="shared" si="5"/>
        <v>5.2999999999999999E-2</v>
      </c>
      <c r="H34" s="2">
        <f t="shared" si="5"/>
        <v>0.4425</v>
      </c>
      <c r="I34" s="2">
        <f t="shared" si="5"/>
        <v>0.125</v>
      </c>
      <c r="J34" s="2">
        <f t="shared" si="5"/>
        <v>2.5000000000000001E-3</v>
      </c>
      <c r="K34" s="2">
        <f t="shared" si="5"/>
        <v>1.2500000000000001E-2</v>
      </c>
      <c r="L34" s="2">
        <f t="shared" si="5"/>
        <v>6.9000000000000006E-2</v>
      </c>
      <c r="M34" s="2">
        <f t="shared" si="5"/>
        <v>0.11375</v>
      </c>
      <c r="N34" s="2">
        <f t="shared" si="5"/>
        <v>0</v>
      </c>
      <c r="O34" s="2">
        <f t="shared" si="5"/>
        <v>0</v>
      </c>
      <c r="P34" s="2">
        <f t="shared" si="5"/>
        <v>71.000000000000014</v>
      </c>
      <c r="Q34" s="2">
        <f t="shared" si="10"/>
        <v>78.125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250</v>
      </c>
      <c r="C35" s="2">
        <f t="shared" si="6"/>
        <v>75</v>
      </c>
      <c r="D35" s="2">
        <f t="shared" si="7"/>
        <v>35.224125000000001</v>
      </c>
      <c r="E35" s="2">
        <f t="shared" si="8"/>
        <v>22.533500000000004</v>
      </c>
      <c r="F35" s="2">
        <f t="shared" si="9"/>
        <v>9.9480000000000004</v>
      </c>
      <c r="G35" s="2">
        <f t="shared" si="5"/>
        <v>5.2999999999999999E-2</v>
      </c>
      <c r="H35" s="2">
        <f t="shared" si="5"/>
        <v>0.4425</v>
      </c>
      <c r="I35" s="2">
        <f t="shared" si="5"/>
        <v>0.125</v>
      </c>
      <c r="J35" s="2">
        <f t="shared" si="5"/>
        <v>2.5000000000000001E-3</v>
      </c>
      <c r="K35" s="2">
        <f t="shared" si="5"/>
        <v>1.2500000000000001E-2</v>
      </c>
      <c r="L35" s="2">
        <f t="shared" si="5"/>
        <v>6.9000000000000006E-2</v>
      </c>
      <c r="M35" s="2">
        <f t="shared" si="5"/>
        <v>0.11375</v>
      </c>
      <c r="N35" s="2">
        <f t="shared" si="5"/>
        <v>0</v>
      </c>
      <c r="O35" s="2">
        <f t="shared" si="5"/>
        <v>0</v>
      </c>
      <c r="P35" s="2">
        <f t="shared" si="5"/>
        <v>71.000000000000014</v>
      </c>
      <c r="Q35" s="2">
        <f t="shared" si="10"/>
        <v>78.125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250</v>
      </c>
      <c r="C36" s="2">
        <f t="shared" si="6"/>
        <v>75</v>
      </c>
      <c r="D36" s="2">
        <f t="shared" si="7"/>
        <v>35.224125000000001</v>
      </c>
      <c r="E36" s="2">
        <f t="shared" si="8"/>
        <v>22.533500000000004</v>
      </c>
      <c r="F36" s="2">
        <f t="shared" si="9"/>
        <v>9.9480000000000004</v>
      </c>
      <c r="G36" s="2">
        <f t="shared" si="5"/>
        <v>5.2999999999999999E-2</v>
      </c>
      <c r="H36" s="2">
        <f t="shared" si="5"/>
        <v>0.4425</v>
      </c>
      <c r="I36" s="2">
        <f t="shared" si="5"/>
        <v>0.125</v>
      </c>
      <c r="J36" s="2">
        <f t="shared" si="5"/>
        <v>2.5000000000000001E-3</v>
      </c>
      <c r="K36" s="2">
        <f t="shared" si="5"/>
        <v>1.2500000000000001E-2</v>
      </c>
      <c r="L36" s="2">
        <f t="shared" si="5"/>
        <v>6.9000000000000006E-2</v>
      </c>
      <c r="M36" s="2">
        <f t="shared" si="5"/>
        <v>0.11375</v>
      </c>
      <c r="N36" s="2">
        <f t="shared" si="5"/>
        <v>0</v>
      </c>
      <c r="O36" s="2">
        <f t="shared" si="5"/>
        <v>0</v>
      </c>
      <c r="P36" s="2">
        <f t="shared" si="5"/>
        <v>71.000000000000014</v>
      </c>
      <c r="Q36" s="2">
        <f t="shared" si="10"/>
        <v>78.125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250</v>
      </c>
      <c r="C37" s="2">
        <f t="shared" si="6"/>
        <v>75</v>
      </c>
      <c r="D37" s="2">
        <f t="shared" si="7"/>
        <v>35.224125000000001</v>
      </c>
      <c r="E37" s="2">
        <f t="shared" si="8"/>
        <v>22.533500000000004</v>
      </c>
      <c r="F37" s="2">
        <f t="shared" si="9"/>
        <v>9.9480000000000004</v>
      </c>
      <c r="G37" s="2">
        <f t="shared" si="5"/>
        <v>5.2999999999999999E-2</v>
      </c>
      <c r="H37" s="2">
        <f t="shared" si="5"/>
        <v>0.4425</v>
      </c>
      <c r="I37" s="2">
        <f t="shared" si="5"/>
        <v>0.125</v>
      </c>
      <c r="J37" s="2">
        <f t="shared" si="5"/>
        <v>2.5000000000000001E-3</v>
      </c>
      <c r="K37" s="2">
        <f t="shared" si="5"/>
        <v>1.2500000000000001E-2</v>
      </c>
      <c r="L37" s="2">
        <f t="shared" si="5"/>
        <v>6.9000000000000006E-2</v>
      </c>
      <c r="M37" s="2">
        <f t="shared" si="5"/>
        <v>0.11375</v>
      </c>
      <c r="N37" s="2">
        <f t="shared" si="5"/>
        <v>0</v>
      </c>
      <c r="O37" s="2">
        <f t="shared" si="5"/>
        <v>0</v>
      </c>
      <c r="P37" s="2">
        <f t="shared" si="5"/>
        <v>71.000000000000014</v>
      </c>
      <c r="Q37" s="2">
        <f t="shared" si="10"/>
        <v>78.125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250</v>
      </c>
      <c r="C38" s="2">
        <f t="shared" si="6"/>
        <v>75</v>
      </c>
      <c r="D38" s="2">
        <f t="shared" si="7"/>
        <v>35.224125000000001</v>
      </c>
      <c r="E38" s="2">
        <f t="shared" si="8"/>
        <v>22.533500000000004</v>
      </c>
      <c r="F38" s="2">
        <f t="shared" si="9"/>
        <v>9.9480000000000004</v>
      </c>
      <c r="G38" s="2">
        <f t="shared" si="5"/>
        <v>5.2999999999999999E-2</v>
      </c>
      <c r="H38" s="2">
        <f t="shared" si="5"/>
        <v>0.4425</v>
      </c>
      <c r="I38" s="2">
        <f t="shared" si="5"/>
        <v>0.125</v>
      </c>
      <c r="J38" s="2">
        <f t="shared" si="5"/>
        <v>2.5000000000000001E-3</v>
      </c>
      <c r="K38" s="2">
        <f t="shared" si="5"/>
        <v>1.2500000000000001E-2</v>
      </c>
      <c r="L38" s="2">
        <f t="shared" si="5"/>
        <v>6.9000000000000006E-2</v>
      </c>
      <c r="M38" s="2">
        <f t="shared" si="5"/>
        <v>0.11375</v>
      </c>
      <c r="N38" s="2">
        <f t="shared" si="5"/>
        <v>0</v>
      </c>
      <c r="O38" s="2">
        <f t="shared" si="5"/>
        <v>0</v>
      </c>
      <c r="P38" s="2">
        <f t="shared" si="5"/>
        <v>71.000000000000014</v>
      </c>
      <c r="Q38" s="2">
        <f t="shared" si="10"/>
        <v>78.125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250</v>
      </c>
      <c r="C40" s="2">
        <f t="shared" si="6"/>
        <v>75</v>
      </c>
      <c r="D40" s="2">
        <f t="shared" si="7"/>
        <v>35.224125000000001</v>
      </c>
      <c r="E40" s="2">
        <f t="shared" si="8"/>
        <v>22.533500000000004</v>
      </c>
      <c r="F40" s="2">
        <f t="shared" si="9"/>
        <v>9.9480000000000004</v>
      </c>
      <c r="G40" s="2">
        <f t="shared" si="5"/>
        <v>5.2999999999999999E-2</v>
      </c>
      <c r="H40" s="2">
        <f t="shared" si="5"/>
        <v>0.4425</v>
      </c>
      <c r="I40" s="2">
        <f t="shared" si="5"/>
        <v>0.125</v>
      </c>
      <c r="J40" s="2">
        <f t="shared" si="5"/>
        <v>2.5000000000000001E-3</v>
      </c>
      <c r="K40" s="2">
        <f t="shared" si="5"/>
        <v>1.2500000000000001E-2</v>
      </c>
      <c r="L40" s="2">
        <f t="shared" si="5"/>
        <v>6.9000000000000006E-2</v>
      </c>
      <c r="M40" s="2">
        <f t="shared" si="5"/>
        <v>0.11375</v>
      </c>
      <c r="N40" s="2">
        <f t="shared" si="5"/>
        <v>0</v>
      </c>
      <c r="O40" s="2">
        <f t="shared" si="5"/>
        <v>0</v>
      </c>
      <c r="P40" s="2">
        <f t="shared" si="5"/>
        <v>71.000000000000014</v>
      </c>
      <c r="Q40" s="2">
        <f t="shared" si="10"/>
        <v>78.125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250</v>
      </c>
      <c r="C42" s="2">
        <f t="shared" si="6"/>
        <v>75</v>
      </c>
      <c r="D42" s="2">
        <f t="shared" si="7"/>
        <v>35.224125000000001</v>
      </c>
      <c r="E42" s="2">
        <f t="shared" si="8"/>
        <v>22.533500000000004</v>
      </c>
      <c r="F42" s="2">
        <f t="shared" si="9"/>
        <v>9.9480000000000004</v>
      </c>
      <c r="G42" s="2">
        <f t="shared" si="5"/>
        <v>5.2999999999999999E-2</v>
      </c>
      <c r="H42" s="2">
        <f t="shared" si="5"/>
        <v>0.4425</v>
      </c>
      <c r="I42" s="2">
        <f t="shared" si="5"/>
        <v>0.125</v>
      </c>
      <c r="J42" s="2">
        <f t="shared" si="5"/>
        <v>2.5000000000000001E-3</v>
      </c>
      <c r="K42" s="2">
        <f t="shared" si="5"/>
        <v>1.2500000000000001E-2</v>
      </c>
      <c r="L42" s="2">
        <f t="shared" si="5"/>
        <v>6.9000000000000006E-2</v>
      </c>
      <c r="M42" s="2">
        <f t="shared" si="5"/>
        <v>0.11375</v>
      </c>
      <c r="N42" s="2">
        <f t="shared" si="5"/>
        <v>0</v>
      </c>
      <c r="O42" s="2">
        <f t="shared" si="5"/>
        <v>0</v>
      </c>
      <c r="P42" s="2">
        <f t="shared" si="5"/>
        <v>71.000000000000014</v>
      </c>
      <c r="Q42" s="2">
        <f t="shared" si="10"/>
        <v>78.125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250</v>
      </c>
      <c r="C44" s="2">
        <f t="shared" si="6"/>
        <v>75</v>
      </c>
      <c r="D44" s="2">
        <f t="shared" si="7"/>
        <v>35.224125000000001</v>
      </c>
      <c r="E44" s="2">
        <f t="shared" si="8"/>
        <v>22.533500000000004</v>
      </c>
      <c r="F44" s="2">
        <f t="shared" si="9"/>
        <v>9.9480000000000004</v>
      </c>
      <c r="G44" s="2">
        <f t="shared" si="5"/>
        <v>5.2999999999999999E-2</v>
      </c>
      <c r="H44" s="2">
        <f t="shared" si="5"/>
        <v>0.4425</v>
      </c>
      <c r="I44" s="2">
        <f t="shared" si="5"/>
        <v>0.125</v>
      </c>
      <c r="J44" s="2">
        <f t="shared" si="5"/>
        <v>2.5000000000000001E-3</v>
      </c>
      <c r="K44" s="2">
        <f t="shared" si="5"/>
        <v>1.2500000000000001E-2</v>
      </c>
      <c r="L44" s="2">
        <f t="shared" si="5"/>
        <v>6.9000000000000006E-2</v>
      </c>
      <c r="M44" s="2">
        <f t="shared" si="5"/>
        <v>0.11375</v>
      </c>
      <c r="N44" s="2">
        <f t="shared" si="5"/>
        <v>0</v>
      </c>
      <c r="O44" s="2">
        <f t="shared" si="5"/>
        <v>0</v>
      </c>
      <c r="P44" s="2">
        <f t="shared" si="5"/>
        <v>71.000000000000014</v>
      </c>
      <c r="Q44" s="2">
        <f t="shared" si="10"/>
        <v>78.125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250</v>
      </c>
      <c r="C45" s="2">
        <f t="shared" si="6"/>
        <v>75</v>
      </c>
      <c r="D45" s="2">
        <f t="shared" si="7"/>
        <v>35.224125000000001</v>
      </c>
      <c r="E45" s="2">
        <f t="shared" si="8"/>
        <v>22.533500000000004</v>
      </c>
      <c r="F45" s="2">
        <f t="shared" si="9"/>
        <v>9.9480000000000004</v>
      </c>
      <c r="G45" s="2">
        <f t="shared" si="5"/>
        <v>5.2999999999999999E-2</v>
      </c>
      <c r="H45" s="2">
        <f t="shared" si="5"/>
        <v>0.4425</v>
      </c>
      <c r="I45" s="2">
        <f t="shared" si="5"/>
        <v>0.125</v>
      </c>
      <c r="J45" s="2">
        <f t="shared" si="5"/>
        <v>2.5000000000000001E-3</v>
      </c>
      <c r="K45" s="2">
        <f t="shared" si="5"/>
        <v>1.2500000000000001E-2</v>
      </c>
      <c r="L45" s="2">
        <f t="shared" si="5"/>
        <v>6.9000000000000006E-2</v>
      </c>
      <c r="M45" s="2">
        <f t="shared" si="5"/>
        <v>0.11375</v>
      </c>
      <c r="N45" s="2">
        <f t="shared" si="5"/>
        <v>0</v>
      </c>
      <c r="O45" s="2">
        <f t="shared" si="5"/>
        <v>0</v>
      </c>
      <c r="P45" s="2">
        <f t="shared" si="5"/>
        <v>71.000000000000014</v>
      </c>
      <c r="Q45" s="2">
        <f t="shared" si="10"/>
        <v>78.125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"&amp;(VLOOKUP(C14,Table24567[],6,FALSE))</f>
        <v>Sandy Loam I Grass</v>
      </c>
      <c r="C58" s="44" t="str">
        <f>D16&amp;" I "&amp;(VLOOKUP(D14,Table24567[],6,FALSE))</f>
        <v>Sandy Loam I Grass</v>
      </c>
      <c r="D58" s="21" t="str">
        <f>E16&amp;" I "&amp;(VLOOKUP(E14,Table24567[],6,FALSE))</f>
        <v>Sandy Loam I Grass</v>
      </c>
      <c r="E58" s="21" t="str">
        <f>F16&amp;" I "&amp;(VLOOKUP(F14,Table24567[],6,FALSE))</f>
        <v>Sandy Loam I Grass</v>
      </c>
      <c r="F58" s="21" t="str">
        <f>G16&amp;" I "&amp;(VLOOKUP(G14,Table24567[],6,FALSE))</f>
        <v>Sandy Loam I Grass</v>
      </c>
      <c r="G58" s="21" t="str">
        <f>H16&amp;" I "&amp;(VLOOKUP(H14,Table24567[],6,FALSE))</f>
        <v>Sandy Loam I Grass</v>
      </c>
      <c r="H58" s="21" t="str">
        <f>I16&amp;" I "&amp;(VLOOKUP(I14,Table24567[],6,FALSE))</f>
        <v>Sandy Loam I Grass</v>
      </c>
      <c r="I58" s="21" t="str">
        <f>J16&amp;" I "&amp;(VLOOKUP(J14,Table24567[],6,FALSE))</f>
        <v>Sandy Loam I Grass</v>
      </c>
      <c r="J58" s="21" t="str">
        <f>K16&amp;" I "&amp;(VLOOKUP(K14,Table24567[],6,FALSE))</f>
        <v>Sandy Loam I Grass</v>
      </c>
      <c r="K58" s="21" t="str">
        <f>L16&amp;" I "&amp;(VLOOKUP(L14,Table24567[],6,FALSE))</f>
        <v>Sandy Loam I Grass</v>
      </c>
      <c r="L58" s="21" t="str">
        <f>M16&amp;" I "&amp;(VLOOKUP(M14,Table24567[],6,FALSE))</f>
        <v>Sandy Loam I Grass</v>
      </c>
      <c r="M58" s="21" t="str">
        <f>N16&amp;" I "&amp;(VLOOKUP(N14,Table24567[],6,FALSE))</f>
        <v>Sandy Loam I Grass</v>
      </c>
      <c r="N58" s="21" t="str">
        <f>O16&amp;" I "&amp;(VLOOKUP(O14,Table24567[],6,FALSE))</f>
        <v>Sandy Loam I Grass</v>
      </c>
      <c r="O58" s="21" t="str">
        <f>P16&amp;" I "&amp;(VLOOKUP(P14,Table24567[],6,FALSE))</f>
        <v>Sandy Loam I Grass</v>
      </c>
      <c r="P58" s="21" t="str">
        <f>Q16&amp;" I "&amp;(VLOOKUP(Q14,Table24567[],6,FALSE))</f>
        <v>Sandy Loam I Grass</v>
      </c>
      <c r="Q58" s="21" t="str">
        <f>R16&amp;" I "&amp;(VLOOKUP(R14,Table24567[],6,FALSE))</f>
        <v>Sandy Loam I Grass</v>
      </c>
      <c r="R58" s="21" t="str">
        <f>S16&amp;" I "&amp;(VLOOKUP(S14,Table24567[],6,FALSE))</f>
        <v>Sandy Loam I Grass</v>
      </c>
      <c r="S58" s="21" t="str">
        <f>T16&amp;" I "&amp;(VLOOKUP(T14,Table24567[],6,FALSE))</f>
        <v>Sandy Loam I Grass</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6.2</v>
      </c>
      <c r="H59" s="93">
        <f>VLOOKUP(I$14,Table24567[],5,FALSE)</f>
        <v>6.2</v>
      </c>
      <c r="I59" s="93">
        <f>VLOOKUP(J$14,Table24567[],5,FALSE)</f>
        <v>6.2</v>
      </c>
      <c r="J59" s="93">
        <f>VLOOKUP(K$14,Table24567[],5,FALSE)</f>
        <v>6.2</v>
      </c>
      <c r="K59" s="93">
        <f>VLOOKUP(L$14,Table24567[],5,FALSE)</f>
        <v>6.2</v>
      </c>
      <c r="L59" s="93">
        <f>VLOOKUP(M$14,Table24567[],5,FALSE)</f>
        <v>6.2</v>
      </c>
      <c r="M59" s="93">
        <f>VLOOKUP(N$14,Table24567[],5,FALSE)</f>
        <v>6.2</v>
      </c>
      <c r="N59" s="93">
        <f>VLOOKUP(O$14,Table24567[],5,FALSE)</f>
        <v>6.2</v>
      </c>
      <c r="O59" s="93">
        <f>VLOOKUP(P$14,Table24567[],5,FALSE)</f>
        <v>6.2</v>
      </c>
      <c r="P59" s="93">
        <f>VLOOKUP(Q$14,Table24567[],5,FALSE)</f>
        <v>6.2</v>
      </c>
      <c r="Q59" s="93">
        <f>VLOOKUP(R$14,Table24567[],5,FALSE)</f>
        <v>6.2</v>
      </c>
      <c r="R59" s="93">
        <f>VLOOKUP(S$14,Table24567[],5,FALSE)</f>
        <v>6.2</v>
      </c>
      <c r="S59" s="93">
        <f>VLOOKUP(T$14,Table24567[],5,FALSE)</f>
        <v>6.2</v>
      </c>
      <c r="T59" s="93" t="e">
        <f>VLOOKUP(U$14,Table24567[],5,FALSE)</f>
        <v>#N/A</v>
      </c>
      <c r="U59" s="93" t="e">
        <f>VLOOKUP(V$14,Table24567[],5,FALSE)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0</v>
      </c>
      <c r="K62" s="94">
        <f>B40</f>
        <v>250</v>
      </c>
      <c r="L62" s="94">
        <f>B41</f>
        <v>0</v>
      </c>
      <c r="M62" s="94">
        <f>B42</f>
        <v>250</v>
      </c>
      <c r="N62" s="94">
        <f>B43</f>
        <v>0</v>
      </c>
      <c r="O62" s="94">
        <f>B44</f>
        <v>250</v>
      </c>
      <c r="P62" s="94">
        <f>B45</f>
        <v>250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zoomScale="90" zoomScaleNormal="90" workbookViewId="0">
      <selection activeCell="H35" sqref="H3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PAN-013756</v>
      </c>
      <c r="D1" s="127"/>
      <c r="E1" s="37" t="s">
        <v>45</v>
      </c>
      <c r="F1" s="46" t="str">
        <f>'Field data and Waste 1'!F1</f>
        <v>33.8 ha</v>
      </c>
      <c r="G1" s="106" t="s">
        <v>43</v>
      </c>
      <c r="H1" s="107"/>
      <c r="I1" s="35">
        <v>7.16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EPR-KP3594VE</v>
      </c>
      <c r="D2" s="129"/>
      <c r="E2" s="37" t="s">
        <v>106</v>
      </c>
      <c r="F2" s="35" t="s">
        <v>168</v>
      </c>
      <c r="G2" s="108" t="s">
        <v>107</v>
      </c>
      <c r="H2" s="109"/>
      <c r="I2" s="35">
        <v>1135</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Trade Effluent Services Ltd</v>
      </c>
      <c r="D3" s="129"/>
      <c r="E3" s="37" t="s">
        <v>105</v>
      </c>
      <c r="F3" s="45" t="s">
        <v>78</v>
      </c>
      <c r="G3" s="106" t="s">
        <v>108</v>
      </c>
      <c r="H3" s="107"/>
      <c r="I3" s="35">
        <v>0.02</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Gwernto Farm, Nant y Ffridd, Llandegla, LL115YR</v>
      </c>
      <c r="D4" s="127"/>
      <c r="E4" s="38" t="s">
        <v>1</v>
      </c>
      <c r="F4" s="35" t="s">
        <v>167</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15</v>
      </c>
      <c r="R8" s="67">
        <f>'Field data and Waste 1'!R8</f>
        <v>16</v>
      </c>
      <c r="S8" s="67">
        <f>'Field data and Waste 1'!S8</f>
        <v>17</v>
      </c>
      <c r="T8" s="67">
        <f>'Field data and Waste 1'!T8</f>
        <v>18</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t="str">
        <f>'Field data and Waste 1'!S9</f>
        <v>Moderate</v>
      </c>
      <c r="T9" s="67" t="str">
        <f>'Field data and Waste 1'!T9</f>
        <v>Moderate</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5.7</v>
      </c>
      <c r="D10" s="67">
        <f>'Field data and Waste 1'!D10</f>
        <v>6.2</v>
      </c>
      <c r="E10" s="67">
        <f>'Field data and Waste 1'!E10</f>
        <v>6.1</v>
      </c>
      <c r="F10" s="67">
        <f>'Field data and Waste 1'!F10</f>
        <v>6.1</v>
      </c>
      <c r="G10" s="67">
        <f>'Field data and Waste 1'!G10</f>
        <v>5.8</v>
      </c>
      <c r="H10" s="67">
        <f>'Field data and Waste 1'!H10</f>
        <v>5.6</v>
      </c>
      <c r="I10" s="67">
        <f>'Field data and Waste 1'!I10</f>
        <v>6</v>
      </c>
      <c r="J10" s="67">
        <f>'Field data and Waste 1'!J10</f>
        <v>5.7</v>
      </c>
      <c r="K10" s="67">
        <f>'Field data and Waste 1'!K10</f>
        <v>5.4</v>
      </c>
      <c r="L10" s="67">
        <f>'Field data and Waste 1'!L10</f>
        <v>5.6</v>
      </c>
      <c r="M10" s="67">
        <f>'Field data and Waste 1'!M10</f>
        <v>5.5</v>
      </c>
      <c r="N10" s="67">
        <f>'Field data and Waste 1'!N10</f>
        <v>5.8</v>
      </c>
      <c r="O10" s="67">
        <f>'Field data and Waste 1'!O10</f>
        <v>5.5</v>
      </c>
      <c r="P10" s="67">
        <f>'Field data and Waste 1'!P10</f>
        <v>5.6</v>
      </c>
      <c r="Q10" s="67">
        <f>'Field data and Waste 1'!Q10</f>
        <v>5.7</v>
      </c>
      <c r="R10" s="67">
        <f>'Field data and Waste 1'!R10</f>
        <v>5.3</v>
      </c>
      <c r="S10" s="67">
        <f>'Field data and Waste 1'!S10</f>
        <v>5.4</v>
      </c>
      <c r="T10" s="67">
        <f>'Field data and Waste 1'!T10</f>
        <v>5.3</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3</v>
      </c>
      <c r="D11" s="67">
        <f>'Field data and Waste 1'!D11</f>
        <v>4</v>
      </c>
      <c r="E11" s="67">
        <f>'Field data and Waste 1'!E11</f>
        <v>4</v>
      </c>
      <c r="F11" s="67">
        <f>'Field data and Waste 1'!F11</f>
        <v>4</v>
      </c>
      <c r="G11" s="67">
        <f>'Field data and Waste 1'!G11</f>
        <v>3</v>
      </c>
      <c r="H11" s="67">
        <f>'Field data and Waste 1'!H11</f>
        <v>1</v>
      </c>
      <c r="I11" s="67">
        <f>'Field data and Waste 1'!I11</f>
        <v>1</v>
      </c>
      <c r="J11" s="67">
        <f>'Field data and Waste 1'!J11</f>
        <v>1</v>
      </c>
      <c r="K11" s="67">
        <f>'Field data and Waste 1'!K11</f>
        <v>1</v>
      </c>
      <c r="L11" s="67">
        <f>'Field data and Waste 1'!L11</f>
        <v>2</v>
      </c>
      <c r="M11" s="67">
        <f>'Field data and Waste 1'!M11</f>
        <v>3</v>
      </c>
      <c r="N11" s="67">
        <f>'Field data and Waste 1'!N11</f>
        <v>2</v>
      </c>
      <c r="O11" s="67">
        <f>'Field data and Waste 1'!O11</f>
        <v>2</v>
      </c>
      <c r="P11" s="67">
        <f>'Field data and Waste 1'!P11</f>
        <v>3</v>
      </c>
      <c r="Q11" s="67">
        <f>'Field data and Waste 1'!Q11</f>
        <v>3</v>
      </c>
      <c r="R11" s="67">
        <f>'Field data and Waste 1'!R11</f>
        <v>2</v>
      </c>
      <c r="S11" s="67">
        <f>'Field data and Waste 1'!S11</f>
        <v>2</v>
      </c>
      <c r="T11" s="67">
        <f>'Field data and Waste 1'!T11</f>
        <v>2</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0</v>
      </c>
      <c r="D12" s="67">
        <f>'Field data and Waste 1'!D12</f>
        <v>0</v>
      </c>
      <c r="E12" s="67">
        <f>'Field data and Waste 1'!E12</f>
        <v>1</v>
      </c>
      <c r="F12" s="67">
        <f>'Field data and Waste 1'!F12</f>
        <v>1</v>
      </c>
      <c r="G12" s="67">
        <f>'Field data and Waste 1'!G12</f>
        <v>0</v>
      </c>
      <c r="H12" s="67">
        <f>'Field data and Waste 1'!H12</f>
        <v>0</v>
      </c>
      <c r="I12" s="67">
        <f>'Field data and Waste 1'!I12</f>
        <v>0</v>
      </c>
      <c r="J12" s="67">
        <f>'Field data and Waste 1'!J12</f>
        <v>0</v>
      </c>
      <c r="K12" s="67">
        <f>'Field data and Waste 1'!K12</f>
        <v>1</v>
      </c>
      <c r="L12" s="67">
        <f>'Field data and Waste 1'!L12</f>
        <v>0</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2</v>
      </c>
      <c r="D13" s="67">
        <f>'Field data and Waste 1'!D13</f>
        <v>2</v>
      </c>
      <c r="E13" s="67">
        <f>'Field data and Waste 1'!E13</f>
        <v>2</v>
      </c>
      <c r="F13" s="67">
        <f>'Field data and Waste 1'!F13</f>
        <v>2</v>
      </c>
      <c r="G13" s="67">
        <f>'Field data and Waste 1'!G13</f>
        <v>2</v>
      </c>
      <c r="H13" s="67">
        <f>'Field data and Waste 1'!H13</f>
        <v>1</v>
      </c>
      <c r="I13" s="67">
        <f>'Field data and Waste 1'!I13</f>
        <v>1</v>
      </c>
      <c r="J13" s="67">
        <f>'Field data and Waste 1'!J13</f>
        <v>1</v>
      </c>
      <c r="K13" s="67">
        <f>'Field data and Waste 1'!K13</f>
        <v>2</v>
      </c>
      <c r="L13" s="67">
        <f>'Field data and Waste 1'!L13</f>
        <v>2</v>
      </c>
      <c r="M13" s="67">
        <f>'Field data and Waste 1'!M13</f>
        <v>1</v>
      </c>
      <c r="N13" s="67">
        <f>'Field data and Waste 1'!N13</f>
        <v>1</v>
      </c>
      <c r="O13" s="67">
        <f>'Field data and Waste 1'!O13</f>
        <v>1</v>
      </c>
      <c r="P13" s="67">
        <f>'Field data and Waste 1'!P13</f>
        <v>1</v>
      </c>
      <c r="Q13" s="67">
        <f>'Field data and Waste 1'!Q13</f>
        <v>1</v>
      </c>
      <c r="R13" s="67">
        <f>'Field data and Waste 1'!R13</f>
        <v>1</v>
      </c>
      <c r="S13" s="67">
        <f>'Field data and Waste 1'!S13</f>
        <v>1</v>
      </c>
      <c r="T13" s="67">
        <f>'Field data and Waste 1'!T13</f>
        <v>2</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38</v>
      </c>
      <c r="J15" s="67">
        <f>'Field data and Waste 1'!J15</f>
        <v>38</v>
      </c>
      <c r="K15" s="67">
        <f>'Field data and Waste 1'!K15</f>
        <v>38</v>
      </c>
      <c r="L15" s="67">
        <f>'Field data and Waste 1'!L15</f>
        <v>38</v>
      </c>
      <c r="M15" s="67">
        <f>'Field data and Waste 1'!M15</f>
        <v>38</v>
      </c>
      <c r="N15" s="67">
        <f>'Field data and Waste 1'!N15</f>
        <v>38</v>
      </c>
      <c r="O15" s="67">
        <f>'Field data and Waste 1'!O15</f>
        <v>38</v>
      </c>
      <c r="P15" s="67">
        <f>'Field data and Waste 1'!P15</f>
        <v>38</v>
      </c>
      <c r="Q15" s="67">
        <f>'Field data and Waste 1'!Q15</f>
        <v>38</v>
      </c>
      <c r="R15" s="67">
        <f>'Field data and Waste 1'!R15</f>
        <v>38</v>
      </c>
      <c r="S15" s="67">
        <f>'Field data and Waste 1'!S15</f>
        <v>38</v>
      </c>
      <c r="T15" s="67">
        <f>'Field data and Waste 1'!T15</f>
        <v>38</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t="str">
        <f>'Field data and Waste 1'!N16</f>
        <v>Sandy Loam</v>
      </c>
      <c r="O16" s="74" t="str">
        <f>'Field data and Waste 1'!O16</f>
        <v>Sandy Loam</v>
      </c>
      <c r="P16" s="74" t="str">
        <f>'Field data and Waste 1'!P16</f>
        <v>Sandy Loam</v>
      </c>
      <c r="Q16" s="74" t="str">
        <f>'Field data and Waste 1'!Q16</f>
        <v>Sandy Loam</v>
      </c>
      <c r="R16" s="74" t="str">
        <f>'Field data and Waste 1'!R16</f>
        <v>Sandy Loam</v>
      </c>
      <c r="S16" s="74" t="str">
        <f>'Field data and Waste 1'!S16</f>
        <v>Sandy Loam</v>
      </c>
      <c r="T16" s="74" t="str">
        <f>'Field data and Waste 1'!T16</f>
        <v>Sandy Loam</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(VLOOKUP(C$14,$AI2:$AK26,2,FALSE))*C$15</f>
        <v>64.599999999999994</v>
      </c>
      <c r="D17" s="39">
        <f t="shared" ref="D17:V17" si="0">(VLOOKUP(D$14,$AI2:$AK26,2,FALSE))*D$15</f>
        <v>64.599999999999994</v>
      </c>
      <c r="E17" s="39">
        <f t="shared" si="0"/>
        <v>64.599999999999994</v>
      </c>
      <c r="F17" s="39">
        <f t="shared" si="0"/>
        <v>64.599999999999994</v>
      </c>
      <c r="G17" s="39">
        <f t="shared" si="0"/>
        <v>64.599999999999994</v>
      </c>
      <c r="H17" s="39">
        <f t="shared" si="0"/>
        <v>64.599999999999994</v>
      </c>
      <c r="I17" s="39">
        <f t="shared" si="0"/>
        <v>64.599999999999994</v>
      </c>
      <c r="J17" s="39">
        <f t="shared" si="0"/>
        <v>64.599999999999994</v>
      </c>
      <c r="K17" s="39">
        <f t="shared" si="0"/>
        <v>64.599999999999994</v>
      </c>
      <c r="L17" s="39">
        <f t="shared" si="0"/>
        <v>64.599999999999994</v>
      </c>
      <c r="M17" s="39">
        <f t="shared" si="0"/>
        <v>64.599999999999994</v>
      </c>
      <c r="N17" s="39">
        <f t="shared" si="0"/>
        <v>64.599999999999994</v>
      </c>
      <c r="O17" s="39">
        <f t="shared" si="0"/>
        <v>64.599999999999994</v>
      </c>
      <c r="P17" s="39">
        <f t="shared" si="0"/>
        <v>64.599999999999994</v>
      </c>
      <c r="Q17" s="39">
        <f t="shared" si="0"/>
        <v>64.599999999999994</v>
      </c>
      <c r="R17" s="39">
        <f t="shared" si="0"/>
        <v>64.599999999999994</v>
      </c>
      <c r="S17" s="39">
        <f t="shared" si="0"/>
        <v>64.599999999999994</v>
      </c>
      <c r="T17" s="39">
        <f t="shared" si="0"/>
        <v>64.599999999999994</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62.745908</v>
      </c>
      <c r="D18" s="24">
        <f>$D32</f>
        <v>62.745908</v>
      </c>
      <c r="E18" s="24">
        <f>$D33</f>
        <v>62.745908</v>
      </c>
      <c r="F18" s="24">
        <f>$D34</f>
        <v>62.745908</v>
      </c>
      <c r="G18" s="24">
        <f>$D35</f>
        <v>62.745908</v>
      </c>
      <c r="H18" s="24">
        <f>$D36</f>
        <v>62.745908</v>
      </c>
      <c r="I18" s="24">
        <f>$D37</f>
        <v>62.745908</v>
      </c>
      <c r="J18" s="24">
        <f>$D38</f>
        <v>62.745908</v>
      </c>
      <c r="K18" s="24">
        <f>$D39</f>
        <v>62.745908</v>
      </c>
      <c r="L18" s="24">
        <f>$D40</f>
        <v>62.745908</v>
      </c>
      <c r="M18" s="24">
        <f>$D41</f>
        <v>62.745908</v>
      </c>
      <c r="N18" s="24">
        <f>$D42</f>
        <v>62.745908</v>
      </c>
      <c r="O18" s="24">
        <f>$D43</f>
        <v>62.745908</v>
      </c>
      <c r="P18" s="24">
        <f>$D44</f>
        <v>62.745908</v>
      </c>
      <c r="Q18" s="24">
        <f>$D45</f>
        <v>62.745908</v>
      </c>
      <c r="R18" s="24">
        <f>$D46</f>
        <v>62.745908</v>
      </c>
      <c r="S18" s="24">
        <f>$D47</f>
        <v>62.745908</v>
      </c>
      <c r="T18" s="24">
        <f>$D48</f>
        <v>62.745908</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-1.8540919999999943</v>
      </c>
      <c r="D19" s="24">
        <f t="shared" ref="D19:V19" si="1">D18-D17</f>
        <v>-1.8540919999999943</v>
      </c>
      <c r="E19" s="24">
        <f t="shared" si="1"/>
        <v>-1.8540919999999943</v>
      </c>
      <c r="F19" s="24">
        <f t="shared" si="1"/>
        <v>-1.8540919999999943</v>
      </c>
      <c r="G19" s="24">
        <f t="shared" si="1"/>
        <v>-1.8540919999999943</v>
      </c>
      <c r="H19" s="24">
        <f t="shared" si="1"/>
        <v>-1.8540919999999943</v>
      </c>
      <c r="I19" s="24">
        <f t="shared" si="1"/>
        <v>-1.8540919999999943</v>
      </c>
      <c r="J19" s="24">
        <f t="shared" si="1"/>
        <v>-1.8540919999999943</v>
      </c>
      <c r="K19" s="24">
        <f t="shared" si="1"/>
        <v>-1.8540919999999943</v>
      </c>
      <c r="L19" s="24">
        <f t="shared" si="1"/>
        <v>-1.8540919999999943</v>
      </c>
      <c r="M19" s="24">
        <f t="shared" si="1"/>
        <v>-1.8540919999999943</v>
      </c>
      <c r="N19" s="24">
        <f t="shared" si="1"/>
        <v>-1.8540919999999943</v>
      </c>
      <c r="O19" s="24">
        <f t="shared" si="1"/>
        <v>-1.8540919999999943</v>
      </c>
      <c r="P19" s="24">
        <f t="shared" si="1"/>
        <v>-1.8540919999999943</v>
      </c>
      <c r="Q19" s="24">
        <f t="shared" si="1"/>
        <v>-1.8540919999999943</v>
      </c>
      <c r="R19" s="24">
        <f t="shared" si="1"/>
        <v>-1.8540919999999943</v>
      </c>
      <c r="S19" s="24">
        <f t="shared" si="1"/>
        <v>-1.8540919999999943</v>
      </c>
      <c r="T19" s="24">
        <f t="shared" si="1"/>
        <v>-1.8540919999999943</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(VLOOKUP(C$14,$AI2:$AK26,3,FALSE))*C$15</f>
        <v>228</v>
      </c>
      <c r="D21" s="39">
        <f t="shared" ref="D21:V21" si="2">(VLOOKUP(D$14,$AI2:$AK26,3,FALSE))*D$15</f>
        <v>228</v>
      </c>
      <c r="E21" s="39">
        <f t="shared" si="2"/>
        <v>228</v>
      </c>
      <c r="F21" s="39">
        <f t="shared" si="2"/>
        <v>228</v>
      </c>
      <c r="G21" s="39">
        <f t="shared" si="2"/>
        <v>228</v>
      </c>
      <c r="H21" s="39">
        <f t="shared" si="2"/>
        <v>228</v>
      </c>
      <c r="I21" s="39">
        <f t="shared" si="2"/>
        <v>228</v>
      </c>
      <c r="J21" s="39">
        <f t="shared" si="2"/>
        <v>228</v>
      </c>
      <c r="K21" s="39">
        <f t="shared" si="2"/>
        <v>228</v>
      </c>
      <c r="L21" s="39">
        <f t="shared" si="2"/>
        <v>228</v>
      </c>
      <c r="M21" s="39">
        <f t="shared" si="2"/>
        <v>228</v>
      </c>
      <c r="N21" s="39">
        <f t="shared" si="2"/>
        <v>228</v>
      </c>
      <c r="O21" s="39">
        <f t="shared" si="2"/>
        <v>228</v>
      </c>
      <c r="P21" s="39">
        <f t="shared" si="2"/>
        <v>228</v>
      </c>
      <c r="Q21" s="39">
        <f t="shared" si="2"/>
        <v>228</v>
      </c>
      <c r="R21" s="39">
        <f t="shared" si="2"/>
        <v>228</v>
      </c>
      <c r="S21" s="39">
        <f t="shared" si="2"/>
        <v>228</v>
      </c>
      <c r="T21" s="39">
        <f t="shared" si="2"/>
        <v>228</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40.448235000000004</v>
      </c>
      <c r="D22" s="24">
        <f>$E32</f>
        <v>40.448235000000004</v>
      </c>
      <c r="E22" s="24">
        <f>$E33</f>
        <v>40.448235000000004</v>
      </c>
      <c r="F22" s="24">
        <f>$E34</f>
        <v>40.448235000000004</v>
      </c>
      <c r="G22" s="24">
        <f>$E35</f>
        <v>40.448235000000004</v>
      </c>
      <c r="H22" s="24">
        <f>$E36</f>
        <v>40.448235000000004</v>
      </c>
      <c r="I22" s="24">
        <f>$E37</f>
        <v>40.448235000000004</v>
      </c>
      <c r="J22" s="24">
        <f>$E38</f>
        <v>40.448235000000004</v>
      </c>
      <c r="K22" s="24">
        <f>$E39</f>
        <v>40.448235000000004</v>
      </c>
      <c r="L22" s="24">
        <f>$E40</f>
        <v>40.448235000000004</v>
      </c>
      <c r="M22" s="24">
        <f>$E41</f>
        <v>40.448235000000004</v>
      </c>
      <c r="N22" s="24">
        <f>$E42</f>
        <v>40.448235000000004</v>
      </c>
      <c r="O22" s="24">
        <f>$E43</f>
        <v>40.448235000000004</v>
      </c>
      <c r="P22" s="24">
        <f>$E44</f>
        <v>40.448235000000004</v>
      </c>
      <c r="Q22" s="24">
        <f>$E45</f>
        <v>40.448235000000004</v>
      </c>
      <c r="R22" s="24">
        <f>$E46</f>
        <v>40.448235000000004</v>
      </c>
      <c r="S22" s="24">
        <f>$E47</f>
        <v>40.448235000000004</v>
      </c>
      <c r="T22" s="24">
        <f>$E48</f>
        <v>40.448235000000004</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-187.55176499999999</v>
      </c>
      <c r="D23" s="24">
        <f t="shared" ref="D23:V23" si="3">D22-D21</f>
        <v>-187.55176499999999</v>
      </c>
      <c r="E23" s="24">
        <f t="shared" si="3"/>
        <v>-187.55176499999999</v>
      </c>
      <c r="F23" s="24">
        <f t="shared" si="3"/>
        <v>-187.55176499999999</v>
      </c>
      <c r="G23" s="24">
        <f t="shared" si="3"/>
        <v>-187.55176499999999</v>
      </c>
      <c r="H23" s="24">
        <f t="shared" si="3"/>
        <v>-187.55176499999999</v>
      </c>
      <c r="I23" s="24">
        <f t="shared" si="3"/>
        <v>-187.55176499999999</v>
      </c>
      <c r="J23" s="24">
        <f t="shared" si="3"/>
        <v>-187.55176499999999</v>
      </c>
      <c r="K23" s="24">
        <f t="shared" si="3"/>
        <v>-187.55176499999999</v>
      </c>
      <c r="L23" s="24">
        <f t="shared" si="3"/>
        <v>-187.55176499999999</v>
      </c>
      <c r="M23" s="24">
        <f t="shared" si="3"/>
        <v>-187.55176499999999</v>
      </c>
      <c r="N23" s="24">
        <f t="shared" si="3"/>
        <v>-187.55176499999999</v>
      </c>
      <c r="O23" s="24">
        <f t="shared" si="3"/>
        <v>-187.55176499999999</v>
      </c>
      <c r="P23" s="24">
        <f t="shared" si="3"/>
        <v>-187.55176499999999</v>
      </c>
      <c r="Q23" s="24">
        <f t="shared" si="3"/>
        <v>-187.55176499999999</v>
      </c>
      <c r="R23" s="24">
        <f t="shared" si="3"/>
        <v>-187.55176499999999</v>
      </c>
      <c r="S23" s="24">
        <f t="shared" si="3"/>
        <v>-187.55176499999999</v>
      </c>
      <c r="T23" s="24">
        <f t="shared" si="3"/>
        <v>-187.55176499999999</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1.47</v>
      </c>
      <c r="C28" s="23">
        <v>0.1</v>
      </c>
      <c r="D28" s="23">
        <v>164</v>
      </c>
      <c r="E28" s="23">
        <v>201</v>
      </c>
      <c r="F28" s="23">
        <v>91.7</v>
      </c>
      <c r="G28" s="23">
        <v>0.32400000000000001</v>
      </c>
      <c r="H28" s="23">
        <v>3.08</v>
      </c>
      <c r="I28" s="23">
        <v>0.5</v>
      </c>
      <c r="J28" s="23">
        <v>0.01</v>
      </c>
      <c r="K28" s="30">
        <v>0.05</v>
      </c>
      <c r="L28" s="23">
        <v>0.2</v>
      </c>
      <c r="M28" s="23">
        <v>0.24299999999999999</v>
      </c>
      <c r="N28" s="23"/>
      <c r="O28" s="23"/>
      <c r="P28" s="23">
        <v>1418</v>
      </c>
      <c r="Q28" s="23">
        <v>428</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167</v>
      </c>
      <c r="C31" s="2">
        <f>IF(C$27="%w/w SAR",((C$28*10)*$B31),IF(C$27="%w/w DM",(((C$28*10)*($B$28/100))*$B31),IF(C$27="kg/t SAR",(C$28*$B31),IF(C$27="kg/t DM",((C$28*($B$28/100))*$B31),IF(C$27="mg/kg SAR",((C$28*0.001)*$B31),IF(C$27="mg/kg DM",(((C$28*0.001)*($B$28/100))*$B31),0))))))</f>
        <v>167</v>
      </c>
      <c r="D31" s="2">
        <f>(IF(D$27="%w/w SAR",((D$28*10)*$B31),IF(D$27="%w/w DM",(((D$28*10)*($B$28/100))*$B31),IF(D$27="kg/t SAR",(D$28*$B31),IF(D$27="kg/t DM",((D$28*($B$28/100))*$B31),IF(D$27="mg/kg SAR",((D$28*0.001)*$B31),IF(D$27="mg/kg DM",(((D$28*0.001)*($B$28/100))*$B31),"0")))))))*2.291</f>
        <v>62.745908</v>
      </c>
      <c r="E31" s="2">
        <f>(IF(E$27="%w/w SAR",((E$28*10)*$B31),IF(E$27="%w/w DM",(((E$28*10)*($B$28/100))*$B31),IF(E$27="kg/t SAR",(E$28*$B31),IF(E$27="kg/t DM",((E$28*($B$28/100))*$B31),IF(E$27="mg/kg SAR",((E$28*0.001)*$B31),IF(E$27="mg/kg DM",(((E$28*0.001)*($B$28/100))*$B31),"0")))))))*1.205</f>
        <v>40.448235000000004</v>
      </c>
      <c r="F31" s="2">
        <f>(IF(F$27="%w/w SAR",((F$28*10)*$B31),IF(F$27="%w/w DM",(((F$28*10)*($B$28/100))*$B31),IF(F$27="kg/t SAR",(F$28*$B31),IF(F$27="kg/t DM",((F$28*($B$28/100))*$B31),IF(F$27="mg/kg SAR",((F$28*0.001)*$B31),IF(F$27="mg/kg DM",(((F$28*0.001)*($B$28/100))*$B31),"0")))))))*1.658</f>
        <v>25.3904462</v>
      </c>
      <c r="G31" s="2">
        <f t="shared" ref="G31:P46" si="5">IF(G$27="%w/w SAR",((G$28*10)*$B31),IF(G$27="%w/w DM",(((G$28*10)*($B$28/100))*$B31),IF(G$27="kg/t SAR",(G$28*$B31),IF(G$27="kg/t DM",((G$28*($B$28/100))*$B31),IF(G$27="mg/kg SAR",((G$28*0.001)*$B31),IF(G$27="mg/kg DM",(((G$28*0.001)*($B$28/100))*$B31),0))))))</f>
        <v>5.4108000000000003E-2</v>
      </c>
      <c r="H31" s="2">
        <f t="shared" si="5"/>
        <v>0.51436000000000004</v>
      </c>
      <c r="I31" s="2">
        <f t="shared" si="5"/>
        <v>8.3500000000000005E-2</v>
      </c>
      <c r="J31" s="2">
        <f t="shared" si="5"/>
        <v>1.67E-3</v>
      </c>
      <c r="K31" s="2">
        <f t="shared" si="5"/>
        <v>8.3499999999999998E-3</v>
      </c>
      <c r="L31" s="2">
        <f t="shared" si="5"/>
        <v>3.3399999999999999E-2</v>
      </c>
      <c r="M31" s="2">
        <f t="shared" si="5"/>
        <v>4.0580999999999999E-2</v>
      </c>
      <c r="N31" s="2">
        <f t="shared" si="5"/>
        <v>0</v>
      </c>
      <c r="O31" s="2">
        <f t="shared" si="5"/>
        <v>0</v>
      </c>
      <c r="P31" s="2">
        <f t="shared" si="5"/>
        <v>236.80599999999998</v>
      </c>
      <c r="Q31" s="2">
        <f>(IF(Q$27="%w/w SAR",((Q$28*10)*$B31),IF(Q$27="%w/w DM",(((Q$28*10)*($B$28/100))*$B31),IF(Q$27="kg/t SAR",(Q$28*$B31),IF(Q$27="kg/t DM",((Q$28*($B$28/100))*$B31),IF(Q$27="mg/kg SAR",((Q$28*0.001)*$B31),IF(Q$27="mg/kg DM",(((Q$28*0.001)*($B$28/100))*$B31),0)))))))*2.5</f>
        <v>178.69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167</v>
      </c>
      <c r="C32" s="2">
        <f t="shared" ref="C32:C50" si="6">IF(C$27="%w/w SAR",((C$28*10)*$B32),IF(C$27="%w/w DM",(((C$28*10)*($B$28/100))*$B32),IF(C$27="kg/t SAR",(C$28*$B32),IF(C$27="kg/t DM",((C$28*($B$28/100))*$B32),IF(C$27="mg/kg SAR",((C$28*0.001)*$B32),IF(C$27="mg/kg DM",(((C$28*0.001)*($B$28/100))*$B32),0))))))</f>
        <v>167</v>
      </c>
      <c r="D32" s="2">
        <f t="shared" ref="D32:D50" si="7">(IF(D$27="%w/w SAR",((D$28*10)*$B32),IF(D$27="%w/w DM",(((D$28*10)*($B$28/100))*$B32),IF(D$27="kg/t SAR",(D$28*$B32),IF(D$27="kg/t DM",((D$28*($B$28/100))*$B32),IF(D$27="mg/kg SAR",((D$28*0.001)*$B32),IF(D$27="mg/kg DM",(((D$28*0.001)*($B$28/100))*$B32),"0")))))))*2.291</f>
        <v>62.745908</v>
      </c>
      <c r="E32" s="2">
        <f t="shared" ref="E32:E50" si="8">(IF(E$27="%w/w SAR",((E$28*10)*$B32),IF(E$27="%w/w DM",(((E$28*10)*($B$28/100))*$B32),IF(E$27="kg/t SAR",(E$28*$B32),IF(E$27="kg/t DM",((E$28*($B$28/100))*$B32),IF(E$27="mg/kg SAR",((E$28*0.001)*$B32),IF(E$27="mg/kg DM",(((E$28*0.001)*($B$28/100))*$B32),"0")))))))*1.205</f>
        <v>40.448235000000004</v>
      </c>
      <c r="F32" s="2">
        <f t="shared" ref="F32:F50" si="9">(IF(F$27="%w/w SAR",((F$28*10)*$B32),IF(F$27="%w/w DM",(((F$28*10)*($B$28/100))*$B32),IF(F$27="kg/t SAR",(F$28*$B32),IF(F$27="kg/t DM",((F$28*($B$28/100))*$B32),IF(F$27="mg/kg SAR",((F$28*0.001)*$B32),IF(F$27="mg/kg DM",(((F$28*0.001)*($B$28/100))*$B32),"0")))))))*1.658</f>
        <v>25.3904462</v>
      </c>
      <c r="G32" s="2">
        <f t="shared" si="5"/>
        <v>5.4108000000000003E-2</v>
      </c>
      <c r="H32" s="2">
        <f t="shared" si="5"/>
        <v>0.51436000000000004</v>
      </c>
      <c r="I32" s="2">
        <f t="shared" si="5"/>
        <v>8.3500000000000005E-2</v>
      </c>
      <c r="J32" s="2">
        <f t="shared" si="5"/>
        <v>1.67E-3</v>
      </c>
      <c r="K32" s="2">
        <f t="shared" si="5"/>
        <v>8.3499999999999998E-3</v>
      </c>
      <c r="L32" s="2">
        <f t="shared" si="5"/>
        <v>3.3399999999999999E-2</v>
      </c>
      <c r="M32" s="2">
        <f t="shared" si="5"/>
        <v>4.0580999999999999E-2</v>
      </c>
      <c r="N32" s="2">
        <f t="shared" si="5"/>
        <v>0</v>
      </c>
      <c r="O32" s="2">
        <f t="shared" si="5"/>
        <v>0</v>
      </c>
      <c r="P32" s="2">
        <f t="shared" si="5"/>
        <v>236.80599999999998</v>
      </c>
      <c r="Q32" s="2">
        <f t="shared" ref="Q32:Q50" si="10">(IF(Q$27="%w/w SAR",((Q$28*10)*$B32),IF(Q$27="%w/w DM",(((Q$28*10)*($B$28/100))*$B32),IF(Q$27="kg/t SAR",(Q$28*$B32),IF(Q$27="kg/t DM",((Q$28*($B$28/100))*$B32),IF(Q$27="mg/kg SAR",((Q$28*0.001)*$B32),IF(Q$27="mg/kg DM",(((Q$28*0.001)*($B$28/100))*$B32),0)))))))*2.5</f>
        <v>178.69</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3</v>
      </c>
      <c r="B33" s="23">
        <v>167</v>
      </c>
      <c r="C33" s="2">
        <f t="shared" si="6"/>
        <v>167</v>
      </c>
      <c r="D33" s="2">
        <f t="shared" si="7"/>
        <v>62.745908</v>
      </c>
      <c r="E33" s="2">
        <f t="shared" si="8"/>
        <v>40.448235000000004</v>
      </c>
      <c r="F33" s="2">
        <f t="shared" si="9"/>
        <v>25.3904462</v>
      </c>
      <c r="G33" s="2">
        <f t="shared" si="5"/>
        <v>5.4108000000000003E-2</v>
      </c>
      <c r="H33" s="2">
        <f t="shared" si="5"/>
        <v>0.51436000000000004</v>
      </c>
      <c r="I33" s="2">
        <f t="shared" si="5"/>
        <v>8.3500000000000005E-2</v>
      </c>
      <c r="J33" s="2">
        <f t="shared" si="5"/>
        <v>1.67E-3</v>
      </c>
      <c r="K33" s="2">
        <f t="shared" si="5"/>
        <v>8.3499999999999998E-3</v>
      </c>
      <c r="L33" s="2">
        <f t="shared" si="5"/>
        <v>3.3399999999999999E-2</v>
      </c>
      <c r="M33" s="2">
        <f t="shared" si="5"/>
        <v>4.0580999999999999E-2</v>
      </c>
      <c r="N33" s="2">
        <f t="shared" si="5"/>
        <v>0</v>
      </c>
      <c r="O33" s="2">
        <f t="shared" si="5"/>
        <v>0</v>
      </c>
      <c r="P33" s="2">
        <f t="shared" si="5"/>
        <v>236.80599999999998</v>
      </c>
      <c r="Q33" s="2">
        <f t="shared" si="10"/>
        <v>178.69</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4</v>
      </c>
      <c r="B34" s="23">
        <v>167</v>
      </c>
      <c r="C34" s="2">
        <f t="shared" si="6"/>
        <v>167</v>
      </c>
      <c r="D34" s="2">
        <f t="shared" si="7"/>
        <v>62.745908</v>
      </c>
      <c r="E34" s="2">
        <f t="shared" si="8"/>
        <v>40.448235000000004</v>
      </c>
      <c r="F34" s="2">
        <f t="shared" si="9"/>
        <v>25.3904462</v>
      </c>
      <c r="G34" s="2">
        <f t="shared" si="5"/>
        <v>5.4108000000000003E-2</v>
      </c>
      <c r="H34" s="2">
        <f t="shared" si="5"/>
        <v>0.51436000000000004</v>
      </c>
      <c r="I34" s="2">
        <f t="shared" si="5"/>
        <v>8.3500000000000005E-2</v>
      </c>
      <c r="J34" s="2">
        <f t="shared" si="5"/>
        <v>1.67E-3</v>
      </c>
      <c r="K34" s="2">
        <f t="shared" si="5"/>
        <v>8.3499999999999998E-3</v>
      </c>
      <c r="L34" s="2">
        <f t="shared" si="5"/>
        <v>3.3399999999999999E-2</v>
      </c>
      <c r="M34" s="2">
        <f t="shared" si="5"/>
        <v>4.0580999999999999E-2</v>
      </c>
      <c r="N34" s="2">
        <f t="shared" si="5"/>
        <v>0</v>
      </c>
      <c r="O34" s="2">
        <f t="shared" si="5"/>
        <v>0</v>
      </c>
      <c r="P34" s="2">
        <f t="shared" si="5"/>
        <v>236.80599999999998</v>
      </c>
      <c r="Q34" s="2">
        <f t="shared" si="10"/>
        <v>178.69</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5</v>
      </c>
      <c r="B35" s="23">
        <v>167</v>
      </c>
      <c r="C35" s="2">
        <f t="shared" si="6"/>
        <v>167</v>
      </c>
      <c r="D35" s="2">
        <f t="shared" si="7"/>
        <v>62.745908</v>
      </c>
      <c r="E35" s="2">
        <f t="shared" si="8"/>
        <v>40.448235000000004</v>
      </c>
      <c r="F35" s="2">
        <f t="shared" si="9"/>
        <v>25.3904462</v>
      </c>
      <c r="G35" s="2">
        <f t="shared" si="5"/>
        <v>5.4108000000000003E-2</v>
      </c>
      <c r="H35" s="2">
        <f t="shared" si="5"/>
        <v>0.51436000000000004</v>
      </c>
      <c r="I35" s="2">
        <f t="shared" si="5"/>
        <v>8.3500000000000005E-2</v>
      </c>
      <c r="J35" s="2">
        <f t="shared" si="5"/>
        <v>1.67E-3</v>
      </c>
      <c r="K35" s="2">
        <f t="shared" si="5"/>
        <v>8.3499999999999998E-3</v>
      </c>
      <c r="L35" s="2">
        <f t="shared" si="5"/>
        <v>3.3399999999999999E-2</v>
      </c>
      <c r="M35" s="2">
        <f t="shared" si="5"/>
        <v>4.0580999999999999E-2</v>
      </c>
      <c r="N35" s="2">
        <f t="shared" si="5"/>
        <v>0</v>
      </c>
      <c r="O35" s="2">
        <f t="shared" si="5"/>
        <v>0</v>
      </c>
      <c r="P35" s="2">
        <f t="shared" si="5"/>
        <v>236.80599999999998</v>
      </c>
      <c r="Q35" s="2">
        <f t="shared" si="10"/>
        <v>178.69</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6</v>
      </c>
      <c r="B36" s="23">
        <v>167</v>
      </c>
      <c r="C36" s="2">
        <f t="shared" si="6"/>
        <v>167</v>
      </c>
      <c r="D36" s="2">
        <f t="shared" si="7"/>
        <v>62.745908</v>
      </c>
      <c r="E36" s="2">
        <f t="shared" si="8"/>
        <v>40.448235000000004</v>
      </c>
      <c r="F36" s="2">
        <f t="shared" si="9"/>
        <v>25.3904462</v>
      </c>
      <c r="G36" s="2">
        <f t="shared" si="5"/>
        <v>5.4108000000000003E-2</v>
      </c>
      <c r="H36" s="2">
        <f t="shared" si="5"/>
        <v>0.51436000000000004</v>
      </c>
      <c r="I36" s="2">
        <f t="shared" si="5"/>
        <v>8.3500000000000005E-2</v>
      </c>
      <c r="J36" s="2">
        <f t="shared" si="5"/>
        <v>1.67E-3</v>
      </c>
      <c r="K36" s="2">
        <f t="shared" si="5"/>
        <v>8.3499999999999998E-3</v>
      </c>
      <c r="L36" s="2">
        <f t="shared" si="5"/>
        <v>3.3399999999999999E-2</v>
      </c>
      <c r="M36" s="2">
        <f t="shared" si="5"/>
        <v>4.0580999999999999E-2</v>
      </c>
      <c r="N36" s="2">
        <f t="shared" si="5"/>
        <v>0</v>
      </c>
      <c r="O36" s="2">
        <f t="shared" si="5"/>
        <v>0</v>
      </c>
      <c r="P36" s="2">
        <f t="shared" si="5"/>
        <v>236.80599999999998</v>
      </c>
      <c r="Q36" s="2">
        <f t="shared" si="10"/>
        <v>178.69</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7</v>
      </c>
      <c r="B37" s="23">
        <v>167</v>
      </c>
      <c r="C37" s="2">
        <f t="shared" si="6"/>
        <v>167</v>
      </c>
      <c r="D37" s="2">
        <f t="shared" si="7"/>
        <v>62.745908</v>
      </c>
      <c r="E37" s="2">
        <f t="shared" si="8"/>
        <v>40.448235000000004</v>
      </c>
      <c r="F37" s="2">
        <f t="shared" si="9"/>
        <v>25.3904462</v>
      </c>
      <c r="G37" s="2">
        <f t="shared" si="5"/>
        <v>5.4108000000000003E-2</v>
      </c>
      <c r="H37" s="2">
        <f t="shared" si="5"/>
        <v>0.51436000000000004</v>
      </c>
      <c r="I37" s="2">
        <f t="shared" si="5"/>
        <v>8.3500000000000005E-2</v>
      </c>
      <c r="J37" s="2">
        <f t="shared" si="5"/>
        <v>1.67E-3</v>
      </c>
      <c r="K37" s="2">
        <f t="shared" si="5"/>
        <v>8.3499999999999998E-3</v>
      </c>
      <c r="L37" s="2">
        <f t="shared" si="5"/>
        <v>3.3399999999999999E-2</v>
      </c>
      <c r="M37" s="2">
        <f t="shared" si="5"/>
        <v>4.0580999999999999E-2</v>
      </c>
      <c r="N37" s="2">
        <f t="shared" si="5"/>
        <v>0</v>
      </c>
      <c r="O37" s="2">
        <f t="shared" si="5"/>
        <v>0</v>
      </c>
      <c r="P37" s="2">
        <f t="shared" si="5"/>
        <v>236.80599999999998</v>
      </c>
      <c r="Q37" s="2">
        <f t="shared" si="10"/>
        <v>178.69</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8</v>
      </c>
      <c r="B38" s="23">
        <v>167</v>
      </c>
      <c r="C38" s="2">
        <f t="shared" si="6"/>
        <v>167</v>
      </c>
      <c r="D38" s="2">
        <f t="shared" si="7"/>
        <v>62.745908</v>
      </c>
      <c r="E38" s="2">
        <f t="shared" si="8"/>
        <v>40.448235000000004</v>
      </c>
      <c r="F38" s="2">
        <f t="shared" si="9"/>
        <v>25.3904462</v>
      </c>
      <c r="G38" s="2">
        <f t="shared" si="5"/>
        <v>5.4108000000000003E-2</v>
      </c>
      <c r="H38" s="2">
        <f t="shared" si="5"/>
        <v>0.51436000000000004</v>
      </c>
      <c r="I38" s="2">
        <f t="shared" si="5"/>
        <v>8.3500000000000005E-2</v>
      </c>
      <c r="J38" s="2">
        <f t="shared" si="5"/>
        <v>1.67E-3</v>
      </c>
      <c r="K38" s="2">
        <f t="shared" si="5"/>
        <v>8.3499999999999998E-3</v>
      </c>
      <c r="L38" s="2">
        <f t="shared" si="5"/>
        <v>3.3399999999999999E-2</v>
      </c>
      <c r="M38" s="2">
        <f t="shared" si="5"/>
        <v>4.0580999999999999E-2</v>
      </c>
      <c r="N38" s="2">
        <f t="shared" si="5"/>
        <v>0</v>
      </c>
      <c r="O38" s="2">
        <f t="shared" si="5"/>
        <v>0</v>
      </c>
      <c r="P38" s="2">
        <f t="shared" si="5"/>
        <v>236.80599999999998</v>
      </c>
      <c r="Q38" s="2">
        <f t="shared" si="10"/>
        <v>178.69</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9</v>
      </c>
      <c r="B39" s="23">
        <v>167</v>
      </c>
      <c r="C39" s="2">
        <f t="shared" si="6"/>
        <v>167</v>
      </c>
      <c r="D39" s="2">
        <f t="shared" si="7"/>
        <v>62.745908</v>
      </c>
      <c r="E39" s="2">
        <f t="shared" si="8"/>
        <v>40.448235000000004</v>
      </c>
      <c r="F39" s="2">
        <f t="shared" si="9"/>
        <v>25.3904462</v>
      </c>
      <c r="G39" s="2">
        <f t="shared" si="5"/>
        <v>5.4108000000000003E-2</v>
      </c>
      <c r="H39" s="2">
        <f t="shared" si="5"/>
        <v>0.51436000000000004</v>
      </c>
      <c r="I39" s="2">
        <f t="shared" si="5"/>
        <v>8.3500000000000005E-2</v>
      </c>
      <c r="J39" s="2">
        <f t="shared" si="5"/>
        <v>1.67E-3</v>
      </c>
      <c r="K39" s="2">
        <f t="shared" si="5"/>
        <v>8.3499999999999998E-3</v>
      </c>
      <c r="L39" s="2">
        <f t="shared" si="5"/>
        <v>3.3399999999999999E-2</v>
      </c>
      <c r="M39" s="2">
        <f t="shared" si="5"/>
        <v>4.0580999999999999E-2</v>
      </c>
      <c r="N39" s="2">
        <f t="shared" si="5"/>
        <v>0</v>
      </c>
      <c r="O39" s="2">
        <f t="shared" si="5"/>
        <v>0</v>
      </c>
      <c r="P39" s="2">
        <f t="shared" si="5"/>
        <v>236.80599999999998</v>
      </c>
      <c r="Q39" s="2">
        <f t="shared" si="10"/>
        <v>178.69</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10</v>
      </c>
      <c r="B40" s="23">
        <v>167</v>
      </c>
      <c r="C40" s="2">
        <f t="shared" si="6"/>
        <v>167</v>
      </c>
      <c r="D40" s="2">
        <f t="shared" si="7"/>
        <v>62.745908</v>
      </c>
      <c r="E40" s="2">
        <f t="shared" si="8"/>
        <v>40.448235000000004</v>
      </c>
      <c r="F40" s="2">
        <f t="shared" si="9"/>
        <v>25.3904462</v>
      </c>
      <c r="G40" s="2">
        <f t="shared" si="5"/>
        <v>5.4108000000000003E-2</v>
      </c>
      <c r="H40" s="2">
        <f t="shared" si="5"/>
        <v>0.51436000000000004</v>
      </c>
      <c r="I40" s="2">
        <f t="shared" si="5"/>
        <v>8.3500000000000005E-2</v>
      </c>
      <c r="J40" s="2">
        <f t="shared" si="5"/>
        <v>1.67E-3</v>
      </c>
      <c r="K40" s="2">
        <f t="shared" si="5"/>
        <v>8.3499999999999998E-3</v>
      </c>
      <c r="L40" s="2">
        <f t="shared" si="5"/>
        <v>3.3399999999999999E-2</v>
      </c>
      <c r="M40" s="2">
        <f t="shared" si="5"/>
        <v>4.0580999999999999E-2</v>
      </c>
      <c r="N40" s="2">
        <f t="shared" si="5"/>
        <v>0</v>
      </c>
      <c r="O40" s="2">
        <f t="shared" si="5"/>
        <v>0</v>
      </c>
      <c r="P40" s="2">
        <f t="shared" si="5"/>
        <v>236.80599999999998</v>
      </c>
      <c r="Q40" s="2">
        <f t="shared" si="10"/>
        <v>178.69</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11</v>
      </c>
      <c r="B41" s="23">
        <v>167</v>
      </c>
      <c r="C41" s="2">
        <f t="shared" si="6"/>
        <v>167</v>
      </c>
      <c r="D41" s="2">
        <f t="shared" si="7"/>
        <v>62.745908</v>
      </c>
      <c r="E41" s="2">
        <f t="shared" si="8"/>
        <v>40.448235000000004</v>
      </c>
      <c r="F41" s="2">
        <f t="shared" si="9"/>
        <v>25.3904462</v>
      </c>
      <c r="G41" s="2">
        <f t="shared" si="5"/>
        <v>5.4108000000000003E-2</v>
      </c>
      <c r="H41" s="2">
        <f t="shared" si="5"/>
        <v>0.51436000000000004</v>
      </c>
      <c r="I41" s="2">
        <f t="shared" si="5"/>
        <v>8.3500000000000005E-2</v>
      </c>
      <c r="J41" s="2">
        <f t="shared" si="5"/>
        <v>1.67E-3</v>
      </c>
      <c r="K41" s="2">
        <f t="shared" si="5"/>
        <v>8.3499999999999998E-3</v>
      </c>
      <c r="L41" s="2">
        <f t="shared" si="5"/>
        <v>3.3399999999999999E-2</v>
      </c>
      <c r="M41" s="2">
        <f t="shared" si="5"/>
        <v>4.0580999999999999E-2</v>
      </c>
      <c r="N41" s="2">
        <f t="shared" si="5"/>
        <v>0</v>
      </c>
      <c r="O41" s="2">
        <f t="shared" si="5"/>
        <v>0</v>
      </c>
      <c r="P41" s="2">
        <f t="shared" si="5"/>
        <v>236.80599999999998</v>
      </c>
      <c r="Q41" s="2">
        <f t="shared" si="10"/>
        <v>178.69</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12</v>
      </c>
      <c r="B42" s="23">
        <v>167</v>
      </c>
      <c r="C42" s="2">
        <f t="shared" si="6"/>
        <v>167</v>
      </c>
      <c r="D42" s="2">
        <f t="shared" si="7"/>
        <v>62.745908</v>
      </c>
      <c r="E42" s="2">
        <f t="shared" si="8"/>
        <v>40.448235000000004</v>
      </c>
      <c r="F42" s="2">
        <f t="shared" si="9"/>
        <v>25.3904462</v>
      </c>
      <c r="G42" s="2">
        <f t="shared" si="5"/>
        <v>5.4108000000000003E-2</v>
      </c>
      <c r="H42" s="2">
        <f t="shared" si="5"/>
        <v>0.51436000000000004</v>
      </c>
      <c r="I42" s="2">
        <f t="shared" si="5"/>
        <v>8.3500000000000005E-2</v>
      </c>
      <c r="J42" s="2">
        <f t="shared" si="5"/>
        <v>1.67E-3</v>
      </c>
      <c r="K42" s="2">
        <f t="shared" si="5"/>
        <v>8.3499999999999998E-3</v>
      </c>
      <c r="L42" s="2">
        <f t="shared" si="5"/>
        <v>3.3399999999999999E-2</v>
      </c>
      <c r="M42" s="2">
        <f t="shared" si="5"/>
        <v>4.0580999999999999E-2</v>
      </c>
      <c r="N42" s="2">
        <f t="shared" si="5"/>
        <v>0</v>
      </c>
      <c r="O42" s="2">
        <f t="shared" si="5"/>
        <v>0</v>
      </c>
      <c r="P42" s="2">
        <f t="shared" si="5"/>
        <v>236.80599999999998</v>
      </c>
      <c r="Q42" s="2">
        <f t="shared" si="10"/>
        <v>178.69</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13</v>
      </c>
      <c r="B43" s="23">
        <v>167</v>
      </c>
      <c r="C43" s="2">
        <f t="shared" si="6"/>
        <v>167</v>
      </c>
      <c r="D43" s="2">
        <f t="shared" si="7"/>
        <v>62.745908</v>
      </c>
      <c r="E43" s="2">
        <f t="shared" si="8"/>
        <v>40.448235000000004</v>
      </c>
      <c r="F43" s="2">
        <f t="shared" si="9"/>
        <v>25.3904462</v>
      </c>
      <c r="G43" s="2">
        <f t="shared" si="5"/>
        <v>5.4108000000000003E-2</v>
      </c>
      <c r="H43" s="2">
        <f t="shared" si="5"/>
        <v>0.51436000000000004</v>
      </c>
      <c r="I43" s="2">
        <f t="shared" si="5"/>
        <v>8.3500000000000005E-2</v>
      </c>
      <c r="J43" s="2">
        <f t="shared" si="5"/>
        <v>1.67E-3</v>
      </c>
      <c r="K43" s="2">
        <f t="shared" si="5"/>
        <v>8.3499999999999998E-3</v>
      </c>
      <c r="L43" s="2">
        <f t="shared" si="5"/>
        <v>3.3399999999999999E-2</v>
      </c>
      <c r="M43" s="2">
        <f t="shared" si="5"/>
        <v>4.0580999999999999E-2</v>
      </c>
      <c r="N43" s="2">
        <f t="shared" si="5"/>
        <v>0</v>
      </c>
      <c r="O43" s="2">
        <f t="shared" si="5"/>
        <v>0</v>
      </c>
      <c r="P43" s="2">
        <f t="shared" si="5"/>
        <v>236.80599999999998</v>
      </c>
      <c r="Q43" s="2">
        <f t="shared" si="10"/>
        <v>178.69</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14</v>
      </c>
      <c r="B44" s="23">
        <v>167</v>
      </c>
      <c r="C44" s="2">
        <f t="shared" si="6"/>
        <v>167</v>
      </c>
      <c r="D44" s="2">
        <f t="shared" si="7"/>
        <v>62.745908</v>
      </c>
      <c r="E44" s="2">
        <f t="shared" si="8"/>
        <v>40.448235000000004</v>
      </c>
      <c r="F44" s="2">
        <f t="shared" si="9"/>
        <v>25.3904462</v>
      </c>
      <c r="G44" s="2">
        <f t="shared" si="5"/>
        <v>5.4108000000000003E-2</v>
      </c>
      <c r="H44" s="2">
        <f t="shared" si="5"/>
        <v>0.51436000000000004</v>
      </c>
      <c r="I44" s="2">
        <f t="shared" si="5"/>
        <v>8.3500000000000005E-2</v>
      </c>
      <c r="J44" s="2">
        <f t="shared" si="5"/>
        <v>1.67E-3</v>
      </c>
      <c r="K44" s="2">
        <f t="shared" si="5"/>
        <v>8.3499999999999998E-3</v>
      </c>
      <c r="L44" s="2">
        <f t="shared" si="5"/>
        <v>3.3399999999999999E-2</v>
      </c>
      <c r="M44" s="2">
        <f t="shared" si="5"/>
        <v>4.0580999999999999E-2</v>
      </c>
      <c r="N44" s="2">
        <f t="shared" si="5"/>
        <v>0</v>
      </c>
      <c r="O44" s="2">
        <f t="shared" si="5"/>
        <v>0</v>
      </c>
      <c r="P44" s="2">
        <f t="shared" si="5"/>
        <v>236.80599999999998</v>
      </c>
      <c r="Q44" s="2">
        <f t="shared" si="10"/>
        <v>178.69</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15</v>
      </c>
      <c r="B45" s="23">
        <v>167</v>
      </c>
      <c r="C45" s="2">
        <f t="shared" si="6"/>
        <v>167</v>
      </c>
      <c r="D45" s="2">
        <f t="shared" si="7"/>
        <v>62.745908</v>
      </c>
      <c r="E45" s="2">
        <f t="shared" si="8"/>
        <v>40.448235000000004</v>
      </c>
      <c r="F45" s="2">
        <f t="shared" si="9"/>
        <v>25.3904462</v>
      </c>
      <c r="G45" s="2">
        <f t="shared" si="5"/>
        <v>5.4108000000000003E-2</v>
      </c>
      <c r="H45" s="2">
        <f t="shared" si="5"/>
        <v>0.51436000000000004</v>
      </c>
      <c r="I45" s="2">
        <f t="shared" si="5"/>
        <v>8.3500000000000005E-2</v>
      </c>
      <c r="J45" s="2">
        <f t="shared" si="5"/>
        <v>1.67E-3</v>
      </c>
      <c r="K45" s="2">
        <f t="shared" si="5"/>
        <v>8.3499999999999998E-3</v>
      </c>
      <c r="L45" s="2">
        <f t="shared" si="5"/>
        <v>3.3399999999999999E-2</v>
      </c>
      <c r="M45" s="2">
        <f t="shared" si="5"/>
        <v>4.0580999999999999E-2</v>
      </c>
      <c r="N45" s="2">
        <f t="shared" si="5"/>
        <v>0</v>
      </c>
      <c r="O45" s="2">
        <f t="shared" si="5"/>
        <v>0</v>
      </c>
      <c r="P45" s="2">
        <f t="shared" si="5"/>
        <v>236.80599999999998</v>
      </c>
      <c r="Q45" s="2">
        <f t="shared" si="10"/>
        <v>178.69</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16</v>
      </c>
      <c r="B46" s="23">
        <v>167</v>
      </c>
      <c r="C46" s="2">
        <f t="shared" si="6"/>
        <v>167</v>
      </c>
      <c r="D46" s="2">
        <f t="shared" si="7"/>
        <v>62.745908</v>
      </c>
      <c r="E46" s="2">
        <f t="shared" si="8"/>
        <v>40.448235000000004</v>
      </c>
      <c r="F46" s="2">
        <f t="shared" si="9"/>
        <v>25.3904462</v>
      </c>
      <c r="G46" s="2">
        <f t="shared" si="5"/>
        <v>5.4108000000000003E-2</v>
      </c>
      <c r="H46" s="2">
        <f t="shared" si="5"/>
        <v>0.51436000000000004</v>
      </c>
      <c r="I46" s="2">
        <f t="shared" si="5"/>
        <v>8.3500000000000005E-2</v>
      </c>
      <c r="J46" s="2">
        <f t="shared" si="5"/>
        <v>1.67E-3</v>
      </c>
      <c r="K46" s="2">
        <f t="shared" si="5"/>
        <v>8.3499999999999998E-3</v>
      </c>
      <c r="L46" s="2">
        <f t="shared" si="5"/>
        <v>3.3399999999999999E-2</v>
      </c>
      <c r="M46" s="2">
        <f t="shared" si="5"/>
        <v>4.0580999999999999E-2</v>
      </c>
      <c r="N46" s="2">
        <f t="shared" si="5"/>
        <v>0</v>
      </c>
      <c r="O46" s="2">
        <f t="shared" si="5"/>
        <v>0</v>
      </c>
      <c r="P46" s="2">
        <f t="shared" si="5"/>
        <v>236.80599999999998</v>
      </c>
      <c r="Q46" s="2">
        <f t="shared" si="10"/>
        <v>178.69</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17</v>
      </c>
      <c r="B47" s="23">
        <v>167</v>
      </c>
      <c r="C47" s="2">
        <f t="shared" si="6"/>
        <v>167</v>
      </c>
      <c r="D47" s="2">
        <f t="shared" si="7"/>
        <v>62.745908</v>
      </c>
      <c r="E47" s="2">
        <f t="shared" si="8"/>
        <v>40.448235000000004</v>
      </c>
      <c r="F47" s="2">
        <f t="shared" si="9"/>
        <v>25.3904462</v>
      </c>
      <c r="G47" s="2">
        <f t="shared" ref="G47:P50" si="12">IF(G$27="%w/w SAR",((G$28*10)*$B47),IF(G$27="%w/w DM",(((G$28*10)*($B$28/100))*$B47),IF(G$27="kg/t SAR",(G$28*$B47),IF(G$27="kg/t DM",((G$28*($B$28/100))*$B47),IF(G$27="mg/kg SAR",((G$28*0.001)*$B47),IF(G$27="mg/kg DM",(((G$28*0.001)*($B$28/100))*$B47),0))))))</f>
        <v>5.4108000000000003E-2</v>
      </c>
      <c r="H47" s="2">
        <f t="shared" si="12"/>
        <v>0.51436000000000004</v>
      </c>
      <c r="I47" s="2">
        <f t="shared" si="12"/>
        <v>8.3500000000000005E-2</v>
      </c>
      <c r="J47" s="2">
        <f t="shared" si="12"/>
        <v>1.67E-3</v>
      </c>
      <c r="K47" s="2">
        <f t="shared" si="12"/>
        <v>8.3499999999999998E-3</v>
      </c>
      <c r="L47" s="2">
        <f t="shared" si="12"/>
        <v>3.3399999999999999E-2</v>
      </c>
      <c r="M47" s="2">
        <f t="shared" si="12"/>
        <v>4.0580999999999999E-2</v>
      </c>
      <c r="N47" s="2">
        <f t="shared" si="12"/>
        <v>0</v>
      </c>
      <c r="O47" s="2">
        <f t="shared" si="12"/>
        <v>0</v>
      </c>
      <c r="P47" s="2">
        <f t="shared" si="12"/>
        <v>236.80599999999998</v>
      </c>
      <c r="Q47" s="2">
        <f t="shared" si="10"/>
        <v>178.69</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18</v>
      </c>
      <c r="B48" s="23">
        <v>167</v>
      </c>
      <c r="C48" s="2">
        <f t="shared" si="6"/>
        <v>167</v>
      </c>
      <c r="D48" s="2">
        <f t="shared" si="7"/>
        <v>62.745908</v>
      </c>
      <c r="E48" s="2">
        <f t="shared" si="8"/>
        <v>40.448235000000004</v>
      </c>
      <c r="F48" s="2">
        <f t="shared" si="9"/>
        <v>25.3904462</v>
      </c>
      <c r="G48" s="2">
        <f t="shared" si="12"/>
        <v>5.4108000000000003E-2</v>
      </c>
      <c r="H48" s="2">
        <f t="shared" si="12"/>
        <v>0.51436000000000004</v>
      </c>
      <c r="I48" s="2">
        <f t="shared" si="12"/>
        <v>8.3500000000000005E-2</v>
      </c>
      <c r="J48" s="2">
        <f t="shared" si="12"/>
        <v>1.67E-3</v>
      </c>
      <c r="K48" s="2">
        <f t="shared" si="12"/>
        <v>8.3499999999999998E-3</v>
      </c>
      <c r="L48" s="2">
        <f t="shared" si="12"/>
        <v>3.3399999999999999E-2</v>
      </c>
      <c r="M48" s="2">
        <f t="shared" si="12"/>
        <v>4.0580999999999999E-2</v>
      </c>
      <c r="N48" s="2">
        <f t="shared" si="12"/>
        <v>0</v>
      </c>
      <c r="O48" s="2">
        <f t="shared" si="12"/>
        <v>0</v>
      </c>
      <c r="P48" s="2">
        <f t="shared" si="12"/>
        <v>236.80599999999998</v>
      </c>
      <c r="Q48" s="2">
        <f t="shared" si="10"/>
        <v>178.69</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15</v>
      </c>
      <c r="Q57" s="16">
        <f t="shared" si="13"/>
        <v>16</v>
      </c>
      <c r="R57" s="16">
        <f t="shared" si="13"/>
        <v>17</v>
      </c>
      <c r="S57" s="16">
        <f t="shared" si="13"/>
        <v>18</v>
      </c>
      <c r="T57" s="16">
        <f t="shared" si="13"/>
        <v>0</v>
      </c>
      <c r="U57" s="16">
        <f t="shared" si="13"/>
        <v>0</v>
      </c>
    </row>
    <row r="58" spans="1:35" s="27" customFormat="1" hidden="1" x14ac:dyDescent="0.25">
      <c r="A58" s="42" t="s">
        <v>136</v>
      </c>
      <c r="B58" s="44" t="str">
        <f>C16&amp;" I "&amp;(VLOOKUP(C14,Table2456[],6,FALSE))</f>
        <v>Sandy Loam I Grass</v>
      </c>
      <c r="C58" s="44" t="str">
        <f>D16&amp;" I "&amp;(VLOOKUP(D14,Table2456[],6,FALSE))</f>
        <v>Sandy Loam I Grass</v>
      </c>
      <c r="D58" s="21" t="str">
        <f>E16&amp;" I "&amp;(VLOOKUP(E14,Table2456[],6,FALSE))</f>
        <v>Sandy Loam I Grass</v>
      </c>
      <c r="E58" s="21" t="str">
        <f>F16&amp;" I "&amp;(VLOOKUP(F14,Table2456[],6,FALSE))</f>
        <v>Sandy Loam I Grass</v>
      </c>
      <c r="F58" s="21" t="str">
        <f>G16&amp;" I "&amp;(VLOOKUP(G14,Table2456[],6,FALSE))</f>
        <v>Sandy Loam I Grass</v>
      </c>
      <c r="G58" s="21" t="str">
        <f>H16&amp;" I "&amp;(VLOOKUP(H14,Table2456[],6,FALSE))</f>
        <v>Sandy Loam I Grass</v>
      </c>
      <c r="H58" s="21" t="str">
        <f>I16&amp;" I "&amp;(VLOOKUP(I14,Table2456[],6,FALSE))</f>
        <v>Sandy Loam I Grass</v>
      </c>
      <c r="I58" s="21" t="str">
        <f>J16&amp;" I "&amp;(VLOOKUP(J14,Table2456[],6,FALSE))</f>
        <v>Sandy Loam I Grass</v>
      </c>
      <c r="J58" s="21" t="str">
        <f>K16&amp;" I "&amp;(VLOOKUP(K14,Table2456[],6,FALSE))</f>
        <v>Sandy Loam I Grass</v>
      </c>
      <c r="K58" s="21" t="str">
        <f>L16&amp;" I "&amp;(VLOOKUP(L14,Table2456[],6,FALSE))</f>
        <v>Sandy Loam I Grass</v>
      </c>
      <c r="L58" s="21" t="str">
        <f>M16&amp;" I "&amp;(VLOOKUP(M14,Table2456[],6,FALSE))</f>
        <v>Sandy Loam I Grass</v>
      </c>
      <c r="M58" s="21" t="str">
        <f>N16&amp;" I "&amp;(VLOOKUP(N14,Table2456[],6,FALSE))</f>
        <v>Sandy Loam I Grass</v>
      </c>
      <c r="N58" s="21" t="str">
        <f>O16&amp;" I "&amp;(VLOOKUP(O14,Table2456[],6,FALSE))</f>
        <v>Sandy Loam I Grass</v>
      </c>
      <c r="O58" s="21" t="str">
        <f>P16&amp;" I "&amp;(VLOOKUP(P14,Table2456[],6,FALSE))</f>
        <v>Sandy Loam I Grass</v>
      </c>
      <c r="P58" s="21" t="str">
        <f>Q16&amp;" I "&amp;(VLOOKUP(Q14,Table2456[],6,FALSE))</f>
        <v>Sandy Loam I Grass</v>
      </c>
      <c r="Q58" s="21" t="str">
        <f>R16&amp;" I "&amp;(VLOOKUP(R14,Table2456[],6,FALSE))</f>
        <v>Sandy Loam I Grass</v>
      </c>
      <c r="R58" s="21" t="str">
        <f>S16&amp;" I "&amp;(VLOOKUP(S14,Table2456[],6,FALSE))</f>
        <v>Sandy Loam I Grass</v>
      </c>
      <c r="S58" s="21" t="str">
        <f>T16&amp;" I "&amp;(VLOOKUP(T14,Table2456[],6,FALSE))</f>
        <v>Sandy Loam I Grass</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6.2</v>
      </c>
      <c r="H59" s="93">
        <f>VLOOKUP(I$14,Table2456[],5,FALSE)</f>
        <v>6.2</v>
      </c>
      <c r="I59" s="93">
        <f>VLOOKUP(J$14,Table2456[],5,FALSE)</f>
        <v>6.2</v>
      </c>
      <c r="J59" s="93">
        <f>VLOOKUP(K$14,Table2456[],5,FALSE)</f>
        <v>6.2</v>
      </c>
      <c r="K59" s="93">
        <f>VLOOKUP(L$14,Table2456[],5,FALSE)</f>
        <v>6.2</v>
      </c>
      <c r="L59" s="93">
        <f>VLOOKUP(M$14,Table2456[],5,FALSE)</f>
        <v>6.2</v>
      </c>
      <c r="M59" s="93">
        <f>VLOOKUP(N$14,Table2456[],5,FALSE)</f>
        <v>6.2</v>
      </c>
      <c r="N59" s="93">
        <f>VLOOKUP(O$14,Table2456[],5,FALSE)</f>
        <v>6.2</v>
      </c>
      <c r="O59" s="93">
        <f>VLOOKUP(P$14,Table2456[],5,FALSE)</f>
        <v>6.2</v>
      </c>
      <c r="P59" s="93">
        <f>VLOOKUP(Q$14,Table2456[],5,FALSE)</f>
        <v>6.2</v>
      </c>
      <c r="Q59" s="93">
        <f>VLOOKUP(R$14,Table2456[],5,FALSE)</f>
        <v>6.2</v>
      </c>
      <c r="R59" s="93">
        <f>VLOOKUP(S$14,Table2456[],5,FALSE)</f>
        <v>6.2</v>
      </c>
      <c r="S59" s="93">
        <f>VLOOKUP(T$14,Table2456[],5,FALSE)</f>
        <v>6.2</v>
      </c>
      <c r="T59" s="93" t="e">
        <f>VLOOKUP(U$14,Table2456[],5,FALSE)</f>
        <v>#N/A</v>
      </c>
      <c r="U59" s="93" t="e">
        <f>VLOOKUP(V$14,Table2456[],5,FALSE)</f>
        <v>#N/A</v>
      </c>
    </row>
    <row r="60" spans="1:35" s="27" customFormat="1" hidden="1" x14ac:dyDescent="0.2">
      <c r="A60" s="92" t="s">
        <v>4</v>
      </c>
      <c r="B60" s="93">
        <f>C10</f>
        <v>5.7</v>
      </c>
      <c r="C60" s="93">
        <f t="shared" ref="C60:U60" si="14">D10</f>
        <v>6.2</v>
      </c>
      <c r="D60" s="93">
        <f t="shared" si="14"/>
        <v>6.1</v>
      </c>
      <c r="E60" s="93">
        <f t="shared" si="14"/>
        <v>6.1</v>
      </c>
      <c r="F60" s="93">
        <f t="shared" si="14"/>
        <v>5.8</v>
      </c>
      <c r="G60" s="93">
        <f t="shared" si="14"/>
        <v>5.6</v>
      </c>
      <c r="H60" s="93">
        <f t="shared" si="14"/>
        <v>6</v>
      </c>
      <c r="I60" s="93">
        <f t="shared" si="14"/>
        <v>5.7</v>
      </c>
      <c r="J60" s="93">
        <f t="shared" si="14"/>
        <v>5.4</v>
      </c>
      <c r="K60" s="93">
        <f t="shared" si="14"/>
        <v>5.6</v>
      </c>
      <c r="L60" s="93">
        <f t="shared" si="14"/>
        <v>5.5</v>
      </c>
      <c r="M60" s="93">
        <f t="shared" si="14"/>
        <v>5.8</v>
      </c>
      <c r="N60" s="93">
        <f t="shared" si="14"/>
        <v>5.5</v>
      </c>
      <c r="O60" s="93">
        <f t="shared" si="14"/>
        <v>5.6</v>
      </c>
      <c r="P60" s="93">
        <f t="shared" si="14"/>
        <v>5.7</v>
      </c>
      <c r="Q60" s="93">
        <f t="shared" si="14"/>
        <v>5.3</v>
      </c>
      <c r="R60" s="93">
        <f t="shared" si="14"/>
        <v>5.4</v>
      </c>
      <c r="S60" s="93">
        <f t="shared" si="14"/>
        <v>5.3</v>
      </c>
      <c r="T60" s="93">
        <f t="shared" si="14"/>
        <v>0</v>
      </c>
      <c r="U60" s="93">
        <f t="shared" si="14"/>
        <v>0</v>
      </c>
    </row>
    <row r="61" spans="1:35" s="27" customFormat="1" hidden="1" x14ac:dyDescent="0.2">
      <c r="A61" s="92" t="s">
        <v>131</v>
      </c>
      <c r="B61" s="93">
        <f t="shared" ref="B61:U61" si="15">VLOOKUP(B58,$AD9:$AE18,2,FALSE)</f>
        <v>5</v>
      </c>
      <c r="C61" s="93">
        <f t="shared" si="15"/>
        <v>5</v>
      </c>
      <c r="D61" s="93">
        <f t="shared" si="15"/>
        <v>5</v>
      </c>
      <c r="E61" s="93">
        <f t="shared" si="15"/>
        <v>5</v>
      </c>
      <c r="F61" s="93">
        <f t="shared" si="15"/>
        <v>5</v>
      </c>
      <c r="G61" s="93">
        <f t="shared" si="15"/>
        <v>5</v>
      </c>
      <c r="H61" s="93">
        <f t="shared" si="15"/>
        <v>5</v>
      </c>
      <c r="I61" s="93">
        <f t="shared" si="15"/>
        <v>5</v>
      </c>
      <c r="J61" s="93">
        <f t="shared" si="15"/>
        <v>5</v>
      </c>
      <c r="K61" s="93">
        <f t="shared" si="15"/>
        <v>5</v>
      </c>
      <c r="L61" s="93">
        <f t="shared" si="15"/>
        <v>5</v>
      </c>
      <c r="M61" s="93">
        <f t="shared" si="15"/>
        <v>5</v>
      </c>
      <c r="N61" s="93">
        <f t="shared" si="15"/>
        <v>5</v>
      </c>
      <c r="O61" s="93">
        <f t="shared" si="15"/>
        <v>5</v>
      </c>
      <c r="P61" s="93">
        <f t="shared" si="15"/>
        <v>5</v>
      </c>
      <c r="Q61" s="93">
        <f t="shared" si="15"/>
        <v>5</v>
      </c>
      <c r="R61" s="93">
        <f t="shared" si="15"/>
        <v>5</v>
      </c>
      <c r="S61" s="93">
        <f t="shared" si="15"/>
        <v>5</v>
      </c>
      <c r="T61" s="93" t="e">
        <f t="shared" si="15"/>
        <v>#N/A</v>
      </c>
      <c r="U61" s="93" t="e">
        <f t="shared" si="15"/>
        <v>#N/A</v>
      </c>
    </row>
    <row r="62" spans="1:35" s="27" customFormat="1" hidden="1" x14ac:dyDescent="0.2">
      <c r="A62" s="92" t="s">
        <v>132</v>
      </c>
      <c r="B62" s="94">
        <f>B31</f>
        <v>167</v>
      </c>
      <c r="C62" s="94">
        <f>B32</f>
        <v>167</v>
      </c>
      <c r="D62" s="94">
        <f>B33</f>
        <v>167</v>
      </c>
      <c r="E62" s="94">
        <f>B34</f>
        <v>167</v>
      </c>
      <c r="F62" s="94">
        <f>B35</f>
        <v>167</v>
      </c>
      <c r="G62" s="94">
        <f>B36</f>
        <v>167</v>
      </c>
      <c r="H62" s="94">
        <f>B37</f>
        <v>167</v>
      </c>
      <c r="I62" s="94">
        <f>B38</f>
        <v>167</v>
      </c>
      <c r="J62" s="94">
        <f>B39</f>
        <v>167</v>
      </c>
      <c r="K62" s="94">
        <f>B40</f>
        <v>167</v>
      </c>
      <c r="L62" s="94">
        <f>B41</f>
        <v>167</v>
      </c>
      <c r="M62" s="94">
        <f>B42</f>
        <v>167</v>
      </c>
      <c r="N62" s="94">
        <f>B43</f>
        <v>167</v>
      </c>
      <c r="O62" s="94">
        <f>B44</f>
        <v>167</v>
      </c>
      <c r="P62" s="94">
        <f>B45</f>
        <v>167</v>
      </c>
      <c r="Q62" s="94">
        <f>B46</f>
        <v>167</v>
      </c>
      <c r="R62" s="94">
        <f>B47</f>
        <v>167</v>
      </c>
      <c r="S62" s="94">
        <f>B48</f>
        <v>167</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2.5</v>
      </c>
      <c r="C64" s="94">
        <f t="shared" ref="C64:U64" si="17">(C59-C60)*C61</f>
        <v>0</v>
      </c>
      <c r="D64" s="94">
        <f t="shared" si="17"/>
        <v>0.50000000000000266</v>
      </c>
      <c r="E64" s="94">
        <f t="shared" si="17"/>
        <v>0.50000000000000266</v>
      </c>
      <c r="F64" s="94">
        <f t="shared" si="17"/>
        <v>2.0000000000000018</v>
      </c>
      <c r="G64" s="94">
        <f t="shared" si="17"/>
        <v>3.0000000000000027</v>
      </c>
      <c r="H64" s="94">
        <f t="shared" si="17"/>
        <v>1.0000000000000009</v>
      </c>
      <c r="I64" s="94">
        <f t="shared" si="17"/>
        <v>2.5</v>
      </c>
      <c r="J64" s="94">
        <f t="shared" si="17"/>
        <v>3.9999999999999991</v>
      </c>
      <c r="K64" s="94">
        <f t="shared" si="17"/>
        <v>3.0000000000000027</v>
      </c>
      <c r="L64" s="94">
        <f t="shared" si="17"/>
        <v>3.5000000000000009</v>
      </c>
      <c r="M64" s="94">
        <f t="shared" si="17"/>
        <v>2.0000000000000018</v>
      </c>
      <c r="N64" s="94">
        <f t="shared" si="17"/>
        <v>3.5000000000000009</v>
      </c>
      <c r="O64" s="94">
        <f t="shared" si="17"/>
        <v>3.0000000000000027</v>
      </c>
      <c r="P64" s="94">
        <f t="shared" si="17"/>
        <v>2.5</v>
      </c>
      <c r="Q64" s="94">
        <f t="shared" si="17"/>
        <v>4.5000000000000018</v>
      </c>
      <c r="R64" s="94">
        <f t="shared" si="17"/>
        <v>3.9999999999999991</v>
      </c>
      <c r="S64" s="94">
        <f t="shared" si="17"/>
        <v>4.5000000000000018</v>
      </c>
      <c r="T64" s="94" t="e">
        <f t="shared" si="17"/>
        <v>#N/A</v>
      </c>
      <c r="U64" s="94" t="e">
        <f t="shared" si="17"/>
        <v>#N/A</v>
      </c>
    </row>
    <row r="65" spans="1:21" s="27" customFormat="1" ht="38.25" x14ac:dyDescent="0.2">
      <c r="A65" s="86" t="s">
        <v>148</v>
      </c>
      <c r="B65" s="95" t="str">
        <f>IF(B64&lt;=B63,"OVER","UNDER")</f>
        <v>UNDER</v>
      </c>
      <c r="C65" s="95" t="str">
        <f t="shared" ref="C65:U65" si="18">IF(C64&lt;=C63,"OVER","UNDER")</f>
        <v>OVER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str">
        <f t="shared" si="18"/>
        <v>UNDER</v>
      </c>
      <c r="S65" s="95" t="str">
        <f t="shared" si="18"/>
        <v>UNDER</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54" ma:contentTypeDescription="Permitting &amp; Compliance Excel Document" ma:contentTypeScope="" ma:versionID="469f4232e90f3db2ddf0644039f7ccdd">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b3b0d93c91a735ac21e51dcecf267fd8"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2021-05-16T23:00:00+00:00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501943-0C66-4DAA-BC3D-A4FA8B42F88E}"/>
</file>

<file path=customXml/itemProps2.xml><?xml version="1.0" encoding="utf-8"?>
<ds:datastoreItem xmlns:ds="http://schemas.openxmlformats.org/officeDocument/2006/customXml" ds:itemID="{DB4EE20B-7156-4083-8466-DEA89ABA7DAA}"/>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2021-05-17T12:30:23Z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efb0d534-2a23-410f-93e9-7bfaf6d4826c</vt:lpwstr>
  </property>
  <property fmtid="{D5CDD505-2E9C-101B-9397-08002B2CF9AE}" pid="4" name="_dlc_DocId">
    <vt:lpwstr>REGU-204-2742708</vt:lpwstr>
  </property>
  <property fmtid="{D5CDD505-2E9C-101B-9397-08002B2CF9AE}" pid="5" name="_dlc_DocIdUrl">
    <vt:lpwstr>https://cyfoethnaturiolcymru.sharepoint.com/teams/Regulatory/Permitting/_layouts/15/DocIdRedir.aspx?ID=REGU-204-2742708, REGU-204-2742708</vt:lpwstr>
  </property>
</Properties>
</file>