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4268\"/>
    </mc:Choice>
  </mc:AlternateContent>
  <xr:revisionPtr revIDLastSave="0" documentId="13_ncr:1_{A613BA45-F0FC-4DAA-AD30-0124E9B60CC4}" xr6:coauthVersionLast="45" xr6:coauthVersionMax="45" xr10:uidLastSave="{00000000-0000-0000-0000-000000000000}"/>
  <bookViews>
    <workbookView xWindow="-28920" yWindow="-120" windowWidth="29040" windowHeight="15840" tabRatio="870" xr2:uid="{00000000-000D-0000-FFFF-FFFF00000000}"/>
  </bookViews>
  <sheets>
    <sheet name="Field data and Waste 1" sheetId="1" r:id="rId1"/>
    <sheet name="Waste 2" sheetId="21" r:id="rId2"/>
    <sheet name="Waste 3" sheetId="27"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U62" i="27" l="1"/>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D50" i="27"/>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D42" i="27"/>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Q24" i="27"/>
  <c r="P24" i="27"/>
  <c r="O24" i="27"/>
  <c r="N24" i="27"/>
  <c r="M24" i="27"/>
  <c r="L24" i="27"/>
  <c r="V22" i="27"/>
  <c r="S22" i="27"/>
  <c r="O22" i="27"/>
  <c r="N22" i="27"/>
  <c r="K22" i="27"/>
  <c r="I22" i="27"/>
  <c r="G22" i="27"/>
  <c r="V20" i="27"/>
  <c r="U20" i="27"/>
  <c r="T20" i="27"/>
  <c r="S20" i="27"/>
  <c r="R20" i="27"/>
  <c r="Q20" i="27"/>
  <c r="P20" i="27"/>
  <c r="O20" i="27"/>
  <c r="N20" i="27"/>
  <c r="M20" i="27"/>
  <c r="L20" i="27"/>
  <c r="V18" i="27"/>
  <c r="T18" i="27"/>
  <c r="S18" i="27"/>
  <c r="R18" i="27"/>
  <c r="Q18" i="27"/>
  <c r="O18" i="27"/>
  <c r="N18" i="27"/>
  <c r="L18" i="27"/>
  <c r="J18" i="27"/>
  <c r="F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Q17" i="27" s="1"/>
  <c r="P14" i="27"/>
  <c r="O14" i="27"/>
  <c r="N14" i="27"/>
  <c r="M14" i="27"/>
  <c r="L14" i="27"/>
  <c r="K14" i="27"/>
  <c r="J14" i="27"/>
  <c r="I14" i="27"/>
  <c r="I17" i="27" s="1"/>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A34" i="21" s="1"/>
  <c r="G8" i="21"/>
  <c r="A35" i="21" s="1"/>
  <c r="H8" i="21"/>
  <c r="A36" i="21" s="1"/>
  <c r="I8" i="21"/>
  <c r="H57" i="21" s="1"/>
  <c r="J8" i="21"/>
  <c r="I57" i="21" s="1"/>
  <c r="K8" i="21"/>
  <c r="A39" i="21" s="1"/>
  <c r="L8" i="21"/>
  <c r="A40" i="21" s="1"/>
  <c r="M8" i="21"/>
  <c r="L57" i="21" s="1"/>
  <c r="N8" i="21"/>
  <c r="M57" i="21" s="1"/>
  <c r="O8" i="21"/>
  <c r="N57" i="21" s="1"/>
  <c r="P8" i="21"/>
  <c r="A44" i="21" s="1"/>
  <c r="Q8" i="21"/>
  <c r="P57" i="21" s="1"/>
  <c r="R8" i="21"/>
  <c r="A46" i="21" s="1"/>
  <c r="S8" i="21"/>
  <c r="A47" i="21" s="1"/>
  <c r="T8" i="21"/>
  <c r="A48" i="21" s="1"/>
  <c r="U8" i="21"/>
  <c r="T57" i="21" s="1"/>
  <c r="V8" i="21"/>
  <c r="U57"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J10" i="21"/>
  <c r="I60" i="21" s="1"/>
  <c r="K10" i="21"/>
  <c r="J60" i="21" s="1"/>
  <c r="L10" i="21"/>
  <c r="K60" i="21" s="1"/>
  <c r="M10" i="21"/>
  <c r="L60" i="21" s="1"/>
  <c r="N10" i="21"/>
  <c r="M60" i="21" s="1"/>
  <c r="O10" i="21"/>
  <c r="N60" i="21" s="1"/>
  <c r="P10" i="21"/>
  <c r="Q10" i="21"/>
  <c r="P60" i="21" s="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N63" i="21" s="1"/>
  <c r="M62" i="21"/>
  <c r="L62" i="21"/>
  <c r="K62" i="21"/>
  <c r="J62" i="21"/>
  <c r="I62" i="21"/>
  <c r="H62" i="21"/>
  <c r="G62" i="21"/>
  <c r="F62" i="21"/>
  <c r="F63" i="21" s="1"/>
  <c r="E62" i="21"/>
  <c r="D62" i="21"/>
  <c r="C62" i="21"/>
  <c r="B62" i="21"/>
  <c r="U60" i="21"/>
  <c r="O60" i="21"/>
  <c r="H60" i="21"/>
  <c r="E57" i="21"/>
  <c r="G55" i="21"/>
  <c r="E55" i="21"/>
  <c r="U63" i="21" s="1"/>
  <c r="D55" i="21"/>
  <c r="U50" i="21"/>
  <c r="T50" i="21"/>
  <c r="S50" i="21"/>
  <c r="R50" i="21"/>
  <c r="Q50" i="21"/>
  <c r="P50" i="21"/>
  <c r="O50" i="21"/>
  <c r="N50" i="21"/>
  <c r="M50" i="21"/>
  <c r="L50" i="21"/>
  <c r="K50" i="21"/>
  <c r="J50" i="21"/>
  <c r="I50" i="21"/>
  <c r="H50" i="21"/>
  <c r="G50" i="21"/>
  <c r="F50" i="21"/>
  <c r="E50" i="21"/>
  <c r="V22" i="21" s="1"/>
  <c r="D50" i="2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A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V20" i="21"/>
  <c r="U20" i="21"/>
  <c r="T20" i="21"/>
  <c r="S20" i="21"/>
  <c r="R20" i="21"/>
  <c r="Q20" i="21"/>
  <c r="P20" i="21"/>
  <c r="O20" i="21"/>
  <c r="N20" i="21"/>
  <c r="M20" i="21"/>
  <c r="L20" i="21"/>
  <c r="V18" i="21"/>
  <c r="F58" i="21" l="1"/>
  <c r="F61" i="21" s="1"/>
  <c r="M17" i="21"/>
  <c r="M21" i="21"/>
  <c r="K59" i="21"/>
  <c r="K64" i="21" s="1"/>
  <c r="L17" i="21"/>
  <c r="L21" i="21"/>
  <c r="T58" i="21"/>
  <c r="T61" i="21" s="1"/>
  <c r="L58" i="21"/>
  <c r="L61" i="21" s="1"/>
  <c r="D58" i="21"/>
  <c r="D61" i="21" s="1"/>
  <c r="R59" i="21"/>
  <c r="S21" i="21"/>
  <c r="S17" i="21"/>
  <c r="S19" i="21" s="1"/>
  <c r="J59" i="21"/>
  <c r="K21" i="21"/>
  <c r="K17" i="21"/>
  <c r="J59" i="27"/>
  <c r="K17" i="27"/>
  <c r="R59" i="27"/>
  <c r="S17" i="27"/>
  <c r="T59" i="21"/>
  <c r="U17" i="21"/>
  <c r="U21" i="21"/>
  <c r="U23" i="21" s="1"/>
  <c r="U24" i="21" s="1"/>
  <c r="F57" i="21"/>
  <c r="S59" i="21"/>
  <c r="T17" i="21"/>
  <c r="T21" i="21"/>
  <c r="Q59" i="21"/>
  <c r="R21" i="21"/>
  <c r="R23" i="21" s="1"/>
  <c r="R24" i="21" s="1"/>
  <c r="R17" i="21"/>
  <c r="I59" i="21"/>
  <c r="J21" i="21"/>
  <c r="J17" i="21"/>
  <c r="C59" i="27"/>
  <c r="D17" i="27"/>
  <c r="K59" i="27"/>
  <c r="K64" i="27" s="1"/>
  <c r="L17" i="27"/>
  <c r="L19" i="27" s="1"/>
  <c r="S59" i="27"/>
  <c r="T17" i="27"/>
  <c r="D59" i="27"/>
  <c r="E17" i="27"/>
  <c r="E19" i="27" s="1"/>
  <c r="E20" i="27" s="1"/>
  <c r="L59" i="27"/>
  <c r="M17" i="27"/>
  <c r="T59" i="27"/>
  <c r="U17" i="27"/>
  <c r="I21" i="21"/>
  <c r="I17" i="21"/>
  <c r="O59" i="21"/>
  <c r="P21" i="21"/>
  <c r="P17" i="21"/>
  <c r="E59" i="27"/>
  <c r="F17" i="27"/>
  <c r="M59" i="27"/>
  <c r="N17" i="27"/>
  <c r="U59" i="27"/>
  <c r="V17" i="27"/>
  <c r="P59" i="21"/>
  <c r="Q21" i="21"/>
  <c r="Q17" i="21"/>
  <c r="L59" i="21"/>
  <c r="N59" i="21"/>
  <c r="O21" i="21"/>
  <c r="O23" i="21" s="1"/>
  <c r="O24" i="21" s="1"/>
  <c r="O17" i="21"/>
  <c r="O19" i="21" s="1"/>
  <c r="F59" i="21"/>
  <c r="F64" i="21" s="1"/>
  <c r="F65" i="21" s="1"/>
  <c r="G21" i="21"/>
  <c r="G17" i="21"/>
  <c r="G17" i="27"/>
  <c r="O17" i="27"/>
  <c r="H21" i="21"/>
  <c r="H17" i="21"/>
  <c r="O58" i="21"/>
  <c r="O61" i="21" s="1"/>
  <c r="G58" i="21"/>
  <c r="G61" i="21" s="1"/>
  <c r="U59" i="21"/>
  <c r="V17" i="21"/>
  <c r="V21" i="21"/>
  <c r="M59" i="21"/>
  <c r="N17" i="21"/>
  <c r="N19" i="21" s="1"/>
  <c r="N21" i="21"/>
  <c r="N23" i="21" s="1"/>
  <c r="N24" i="21" s="1"/>
  <c r="E59" i="21"/>
  <c r="F17" i="21"/>
  <c r="F21" i="21"/>
  <c r="H17" i="27"/>
  <c r="H19" i="27" s="1"/>
  <c r="H20" i="27" s="1"/>
  <c r="P17" i="27"/>
  <c r="P19" i="27" s="1"/>
  <c r="E17" i="21"/>
  <c r="E19" i="21" s="1"/>
  <c r="E20" i="21" s="1"/>
  <c r="E21" i="21"/>
  <c r="E23" i="21" s="1"/>
  <c r="E24" i="21" s="1"/>
  <c r="C59" i="21"/>
  <c r="D17" i="21"/>
  <c r="D19" i="21" s="1"/>
  <c r="D20" i="21" s="1"/>
  <c r="D21" i="21"/>
  <c r="D23" i="21" s="1"/>
  <c r="D24" i="21" s="1"/>
  <c r="I59" i="27"/>
  <c r="J17" i="27"/>
  <c r="Q59" i="27"/>
  <c r="R17" i="27"/>
  <c r="B59" i="27"/>
  <c r="C17" i="27"/>
  <c r="C21" i="27"/>
  <c r="C23" i="27" s="1"/>
  <c r="C24" i="27" s="1"/>
  <c r="B59" i="21"/>
  <c r="C21" i="21"/>
  <c r="C23" i="21" s="1"/>
  <c r="C24" i="21" s="1"/>
  <c r="C17" i="21"/>
  <c r="C19" i="21" s="1"/>
  <c r="C20" i="21" s="1"/>
  <c r="S58" i="21"/>
  <c r="S61" i="21" s="1"/>
  <c r="C58" i="21"/>
  <c r="C61" i="21" s="1"/>
  <c r="K58" i="21"/>
  <c r="K61" i="21" s="1"/>
  <c r="I21" i="27"/>
  <c r="I23" i="27" s="1"/>
  <c r="I24" i="27" s="1"/>
  <c r="Q21" i="27"/>
  <c r="R58" i="21"/>
  <c r="R61" i="21" s="1"/>
  <c r="S23" i="21"/>
  <c r="S24" i="21" s="1"/>
  <c r="O57" i="21"/>
  <c r="A43" i="21"/>
  <c r="J58" i="21"/>
  <c r="J61" i="21" s="1"/>
  <c r="J64" i="21" s="1"/>
  <c r="G21" i="27"/>
  <c r="O21" i="27"/>
  <c r="O23" i="27" s="1"/>
  <c r="H21" i="27"/>
  <c r="H23" i="27" s="1"/>
  <c r="H24" i="27" s="1"/>
  <c r="P21" i="27"/>
  <c r="J58" i="27"/>
  <c r="J61" i="27" s="1"/>
  <c r="J64" i="27" s="1"/>
  <c r="R58" i="27"/>
  <c r="R61" i="27" s="1"/>
  <c r="R64" i="27" s="1"/>
  <c r="D19" i="27"/>
  <c r="D20" i="27" s="1"/>
  <c r="L21" i="27"/>
  <c r="L23" i="27" s="1"/>
  <c r="T21" i="27"/>
  <c r="P58" i="21"/>
  <c r="P61" i="21" s="1"/>
  <c r="H58" i="21"/>
  <c r="H61" i="21" s="1"/>
  <c r="R57" i="21"/>
  <c r="D58" i="27"/>
  <c r="D61" i="27" s="1"/>
  <c r="D64" i="27" s="1"/>
  <c r="L58" i="27"/>
  <c r="L61" i="27" s="1"/>
  <c r="T58" i="27"/>
  <c r="T61" i="27" s="1"/>
  <c r="T64" i="27" s="1"/>
  <c r="J57" i="21"/>
  <c r="H59" i="21"/>
  <c r="J19" i="27"/>
  <c r="J20" i="27" s="1"/>
  <c r="R21" i="27"/>
  <c r="R23" i="27" s="1"/>
  <c r="O64" i="21"/>
  <c r="E58" i="27"/>
  <c r="E61" i="27" s="1"/>
  <c r="E64" i="27" s="1"/>
  <c r="M58" i="27"/>
  <c r="M61" i="27" s="1"/>
  <c r="M64" i="27" s="1"/>
  <c r="U58" i="27"/>
  <c r="U61" i="27" s="1"/>
  <c r="G59" i="21"/>
  <c r="G64" i="21" s="1"/>
  <c r="F58" i="27"/>
  <c r="F61" i="27" s="1"/>
  <c r="N58" i="27"/>
  <c r="N61" i="27" s="1"/>
  <c r="G58" i="27"/>
  <c r="G61" i="27" s="1"/>
  <c r="K19" i="21"/>
  <c r="K20" i="21" s="1"/>
  <c r="Q57" i="21"/>
  <c r="B58" i="21"/>
  <c r="B61" i="21" s="1"/>
  <c r="H58" i="27"/>
  <c r="H61" i="27" s="1"/>
  <c r="P58" i="27"/>
  <c r="P61" i="27" s="1"/>
  <c r="F57" i="27"/>
  <c r="O58" i="27"/>
  <c r="O61" i="27" s="1"/>
  <c r="U19" i="21"/>
  <c r="V19" i="21"/>
  <c r="A38" i="21"/>
  <c r="I58" i="27"/>
  <c r="I61" i="27" s="1"/>
  <c r="I64" i="27" s="1"/>
  <c r="Q58" i="27"/>
  <c r="Q61" i="27" s="1"/>
  <c r="Q64" i="27" s="1"/>
  <c r="H57" i="27"/>
  <c r="F59" i="27"/>
  <c r="P19" i="21"/>
  <c r="P23" i="27"/>
  <c r="N57" i="27"/>
  <c r="H59" i="27"/>
  <c r="H64" i="27" s="1"/>
  <c r="F19" i="21"/>
  <c r="F20" i="21" s="1"/>
  <c r="Q58" i="21"/>
  <c r="Q61" i="21" s="1"/>
  <c r="I58" i="21"/>
  <c r="I61" i="21" s="1"/>
  <c r="I64" i="21" s="1"/>
  <c r="C58" i="27"/>
  <c r="C61" i="27" s="1"/>
  <c r="C64" i="27" s="1"/>
  <c r="K58" i="27"/>
  <c r="K61" i="27" s="1"/>
  <c r="S58" i="27"/>
  <c r="S61" i="27" s="1"/>
  <c r="S64" i="27" s="1"/>
  <c r="P57" i="27"/>
  <c r="N59" i="27"/>
  <c r="M19" i="21"/>
  <c r="G57" i="21"/>
  <c r="G23" i="27"/>
  <c r="G24" i="27" s="1"/>
  <c r="P59" i="27"/>
  <c r="P64" i="27" s="1"/>
  <c r="B58" i="27"/>
  <c r="B61" i="27" s="1"/>
  <c r="Q23" i="27"/>
  <c r="T23" i="27"/>
  <c r="R19" i="27"/>
  <c r="J21" i="27"/>
  <c r="J23" i="27" s="1"/>
  <c r="J24" i="27" s="1"/>
  <c r="F63" i="27"/>
  <c r="N63" i="27"/>
  <c r="C19" i="27"/>
  <c r="C20" i="27" s="1"/>
  <c r="K19" i="27"/>
  <c r="K20" i="27" s="1"/>
  <c r="S19" i="27"/>
  <c r="K21" i="27"/>
  <c r="K23" i="27" s="1"/>
  <c r="K24" i="27" s="1"/>
  <c r="S21" i="27"/>
  <c r="S23" i="27" s="1"/>
  <c r="A31" i="27"/>
  <c r="A33" i="27"/>
  <c r="A39" i="27"/>
  <c r="A41" i="27"/>
  <c r="A47" i="27"/>
  <c r="A49" i="27"/>
  <c r="G57" i="27"/>
  <c r="O57" i="27"/>
  <c r="G59" i="27"/>
  <c r="O59" i="27"/>
  <c r="G63" i="27"/>
  <c r="O63" i="27"/>
  <c r="T19" i="27"/>
  <c r="D21" i="27"/>
  <c r="D23" i="27" s="1"/>
  <c r="D24" i="27" s="1"/>
  <c r="P63" i="27"/>
  <c r="M19" i="27"/>
  <c r="U19" i="27"/>
  <c r="E21" i="27"/>
  <c r="E23" i="27" s="1"/>
  <c r="E24" i="27" s="1"/>
  <c r="M21" i="27"/>
  <c r="M23" i="27" s="1"/>
  <c r="U21" i="27"/>
  <c r="U23" i="27" s="1"/>
  <c r="I57" i="27"/>
  <c r="Q57" i="27"/>
  <c r="I63" i="27"/>
  <c r="Q63" i="27"/>
  <c r="F19" i="27"/>
  <c r="F20" i="27" s="1"/>
  <c r="N19" i="27"/>
  <c r="V19" i="27"/>
  <c r="F21" i="27"/>
  <c r="F23" i="27" s="1"/>
  <c r="F24" i="27" s="1"/>
  <c r="N21" i="27"/>
  <c r="N23" i="27" s="1"/>
  <c r="V21" i="27"/>
  <c r="V23" i="27" s="1"/>
  <c r="B63" i="27"/>
  <c r="J63" i="27"/>
  <c r="R63" i="27"/>
  <c r="G19" i="27"/>
  <c r="G20" i="27" s="1"/>
  <c r="O19" i="27"/>
  <c r="A32" i="27"/>
  <c r="A34" i="27"/>
  <c r="A40" i="27"/>
  <c r="A42" i="27"/>
  <c r="A48" i="27"/>
  <c r="A50" i="27"/>
  <c r="C63" i="27"/>
  <c r="K63" i="27"/>
  <c r="S63" i="27"/>
  <c r="D63" i="27"/>
  <c r="L63" i="27"/>
  <c r="T63" i="27"/>
  <c r="H63" i="27"/>
  <c r="I19" i="27"/>
  <c r="I20" i="27" s="1"/>
  <c r="Q19" i="27"/>
  <c r="E63" i="27"/>
  <c r="M63" i="27"/>
  <c r="P64" i="21"/>
  <c r="N64" i="21"/>
  <c r="N65" i="21" s="1"/>
  <c r="H23" i="21"/>
  <c r="H24" i="21" s="1"/>
  <c r="L23" i="21"/>
  <c r="L24" i="21" s="1"/>
  <c r="P23" i="21"/>
  <c r="P24" i="21" s="1"/>
  <c r="T23" i="21"/>
  <c r="T24" i="21" s="1"/>
  <c r="F23" i="21"/>
  <c r="F24" i="21" s="1"/>
  <c r="V23" i="21"/>
  <c r="V24" i="21" s="1"/>
  <c r="A33" i="21"/>
  <c r="A37" i="21"/>
  <c r="A41" i="21"/>
  <c r="A45" i="21"/>
  <c r="A49" i="21"/>
  <c r="E58" i="21"/>
  <c r="E61" i="21" s="1"/>
  <c r="M58" i="21"/>
  <c r="M61" i="21" s="1"/>
  <c r="M64" i="21" s="1"/>
  <c r="U58" i="21"/>
  <c r="U61" i="21" s="1"/>
  <c r="U64" i="21" s="1"/>
  <c r="U65" i="21" s="1"/>
  <c r="H19" i="21"/>
  <c r="H20" i="21" s="1"/>
  <c r="I23" i="21"/>
  <c r="I24" i="21" s="1"/>
  <c r="Q23" i="21"/>
  <c r="Q24" i="21" s="1"/>
  <c r="G23" i="21"/>
  <c r="G24" i="21" s="1"/>
  <c r="K23" i="21"/>
  <c r="K24" i="21" s="1"/>
  <c r="M23" i="21"/>
  <c r="M24" i="21" s="1"/>
  <c r="C57" i="21"/>
  <c r="K57" i="21"/>
  <c r="S57" i="21"/>
  <c r="G19" i="21"/>
  <c r="G20" i="21" s="1"/>
  <c r="Q19" i="21"/>
  <c r="J23" i="21"/>
  <c r="J24" i="21" s="1"/>
  <c r="I19" i="21"/>
  <c r="I20" i="21" s="1"/>
  <c r="J19" i="21"/>
  <c r="J20" i="21" s="1"/>
  <c r="L19" i="21"/>
  <c r="T19" i="21"/>
  <c r="R19" i="21"/>
  <c r="A31" i="21"/>
  <c r="Q64" i="21"/>
  <c r="D64" i="21"/>
  <c r="L64" i="21"/>
  <c r="T64" i="21"/>
  <c r="R64" i="21"/>
  <c r="C64" i="21"/>
  <c r="S64" i="21"/>
  <c r="S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4" i="21" l="1"/>
  <c r="H65" i="21" s="1"/>
  <c r="E64" i="21"/>
  <c r="O65" i="21"/>
  <c r="L64" i="27"/>
  <c r="L65" i="27" s="1"/>
  <c r="U64" i="27"/>
  <c r="U65" i="27" s="1"/>
  <c r="S65" i="27"/>
  <c r="B64" i="27"/>
  <c r="B65" i="27" s="1"/>
  <c r="B64" i="21"/>
  <c r="B65" i="21" s="1"/>
  <c r="O64" i="27"/>
  <c r="O65" i="27" s="1"/>
  <c r="N64" i="27"/>
  <c r="N65" i="27" s="1"/>
  <c r="H65" i="27"/>
  <c r="I65" i="21"/>
  <c r="Q65" i="21"/>
  <c r="P65" i="21"/>
  <c r="K65" i="27"/>
  <c r="R65" i="27"/>
  <c r="C65" i="27"/>
  <c r="J65" i="27"/>
  <c r="G64" i="27"/>
  <c r="G65" i="27" s="1"/>
  <c r="F64" i="27"/>
  <c r="F65" i="27" s="1"/>
  <c r="G65" i="21"/>
  <c r="J65" i="21"/>
  <c r="T65" i="27"/>
  <c r="E65" i="21"/>
  <c r="T65" i="21"/>
  <c r="L65" i="21"/>
  <c r="S64" i="1"/>
  <c r="D65" i="27"/>
  <c r="R64" i="1"/>
  <c r="Q64" i="1"/>
  <c r="U64" i="1"/>
  <c r="P64" i="1"/>
  <c r="E65" i="27"/>
  <c r="Q65" i="27"/>
  <c r="I65" i="27"/>
  <c r="M65" i="27"/>
  <c r="P65" i="27"/>
  <c r="M65" i="21"/>
  <c r="K65" i="21"/>
  <c r="C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<sst xmlns="http://schemas.openxmlformats.org/spreadsheetml/2006/main" count="683" uniqueCount="171">
  <si>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</si>
  <si>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</si>
  <si>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</si>
  <si>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</si>
  <si>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</si>
  <si>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</si>
  <si>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</si>
  <si>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</si>
  <si>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</si>
  <si>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</si>
  <si>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</si>
  <si>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</si>
  <si>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</si>
  <si>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</si>
  <si>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</si>
  <si>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</si>
  <si>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</si>
  <si>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</si>
  <si>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</si>
  <si>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</si>
  <si>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</si>
  <si>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</si>
  <si>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</si>
  <si>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</si>
  <si>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</si>
  <si>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</si>
  <si>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</si>
  <si>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</si>
  <si>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</si>
  <si>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</si>
  <si>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</si>
  <si>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</si>
  <si>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</si>
  <si>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</si>
  <si>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</si>
  <si>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</si>
  <si>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</si>
  <si>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</si>
  <si>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</si>
  <si>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</si>
  <si>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</si>
  <si>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</si>
  <si>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</si>
  <si>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</si>
  <si>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</si>
  <si>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</si>
  <si>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</si>
  <si>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</si>
  <si>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</si>
  <si>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</si>
  <si>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</si>
  <si>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</si>
  <si>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</si>
  <si>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</si>
  <si>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</si>
  <si>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</si>
  <si>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</si>
  <si>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</si>
  <si>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</si>
  <si>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</si>
  <si>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</si>
  <si>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</si>
  <si>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</si>
  <si>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</si>
  <si>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</si>
  <si>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</si>
  <si>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</si>
  <si>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</si>
  <si>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</si>
  <si>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</si>
  <si>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</si>
  <si>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</si>
  <si>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</si>
  <si>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</si>
  <si>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</si>
  <si>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</si>
  <si>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</si>
  <si>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</si>
  <si>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</si>
  <si>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</si>
  <si>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</si>
  <si>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</si>
  <si>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</si>
  <si>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</si>
  <si>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</si>
  <si>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</si>
  <si>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</si>
  <si>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</si>
  <si>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</si>
  <si>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</si>
  <si>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</si>
  <si>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</si>
  <si>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</si>
  <si>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</si>
  <si>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</si>
  <si>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</si>
  <si>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</si>
  <si>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</si>
  <si>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</si>
  <si>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</si>
  <si>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</si>
  <si>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</si>
  <si>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</si>
  <si>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</si>
  <si>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</si>
  <si>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</si>
  <si>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</si>
  <si>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</si>
  <si>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</si>
  <si>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</si>
  <si>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</si>
  <si>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</si>
  <si>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</si>
  <si>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</si>
  <si>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</si>
  <si>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</si>
  <si>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</si>
  <si>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</si>
  <si>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</si>
  <si>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</si>
  <si>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</si>
  <si>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</si>
  <si>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</si>
  <si>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</si>
  <si>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</si>
  <si>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</si>
  <si>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</si>
  <si>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</si>
  <si>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</si>
  <si>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</si>
  <si>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</si>
  <si>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</si>
  <si>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</si>
  <si>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</si>
  <si>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</si>
  <si>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</si>
  <si>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</si>
  <si>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</si>
  <si>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</si>
  <si>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</si>
  <si>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</si>
  <si>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</si>
  <si>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</si>
  <si>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</si>
  <si>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</si>
  <si>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</si>
  <si>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</si>
  <si>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</si>
  <si>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</si>
  <si>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</si>
  <si>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</si>
  <si>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</si>
  <si>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PAN-014268</t>
  </si>
  <si>
    <t>EPR-AB3891CX</t>
  </si>
  <si>
    <t>Stepside Agri</t>
  </si>
  <si>
    <t>Trewindsor Farm, Llangoedmor, Cardigan, Ceredigion, SA43 2LN</t>
  </si>
  <si>
    <t>Sion Sleep</t>
  </si>
  <si>
    <t>Trewindsor 1 (29/30)</t>
  </si>
  <si>
    <t>Trewindsor 2 (31)</t>
  </si>
  <si>
    <t>Trewindsor 3 (32)</t>
  </si>
  <si>
    <t>Trewindsor 4 (50)</t>
  </si>
  <si>
    <t>Trewindsor 5 (52)</t>
  </si>
  <si>
    <t>Trewindsor 6 (53)</t>
  </si>
  <si>
    <t>Trewindsor 7 (51)</t>
  </si>
  <si>
    <t>Tyriet 8</t>
  </si>
  <si>
    <t xml:space="preserve"> Tyriet  9</t>
  </si>
  <si>
    <t>Moderate</t>
  </si>
  <si>
    <t>02 05 02</t>
  </si>
  <si>
    <t>Dairy partners</t>
  </si>
  <si>
    <t>Volac</t>
  </si>
  <si>
    <t>First Milk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</si>
</sst>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2">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12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99" dataDxfId="97" headerRowBorderDxfId="98" tableBorderDxfId="96" totalsRowBorderDxfId="95">
  <autoFilter ref="AI1:AN26" xr:uid="{F8B5EC87-3095-445A-A980-2CFAA0A7B9A2}"/>
  <sortState xmlns:xlrd2="http://schemas.microsoft.com/office/spreadsheetml/2017/richdata2" ref="AI2:AL25">
    <sortCondition ref="AL1:AL25"/>
  </sortState>
  <tableColumns count="6">
    <tableColumn id="1" xr3:uid="{360F44E4-7249-415F-8D5E-41D249F9A162}" name="Crop" dataDxfId="94"/>
    <tableColumn id="2" xr3:uid="{55E07717-B4EC-4E8A-B9A9-34F3CF85E32D}" name="P Offtake" dataDxfId="93"/>
    <tableColumn id="3" xr3:uid="{7B25FA52-8104-4FE3-AED4-B53CBFDF89B2}" name="K Offtake" dataDxfId="92"/>
    <tableColumn id="4" xr3:uid="{0DBAE461-2D09-43C8-9342-3980D552AE4D}" name="Order" dataDxfId="91"/>
    <tableColumn id="5" xr3:uid="{52CACE7B-0CBA-46FC-9F24-02CBD6100239}" name="Lime pH requirement" dataDxfId="90"/>
    <tableColumn id="6" xr3:uid="{F1432630-9B16-4266-8147-CE754A715307}" name="Column1" dataDxfId="8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9" dataDxfId="57" headerRowBorderDxfId="58" tableBorderDxfId="56" totalsRowBorderDxfId="55">
  <autoFilter ref="AI1:AN26" xr:uid="{F8B5EC87-3095-445A-A980-2CFAA0A7B9A2}"/>
  <sortState xmlns:xlrd2="http://schemas.microsoft.com/office/spreadsheetml/2017/richdata2" ref="AI2:AL25">
    <sortCondition ref="AL1:AL25"/>
  </sortState>
  <tableColumns count="6">
    <tableColumn id="1" xr3:uid="{7E96A84B-948F-445F-BD6E-30CC8E6E6DD1}" name="Crop" dataDxfId="54"/>
    <tableColumn id="2" xr3:uid="{12657DDB-F680-47DE-ABB1-8675D5F91E41}" name="P Offtake" dataDxfId="53"/>
    <tableColumn id="3" xr3:uid="{DEB99109-D325-4F98-8A71-E70C03433437}" name="K Offtake" dataDxfId="52"/>
    <tableColumn id="4" xr3:uid="{E96A561F-7E7F-4FB3-97AA-0B35D8C8E93A}" name="Order" dataDxfId="51"/>
    <tableColumn id="5" xr3:uid="{181DD475-0A71-4C52-AF1A-8BFF46F5A827}" name="Lime pH requirement" dataDxfId="50"/>
    <tableColumn id="6" xr3:uid="{AC3FA7E8-D76B-43A3-B715-04446DFF63C6}" name="Column1" dataDxfId="4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9" dataDxfId="17" headerRowBorderDxfId="18" tableBorderDxfId="16" totalsRowBorderDxfId="15">
  <autoFilter ref="AI1:AN26" xr:uid="{F8B5EC87-3095-445A-A980-2CFAA0A7B9A2}"/>
  <sortState xmlns:xlrd2="http://schemas.microsoft.com/office/spreadsheetml/2017/richdata2" ref="AI2:AL25">
    <sortCondition ref="AL1:AL25"/>
  </sortState>
  <tableColumns count="6">
    <tableColumn id="1" xr3:uid="{06008BA1-A1E9-4286-B67A-352533C06A26}" name="Crop" dataDxfId="14"/>
    <tableColumn id="2" xr3:uid="{2AEB5EEB-C9D1-41DC-913E-953A33D1A4AF}" name="P Offtake" dataDxfId="13"/>
    <tableColumn id="3" xr3:uid="{8FA16A0B-1017-4CEE-862E-0A8CBD8EB3D3}" name="K Offtake" dataDxfId="12"/>
    <tableColumn id="4" xr3:uid="{E7A3B8CD-4036-47F4-B818-C3F22E80C749}" name="Order" dataDxfId="11"/>
    <tableColumn id="5" xr3:uid="{8F3EBD84-7904-4559-9B5C-63088B792C98}" name="Lime pH requirement" dataDxfId="10"/>
    <tableColumn id="6" xr3:uid="{A21DD95A-C955-4510-9114-E3F1CB645370}" name="Column1" dataDxfId="9"/>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abSelected="1" zoomScale="90" zoomScaleNormal="90" workbookViewId="0">
      <selection sqref="A1:B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42" width="0" style="19" hidden="1" customWidth="1"/>
    <col min="43" max="16384" width="13.140625" style="19"/>
  </cols>
  <sheetData>
    <row r="1" spans="1:40" x14ac:dyDescent="0.2">
      <c r="A1" s="120" t="s">
        <v>41</v>
      </c>
      <c r="B1" s="120"/>
      <c r="C1" s="106" t="s">
        <v>152</v>
      </c>
      <c r="D1" s="107"/>
      <c r="E1" s="37" t="s">
        <v>45</v>
      </c>
      <c r="F1" s="35">
        <v>49.2</v>
      </c>
      <c r="G1" s="108" t="s">
        <v>43</v>
      </c>
      <c r="H1" s="109"/>
      <c r="I1" s="103">
        <v>5.21</v>
      </c>
      <c r="AB1" s="26"/>
      <c r="AC1" s="26"/>
      <c r="AD1" s="43" t="s">
        <v>124</v>
      </c>
      <c r="AE1" s="25"/>
      <c r="AF1" s="25"/>
      <c r="AG1" s="26"/>
      <c r="AH1" s="26"/>
      <c r="AI1" s="47" t="s">
        <v>79</v>
      </c>
      <c r="AJ1" s="48" t="s">
        <v>91</v>
      </c>
      <c r="AK1" s="49" t="s">
        <v>92</v>
      </c>
      <c r="AL1" s="50" t="s">
        <v>123</v>
      </c>
      <c r="AM1" s="50" t="s">
        <v>129</v>
      </c>
      <c r="AN1" s="50" t="s">
        <v>109</v>
      </c>
    </row>
    <row r="2" spans="1:40" x14ac:dyDescent="0.2">
      <c r="A2" s="120" t="s">
        <v>84</v>
      </c>
      <c r="B2" s="120"/>
      <c r="C2" s="104" t="s">
        <v>153</v>
      </c>
      <c r="D2" s="105"/>
      <c r="E2" s="37" t="s">
        <v>106</v>
      </c>
      <c r="F2" s="103" t="s">
        <v>167</v>
      </c>
      <c r="G2" s="110" t="s">
        <v>107</v>
      </c>
      <c r="H2" s="111"/>
      <c r="I2" s="103">
        <v>820</v>
      </c>
      <c r="AB2" s="43" t="s">
        <v>56</v>
      </c>
      <c r="AC2" s="25"/>
      <c r="AD2" s="43" t="s">
        <v>70</v>
      </c>
      <c r="AE2" s="25"/>
      <c r="AF2" s="25"/>
      <c r="AG2" s="51" t="s">
        <v>76</v>
      </c>
      <c r="AH2" s="26"/>
      <c r="AI2" s="52" t="s">
        <v>124</v>
      </c>
      <c r="AJ2" s="53">
        <v>0</v>
      </c>
      <c r="AK2" s="54">
        <v>0</v>
      </c>
      <c r="AL2" s="18">
        <v>0</v>
      </c>
      <c r="AM2" s="19">
        <v>0</v>
      </c>
      <c r="AN2" s="19">
        <v>0</v>
      </c>
    </row>
    <row r="3" spans="1:40" x14ac:dyDescent="0.2">
      <c r="A3" s="124" t="s">
        <v>42</v>
      </c>
      <c r="B3" s="125"/>
      <c r="C3" s="104" t="s">
        <v>154</v>
      </c>
      <c r="D3" s="105"/>
      <c r="E3" s="37" t="s">
        <v>105</v>
      </c>
      <c r="F3" s="45" t="s">
        <v>78</v>
      </c>
      <c r="G3" s="112" t="s">
        <v>108</v>
      </c>
      <c r="H3" s="112"/>
      <c r="I3" s="103">
        <v>0.19600000000000001</v>
      </c>
      <c r="AB3" s="43" t="s">
        <v>57</v>
      </c>
      <c r="AC3" s="25"/>
      <c r="AD3" s="43" t="s">
        <v>71</v>
      </c>
      <c r="AE3" s="25"/>
      <c r="AF3" s="25"/>
      <c r="AG3" s="51" t="s">
        <v>77</v>
      </c>
      <c r="AH3" s="26"/>
      <c r="AI3" s="55" t="s">
        <v>111</v>
      </c>
      <c r="AJ3" s="56">
        <v>1.7</v>
      </c>
      <c r="AK3" s="57">
        <v>6</v>
      </c>
      <c r="AL3" s="58">
        <v>1</v>
      </c>
      <c r="AM3" s="19">
        <v>6.2</v>
      </c>
      <c r="AN3" s="19" t="s">
        <v>110</v>
      </c>
    </row>
    <row r="4" spans="1:40" x14ac:dyDescent="0.2">
      <c r="A4" s="120" t="s">
        <v>0</v>
      </c>
      <c r="B4" s="120"/>
      <c r="C4" s="106" t="s">
        <v>155</v>
      </c>
      <c r="D4" s="107"/>
      <c r="E4" s="38" t="s">
        <v>1</v>
      </c>
      <c r="F4" s="102" t="s">
        <v>168</v>
      </c>
      <c r="G4" s="112"/>
      <c r="H4" s="112"/>
      <c r="I4" s="35"/>
      <c r="AB4" s="43" t="s">
        <v>52</v>
      </c>
      <c r="AC4" s="25"/>
      <c r="AD4" s="59" t="s">
        <v>72</v>
      </c>
      <c r="AE4" s="25"/>
      <c r="AF4" s="25"/>
      <c r="AG4" s="51" t="s">
        <v>78</v>
      </c>
      <c r="AH4" s="26"/>
      <c r="AI4" s="60" t="s">
        <v>122</v>
      </c>
      <c r="AJ4" s="61">
        <v>7</v>
      </c>
      <c r="AK4" s="62">
        <v>10.5</v>
      </c>
      <c r="AL4" s="19">
        <v>2</v>
      </c>
      <c r="AM4" s="19">
        <v>6.7</v>
      </c>
      <c r="AN4" s="19" t="s">
        <v>135</v>
      </c>
    </row>
    <row r="5" spans="1:40" x14ac:dyDescent="0.2">
      <c r="A5" s="120" t="s">
        <v>47</v>
      </c>
      <c r="B5" s="120"/>
      <c r="C5" s="113" t="s">
        <v>156</v>
      </c>
      <c r="D5" s="113"/>
      <c r="E5" s="38"/>
      <c r="F5" s="100"/>
      <c r="G5" s="112"/>
      <c r="H5" s="112"/>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17" t="s">
        <v>63</v>
      </c>
      <c r="B7" s="11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20" t="s">
        <v>2</v>
      </c>
      <c r="B8" s="120"/>
      <c r="C8" s="23" t="s">
        <v>157</v>
      </c>
      <c r="D8" s="23" t="s">
        <v>158</v>
      </c>
      <c r="E8" s="23" t="s">
        <v>159</v>
      </c>
      <c r="F8" s="23" t="s">
        <v>160</v>
      </c>
      <c r="G8" s="23" t="s">
        <v>161</v>
      </c>
      <c r="H8" s="23" t="s">
        <v>162</v>
      </c>
      <c r="I8" s="23" t="s">
        <v>163</v>
      </c>
      <c r="J8" s="23" t="s">
        <v>164</v>
      </c>
      <c r="K8" s="23" t="s">
        <v>165</v>
      </c>
      <c r="L8" s="23"/>
      <c r="M8" s="23"/>
      <c r="N8" s="23"/>
      <c r="O8" s="23"/>
      <c r="P8" s="23"/>
      <c r="Q8" s="23"/>
      <c r="R8" s="23"/>
      <c r="S8" s="23"/>
      <c r="T8" s="23"/>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20" t="s">
        <v>3</v>
      </c>
      <c r="B9" s="120"/>
      <c r="C9" s="23" t="s">
        <v>166</v>
      </c>
      <c r="D9" s="23" t="s">
        <v>166</v>
      </c>
      <c r="E9" s="23" t="s">
        <v>166</v>
      </c>
      <c r="F9" s="23" t="s">
        <v>166</v>
      </c>
      <c r="G9" s="23" t="s">
        <v>166</v>
      </c>
      <c r="H9" s="23" t="s">
        <v>166</v>
      </c>
      <c r="I9" s="23" t="s">
        <v>166</v>
      </c>
      <c r="J9" s="23" t="s">
        <v>166</v>
      </c>
      <c r="K9" s="23" t="s">
        <v>166</v>
      </c>
      <c r="L9" s="23"/>
      <c r="M9" s="23"/>
      <c r="N9" s="23"/>
      <c r="O9" s="23"/>
      <c r="P9" s="23"/>
      <c r="Q9" s="23"/>
      <c r="R9" s="23"/>
      <c r="S9" s="23"/>
      <c r="T9" s="23"/>
      <c r="U9" s="23"/>
      <c r="V9" s="23"/>
      <c r="AB9" s="25"/>
      <c r="AC9" s="25"/>
      <c r="AD9" s="43" t="s">
        <v>137</v>
      </c>
      <c r="AE9" s="43">
        <v>4.5</v>
      </c>
      <c r="AF9" s="25"/>
      <c r="AG9" s="26"/>
      <c r="AH9" s="26"/>
      <c r="AI9" s="70" t="s">
        <v>100</v>
      </c>
      <c r="AJ9" s="71">
        <v>0.7</v>
      </c>
      <c r="AK9" s="72">
        <v>4</v>
      </c>
      <c r="AL9" s="40">
        <v>7</v>
      </c>
      <c r="AM9" s="19">
        <v>6.7</v>
      </c>
      <c r="AN9" s="19" t="s">
        <v>135</v>
      </c>
    </row>
    <row r="10" spans="1:40" x14ac:dyDescent="0.2">
      <c r="A10" s="120" t="s">
        <v>4</v>
      </c>
      <c r="B10" s="120"/>
      <c r="C10" s="23">
        <v>5</v>
      </c>
      <c r="D10" s="23">
        <v>5.7</v>
      </c>
      <c r="E10" s="23">
        <v>5.8</v>
      </c>
      <c r="F10" s="23">
        <v>5.7</v>
      </c>
      <c r="G10" s="23">
        <v>5.6</v>
      </c>
      <c r="H10" s="23">
        <v>6</v>
      </c>
      <c r="I10" s="23">
        <v>5.8</v>
      </c>
      <c r="J10" s="23">
        <v>5.7</v>
      </c>
      <c r="K10" s="23">
        <v>5.6</v>
      </c>
      <c r="L10" s="23"/>
      <c r="M10" s="23"/>
      <c r="N10" s="23"/>
      <c r="O10" s="23"/>
      <c r="P10" s="23"/>
      <c r="Q10" s="23"/>
      <c r="R10" s="23"/>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20" t="s">
        <v>5</v>
      </c>
      <c r="B11" s="120"/>
      <c r="C11" s="23">
        <v>2</v>
      </c>
      <c r="D11" s="23">
        <v>2</v>
      </c>
      <c r="E11" s="23">
        <v>2</v>
      </c>
      <c r="F11" s="23">
        <v>2</v>
      </c>
      <c r="G11" s="23">
        <v>2</v>
      </c>
      <c r="H11" s="23">
        <v>3</v>
      </c>
      <c r="I11" s="23">
        <v>3</v>
      </c>
      <c r="J11" s="23">
        <v>1</v>
      </c>
      <c r="K11" s="23">
        <v>1</v>
      </c>
      <c r="L11" s="23"/>
      <c r="M11" s="23"/>
      <c r="N11" s="23"/>
      <c r="O11" s="23"/>
      <c r="P11" s="23"/>
      <c r="Q11" s="23"/>
      <c r="R11" s="23"/>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20" t="s">
        <v>6</v>
      </c>
      <c r="B12" s="120"/>
      <c r="C12" s="23">
        <v>0</v>
      </c>
      <c r="D12" s="23">
        <v>0</v>
      </c>
      <c r="E12" s="23">
        <v>1</v>
      </c>
      <c r="F12" s="23">
        <v>1</v>
      </c>
      <c r="G12" s="23">
        <v>0</v>
      </c>
      <c r="H12" s="23">
        <v>2</v>
      </c>
      <c r="I12" s="23">
        <v>2</v>
      </c>
      <c r="J12" s="23">
        <v>1</v>
      </c>
      <c r="K12" s="23">
        <v>1</v>
      </c>
      <c r="L12" s="23"/>
      <c r="M12" s="23"/>
      <c r="N12" s="23"/>
      <c r="O12" s="23"/>
      <c r="P12" s="23"/>
      <c r="Q12" s="23"/>
      <c r="R12" s="23"/>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20" t="s">
        <v>7</v>
      </c>
      <c r="B13" s="120"/>
      <c r="C13" s="23">
        <v>1</v>
      </c>
      <c r="D13" s="23">
        <v>1</v>
      </c>
      <c r="E13" s="23">
        <v>2</v>
      </c>
      <c r="F13" s="23">
        <v>2</v>
      </c>
      <c r="G13" s="23">
        <v>1</v>
      </c>
      <c r="H13" s="23">
        <v>2</v>
      </c>
      <c r="I13" s="23">
        <v>2</v>
      </c>
      <c r="J13" s="23">
        <v>2</v>
      </c>
      <c r="K13" s="23">
        <v>3</v>
      </c>
      <c r="L13" s="23"/>
      <c r="M13" s="23"/>
      <c r="N13" s="23"/>
      <c r="O13" s="23"/>
      <c r="P13" s="23"/>
      <c r="Q13" s="23"/>
      <c r="R13" s="23"/>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22" t="s">
        <v>8</v>
      </c>
      <c r="B14" s="122"/>
      <c r="C14" s="36" t="s">
        <v>111</v>
      </c>
      <c r="D14" s="36" t="s">
        <v>111</v>
      </c>
      <c r="E14" s="36" t="s">
        <v>111</v>
      </c>
      <c r="F14" s="36" t="s">
        <v>111</v>
      </c>
      <c r="G14" s="36" t="s">
        <v>111</v>
      </c>
      <c r="H14" s="36" t="s">
        <v>111</v>
      </c>
      <c r="I14" s="36" t="s">
        <v>111</v>
      </c>
      <c r="J14" s="36" t="s">
        <v>111</v>
      </c>
      <c r="K14" s="36" t="s">
        <v>111</v>
      </c>
      <c r="L14" s="36"/>
      <c r="M14" s="36"/>
      <c r="N14" s="36"/>
      <c r="O14" s="36"/>
      <c r="P14" s="36"/>
      <c r="Q14" s="36"/>
      <c r="R14" s="36"/>
      <c r="S14" s="36"/>
      <c r="T14" s="36"/>
      <c r="U14" s="36"/>
      <c r="V14" s="36"/>
      <c r="AD14" s="43" t="s">
        <v>138</v>
      </c>
      <c r="AE14" s="43">
        <v>6</v>
      </c>
      <c r="AI14" s="60" t="s">
        <v>117</v>
      </c>
      <c r="AJ14" s="61">
        <v>0.8</v>
      </c>
      <c r="AK14" s="62">
        <v>1.7</v>
      </c>
      <c r="AL14" s="19">
        <v>12</v>
      </c>
      <c r="AM14" s="19">
        <v>6.7</v>
      </c>
      <c r="AN14" s="19" t="s">
        <v>135</v>
      </c>
    </row>
    <row r="15" spans="1:40" x14ac:dyDescent="0.2">
      <c r="A15" s="121" t="s">
        <v>9</v>
      </c>
      <c r="B15" s="121"/>
      <c r="C15" s="23">
        <v>47</v>
      </c>
      <c r="D15" s="23">
        <v>47</v>
      </c>
      <c r="E15" s="23">
        <v>47</v>
      </c>
      <c r="F15" s="23">
        <v>47</v>
      </c>
      <c r="G15" s="23">
        <v>47</v>
      </c>
      <c r="H15" s="23">
        <v>47</v>
      </c>
      <c r="I15" s="23">
        <v>47</v>
      </c>
      <c r="J15" s="23">
        <v>47</v>
      </c>
      <c r="K15" s="23">
        <v>47</v>
      </c>
      <c r="L15" s="23"/>
      <c r="M15" s="23"/>
      <c r="N15" s="23"/>
      <c r="O15" s="23"/>
      <c r="P15" s="23"/>
      <c r="Q15" s="23"/>
      <c r="R15" s="23"/>
      <c r="S15" s="23"/>
      <c r="T15" s="23"/>
      <c r="U15" s="23"/>
      <c r="V15" s="23"/>
      <c r="AD15" s="43" t="s">
        <v>144</v>
      </c>
      <c r="AE15" s="43">
        <v>7</v>
      </c>
      <c r="AI15" s="60" t="s">
        <v>98</v>
      </c>
      <c r="AJ15" s="69">
        <v>1.8</v>
      </c>
      <c r="AK15" s="62">
        <v>5.4</v>
      </c>
      <c r="AL15" s="19">
        <v>13</v>
      </c>
      <c r="AM15" s="19">
        <v>6.7</v>
      </c>
      <c r="AN15" s="19" t="s">
        <v>135</v>
      </c>
    </row>
    <row r="16" spans="1:40" ht="13.5" thickBot="1" x14ac:dyDescent="0.25">
      <c r="A16" s="123" t="s">
        <v>44</v>
      </c>
      <c r="B16" s="123"/>
      <c r="C16" s="41" t="s">
        <v>72</v>
      </c>
      <c r="D16" s="41" t="s">
        <v>72</v>
      </c>
      <c r="E16" s="41" t="s">
        <v>72</v>
      </c>
      <c r="F16" s="41" t="s">
        <v>72</v>
      </c>
      <c r="G16" s="41" t="s">
        <v>72</v>
      </c>
      <c r="H16" s="41" t="s">
        <v>72</v>
      </c>
      <c r="I16" s="41" t="s">
        <v>72</v>
      </c>
      <c r="J16" s="41" t="s">
        <v>72</v>
      </c>
      <c r="K16" s="41" t="s">
        <v>72</v>
      </c>
      <c r="L16" s="41"/>
      <c r="M16" s="41"/>
      <c r="N16" s="41"/>
      <c r="O16" s="41"/>
      <c r="P16" s="41"/>
      <c r="Q16" s="41"/>
      <c r="R16" s="41"/>
      <c r="S16" s="41"/>
      <c r="T16" s="41"/>
      <c r="U16" s="41"/>
      <c r="V16" s="41"/>
      <c r="AD16" s="59" t="s">
        <v>145</v>
      </c>
      <c r="AE16" s="43">
        <v>8</v>
      </c>
      <c r="AI16" s="60" t="s">
        <v>116</v>
      </c>
      <c r="AJ16" s="61">
        <v>8</v>
      </c>
      <c r="AK16" s="62">
        <v>5.5</v>
      </c>
      <c r="AL16" s="20">
        <v>14</v>
      </c>
      <c r="AM16" s="19">
        <v>6.7</v>
      </c>
      <c r="AN16" s="19" t="s">
        <v>135</v>
      </c>
    </row>
    <row r="17" spans="1:40" x14ac:dyDescent="0.2">
      <c r="A17" s="118" t="s">
        <v>69</v>
      </c>
      <c r="B17" s="119"/>
      <c r="C17" s="39">
        <f>(VLOOKUP(C$14,$AI2:$AK26,2,FALSE))*C$15</f>
        <v>79.899999999999991</v>
      </c>
      <c r="D17" s="39">
        <f t="shared" ref="D17:V17" si="0">(VLOOKUP(D$14,$AI2:$AK26,2,FALSE))*D$15</f>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6" t="s">
        <v>23</v>
      </c>
      <c r="B18" s="117"/>
      <c r="C18" s="24">
        <f>$D31</f>
        <v>22.7668125</v>
      </c>
      <c r="D18" s="24">
        <f>$D32</f>
        <v>22.7668125</v>
      </c>
      <c r="E18" s="24">
        <f>$D33</f>
        <v>22.7668125</v>
      </c>
      <c r="F18" s="24">
        <f>$D34</f>
        <v>22.7668125</v>
      </c>
      <c r="G18" s="24">
        <f>$D35</f>
        <v>22.7668125</v>
      </c>
      <c r="H18" s="24">
        <f>$D36</f>
        <v>22.7668125</v>
      </c>
      <c r="I18" s="24">
        <f>$D37</f>
        <v>22.7668125</v>
      </c>
      <c r="J18" s="24">
        <f>$D38</f>
        <v>22.7668125</v>
      </c>
      <c r="K18" s="24">
        <f>$D39</f>
        <v>22.7668125</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6" t="s">
        <v>87</v>
      </c>
      <c r="B19" s="117"/>
      <c r="C19" s="24">
        <f>C18-C17</f>
        <v>-57.133187499999991</v>
      </c>
      <c r="D19" s="24">
        <f t="shared" ref="D19:V19" si="1">D18-D17</f>
        <v>-57.133187499999991</v>
      </c>
      <c r="E19" s="24">
        <f t="shared" si="1"/>
        <v>-57.133187499999991</v>
      </c>
      <c r="F19" s="24">
        <f t="shared" si="1"/>
        <v>-57.133187499999991</v>
      </c>
      <c r="G19" s="24">
        <f t="shared" si="1"/>
        <v>-57.133187499999991</v>
      </c>
      <c r="H19" s="24">
        <f t="shared" si="1"/>
        <v>-57.133187499999991</v>
      </c>
      <c r="I19" s="24">
        <f t="shared" si="1"/>
        <v>-57.133187499999991</v>
      </c>
      <c r="J19" s="24">
        <f t="shared" si="1"/>
        <v>-57.133187499999991</v>
      </c>
      <c r="K19" s="24">
        <f t="shared" si="1"/>
        <v>-57.133187499999991</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4" t="s">
        <v>88</v>
      </c>
      <c r="B20" s="115"/>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8" t="s">
        <v>85</v>
      </c>
      <c r="B21" s="119"/>
      <c r="C21" s="39">
        <f>(VLOOKUP(C$14,$AI2:$AK26,3,FALSE))*C$15</f>
        <v>282</v>
      </c>
      <c r="D21" s="39">
        <f t="shared" ref="D21:V21" si="2">(VLOOKUP(D$14,$AI2:$AK26,3,FALSE))*D$15</f>
        <v>282</v>
      </c>
      <c r="E21" s="39">
        <f t="shared" si="2"/>
        <v>282</v>
      </c>
      <c r="F21" s="39">
        <f t="shared" si="2"/>
        <v>282</v>
      </c>
      <c r="G21" s="39">
        <f t="shared" si="2"/>
        <v>282</v>
      </c>
      <c r="H21" s="39">
        <f t="shared" si="2"/>
        <v>282</v>
      </c>
      <c r="I21" s="39">
        <f t="shared" si="2"/>
        <v>282</v>
      </c>
      <c r="J21" s="39">
        <f t="shared" si="2"/>
        <v>282</v>
      </c>
      <c r="K21" s="39">
        <f t="shared" si="2"/>
        <v>282</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6" t="s">
        <v>86</v>
      </c>
      <c r="B22" s="117"/>
      <c r="C22" s="24">
        <f>$E31</f>
        <v>33.288125000000001</v>
      </c>
      <c r="D22" s="24">
        <f>$E32</f>
        <v>33.288125000000001</v>
      </c>
      <c r="E22" s="24">
        <f>$E33</f>
        <v>33.288125000000001</v>
      </c>
      <c r="F22" s="24">
        <f>$E34</f>
        <v>33.288125000000001</v>
      </c>
      <c r="G22" s="24">
        <f>$E35</f>
        <v>33.288125000000001</v>
      </c>
      <c r="H22" s="24">
        <f>$E36</f>
        <v>33.288125000000001</v>
      </c>
      <c r="I22" s="24">
        <f>$E37</f>
        <v>33.288125000000001</v>
      </c>
      <c r="J22" s="24">
        <f>$E38</f>
        <v>33.288125000000001</v>
      </c>
      <c r="K22" s="24">
        <f>$E39</f>
        <v>33.288125000000001</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6" t="s">
        <v>89</v>
      </c>
      <c r="B23" s="117"/>
      <c r="C23" s="24">
        <f>C22-C21</f>
        <v>-248.71187499999999</v>
      </c>
      <c r="D23" s="24">
        <f t="shared" ref="D23:V23" si="3">D22-D21</f>
        <v>-248.71187499999999</v>
      </c>
      <c r="E23" s="24">
        <f t="shared" si="3"/>
        <v>-248.71187499999999</v>
      </c>
      <c r="F23" s="24">
        <f t="shared" si="3"/>
        <v>-248.71187499999999</v>
      </c>
      <c r="G23" s="24">
        <f t="shared" si="3"/>
        <v>-248.71187499999999</v>
      </c>
      <c r="H23" s="24">
        <f t="shared" si="3"/>
        <v>-248.71187499999999</v>
      </c>
      <c r="I23" s="24">
        <f t="shared" si="3"/>
        <v>-248.71187499999999</v>
      </c>
      <c r="J23" s="24">
        <f t="shared" si="3"/>
        <v>-248.71187499999999</v>
      </c>
      <c r="K23" s="24">
        <f t="shared" si="3"/>
        <v>-248.71187499999999</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4" t="s">
        <v>90</v>
      </c>
      <c r="B24" s="115"/>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0.78</v>
      </c>
      <c r="C28" s="23">
        <v>0.03</v>
      </c>
      <c r="D28" s="23">
        <v>79.5</v>
      </c>
      <c r="E28" s="23">
        <v>221</v>
      </c>
      <c r="F28" s="23">
        <v>20.5</v>
      </c>
      <c r="G28" s="23">
        <v>0.2</v>
      </c>
      <c r="H28" s="23">
        <v>2.0099999999999998</v>
      </c>
      <c r="I28" s="23">
        <v>0.5</v>
      </c>
      <c r="J28" s="23">
        <v>0.01</v>
      </c>
      <c r="K28" s="30">
        <v>0.05</v>
      </c>
      <c r="L28" s="23">
        <v>0.2</v>
      </c>
      <c r="M28" s="23">
        <v>0.2</v>
      </c>
      <c r="N28" s="23"/>
      <c r="O28" s="23"/>
      <c r="P28" s="23">
        <v>834</v>
      </c>
      <c r="Q28" s="23">
        <v>32.200000000000003</v>
      </c>
      <c r="R28" s="23"/>
      <c r="S28" s="23"/>
      <c r="T28" s="23"/>
      <c r="U28" s="23"/>
    </row>
    <row r="29" spans="1:40" s="15" customFormat="1" ht="27" x14ac:dyDescent="0.25">
      <c r="A29" s="126"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7"/>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Trewindsor 1 (29/30)</v>
      </c>
      <c r="B31" s="23">
        <v>125</v>
      </c>
      <c r="C31" s="2">
        <f>IF(C$27="%w/w SAR",((C$28*10)*$B31),IF(C$27="%w/w DM",(((C$28*10)*($B$28/100))*$B31),IF(C$27="kg/t SAR",(C$28*$B31),IF(C$27="kg/t DM",((C$28*($B$28/100))*$B31),IF(C$27="mg/kg SAR",((C$28*0.001)*$B31),IF(C$27="mg/kg DM",(((C$28*0.001)*($B$28/100))*$B31),0))))))</f>
        <v>37.5</v>
      </c>
      <c r="D31" s="2">
        <f>(IF(D$27="%w/w SAR",((D$28*10)*$B31),IF(D$27="%w/w DM",(((D$28*10)*($B$28/100))*$B31),IF(D$27="kg/t SAR",(D$28*$B31),IF(D$27="kg/t DM",((D$28*($B$28/100))*$B31),IF(D$27="mg/kg SAR",((D$28*0.001)*$B31),IF(D$27="mg/kg DM",(((D$28*0.001)*($B$28/100))*$B31),"0")))))))*2.291</f>
        <v>22.7668125</v>
      </c>
      <c r="E31" s="2">
        <f>(IF(E$27="%w/w SAR",((E$28*10)*$B31),IF(E$27="%w/w DM",(((E$28*10)*($B$28/100))*$B31),IF(E$27="kg/t SAR",(E$28*$B31),IF(E$27="kg/t DM",((E$28*($B$28/100))*$B31),IF(E$27="mg/kg SAR",((E$28*0.001)*$B31),IF(E$27="mg/kg DM",(((E$28*0.001)*($B$28/100))*$B31),"0")))))))*1.205</f>
        <v>33.288125000000001</v>
      </c>
      <c r="F31" s="2">
        <f>(IF(F$27="%w/w SAR",((F$28*10)*$B31),IF(F$27="%w/w DM",(((F$28*10)*($B$28/100))*$B31),IF(F$27="kg/t SAR",(F$28*$B31),IF(F$27="kg/t DM",((F$28*($B$28/100))*$B31),IF(F$27="mg/kg SAR",((F$28*0.001)*$B31),IF(F$27="mg/kg DM",(((F$28*0.001)*($B$28/100))*$B31),"0")))))))*1.658</f>
        <v>4.2486249999999997</v>
      </c>
      <c r="G31" s="2">
        <f t="shared" ref="G31:P31" si="5">IF(G$27="%w/w SAR",((G$28*10)*$B31),IF(G$27="%w/w DM",(((G$28*10)*($B$28/100))*$B31),IF(G$27="kg/t SAR",(G$28*$B31),IF(G$27="kg/t DM",((G$28*($B$28/100))*$B31),IF(G$27="mg/kg SAR",((G$28*0.001)*$B31),IF(G$27="mg/kg DM",(((G$28*0.001)*($B$28/100))*$B31),0))))))</f>
        <v>2.5000000000000001E-2</v>
      </c>
      <c r="H31" s="2">
        <f t="shared" si="5"/>
        <v>0.25124999999999997</v>
      </c>
      <c r="I31" s="2">
        <f t="shared" si="5"/>
        <v>6.25E-2</v>
      </c>
      <c r="J31" s="2">
        <f t="shared" si="5"/>
        <v>1.25E-3</v>
      </c>
      <c r="K31" s="2">
        <f t="shared" si="5"/>
        <v>6.2500000000000003E-3</v>
      </c>
      <c r="L31" s="2">
        <f t="shared" si="5"/>
        <v>2.5000000000000001E-2</v>
      </c>
      <c r="M31" s="2">
        <f t="shared" si="5"/>
        <v>2.5000000000000001E-2</v>
      </c>
      <c r="N31" s="2">
        <f t="shared" si="5"/>
        <v>0</v>
      </c>
      <c r="O31" s="2">
        <f t="shared" si="5"/>
        <v>0</v>
      </c>
      <c r="P31" s="2">
        <f t="shared" si="5"/>
        <v>104.25</v>
      </c>
      <c r="Q31" s="2">
        <f>(IF(Q$27="%w/w SAR",((Q$28*10)*$B31),IF(Q$27="%w/w DM",(((Q$28*10)*($B$28/100))*$B31),IF(Q$27="kg/t SAR",(Q$28*$B31),IF(Q$27="kg/t DM",((Q$28*($B$28/100))*$B31),IF(Q$27="mg/kg SAR",((Q$28*0.001)*$B31),IF(Q$27="mg/kg DM",(((Q$28*0.001)*($B$28/100))*$B31),0)))))))*2.5</f>
        <v>10.0625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Trewindsor 2 (31)</v>
      </c>
      <c r="B32" s="23">
        <v>125</v>
      </c>
      <c r="C32" s="2">
        <f t="shared" ref="C32:C50" si="6">IF(C$27="%w/w SAR",((C$28*10)*$B32),IF(C$27="%w/w DM",(((C$28*10)*($B$28/100))*$B32),IF(C$27="kg/t SAR",(C$28*$B32),IF(C$27="kg/t DM",((C$28*($B$28/100))*$B32),IF(C$27="mg/kg SAR",((C$28*0.001)*$B32),IF(C$27="mg/kg DM",(((C$28*0.001)*($B$28/100))*$B32),0))))))</f>
        <v>37.5</v>
      </c>
      <c r="D32" s="2">
        <f t="shared" ref="D32:D50" si="7">(IF(D$27="%w/w SAR",((D$28*10)*$B32),IF(D$27="%w/w DM",(((D$28*10)*($B$28/100))*$B32),IF(D$27="kg/t SAR",(D$28*$B32),IF(D$27="kg/t DM",((D$28*($B$28/100))*$B32),IF(D$27="mg/kg SAR",((D$28*0.001)*$B32),IF(D$27="mg/kg DM",(((D$28*0.001)*($B$28/100))*$B32),"0")))))))*2.291</f>
        <v>22.7668125</v>
      </c>
      <c r="E32" s="2">
        <f t="shared" ref="E32:E50" si="8">(IF(E$27="%w/w SAR",((E$28*10)*$B32),IF(E$27="%w/w DM",(((E$28*10)*($B$28/100))*$B32),IF(E$27="kg/t SAR",(E$28*$B32),IF(E$27="kg/t DM",((E$28*($B$28/100))*$B32),IF(E$27="mg/kg SAR",((E$28*0.001)*$B32),IF(E$27="mg/kg DM",(((E$28*0.001)*($B$28/100))*$B32),"0")))))))*1.205</f>
        <v>33.288125000000001</v>
      </c>
      <c r="F32" s="2">
        <f t="shared" ref="F32:F50" si="9">(IF(F$27="%w/w SAR",((F$28*10)*$B32),IF(F$27="%w/w DM",(((F$28*10)*($B$28/100))*$B32),IF(F$27="kg/t SAR",(F$28*$B32),IF(F$27="kg/t DM",((F$28*($B$28/100))*$B32),IF(F$27="mg/kg SAR",((F$28*0.001)*$B32),IF(F$27="mg/kg DM",(((F$28*0.001)*($B$28/100))*$B32),"0")))))))*1.658</f>
        <v>4.2486249999999997</v>
      </c>
      <c r="G32" s="2">
        <f t="shared" ref="G32:P50" si="10">IF(G$27="%w/w SAR",((G$28*10)*$B32),IF(G$27="%w/w DM",(((G$28*10)*($B$28/100))*$B32),IF(G$27="kg/t SAR",(G$28*$B32),IF(G$27="kg/t DM",((G$28*($B$28/100))*$B32),IF(G$27="mg/kg SAR",((G$28*0.001)*$B32),IF(G$27="mg/kg DM",(((G$28*0.001)*($B$28/100))*$B32),0))))))</f>
        <v>2.5000000000000001E-2</v>
      </c>
      <c r="H32" s="2">
        <f t="shared" si="10"/>
        <v>0.25124999999999997</v>
      </c>
      <c r="I32" s="2">
        <f t="shared" si="10"/>
        <v>6.25E-2</v>
      </c>
      <c r="J32" s="2">
        <f t="shared" si="10"/>
        <v>1.25E-3</v>
      </c>
      <c r="K32" s="2">
        <f t="shared" si="10"/>
        <v>6.2500000000000003E-3</v>
      </c>
      <c r="L32" s="2">
        <f t="shared" si="10"/>
        <v>2.5000000000000001E-2</v>
      </c>
      <c r="M32" s="2">
        <f t="shared" si="10"/>
        <v>2.5000000000000001E-2</v>
      </c>
      <c r="N32" s="2">
        <f t="shared" si="10"/>
        <v>0</v>
      </c>
      <c r="O32" s="2">
        <f t="shared" si="10"/>
        <v>0</v>
      </c>
      <c r="P32" s="2">
        <f t="shared" si="10"/>
        <v>104.25</v>
      </c>
      <c r="Q32" s="2">
        <f t="shared" ref="Q32:Q50" si="11">(IF(Q$27="%w/w SAR",((Q$28*10)*$B32),IF(Q$27="%w/w DM",(((Q$28*10)*($B$28/100))*$B32),IF(Q$27="kg/t SAR",(Q$28*$B32),IF(Q$27="kg/t DM",((Q$28*($B$28/100))*$B32),IF(Q$27="mg/kg SAR",((Q$28*0.001)*$B32),IF(Q$27="mg/kg DM",(((Q$28*0.001)*($B$28/100))*$B32),0)))))))*2.5</f>
        <v>10.0625</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66"/>
      <c r="AC32" s="66"/>
      <c r="AD32" s="66"/>
      <c r="AE32" s="66"/>
      <c r="AF32" s="66"/>
      <c r="AG32" s="66"/>
      <c r="AH32" s="66"/>
      <c r="AI32" s="66"/>
    </row>
    <row r="33" spans="1:35" s="83" customFormat="1" x14ac:dyDescent="0.25">
      <c r="A33" s="21" t="str">
        <f>E8</f>
        <v>Trewindsor 3 (32)</v>
      </c>
      <c r="B33" s="23">
        <v>125</v>
      </c>
      <c r="C33" s="2">
        <f t="shared" si="6"/>
        <v>37.5</v>
      </c>
      <c r="D33" s="2">
        <f t="shared" si="7"/>
        <v>22.7668125</v>
      </c>
      <c r="E33" s="2">
        <f t="shared" si="8"/>
        <v>33.288125000000001</v>
      </c>
      <c r="F33" s="2">
        <f t="shared" si="9"/>
        <v>4.2486249999999997</v>
      </c>
      <c r="G33" s="2">
        <f t="shared" si="10"/>
        <v>2.5000000000000001E-2</v>
      </c>
      <c r="H33" s="2">
        <f t="shared" si="10"/>
        <v>0.25124999999999997</v>
      </c>
      <c r="I33" s="2">
        <f t="shared" si="10"/>
        <v>6.25E-2</v>
      </c>
      <c r="J33" s="2">
        <f t="shared" si="10"/>
        <v>1.25E-3</v>
      </c>
      <c r="K33" s="2">
        <f t="shared" si="10"/>
        <v>6.2500000000000003E-3</v>
      </c>
      <c r="L33" s="2">
        <f t="shared" si="10"/>
        <v>2.5000000000000001E-2</v>
      </c>
      <c r="M33" s="2">
        <f t="shared" si="10"/>
        <v>2.5000000000000001E-2</v>
      </c>
      <c r="N33" s="2">
        <f t="shared" si="10"/>
        <v>0</v>
      </c>
      <c r="O33" s="2">
        <f t="shared" si="10"/>
        <v>0</v>
      </c>
      <c r="P33" s="2">
        <f t="shared" si="10"/>
        <v>104.25</v>
      </c>
      <c r="Q33" s="2">
        <f t="shared" si="11"/>
        <v>10.0625</v>
      </c>
      <c r="R33" s="2">
        <f t="shared" si="12"/>
        <v>0</v>
      </c>
      <c r="S33" s="2">
        <f t="shared" si="12"/>
        <v>0</v>
      </c>
      <c r="T33" s="2">
        <f t="shared" si="12"/>
        <v>0</v>
      </c>
      <c r="U33" s="2">
        <f t="shared" si="12"/>
        <v>0</v>
      </c>
      <c r="AB33" s="66"/>
      <c r="AC33" s="66"/>
      <c r="AD33" s="66"/>
      <c r="AE33" s="66"/>
      <c r="AF33" s="66"/>
      <c r="AG33" s="66"/>
      <c r="AH33" s="66"/>
      <c r="AI33" s="66"/>
    </row>
    <row r="34" spans="1:35" s="83" customFormat="1" x14ac:dyDescent="0.25">
      <c r="A34" s="21" t="str">
        <f>F8</f>
        <v>Trewindsor 4 (50)</v>
      </c>
      <c r="B34" s="23">
        <v>125</v>
      </c>
      <c r="C34" s="2">
        <f t="shared" si="6"/>
        <v>37.5</v>
      </c>
      <c r="D34" s="2">
        <f t="shared" si="7"/>
        <v>22.7668125</v>
      </c>
      <c r="E34" s="2">
        <f t="shared" si="8"/>
        <v>33.288125000000001</v>
      </c>
      <c r="F34" s="2">
        <f t="shared" si="9"/>
        <v>4.2486249999999997</v>
      </c>
      <c r="G34" s="2">
        <f t="shared" si="10"/>
        <v>2.5000000000000001E-2</v>
      </c>
      <c r="H34" s="2">
        <f t="shared" si="10"/>
        <v>0.25124999999999997</v>
      </c>
      <c r="I34" s="2">
        <f t="shared" si="10"/>
        <v>6.25E-2</v>
      </c>
      <c r="J34" s="2">
        <f t="shared" si="10"/>
        <v>1.25E-3</v>
      </c>
      <c r="K34" s="2">
        <f t="shared" si="10"/>
        <v>6.2500000000000003E-3</v>
      </c>
      <c r="L34" s="2">
        <f t="shared" si="10"/>
        <v>2.5000000000000001E-2</v>
      </c>
      <c r="M34" s="2">
        <f t="shared" si="10"/>
        <v>2.5000000000000001E-2</v>
      </c>
      <c r="N34" s="2">
        <f t="shared" si="10"/>
        <v>0</v>
      </c>
      <c r="O34" s="2">
        <f t="shared" si="10"/>
        <v>0</v>
      </c>
      <c r="P34" s="2">
        <f t="shared" si="10"/>
        <v>104.25</v>
      </c>
      <c r="Q34" s="2">
        <f t="shared" si="11"/>
        <v>10.0625</v>
      </c>
      <c r="R34" s="2">
        <f t="shared" si="12"/>
        <v>0</v>
      </c>
      <c r="S34" s="2">
        <f t="shared" si="12"/>
        <v>0</v>
      </c>
      <c r="T34" s="2">
        <f t="shared" si="12"/>
        <v>0</v>
      </c>
      <c r="U34" s="2">
        <f t="shared" si="12"/>
        <v>0</v>
      </c>
      <c r="AB34" s="66"/>
      <c r="AC34" s="66"/>
      <c r="AD34" s="66"/>
      <c r="AE34" s="66"/>
      <c r="AF34" s="66"/>
      <c r="AG34" s="66"/>
      <c r="AH34" s="66"/>
      <c r="AI34" s="66"/>
    </row>
    <row r="35" spans="1:35" s="83" customFormat="1" x14ac:dyDescent="0.25">
      <c r="A35" s="21" t="str">
        <f>G8</f>
        <v>Trewindsor 5 (52)</v>
      </c>
      <c r="B35" s="23">
        <v>125</v>
      </c>
      <c r="C35" s="2">
        <f t="shared" si="6"/>
        <v>37.5</v>
      </c>
      <c r="D35" s="2">
        <f t="shared" si="7"/>
        <v>22.7668125</v>
      </c>
      <c r="E35" s="2">
        <f t="shared" si="8"/>
        <v>33.288125000000001</v>
      </c>
      <c r="F35" s="2">
        <f t="shared" si="9"/>
        <v>4.2486249999999997</v>
      </c>
      <c r="G35" s="2">
        <f t="shared" si="10"/>
        <v>2.5000000000000001E-2</v>
      </c>
      <c r="H35" s="2">
        <f t="shared" si="10"/>
        <v>0.25124999999999997</v>
      </c>
      <c r="I35" s="2">
        <f t="shared" si="10"/>
        <v>6.25E-2</v>
      </c>
      <c r="J35" s="2">
        <f t="shared" si="10"/>
        <v>1.25E-3</v>
      </c>
      <c r="K35" s="2">
        <f t="shared" si="10"/>
        <v>6.2500000000000003E-3</v>
      </c>
      <c r="L35" s="2">
        <f t="shared" si="10"/>
        <v>2.5000000000000001E-2</v>
      </c>
      <c r="M35" s="2">
        <f t="shared" si="10"/>
        <v>2.5000000000000001E-2</v>
      </c>
      <c r="N35" s="2">
        <f t="shared" si="10"/>
        <v>0</v>
      </c>
      <c r="O35" s="2">
        <f t="shared" si="10"/>
        <v>0</v>
      </c>
      <c r="P35" s="2">
        <f t="shared" si="10"/>
        <v>104.25</v>
      </c>
      <c r="Q35" s="2">
        <f t="shared" si="11"/>
        <v>10.0625</v>
      </c>
      <c r="R35" s="2">
        <f t="shared" si="12"/>
        <v>0</v>
      </c>
      <c r="S35" s="2">
        <f t="shared" si="12"/>
        <v>0</v>
      </c>
      <c r="T35" s="2">
        <f t="shared" si="12"/>
        <v>0</v>
      </c>
      <c r="U35" s="2">
        <f t="shared" si="12"/>
        <v>0</v>
      </c>
      <c r="AB35" s="66"/>
      <c r="AC35" s="66"/>
      <c r="AD35" s="66"/>
      <c r="AE35" s="66"/>
      <c r="AF35" s="66"/>
      <c r="AG35" s="66"/>
      <c r="AH35" s="66"/>
      <c r="AI35" s="66"/>
    </row>
    <row r="36" spans="1:35" s="83" customFormat="1" x14ac:dyDescent="0.25">
      <c r="A36" s="21" t="str">
        <f>H8</f>
        <v>Trewindsor 6 (53)</v>
      </c>
      <c r="B36" s="23">
        <v>125</v>
      </c>
      <c r="C36" s="2">
        <f t="shared" si="6"/>
        <v>37.5</v>
      </c>
      <c r="D36" s="2">
        <f t="shared" si="7"/>
        <v>22.7668125</v>
      </c>
      <c r="E36" s="2">
        <f t="shared" si="8"/>
        <v>33.288125000000001</v>
      </c>
      <c r="F36" s="2">
        <f t="shared" si="9"/>
        <v>4.2486249999999997</v>
      </c>
      <c r="G36" s="2">
        <f t="shared" si="10"/>
        <v>2.5000000000000001E-2</v>
      </c>
      <c r="H36" s="2">
        <f t="shared" si="10"/>
        <v>0.25124999999999997</v>
      </c>
      <c r="I36" s="2">
        <f t="shared" si="10"/>
        <v>6.25E-2</v>
      </c>
      <c r="J36" s="2">
        <f t="shared" si="10"/>
        <v>1.25E-3</v>
      </c>
      <c r="K36" s="2">
        <f t="shared" si="10"/>
        <v>6.2500000000000003E-3</v>
      </c>
      <c r="L36" s="2">
        <f t="shared" si="10"/>
        <v>2.5000000000000001E-2</v>
      </c>
      <c r="M36" s="2">
        <f t="shared" si="10"/>
        <v>2.5000000000000001E-2</v>
      </c>
      <c r="N36" s="2">
        <f t="shared" si="10"/>
        <v>0</v>
      </c>
      <c r="O36" s="2">
        <f t="shared" si="10"/>
        <v>0</v>
      </c>
      <c r="P36" s="2">
        <f t="shared" si="10"/>
        <v>104.25</v>
      </c>
      <c r="Q36" s="2">
        <f t="shared" si="11"/>
        <v>10.0625</v>
      </c>
      <c r="R36" s="2">
        <f t="shared" si="12"/>
        <v>0</v>
      </c>
      <c r="S36" s="2">
        <f t="shared" si="12"/>
        <v>0</v>
      </c>
      <c r="T36" s="2">
        <f t="shared" si="12"/>
        <v>0</v>
      </c>
      <c r="U36" s="2">
        <f t="shared" si="12"/>
        <v>0</v>
      </c>
      <c r="AB36" s="66"/>
      <c r="AC36" s="66"/>
      <c r="AD36" s="66"/>
      <c r="AE36" s="66"/>
      <c r="AF36" s="66"/>
      <c r="AG36" s="66"/>
      <c r="AH36" s="66"/>
      <c r="AI36" s="66"/>
    </row>
    <row r="37" spans="1:35" s="83" customFormat="1" x14ac:dyDescent="0.25">
      <c r="A37" s="21" t="str">
        <f>I8</f>
        <v>Trewindsor 7 (51)</v>
      </c>
      <c r="B37" s="23">
        <v>125</v>
      </c>
      <c r="C37" s="2">
        <f t="shared" si="6"/>
        <v>37.5</v>
      </c>
      <c r="D37" s="2">
        <f t="shared" si="7"/>
        <v>22.7668125</v>
      </c>
      <c r="E37" s="2">
        <f t="shared" si="8"/>
        <v>33.288125000000001</v>
      </c>
      <c r="F37" s="2">
        <f t="shared" si="9"/>
        <v>4.2486249999999997</v>
      </c>
      <c r="G37" s="2">
        <f t="shared" si="10"/>
        <v>2.5000000000000001E-2</v>
      </c>
      <c r="H37" s="2">
        <f t="shared" si="10"/>
        <v>0.25124999999999997</v>
      </c>
      <c r="I37" s="2">
        <f t="shared" si="10"/>
        <v>6.25E-2</v>
      </c>
      <c r="J37" s="2">
        <f t="shared" si="10"/>
        <v>1.25E-3</v>
      </c>
      <c r="K37" s="2">
        <f t="shared" si="10"/>
        <v>6.2500000000000003E-3</v>
      </c>
      <c r="L37" s="2">
        <f t="shared" si="10"/>
        <v>2.5000000000000001E-2</v>
      </c>
      <c r="M37" s="2">
        <f t="shared" si="10"/>
        <v>2.5000000000000001E-2</v>
      </c>
      <c r="N37" s="2">
        <f t="shared" si="10"/>
        <v>0</v>
      </c>
      <c r="O37" s="2">
        <f t="shared" si="10"/>
        <v>0</v>
      </c>
      <c r="P37" s="2">
        <f t="shared" si="10"/>
        <v>104.25</v>
      </c>
      <c r="Q37" s="2">
        <f t="shared" si="11"/>
        <v>10.0625</v>
      </c>
      <c r="R37" s="2">
        <f t="shared" si="12"/>
        <v>0</v>
      </c>
      <c r="S37" s="2">
        <f t="shared" si="12"/>
        <v>0</v>
      </c>
      <c r="T37" s="2">
        <f t="shared" si="12"/>
        <v>0</v>
      </c>
      <c r="U37" s="2">
        <f t="shared" si="12"/>
        <v>0</v>
      </c>
      <c r="AB37" s="66"/>
      <c r="AC37" s="66"/>
      <c r="AD37" s="66"/>
      <c r="AE37" s="66"/>
      <c r="AF37" s="66"/>
      <c r="AG37" s="66"/>
      <c r="AH37" s="66"/>
      <c r="AI37" s="66"/>
    </row>
    <row r="38" spans="1:35" s="83" customFormat="1" x14ac:dyDescent="0.25">
      <c r="A38" s="21" t="str">
        <f>J8</f>
        <v>Tyriet 8</v>
      </c>
      <c r="B38" s="23">
        <v>125</v>
      </c>
      <c r="C38" s="2">
        <f t="shared" si="6"/>
        <v>37.5</v>
      </c>
      <c r="D38" s="2">
        <f t="shared" si="7"/>
        <v>22.7668125</v>
      </c>
      <c r="E38" s="2">
        <f t="shared" si="8"/>
        <v>33.288125000000001</v>
      </c>
      <c r="F38" s="2">
        <f t="shared" si="9"/>
        <v>4.2486249999999997</v>
      </c>
      <c r="G38" s="2">
        <f t="shared" si="10"/>
        <v>2.5000000000000001E-2</v>
      </c>
      <c r="H38" s="2">
        <f t="shared" si="10"/>
        <v>0.25124999999999997</v>
      </c>
      <c r="I38" s="2">
        <f t="shared" si="10"/>
        <v>6.25E-2</v>
      </c>
      <c r="J38" s="2">
        <f t="shared" si="10"/>
        <v>1.25E-3</v>
      </c>
      <c r="K38" s="2">
        <f t="shared" si="10"/>
        <v>6.2500000000000003E-3</v>
      </c>
      <c r="L38" s="2">
        <f t="shared" si="10"/>
        <v>2.5000000000000001E-2</v>
      </c>
      <c r="M38" s="2">
        <f t="shared" si="10"/>
        <v>2.5000000000000001E-2</v>
      </c>
      <c r="N38" s="2">
        <f t="shared" si="10"/>
        <v>0</v>
      </c>
      <c r="O38" s="2">
        <f t="shared" si="10"/>
        <v>0</v>
      </c>
      <c r="P38" s="2">
        <f t="shared" si="10"/>
        <v>104.25</v>
      </c>
      <c r="Q38" s="2">
        <f t="shared" si="11"/>
        <v>10.0625</v>
      </c>
      <c r="R38" s="2">
        <f t="shared" si="12"/>
        <v>0</v>
      </c>
      <c r="S38" s="2">
        <f t="shared" si="12"/>
        <v>0</v>
      </c>
      <c r="T38" s="2">
        <f t="shared" si="12"/>
        <v>0</v>
      </c>
      <c r="U38" s="2">
        <f t="shared" si="12"/>
        <v>0</v>
      </c>
      <c r="AB38" s="66"/>
      <c r="AC38" s="66"/>
      <c r="AD38" s="66"/>
      <c r="AE38" s="66"/>
      <c r="AF38" s="66"/>
      <c r="AG38" s="66"/>
      <c r="AH38" s="66"/>
      <c r="AI38" s="66"/>
    </row>
    <row r="39" spans="1:35" s="83" customFormat="1" x14ac:dyDescent="0.25">
      <c r="A39" s="21" t="str">
        <f>K8</f>
        <v xml:space="preserve"> Tyriet  9</v>
      </c>
      <c r="B39" s="23">
        <v>125</v>
      </c>
      <c r="C39" s="2">
        <f t="shared" si="6"/>
        <v>37.5</v>
      </c>
      <c r="D39" s="2">
        <f t="shared" si="7"/>
        <v>22.7668125</v>
      </c>
      <c r="E39" s="2">
        <f t="shared" si="8"/>
        <v>33.288125000000001</v>
      </c>
      <c r="F39" s="2">
        <f t="shared" si="9"/>
        <v>4.2486249999999997</v>
      </c>
      <c r="G39" s="2">
        <f t="shared" si="10"/>
        <v>2.5000000000000001E-2</v>
      </c>
      <c r="H39" s="2">
        <f t="shared" si="10"/>
        <v>0.25124999999999997</v>
      </c>
      <c r="I39" s="2">
        <f t="shared" si="10"/>
        <v>6.25E-2</v>
      </c>
      <c r="J39" s="2">
        <f t="shared" si="10"/>
        <v>1.25E-3</v>
      </c>
      <c r="K39" s="2">
        <f t="shared" si="10"/>
        <v>6.2500000000000003E-3</v>
      </c>
      <c r="L39" s="2">
        <f t="shared" si="10"/>
        <v>2.5000000000000001E-2</v>
      </c>
      <c r="M39" s="2">
        <f t="shared" si="10"/>
        <v>2.5000000000000001E-2</v>
      </c>
      <c r="N39" s="2">
        <f t="shared" si="10"/>
        <v>0</v>
      </c>
      <c r="O39" s="2">
        <f t="shared" si="10"/>
        <v>0</v>
      </c>
      <c r="P39" s="2">
        <f t="shared" si="10"/>
        <v>104.25</v>
      </c>
      <c r="Q39" s="2">
        <f t="shared" si="11"/>
        <v>10.0625</v>
      </c>
      <c r="R39" s="2">
        <f t="shared" si="12"/>
        <v>0</v>
      </c>
      <c r="S39" s="2">
        <f t="shared" si="12"/>
        <v>0</v>
      </c>
      <c r="T39" s="2">
        <f t="shared" si="12"/>
        <v>0</v>
      </c>
      <c r="U39" s="2">
        <f t="shared" si="12"/>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10"/>
        <v>0</v>
      </c>
      <c r="H40" s="2">
        <f t="shared" si="10"/>
        <v>0</v>
      </c>
      <c r="I40" s="2">
        <f t="shared" si="10"/>
        <v>0</v>
      </c>
      <c r="J40" s="2">
        <f t="shared" si="10"/>
        <v>0</v>
      </c>
      <c r="K40" s="2">
        <f t="shared" si="10"/>
        <v>0</v>
      </c>
      <c r="L40" s="2">
        <f t="shared" si="10"/>
        <v>0</v>
      </c>
      <c r="M40" s="2">
        <f t="shared" si="10"/>
        <v>0</v>
      </c>
      <c r="N40" s="2">
        <f t="shared" si="10"/>
        <v>0</v>
      </c>
      <c r="O40" s="2">
        <f t="shared" si="10"/>
        <v>0</v>
      </c>
      <c r="P40" s="2">
        <f t="shared" si="10"/>
        <v>0</v>
      </c>
      <c r="Q40" s="2">
        <f t="shared" si="11"/>
        <v>0</v>
      </c>
      <c r="R40" s="2">
        <f t="shared" si="12"/>
        <v>0</v>
      </c>
      <c r="S40" s="2">
        <f t="shared" si="12"/>
        <v>0</v>
      </c>
      <c r="T40" s="2">
        <f t="shared" si="12"/>
        <v>0</v>
      </c>
      <c r="U40" s="2">
        <f t="shared" si="12"/>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10"/>
        <v>0</v>
      </c>
      <c r="H41" s="2">
        <f t="shared" si="10"/>
        <v>0</v>
      </c>
      <c r="I41" s="2">
        <f t="shared" si="10"/>
        <v>0</v>
      </c>
      <c r="J41" s="2">
        <f t="shared" si="10"/>
        <v>0</v>
      </c>
      <c r="K41" s="2">
        <f t="shared" si="10"/>
        <v>0</v>
      </c>
      <c r="L41" s="2">
        <f t="shared" si="10"/>
        <v>0</v>
      </c>
      <c r="M41" s="2">
        <f t="shared" si="10"/>
        <v>0</v>
      </c>
      <c r="N41" s="2">
        <f t="shared" si="10"/>
        <v>0</v>
      </c>
      <c r="O41" s="2">
        <f t="shared" si="10"/>
        <v>0</v>
      </c>
      <c r="P41" s="2">
        <f t="shared" si="10"/>
        <v>0</v>
      </c>
      <c r="Q41" s="2">
        <f t="shared" si="11"/>
        <v>0</v>
      </c>
      <c r="R41" s="2">
        <f t="shared" si="12"/>
        <v>0</v>
      </c>
      <c r="S41" s="2">
        <f t="shared" si="12"/>
        <v>0</v>
      </c>
      <c r="T41" s="2">
        <f t="shared" si="12"/>
        <v>0</v>
      </c>
      <c r="U41" s="2">
        <f t="shared" si="12"/>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10"/>
        <v>0</v>
      </c>
      <c r="H42" s="2">
        <f t="shared" si="10"/>
        <v>0</v>
      </c>
      <c r="I42" s="2">
        <f t="shared" si="10"/>
        <v>0</v>
      </c>
      <c r="J42" s="2">
        <f t="shared" si="10"/>
        <v>0</v>
      </c>
      <c r="K42" s="2">
        <f t="shared" si="10"/>
        <v>0</v>
      </c>
      <c r="L42" s="2">
        <f t="shared" si="10"/>
        <v>0</v>
      </c>
      <c r="M42" s="2">
        <f t="shared" si="10"/>
        <v>0</v>
      </c>
      <c r="N42" s="2">
        <f t="shared" si="10"/>
        <v>0</v>
      </c>
      <c r="O42" s="2">
        <f t="shared" si="10"/>
        <v>0</v>
      </c>
      <c r="P42" s="2">
        <f t="shared" si="10"/>
        <v>0</v>
      </c>
      <c r="Q42" s="2">
        <f t="shared" si="11"/>
        <v>0</v>
      </c>
      <c r="R42" s="2">
        <f t="shared" si="12"/>
        <v>0</v>
      </c>
      <c r="S42" s="2">
        <f t="shared" si="12"/>
        <v>0</v>
      </c>
      <c r="T42" s="2">
        <f t="shared" si="12"/>
        <v>0</v>
      </c>
      <c r="U42" s="2">
        <f t="shared" si="12"/>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10"/>
        <v>0</v>
      </c>
      <c r="H43" s="2">
        <f t="shared" si="10"/>
        <v>0</v>
      </c>
      <c r="I43" s="2">
        <f t="shared" si="10"/>
        <v>0</v>
      </c>
      <c r="J43" s="2">
        <f t="shared" si="10"/>
        <v>0</v>
      </c>
      <c r="K43" s="2">
        <f t="shared" si="10"/>
        <v>0</v>
      </c>
      <c r="L43" s="2">
        <f t="shared" si="10"/>
        <v>0</v>
      </c>
      <c r="M43" s="2">
        <f t="shared" si="10"/>
        <v>0</v>
      </c>
      <c r="N43" s="2">
        <f t="shared" si="10"/>
        <v>0</v>
      </c>
      <c r="O43" s="2">
        <f t="shared" si="10"/>
        <v>0</v>
      </c>
      <c r="P43" s="2">
        <f t="shared" si="10"/>
        <v>0</v>
      </c>
      <c r="Q43" s="2">
        <f t="shared" si="11"/>
        <v>0</v>
      </c>
      <c r="R43" s="2">
        <f t="shared" si="12"/>
        <v>0</v>
      </c>
      <c r="S43" s="2">
        <f t="shared" si="12"/>
        <v>0</v>
      </c>
      <c r="T43" s="2">
        <f t="shared" si="12"/>
        <v>0</v>
      </c>
      <c r="U43" s="2">
        <f t="shared" si="12"/>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Trewindsor 1 (29/30)</v>
      </c>
      <c r="C57" s="16" t="str">
        <f t="shared" ref="C57:U57" si="13">D8</f>
        <v>Trewindsor 2 (31)</v>
      </c>
      <c r="D57" s="16" t="str">
        <f t="shared" si="13"/>
        <v>Trewindsor 3 (32)</v>
      </c>
      <c r="E57" s="16" t="str">
        <f t="shared" si="13"/>
        <v>Trewindsor 4 (50)</v>
      </c>
      <c r="F57" s="16" t="str">
        <f t="shared" si="13"/>
        <v>Trewindsor 5 (52)</v>
      </c>
      <c r="G57" s="16" t="str">
        <f t="shared" si="13"/>
        <v>Trewindsor 6 (53)</v>
      </c>
      <c r="H57" s="16" t="str">
        <f t="shared" si="13"/>
        <v>Trewindsor 7 (51)</v>
      </c>
      <c r="I57" s="16" t="str">
        <f t="shared" si="13"/>
        <v>Tyriet 8</v>
      </c>
      <c r="J57" s="16" t="str">
        <f t="shared" si="13"/>
        <v xml:space="preserve"> Tyriet  9</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"&amp;(VLOOKUP(C14,Table24[],6,FALSE))</f>
        <v>Medium/Clay I Grass</v>
      </c>
      <c r="C58" s="44" t="str">
        <f>D16&amp;" I "&amp;(VLOOKUP(D14,Table24[],6,FALSE))</f>
        <v>Medium/Clay I Grass</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Grass</v>
      </c>
      <c r="H58" s="21" t="str">
        <f>I16&amp;" I "&amp;(VLOOKUP(I14,Table24[],6,FALSE))</f>
        <v>Medium/Clay I Grass</v>
      </c>
      <c r="I58" s="21" t="str">
        <f>J16&amp;" I "&amp;(VLOOKUP(J14,Table24[],6,FALSE))</f>
        <v>Medium/Clay I Grass</v>
      </c>
      <c r="J58" s="21" t="str">
        <f>K16&amp;" I "&amp;(VLOOKUP(K14,Table24[],6,FALSE))</f>
        <v>Medium/Clay I Grass</v>
      </c>
      <c r="K58" s="21" t="e">
        <f>L16&amp;" I "&amp;(VLOOKUP(L14,Table24[],6,FALSE))</f>
        <v>#N/A</v>
      </c>
      <c r="L58" s="21" t="e">
        <f>M16&amp;" I "&amp;(VLOOKUP(M14,Table24[],6,FALSE))</f>
        <v>#N/A</v>
      </c>
      <c r="M58" s="21" t="e">
        <f>N16&amp;" I "&amp;(VLOOKUP(N14,Table24[],6,FALSE))</f>
        <v>#N/A</v>
      </c>
      <c r="N58" s="21" t="e">
        <f>O16&amp;" I "&amp;(VLOOKUP(O14,Table24[],6,FALSE))</f>
        <v>#N/A</v>
      </c>
      <c r="O58" s="21" t="e">
        <f>P16&amp;" I "&amp;(VLOOKUP(P14,Table24[],6,FALSE))</f>
        <v>#N/A</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92" t="s">
        <v>130</v>
      </c>
      <c r="B59" s="93">
        <f>VLOOKUP(C$14,Table24[],5,FALSE)</f>
        <v>6.2</v>
      </c>
      <c r="C59" s="93">
        <f>VLOOKUP(D$14,Table24[],5,FALSE)</f>
        <v>6.2</v>
      </c>
      <c r="D59" s="93">
        <f>VLOOKUP(E$14,Table24[],5,FALSE)</f>
        <v>6.2</v>
      </c>
      <c r="E59" s="93">
        <f>VLOOKUP(F$14,Table24[],5,FALSE)</f>
        <v>6.2</v>
      </c>
      <c r="F59" s="93">
        <f>VLOOKUP(G$14,Table24[],5,FALSE)</f>
        <v>6.2</v>
      </c>
      <c r="G59" s="93">
        <f>VLOOKUP(H$14,Table24[],5,FALSE)</f>
        <v>6.2</v>
      </c>
      <c r="H59" s="93">
        <f>VLOOKUP(I$14,Table24[],5,FALSE)</f>
        <v>6.2</v>
      </c>
      <c r="I59" s="93">
        <f>VLOOKUP(J$14,Table24[],5,FALSE)</f>
        <v>6.2</v>
      </c>
      <c r="J59" s="93">
        <f>VLOOKUP(K$14,Table24[],5,FALSE)</f>
        <v>6.2</v>
      </c>
      <c r="K59" s="93" t="e">
        <f>VLOOKUP(L$14,Table24[],5,FALSE)</f>
        <v>#N/A</v>
      </c>
      <c r="L59" s="93" t="e">
        <f>VLOOKUP(M$14,Table24[],5,FALSE)</f>
        <v>#N/A</v>
      </c>
      <c r="M59" s="93" t="e">
        <f>VLOOKUP(N$14,Table24[],5,FALSE)</f>
        <v>#N/A</v>
      </c>
      <c r="N59" s="93" t="e">
        <f>VLOOKUP(O$14,Table24[],5,FALSE)</f>
        <v>#N/A</v>
      </c>
      <c r="O59" s="93" t="e">
        <f>VLOOKUP(P$14,Table24[],5,FALSE)</f>
        <v>#N/A</v>
      </c>
      <c r="P59" s="93" t="e">
        <f>VLOOKUP(Q$14,Table24[],5,FALSE)</f>
        <v>#N/A</v>
      </c>
      <c r="Q59" s="93" t="e">
        <f>VLOOKUP(R$14,Table24[],5,FALSE)</f>
        <v>#N/A</v>
      </c>
      <c r="R59" s="93" t="e">
        <f>VLOOKUP(S$14,Table24[],5,FALSE)</f>
        <v>#N/A</v>
      </c>
      <c r="S59" s="93" t="e">
        <f>VLOOKUP(T$14,Table24[],5,FALSE)</f>
        <v>#N/A</v>
      </c>
      <c r="T59" s="93" t="e">
        <f>VLOOKUP(U$14,Table24[],5,FALSE)</f>
        <v>#N/A</v>
      </c>
      <c r="U59" s="93" t="e">
        <f>VLOOKUP(V$14,Table24[],5,FALSE)</f>
        <v>#N/A</v>
      </c>
    </row>
    <row r="60" spans="1:35" s="27" customFormat="1" hidden="1" x14ac:dyDescent="0.2">
      <c r="A60" s="92" t="s">
        <v>4</v>
      </c>
      <c r="B60" s="93">
        <f>C10</f>
        <v>5</v>
      </c>
      <c r="C60" s="93">
        <f t="shared" ref="C60:U60" si="14">D10</f>
        <v>5.7</v>
      </c>
      <c r="D60" s="93">
        <f t="shared" si="14"/>
        <v>5.8</v>
      </c>
      <c r="E60" s="93">
        <f t="shared" si="14"/>
        <v>5.7</v>
      </c>
      <c r="F60" s="93">
        <f t="shared" si="14"/>
        <v>5.6</v>
      </c>
      <c r="G60" s="93">
        <f t="shared" si="14"/>
        <v>6</v>
      </c>
      <c r="H60" s="93">
        <f t="shared" si="14"/>
        <v>5.8</v>
      </c>
      <c r="I60" s="93">
        <f t="shared" si="14"/>
        <v>5.7</v>
      </c>
      <c r="J60" s="93">
        <f t="shared" si="14"/>
        <v>5.6</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125</v>
      </c>
      <c r="C62" s="94">
        <f>B32</f>
        <v>125</v>
      </c>
      <c r="D62" s="94">
        <f>B33</f>
        <v>125</v>
      </c>
      <c r="E62" s="94">
        <f>B34</f>
        <v>125</v>
      </c>
      <c r="F62" s="94">
        <f>B35</f>
        <v>125</v>
      </c>
      <c r="G62" s="94">
        <f>B36</f>
        <v>125</v>
      </c>
      <c r="H62" s="94">
        <f>B37</f>
        <v>125</v>
      </c>
      <c r="I62" s="94">
        <f>B38</f>
        <v>125</v>
      </c>
      <c r="J62" s="94">
        <f>B39</f>
        <v>125</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7.2000000000000011</v>
      </c>
      <c r="C64" s="94">
        <f t="shared" ref="C64:U64" si="17">(C59-C60)*C61</f>
        <v>3</v>
      </c>
      <c r="D64" s="94">
        <f t="shared" si="17"/>
        <v>2.4000000000000021</v>
      </c>
      <c r="E64" s="94">
        <f t="shared" si="17"/>
        <v>3</v>
      </c>
      <c r="F64" s="94">
        <f t="shared" si="17"/>
        <v>3.6000000000000032</v>
      </c>
      <c r="G64" s="94">
        <f t="shared" si="17"/>
        <v>1.2000000000000011</v>
      </c>
      <c r="H64" s="94">
        <f t="shared" si="17"/>
        <v>2.4000000000000021</v>
      </c>
      <c r="I64" s="94">
        <f t="shared" si="17"/>
        <v>3</v>
      </c>
      <c r="J64" s="94">
        <f t="shared" si="17"/>
        <v>3.6000000000000032</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28" priority="44" operator="equal">
      <formula>"DECREASE"</formula>
    </cfRule>
    <cfRule type="cellIs" dxfId="127" priority="45" operator="equal">
      <formula>"INCREASE"</formula>
    </cfRule>
  </conditionalFormatting>
  <conditionalFormatting sqref="B62:U65 B31:B50">
    <cfRule type="cellIs" dxfId="126" priority="43" operator="greaterThan">
      <formula>$B$51</formula>
    </cfRule>
  </conditionalFormatting>
  <conditionalFormatting sqref="C31:C50">
    <cfRule type="cellIs" dxfId="125" priority="42" operator="greaterThan">
      <formula>$C$51</formula>
    </cfRule>
  </conditionalFormatting>
  <conditionalFormatting sqref="C18:V18">
    <cfRule type="cellIs" dxfId="124" priority="38" operator="equal">
      <formula>0</formula>
    </cfRule>
  </conditionalFormatting>
  <conditionalFormatting sqref="C17:V17">
    <cfRule type="cellIs" dxfId="123" priority="36" operator="equal">
      <formula>0</formula>
    </cfRule>
  </conditionalFormatting>
  <conditionalFormatting sqref="C19:V19">
    <cfRule type="cellIs" dxfId="122" priority="35" operator="equal">
      <formula>0</formula>
    </cfRule>
  </conditionalFormatting>
  <conditionalFormatting sqref="G31:G50">
    <cfRule type="cellIs" dxfId="121" priority="32" operator="greaterThan">
      <formula>$G$51</formula>
    </cfRule>
  </conditionalFormatting>
  <conditionalFormatting sqref="H31:H50">
    <cfRule type="cellIs" dxfId="120" priority="31" operator="greaterThan">
      <formula>$H$51</formula>
    </cfRule>
  </conditionalFormatting>
  <conditionalFormatting sqref="I31:I50">
    <cfRule type="cellIs" dxfId="119" priority="30" operator="greaterThan">
      <formula>$I$51</formula>
    </cfRule>
  </conditionalFormatting>
  <conditionalFormatting sqref="K31:K50">
    <cfRule type="cellIs" dxfId="118" priority="28" operator="greaterThan">
      <formula>$K$51</formula>
    </cfRule>
  </conditionalFormatting>
  <conditionalFormatting sqref="L31:L50">
    <cfRule type="cellIs" dxfId="117" priority="27" operator="greaterThan">
      <formula>$L$51</formula>
    </cfRule>
  </conditionalFormatting>
  <conditionalFormatting sqref="M31:M50">
    <cfRule type="cellIs" dxfId="116" priority="26" operator="greaterThan">
      <formula>$M$51</formula>
    </cfRule>
  </conditionalFormatting>
  <conditionalFormatting sqref="P31:P50">
    <cfRule type="cellIs" dxfId="115" priority="25" operator="greaterThan">
      <formula>$P$51</formula>
    </cfRule>
  </conditionalFormatting>
  <conditionalFormatting sqref="R31:R50">
    <cfRule type="cellIs" dxfId="114" priority="24" operator="greaterThan">
      <formula>$R$51</formula>
    </cfRule>
  </conditionalFormatting>
  <conditionalFormatting sqref="S31:S50">
    <cfRule type="cellIs" dxfId="113" priority="23" operator="greaterThan">
      <formula>$S$51</formula>
    </cfRule>
  </conditionalFormatting>
  <conditionalFormatting sqref="T31:T50">
    <cfRule type="cellIs" dxfId="112" priority="22" operator="greaterThan">
      <formula>$T$51</formula>
    </cfRule>
  </conditionalFormatting>
  <conditionalFormatting sqref="U31:U50">
    <cfRule type="cellIs" dxfId="111" priority="21" operator="greaterThan">
      <formula>$U$51</formula>
    </cfRule>
  </conditionalFormatting>
  <conditionalFormatting sqref="C22:V22">
    <cfRule type="cellIs" dxfId="110" priority="19" operator="equal">
      <formula>0</formula>
    </cfRule>
  </conditionalFormatting>
  <conditionalFormatting sqref="C24:V24">
    <cfRule type="cellIs" dxfId="109" priority="17" operator="equal">
      <formula>"DECREASE"</formula>
    </cfRule>
    <cfRule type="cellIs" dxfId="108" priority="18" operator="equal">
      <formula>"INCREASE"</formula>
    </cfRule>
  </conditionalFormatting>
  <conditionalFormatting sqref="C23:V23">
    <cfRule type="cellIs" dxfId="107" priority="16" operator="equal">
      <formula>0</formula>
    </cfRule>
  </conditionalFormatting>
  <conditionalFormatting sqref="C21:V21">
    <cfRule type="cellIs" dxfId="103" priority="9" operator="equal">
      <formula>0</formula>
    </cfRule>
  </conditionalFormatting>
  <conditionalFormatting sqref="B65:U65">
    <cfRule type="cellIs" dxfId="102" priority="5" operator="equal">
      <formula>"UNDER"</formula>
    </cfRule>
    <cfRule type="cellIs" dxfId="101" priority="6" operator="equal">
      <formula>"OVER"</formula>
    </cfRule>
  </conditionalFormatting>
  <conditionalFormatting sqref="J31:J50">
    <cfRule type="cellIs" dxfId="100" priority="4" operator="greaterThan">
      <formula>$J$51</formula>
    </cfRule>
  </conditionalFormatting>
  <conditionalFormatting sqref="I1">
    <cfRule type="cellIs" dxfId="8" priority="3" operator="lessThan">
      <formula>5</formula>
    </cfRule>
  </conditionalFormatting>
  <conditionalFormatting sqref="I2">
    <cfRule type="cellIs" dxfId="7" priority="2" operator="greaterThan">
      <formula>5000.1</formula>
    </cfRule>
  </conditionalFormatting>
  <conditionalFormatting sqref="I3">
    <cfRule type="cellIs" dxfId="6" priority="1" operator="greaterThan">
      <formula>4.1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zoomScale="90" zoomScaleNormal="90" workbookViewId="0">
      <selection activeCell="C31" sqref="C3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20" t="s">
        <v>41</v>
      </c>
      <c r="B1" s="120"/>
      <c r="C1" s="128" t="str">
        <f>'Field data and Waste 1'!C1:D1</f>
        <v>PAN-014268</v>
      </c>
      <c r="D1" s="129"/>
      <c r="E1" s="37" t="s">
        <v>45</v>
      </c>
      <c r="F1" s="46">
        <f>'Field data and Waste 1'!F1</f>
        <v>49.2</v>
      </c>
      <c r="G1" s="108" t="s">
        <v>43</v>
      </c>
      <c r="H1" s="109"/>
      <c r="I1" s="103">
        <v>6.47</v>
      </c>
      <c r="AB1" s="26"/>
      <c r="AC1" s="26"/>
      <c r="AD1" s="43" t="s">
        <v>124</v>
      </c>
      <c r="AE1" s="25"/>
      <c r="AF1" s="25"/>
      <c r="AG1" s="26"/>
      <c r="AH1" s="26"/>
      <c r="AI1" s="47" t="s">
        <v>79</v>
      </c>
      <c r="AJ1" s="48" t="s">
        <v>91</v>
      </c>
      <c r="AK1" s="49" t="s">
        <v>92</v>
      </c>
      <c r="AL1" s="50" t="s">
        <v>123</v>
      </c>
      <c r="AM1" s="50" t="s">
        <v>129</v>
      </c>
      <c r="AN1" s="50" t="s">
        <v>109</v>
      </c>
    </row>
    <row r="2" spans="1:41" x14ac:dyDescent="0.2">
      <c r="A2" s="120" t="s">
        <v>84</v>
      </c>
      <c r="B2" s="120"/>
      <c r="C2" s="130" t="str">
        <f>'Field data and Waste 1'!C2:D2</f>
        <v>EPR-AB3891CX</v>
      </c>
      <c r="D2" s="131"/>
      <c r="E2" s="37" t="s">
        <v>106</v>
      </c>
      <c r="F2" s="103" t="s">
        <v>167</v>
      </c>
      <c r="G2" s="110" t="s">
        <v>107</v>
      </c>
      <c r="H2" s="111"/>
      <c r="I2" s="103">
        <v>2030</v>
      </c>
      <c r="AB2" s="43" t="s">
        <v>56</v>
      </c>
      <c r="AC2" s="25"/>
      <c r="AD2" s="43" t="s">
        <v>70</v>
      </c>
      <c r="AE2" s="25"/>
      <c r="AF2" s="25"/>
      <c r="AG2" s="51" t="s">
        <v>76</v>
      </c>
      <c r="AH2" s="26"/>
      <c r="AI2" s="52" t="s">
        <v>124</v>
      </c>
      <c r="AJ2" s="53">
        <v>0</v>
      </c>
      <c r="AK2" s="54">
        <v>0</v>
      </c>
      <c r="AL2" s="18">
        <v>0</v>
      </c>
      <c r="AM2" s="19">
        <v>0</v>
      </c>
      <c r="AN2" s="19">
        <v>0</v>
      </c>
    </row>
    <row r="3" spans="1:41" x14ac:dyDescent="0.2">
      <c r="A3" s="124" t="s">
        <v>42</v>
      </c>
      <c r="B3" s="125"/>
      <c r="C3" s="130" t="str">
        <f>'Field data and Waste 1'!C3:D3</f>
        <v>Stepside Agri</v>
      </c>
      <c r="D3" s="131"/>
      <c r="E3" s="37" t="s">
        <v>105</v>
      </c>
      <c r="F3" s="45" t="s">
        <v>78</v>
      </c>
      <c r="G3" s="108" t="s">
        <v>108</v>
      </c>
      <c r="H3" s="109"/>
      <c r="I3" s="103">
        <v>0.108</v>
      </c>
      <c r="AB3" s="43" t="s">
        <v>57</v>
      </c>
      <c r="AC3" s="25"/>
      <c r="AD3" s="43" t="s">
        <v>71</v>
      </c>
      <c r="AE3" s="25"/>
      <c r="AF3" s="25"/>
      <c r="AG3" s="51" t="s">
        <v>77</v>
      </c>
      <c r="AH3" s="26"/>
      <c r="AI3" s="55" t="s">
        <v>111</v>
      </c>
      <c r="AJ3" s="56">
        <v>1.7</v>
      </c>
      <c r="AK3" s="57">
        <v>6</v>
      </c>
      <c r="AL3" s="58">
        <v>1</v>
      </c>
      <c r="AM3" s="19">
        <v>6.2</v>
      </c>
      <c r="AN3" s="19" t="s">
        <v>110</v>
      </c>
    </row>
    <row r="4" spans="1:41" x14ac:dyDescent="0.2">
      <c r="A4" s="120" t="s">
        <v>0</v>
      </c>
      <c r="B4" s="120"/>
      <c r="C4" s="128" t="str">
        <f>'Field data and Waste 1'!C4:D4</f>
        <v>Trewindsor Farm, Llangoedmor, Cardigan, Ceredigion, SA43 2LN</v>
      </c>
      <c r="D4" s="129"/>
      <c r="E4" s="38" t="s">
        <v>1</v>
      </c>
      <c r="F4" s="103" t="s">
        <v>169</v>
      </c>
      <c r="G4" s="108"/>
      <c r="H4" s="109"/>
      <c r="I4" s="46"/>
      <c r="AB4" s="43" t="s">
        <v>52</v>
      </c>
      <c r="AC4" s="25"/>
      <c r="AD4" s="59" t="s">
        <v>72</v>
      </c>
      <c r="AE4" s="25"/>
      <c r="AF4" s="25"/>
      <c r="AG4" s="51" t="s">
        <v>78</v>
      </c>
      <c r="AH4" s="26"/>
      <c r="AI4" s="60" t="s">
        <v>122</v>
      </c>
      <c r="AJ4" s="61">
        <v>7</v>
      </c>
      <c r="AK4" s="62">
        <v>10.5</v>
      </c>
      <c r="AL4" s="19">
        <v>2</v>
      </c>
      <c r="AM4" s="19">
        <v>6.7</v>
      </c>
      <c r="AN4" s="19" t="s">
        <v>135</v>
      </c>
    </row>
    <row r="5" spans="1:41" x14ac:dyDescent="0.2">
      <c r="A5" s="120" t="s">
        <v>47</v>
      </c>
      <c r="B5" s="120"/>
      <c r="C5" s="128" t="str">
        <f>'Field data and Waste 1'!C5:D5</f>
        <v>Sion Sleep</v>
      </c>
      <c r="D5" s="129"/>
      <c r="E5" s="37"/>
      <c r="F5" s="46"/>
      <c r="G5" s="108"/>
      <c r="H5" s="109"/>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7" t="s">
        <v>63</v>
      </c>
      <c r="B7" s="11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20" t="s">
        <v>2</v>
      </c>
      <c r="B8" s="120"/>
      <c r="C8" s="67" t="str">
        <f>'Field data and Waste 1'!C8</f>
        <v>Trewindsor 1 (29/30)</v>
      </c>
      <c r="D8" s="67" t="str">
        <f>'Field data and Waste 1'!D8</f>
        <v>Trewindsor 2 (31)</v>
      </c>
      <c r="E8" s="67" t="str">
        <f>'Field data and Waste 1'!E8</f>
        <v>Trewindsor 3 (32)</v>
      </c>
      <c r="F8" s="67" t="str">
        <f>'Field data and Waste 1'!F8</f>
        <v>Trewindsor 4 (50)</v>
      </c>
      <c r="G8" s="67" t="str">
        <f>'Field data and Waste 1'!G8</f>
        <v>Trewindsor 5 (52)</v>
      </c>
      <c r="H8" s="67" t="str">
        <f>'Field data and Waste 1'!H8</f>
        <v>Trewindsor 6 (53)</v>
      </c>
      <c r="I8" s="67" t="str">
        <f>'Field data and Waste 1'!I8</f>
        <v>Trewindsor 7 (51)</v>
      </c>
      <c r="J8" s="67" t="str">
        <f>'Field data and Waste 1'!J8</f>
        <v>Tyriet 8</v>
      </c>
      <c r="K8" s="67" t="str">
        <f>'Field data and Waste 1'!K8</f>
        <v xml:space="preserve"> Tyriet  9</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20" t="s">
        <v>3</v>
      </c>
      <c r="B9" s="120"/>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20" t="s">
        <v>4</v>
      </c>
      <c r="B10" s="120"/>
      <c r="C10" s="67">
        <f>'Field data and Waste 1'!C10</f>
        <v>5</v>
      </c>
      <c r="D10" s="67">
        <f>'Field data and Waste 1'!D10</f>
        <v>5.7</v>
      </c>
      <c r="E10" s="67">
        <f>'Field data and Waste 1'!E10</f>
        <v>5.8</v>
      </c>
      <c r="F10" s="67">
        <f>'Field data and Waste 1'!F10</f>
        <v>5.7</v>
      </c>
      <c r="G10" s="67">
        <f>'Field data and Waste 1'!G10</f>
        <v>5.6</v>
      </c>
      <c r="H10" s="67">
        <f>'Field data and Waste 1'!H10</f>
        <v>6</v>
      </c>
      <c r="I10" s="67">
        <f>'Field data and Waste 1'!I10</f>
        <v>5.8</v>
      </c>
      <c r="J10" s="67">
        <f>'Field data and Waste 1'!J10</f>
        <v>5.7</v>
      </c>
      <c r="K10" s="67">
        <f>'Field data and Waste 1'!K10</f>
        <v>5.6</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20" t="s">
        <v>5</v>
      </c>
      <c r="B11" s="120"/>
      <c r="C11" s="67">
        <f>'Field data and Waste 1'!C11</f>
        <v>2</v>
      </c>
      <c r="D11" s="67">
        <f>'Field data and Waste 1'!D11</f>
        <v>2</v>
      </c>
      <c r="E11" s="67">
        <f>'Field data and Waste 1'!E11</f>
        <v>2</v>
      </c>
      <c r="F11" s="67">
        <f>'Field data and Waste 1'!F11</f>
        <v>2</v>
      </c>
      <c r="G11" s="67">
        <f>'Field data and Waste 1'!G11</f>
        <v>2</v>
      </c>
      <c r="H11" s="67">
        <f>'Field data and Waste 1'!H11</f>
        <v>3</v>
      </c>
      <c r="I11" s="67">
        <f>'Field data and Waste 1'!I11</f>
        <v>3</v>
      </c>
      <c r="J11" s="67">
        <f>'Field data and Waste 1'!J11</f>
        <v>1</v>
      </c>
      <c r="K11" s="67">
        <f>'Field data and Waste 1'!K11</f>
        <v>1</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20" t="s">
        <v>6</v>
      </c>
      <c r="B12" s="120"/>
      <c r="C12" s="67">
        <f>'Field data and Waste 1'!C12</f>
        <v>0</v>
      </c>
      <c r="D12" s="67">
        <f>'Field data and Waste 1'!D12</f>
        <v>0</v>
      </c>
      <c r="E12" s="67">
        <f>'Field data and Waste 1'!E12</f>
        <v>1</v>
      </c>
      <c r="F12" s="67">
        <f>'Field data and Waste 1'!F12</f>
        <v>1</v>
      </c>
      <c r="G12" s="67">
        <f>'Field data and Waste 1'!G12</f>
        <v>0</v>
      </c>
      <c r="H12" s="67">
        <f>'Field data and Waste 1'!H12</f>
        <v>2</v>
      </c>
      <c r="I12" s="67">
        <f>'Field data and Waste 1'!I12</f>
        <v>2</v>
      </c>
      <c r="J12" s="67">
        <f>'Field data and Waste 1'!J12</f>
        <v>1</v>
      </c>
      <c r="K12" s="67">
        <f>'Field data and Waste 1'!K12</f>
        <v>1</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20" t="s">
        <v>7</v>
      </c>
      <c r="B13" s="120"/>
      <c r="C13" s="67">
        <f>'Field data and Waste 1'!C13</f>
        <v>1</v>
      </c>
      <c r="D13" s="67">
        <f>'Field data and Waste 1'!D13</f>
        <v>1</v>
      </c>
      <c r="E13" s="67">
        <f>'Field data and Waste 1'!E13</f>
        <v>2</v>
      </c>
      <c r="F13" s="67">
        <f>'Field data and Waste 1'!F13</f>
        <v>2</v>
      </c>
      <c r="G13" s="67">
        <f>'Field data and Waste 1'!G13</f>
        <v>1</v>
      </c>
      <c r="H13" s="67">
        <f>'Field data and Waste 1'!H13</f>
        <v>2</v>
      </c>
      <c r="I13" s="67">
        <f>'Field data and Waste 1'!I13</f>
        <v>2</v>
      </c>
      <c r="J13" s="67">
        <f>'Field data and Waste 1'!J13</f>
        <v>2</v>
      </c>
      <c r="K13" s="67">
        <f>'Field data and Waste 1'!K13</f>
        <v>3</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2" t="s">
        <v>8</v>
      </c>
      <c r="B14" s="122"/>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21" t="s">
        <v>9</v>
      </c>
      <c r="B15" s="121"/>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3" t="s">
        <v>44</v>
      </c>
      <c r="B16" s="123"/>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8" t="s">
        <v>69</v>
      </c>
      <c r="B17" s="119"/>
      <c r="C17" s="39">
        <f>(VLOOKUP(C$14,$AI2:$AK26,2,FALSE))*C$15</f>
        <v>79.899999999999991</v>
      </c>
      <c r="D17" s="39">
        <f t="shared" ref="D17:V17" si="0">(VLOOKUP(D$14,$AI2:$AK26,2,FALSE))*D$15</f>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6" t="s">
        <v>23</v>
      </c>
      <c r="B18" s="117"/>
      <c r="C18" s="24">
        <f>$D31</f>
        <v>67.412674999999993</v>
      </c>
      <c r="D18" s="24">
        <f>$D32</f>
        <v>67.412674999999993</v>
      </c>
      <c r="E18" s="24">
        <f>$D33</f>
        <v>67.412674999999993</v>
      </c>
      <c r="F18" s="24">
        <f>$D34</f>
        <v>67.412674999999993</v>
      </c>
      <c r="G18" s="24">
        <f>$D35</f>
        <v>67.412674999999993</v>
      </c>
      <c r="H18" s="24">
        <f>$D36</f>
        <v>67.412674999999993</v>
      </c>
      <c r="I18" s="24">
        <f>$D37</f>
        <v>67.412674999999993</v>
      </c>
      <c r="J18" s="24">
        <f>$D38</f>
        <v>67.412674999999993</v>
      </c>
      <c r="K18" s="24">
        <f>$D39</f>
        <v>67.412674999999993</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6" t="s">
        <v>87</v>
      </c>
      <c r="B19" s="117"/>
      <c r="C19" s="24">
        <f>C18-C17</f>
        <v>-12.487324999999998</v>
      </c>
      <c r="D19" s="24">
        <f t="shared" ref="D19:V19" si="1">D18-D17</f>
        <v>-12.487324999999998</v>
      </c>
      <c r="E19" s="24">
        <f t="shared" si="1"/>
        <v>-12.487324999999998</v>
      </c>
      <c r="F19" s="24">
        <f t="shared" si="1"/>
        <v>-12.487324999999998</v>
      </c>
      <c r="G19" s="24">
        <f t="shared" si="1"/>
        <v>-12.487324999999998</v>
      </c>
      <c r="H19" s="24">
        <f t="shared" si="1"/>
        <v>-12.487324999999998</v>
      </c>
      <c r="I19" s="24">
        <f t="shared" si="1"/>
        <v>-12.487324999999998</v>
      </c>
      <c r="J19" s="24">
        <f t="shared" si="1"/>
        <v>-12.487324999999998</v>
      </c>
      <c r="K19" s="24">
        <f t="shared" si="1"/>
        <v>-12.487324999999998</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4" t="s">
        <v>88</v>
      </c>
      <c r="B20" s="115"/>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8" t="s">
        <v>85</v>
      </c>
      <c r="B21" s="119"/>
      <c r="C21" s="39">
        <f>(VLOOKUP(C$14,$AI2:$AK26,3,FALSE))*C$15</f>
        <v>282</v>
      </c>
      <c r="D21" s="39">
        <f t="shared" ref="D21:V21" si="2">(VLOOKUP(D$14,$AI2:$AK26,3,FALSE))*D$15</f>
        <v>282</v>
      </c>
      <c r="E21" s="39">
        <f t="shared" si="2"/>
        <v>282</v>
      </c>
      <c r="F21" s="39">
        <f t="shared" si="2"/>
        <v>282</v>
      </c>
      <c r="G21" s="39">
        <f t="shared" si="2"/>
        <v>282</v>
      </c>
      <c r="H21" s="39">
        <f t="shared" si="2"/>
        <v>282</v>
      </c>
      <c r="I21" s="39">
        <f t="shared" si="2"/>
        <v>282</v>
      </c>
      <c r="J21" s="39">
        <f t="shared" si="2"/>
        <v>282</v>
      </c>
      <c r="K21" s="39">
        <f t="shared" si="2"/>
        <v>282</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6" t="s">
        <v>86</v>
      </c>
      <c r="B22" s="117"/>
      <c r="C22" s="24">
        <f>$E31</f>
        <v>154.59306500000002</v>
      </c>
      <c r="D22" s="24">
        <f>$E32</f>
        <v>154.59306500000002</v>
      </c>
      <c r="E22" s="24">
        <f>$E33</f>
        <v>154.59306500000002</v>
      </c>
      <c r="F22" s="24">
        <f>$E34</f>
        <v>154.59306500000002</v>
      </c>
      <c r="G22" s="24">
        <f>$E35</f>
        <v>154.59306500000002</v>
      </c>
      <c r="H22" s="24">
        <f>$E36</f>
        <v>154.59306500000002</v>
      </c>
      <c r="I22" s="24">
        <f>$E37</f>
        <v>154.59306500000002</v>
      </c>
      <c r="J22" s="24">
        <f>$E38</f>
        <v>154.59306500000002</v>
      </c>
      <c r="K22" s="24">
        <f>$E39</f>
        <v>154.59306500000002</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6" t="s">
        <v>89</v>
      </c>
      <c r="B23" s="117"/>
      <c r="C23" s="24">
        <f>C22-C21</f>
        <v>-127.40693499999998</v>
      </c>
      <c r="D23" s="24">
        <f t="shared" ref="D23:V23" si="3">D22-D21</f>
        <v>-127.40693499999998</v>
      </c>
      <c r="E23" s="24">
        <f t="shared" si="3"/>
        <v>-127.40693499999998</v>
      </c>
      <c r="F23" s="24">
        <f t="shared" si="3"/>
        <v>-127.40693499999998</v>
      </c>
      <c r="G23" s="24">
        <f t="shared" si="3"/>
        <v>-127.40693499999998</v>
      </c>
      <c r="H23" s="24">
        <f t="shared" si="3"/>
        <v>-127.40693499999998</v>
      </c>
      <c r="I23" s="24">
        <f t="shared" si="3"/>
        <v>-127.40693499999998</v>
      </c>
      <c r="J23" s="24">
        <f t="shared" si="3"/>
        <v>-127.40693499999998</v>
      </c>
      <c r="K23" s="24">
        <f t="shared" si="3"/>
        <v>-127.40693499999998</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4" t="s">
        <v>90</v>
      </c>
      <c r="B24" s="115"/>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1.04</v>
      </c>
      <c r="C28" s="23">
        <v>0.06</v>
      </c>
      <c r="D28" s="23">
        <v>275</v>
      </c>
      <c r="E28" s="23">
        <v>1199</v>
      </c>
      <c r="F28" s="23">
        <v>73.400000000000006</v>
      </c>
      <c r="G28" s="23">
        <v>0.2</v>
      </c>
      <c r="H28" s="23">
        <v>3.33</v>
      </c>
      <c r="I28" s="23">
        <v>0.5</v>
      </c>
      <c r="J28" s="23">
        <v>0.01</v>
      </c>
      <c r="K28" s="30">
        <v>0.05</v>
      </c>
      <c r="L28" s="23">
        <v>0.2</v>
      </c>
      <c r="M28" s="23">
        <v>0.2</v>
      </c>
      <c r="N28" s="23"/>
      <c r="O28" s="23"/>
      <c r="P28" s="23">
        <v>969</v>
      </c>
      <c r="Q28" s="23">
        <v>62</v>
      </c>
      <c r="R28" s="23"/>
      <c r="S28" s="23"/>
      <c r="T28" s="23"/>
      <c r="U28" s="23"/>
    </row>
    <row r="29" spans="1:40" s="15" customFormat="1" ht="27" x14ac:dyDescent="0.25">
      <c r="A29" s="126"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7"/>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Trewindsor 1 (29/30)</v>
      </c>
      <c r="B31" s="23">
        <v>107</v>
      </c>
      <c r="C31" s="2">
        <f>IF(C$27="%w/w SAR",((C$28*10)*$B31),IF(C$27="%w/w DM",(((C$28*10)*($B$28/100))*$B31),IF(C$27="kg/t SAR",(C$28*$B31),IF(C$27="kg/t DM",((C$28*($B$28/100))*$B31),IF(C$27="mg/kg SAR",((C$28*0.001)*$B31),IF(C$27="mg/kg DM",(((C$28*0.001)*($B$28/100))*$B31),0))))))</f>
        <v>64.2</v>
      </c>
      <c r="D31" s="2">
        <f>(IF(D$27="%w/w SAR",((D$28*10)*$B31),IF(D$27="%w/w DM",(((D$28*10)*($B$28/100))*$B31),IF(D$27="kg/t SAR",(D$28*$B31),IF(D$27="kg/t DM",((D$28*($B$28/100))*$B31),IF(D$27="mg/kg SAR",((D$28*0.001)*$B31),IF(D$27="mg/kg DM",(((D$28*0.001)*($B$28/100))*$B31),"0")))))))*2.291</f>
        <v>67.412674999999993</v>
      </c>
      <c r="E31" s="2">
        <f>(IF(E$27="%w/w SAR",((E$28*10)*$B31),IF(E$27="%w/w DM",(((E$28*10)*($B$28/100))*$B31),IF(E$27="kg/t SAR",(E$28*$B31),IF(E$27="kg/t DM",((E$28*($B$28/100))*$B31),IF(E$27="mg/kg SAR",((E$28*0.001)*$B31),IF(E$27="mg/kg DM",(((E$28*0.001)*($B$28/100))*$B31),"0")))))))*1.205</f>
        <v>154.59306500000002</v>
      </c>
      <c r="F31" s="2">
        <f>(IF(F$27="%w/w SAR",((F$28*10)*$B31),IF(F$27="%w/w DM",(((F$28*10)*($B$28/100))*$B31),IF(F$27="kg/t SAR",(F$28*$B31),IF(F$27="kg/t DM",((F$28*($B$28/100))*$B31),IF(F$27="mg/kg SAR",((F$28*0.001)*$B31),IF(F$27="mg/kg DM",(((F$28*0.001)*($B$28/100))*$B31),"0")))))))*1.658</f>
        <v>13.021600400000001</v>
      </c>
      <c r="G31" s="2">
        <f t="shared" ref="G31:P46" si="5">IF(G$27="%w/w SAR",((G$28*10)*$B31),IF(G$27="%w/w DM",(((G$28*10)*($B$28/100))*$B31),IF(G$27="kg/t SAR",(G$28*$B31),IF(G$27="kg/t DM",((G$28*($B$28/100))*$B31),IF(G$27="mg/kg SAR",((G$28*0.001)*$B31),IF(G$27="mg/kg DM",(((G$28*0.001)*($B$28/100))*$B31),0))))))</f>
        <v>2.1400000000000002E-2</v>
      </c>
      <c r="H31" s="2">
        <f t="shared" si="5"/>
        <v>0.35631000000000002</v>
      </c>
      <c r="I31" s="2">
        <f t="shared" si="5"/>
        <v>5.3499999999999999E-2</v>
      </c>
      <c r="J31" s="2">
        <f t="shared" si="5"/>
        <v>1.07E-3</v>
      </c>
      <c r="K31" s="2">
        <f t="shared" si="5"/>
        <v>5.3500000000000006E-3</v>
      </c>
      <c r="L31" s="2">
        <f t="shared" si="5"/>
        <v>2.1400000000000002E-2</v>
      </c>
      <c r="M31" s="2">
        <f t="shared" si="5"/>
        <v>2.1400000000000002E-2</v>
      </c>
      <c r="N31" s="2">
        <f t="shared" si="5"/>
        <v>0</v>
      </c>
      <c r="O31" s="2">
        <f t="shared" si="5"/>
        <v>0</v>
      </c>
      <c r="P31" s="2">
        <f t="shared" si="5"/>
        <v>103.68299999999999</v>
      </c>
      <c r="Q31" s="2">
        <f>(IF(Q$27="%w/w SAR",((Q$28*10)*$B31),IF(Q$27="%w/w DM",(((Q$28*10)*($B$28/100))*$B31),IF(Q$27="kg/t SAR",(Q$28*$B31),IF(Q$27="kg/t DM",((Q$28*($B$28/100))*$B31),IF(Q$27="mg/kg SAR",((Q$28*0.001)*$B31),IF(Q$27="mg/kg DM",(((Q$28*0.001)*($B$28/100))*$B31),0)))))))*2.5</f>
        <v>16.585000000000001</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Trewindsor 2 (31)</v>
      </c>
      <c r="B32" s="23">
        <v>107</v>
      </c>
      <c r="C32" s="2">
        <f t="shared" ref="C32:C50" si="6">IF(C$27="%w/w SAR",((C$28*10)*$B32),IF(C$27="%w/w DM",(((C$28*10)*($B$28/100))*$B32),IF(C$27="kg/t SAR",(C$28*$B32),IF(C$27="kg/t DM",((C$28*($B$28/100))*$B32),IF(C$27="mg/kg SAR",((C$28*0.001)*$B32),IF(C$27="mg/kg DM",(((C$28*0.001)*($B$28/100))*$B32),0))))))</f>
        <v>64.2</v>
      </c>
      <c r="D32" s="2">
        <f t="shared" ref="D32:D50" si="7">(IF(D$27="%w/w SAR",((D$28*10)*$B32),IF(D$27="%w/w DM",(((D$28*10)*($B$28/100))*$B32),IF(D$27="kg/t SAR",(D$28*$B32),IF(D$27="kg/t DM",((D$28*($B$28/100))*$B32),IF(D$27="mg/kg SAR",((D$28*0.001)*$B32),IF(D$27="mg/kg DM",(((D$28*0.001)*($B$28/100))*$B32),"0")))))))*2.291</f>
        <v>67.412674999999993</v>
      </c>
      <c r="E32" s="2">
        <f t="shared" ref="E32:E50" si="8">(IF(E$27="%w/w SAR",((E$28*10)*$B32),IF(E$27="%w/w DM",(((E$28*10)*($B$28/100))*$B32),IF(E$27="kg/t SAR",(E$28*$B32),IF(E$27="kg/t DM",((E$28*($B$28/100))*$B32),IF(E$27="mg/kg SAR",((E$28*0.001)*$B32),IF(E$27="mg/kg DM",(((E$28*0.001)*($B$28/100))*$B32),"0")))))))*1.205</f>
        <v>154.59306500000002</v>
      </c>
      <c r="F32" s="2">
        <f t="shared" ref="F32:F50" si="9">(IF(F$27="%w/w SAR",((F$28*10)*$B32),IF(F$27="%w/w DM",(((F$28*10)*($B$28/100))*$B32),IF(F$27="kg/t SAR",(F$28*$B32),IF(F$27="kg/t DM",((F$28*($B$28/100))*$B32),IF(F$27="mg/kg SAR",((F$28*0.001)*$B32),IF(F$27="mg/kg DM",(((F$28*0.001)*($B$28/100))*$B32),"0")))))))*1.658</f>
        <v>13.021600400000001</v>
      </c>
      <c r="G32" s="2">
        <f t="shared" si="5"/>
        <v>2.1400000000000002E-2</v>
      </c>
      <c r="H32" s="2">
        <f t="shared" si="5"/>
        <v>0.35631000000000002</v>
      </c>
      <c r="I32" s="2">
        <f t="shared" si="5"/>
        <v>5.3499999999999999E-2</v>
      </c>
      <c r="J32" s="2">
        <f t="shared" si="5"/>
        <v>1.07E-3</v>
      </c>
      <c r="K32" s="2">
        <f t="shared" si="5"/>
        <v>5.3500000000000006E-3</v>
      </c>
      <c r="L32" s="2">
        <f t="shared" si="5"/>
        <v>2.1400000000000002E-2</v>
      </c>
      <c r="M32" s="2">
        <f t="shared" si="5"/>
        <v>2.1400000000000002E-2</v>
      </c>
      <c r="N32" s="2">
        <f t="shared" si="5"/>
        <v>0</v>
      </c>
      <c r="O32" s="2">
        <f t="shared" si="5"/>
        <v>0</v>
      </c>
      <c r="P32" s="2">
        <f t="shared" si="5"/>
        <v>103.68299999999999</v>
      </c>
      <c r="Q32" s="2">
        <f t="shared" ref="Q32:Q50" si="10">(IF(Q$27="%w/w SAR",((Q$28*10)*$B32),IF(Q$27="%w/w DM",(((Q$28*10)*($B$28/100))*$B32),IF(Q$27="kg/t SAR",(Q$28*$B32),IF(Q$27="kg/t DM",((Q$28*($B$28/100))*$B32),IF(Q$27="mg/kg SAR",((Q$28*0.001)*$B32),IF(Q$27="mg/kg DM",(((Q$28*0.001)*($B$28/100))*$B32),0)))))))*2.5</f>
        <v>16.585000000000001</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t="str">
        <f>E8</f>
        <v>Trewindsor 3 (32)</v>
      </c>
      <c r="B33" s="23">
        <v>107</v>
      </c>
      <c r="C33" s="2">
        <f t="shared" si="6"/>
        <v>64.2</v>
      </c>
      <c r="D33" s="2">
        <f t="shared" si="7"/>
        <v>67.412674999999993</v>
      </c>
      <c r="E33" s="2">
        <f t="shared" si="8"/>
        <v>154.59306500000002</v>
      </c>
      <c r="F33" s="2">
        <f t="shared" si="9"/>
        <v>13.021600400000001</v>
      </c>
      <c r="G33" s="2">
        <f t="shared" si="5"/>
        <v>2.1400000000000002E-2</v>
      </c>
      <c r="H33" s="2">
        <f t="shared" si="5"/>
        <v>0.35631000000000002</v>
      </c>
      <c r="I33" s="2">
        <f t="shared" si="5"/>
        <v>5.3499999999999999E-2</v>
      </c>
      <c r="J33" s="2">
        <f t="shared" si="5"/>
        <v>1.07E-3</v>
      </c>
      <c r="K33" s="2">
        <f t="shared" si="5"/>
        <v>5.3500000000000006E-3</v>
      </c>
      <c r="L33" s="2">
        <f t="shared" si="5"/>
        <v>2.1400000000000002E-2</v>
      </c>
      <c r="M33" s="2">
        <f t="shared" si="5"/>
        <v>2.1400000000000002E-2</v>
      </c>
      <c r="N33" s="2">
        <f t="shared" si="5"/>
        <v>0</v>
      </c>
      <c r="O33" s="2">
        <f t="shared" si="5"/>
        <v>0</v>
      </c>
      <c r="P33" s="2">
        <f t="shared" si="5"/>
        <v>103.68299999999999</v>
      </c>
      <c r="Q33" s="2">
        <f t="shared" si="10"/>
        <v>16.585000000000001</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t="str">
        <f>F8</f>
        <v>Trewindsor 4 (50)</v>
      </c>
      <c r="B34" s="23">
        <v>107</v>
      </c>
      <c r="C34" s="2">
        <f t="shared" si="6"/>
        <v>64.2</v>
      </c>
      <c r="D34" s="2">
        <f t="shared" si="7"/>
        <v>67.412674999999993</v>
      </c>
      <c r="E34" s="2">
        <f t="shared" si="8"/>
        <v>154.59306500000002</v>
      </c>
      <c r="F34" s="2">
        <f t="shared" si="9"/>
        <v>13.021600400000001</v>
      </c>
      <c r="G34" s="2">
        <f t="shared" si="5"/>
        <v>2.1400000000000002E-2</v>
      </c>
      <c r="H34" s="2">
        <f t="shared" si="5"/>
        <v>0.35631000000000002</v>
      </c>
      <c r="I34" s="2">
        <f t="shared" si="5"/>
        <v>5.3499999999999999E-2</v>
      </c>
      <c r="J34" s="2">
        <f t="shared" si="5"/>
        <v>1.07E-3</v>
      </c>
      <c r="K34" s="2">
        <f t="shared" si="5"/>
        <v>5.3500000000000006E-3</v>
      </c>
      <c r="L34" s="2">
        <f t="shared" si="5"/>
        <v>2.1400000000000002E-2</v>
      </c>
      <c r="M34" s="2">
        <f t="shared" si="5"/>
        <v>2.1400000000000002E-2</v>
      </c>
      <c r="N34" s="2">
        <f t="shared" si="5"/>
        <v>0</v>
      </c>
      <c r="O34" s="2">
        <f t="shared" si="5"/>
        <v>0</v>
      </c>
      <c r="P34" s="2">
        <f t="shared" si="5"/>
        <v>103.68299999999999</v>
      </c>
      <c r="Q34" s="2">
        <f t="shared" si="10"/>
        <v>16.585000000000001</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Trewindsor 5 (52)</v>
      </c>
      <c r="B35" s="23">
        <v>107</v>
      </c>
      <c r="C35" s="2">
        <f t="shared" si="6"/>
        <v>64.2</v>
      </c>
      <c r="D35" s="2">
        <f t="shared" si="7"/>
        <v>67.412674999999993</v>
      </c>
      <c r="E35" s="2">
        <f t="shared" si="8"/>
        <v>154.59306500000002</v>
      </c>
      <c r="F35" s="2">
        <f t="shared" si="9"/>
        <v>13.021600400000001</v>
      </c>
      <c r="G35" s="2">
        <f t="shared" si="5"/>
        <v>2.1400000000000002E-2</v>
      </c>
      <c r="H35" s="2">
        <f t="shared" si="5"/>
        <v>0.35631000000000002</v>
      </c>
      <c r="I35" s="2">
        <f t="shared" si="5"/>
        <v>5.3499999999999999E-2</v>
      </c>
      <c r="J35" s="2">
        <f t="shared" si="5"/>
        <v>1.07E-3</v>
      </c>
      <c r="K35" s="2">
        <f t="shared" si="5"/>
        <v>5.3500000000000006E-3</v>
      </c>
      <c r="L35" s="2">
        <f t="shared" si="5"/>
        <v>2.1400000000000002E-2</v>
      </c>
      <c r="M35" s="2">
        <f t="shared" si="5"/>
        <v>2.1400000000000002E-2</v>
      </c>
      <c r="N35" s="2">
        <f t="shared" si="5"/>
        <v>0</v>
      </c>
      <c r="O35" s="2">
        <f t="shared" si="5"/>
        <v>0</v>
      </c>
      <c r="P35" s="2">
        <f t="shared" si="5"/>
        <v>103.68299999999999</v>
      </c>
      <c r="Q35" s="2">
        <f t="shared" si="10"/>
        <v>16.585000000000001</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t="str">
        <f>H8</f>
        <v>Trewindsor 6 (53)</v>
      </c>
      <c r="B36" s="23">
        <v>107</v>
      </c>
      <c r="C36" s="2">
        <f t="shared" si="6"/>
        <v>64.2</v>
      </c>
      <c r="D36" s="2">
        <f t="shared" si="7"/>
        <v>67.412674999999993</v>
      </c>
      <c r="E36" s="2">
        <f t="shared" si="8"/>
        <v>154.59306500000002</v>
      </c>
      <c r="F36" s="2">
        <f t="shared" si="9"/>
        <v>13.021600400000001</v>
      </c>
      <c r="G36" s="2">
        <f t="shared" si="5"/>
        <v>2.1400000000000002E-2</v>
      </c>
      <c r="H36" s="2">
        <f t="shared" si="5"/>
        <v>0.35631000000000002</v>
      </c>
      <c r="I36" s="2">
        <f t="shared" si="5"/>
        <v>5.3499999999999999E-2</v>
      </c>
      <c r="J36" s="2">
        <f t="shared" si="5"/>
        <v>1.07E-3</v>
      </c>
      <c r="K36" s="2">
        <f t="shared" si="5"/>
        <v>5.3500000000000006E-3</v>
      </c>
      <c r="L36" s="2">
        <f t="shared" si="5"/>
        <v>2.1400000000000002E-2</v>
      </c>
      <c r="M36" s="2">
        <f t="shared" si="5"/>
        <v>2.1400000000000002E-2</v>
      </c>
      <c r="N36" s="2">
        <f t="shared" si="5"/>
        <v>0</v>
      </c>
      <c r="O36" s="2">
        <f t="shared" si="5"/>
        <v>0</v>
      </c>
      <c r="P36" s="2">
        <f t="shared" si="5"/>
        <v>103.68299999999999</v>
      </c>
      <c r="Q36" s="2">
        <f t="shared" si="10"/>
        <v>16.585000000000001</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t="str">
        <f>I8</f>
        <v>Trewindsor 7 (51)</v>
      </c>
      <c r="B37" s="23">
        <v>107</v>
      </c>
      <c r="C37" s="2">
        <f t="shared" si="6"/>
        <v>64.2</v>
      </c>
      <c r="D37" s="2">
        <f t="shared" si="7"/>
        <v>67.412674999999993</v>
      </c>
      <c r="E37" s="2">
        <f t="shared" si="8"/>
        <v>154.59306500000002</v>
      </c>
      <c r="F37" s="2">
        <f t="shared" si="9"/>
        <v>13.021600400000001</v>
      </c>
      <c r="G37" s="2">
        <f t="shared" si="5"/>
        <v>2.1400000000000002E-2</v>
      </c>
      <c r="H37" s="2">
        <f t="shared" si="5"/>
        <v>0.35631000000000002</v>
      </c>
      <c r="I37" s="2">
        <f t="shared" si="5"/>
        <v>5.3499999999999999E-2</v>
      </c>
      <c r="J37" s="2">
        <f t="shared" si="5"/>
        <v>1.07E-3</v>
      </c>
      <c r="K37" s="2">
        <f t="shared" si="5"/>
        <v>5.3500000000000006E-3</v>
      </c>
      <c r="L37" s="2">
        <f t="shared" si="5"/>
        <v>2.1400000000000002E-2</v>
      </c>
      <c r="M37" s="2">
        <f t="shared" si="5"/>
        <v>2.1400000000000002E-2</v>
      </c>
      <c r="N37" s="2">
        <f t="shared" si="5"/>
        <v>0</v>
      </c>
      <c r="O37" s="2">
        <f t="shared" si="5"/>
        <v>0</v>
      </c>
      <c r="P37" s="2">
        <f t="shared" si="5"/>
        <v>103.68299999999999</v>
      </c>
      <c r="Q37" s="2">
        <f t="shared" si="10"/>
        <v>16.585000000000001</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t="str">
        <f>J8</f>
        <v>Tyriet 8</v>
      </c>
      <c r="B38" s="23">
        <v>107</v>
      </c>
      <c r="C38" s="2">
        <f t="shared" si="6"/>
        <v>64.2</v>
      </c>
      <c r="D38" s="2">
        <f t="shared" si="7"/>
        <v>67.412674999999993</v>
      </c>
      <c r="E38" s="2">
        <f t="shared" si="8"/>
        <v>154.59306500000002</v>
      </c>
      <c r="F38" s="2">
        <f t="shared" si="9"/>
        <v>13.021600400000001</v>
      </c>
      <c r="G38" s="2">
        <f t="shared" si="5"/>
        <v>2.1400000000000002E-2</v>
      </c>
      <c r="H38" s="2">
        <f t="shared" si="5"/>
        <v>0.35631000000000002</v>
      </c>
      <c r="I38" s="2">
        <f t="shared" si="5"/>
        <v>5.3499999999999999E-2</v>
      </c>
      <c r="J38" s="2">
        <f t="shared" si="5"/>
        <v>1.07E-3</v>
      </c>
      <c r="K38" s="2">
        <f t="shared" si="5"/>
        <v>5.3500000000000006E-3</v>
      </c>
      <c r="L38" s="2">
        <f t="shared" si="5"/>
        <v>2.1400000000000002E-2</v>
      </c>
      <c r="M38" s="2">
        <f t="shared" si="5"/>
        <v>2.1400000000000002E-2</v>
      </c>
      <c r="N38" s="2">
        <f t="shared" si="5"/>
        <v>0</v>
      </c>
      <c r="O38" s="2">
        <f t="shared" si="5"/>
        <v>0</v>
      </c>
      <c r="P38" s="2">
        <f t="shared" si="5"/>
        <v>103.68299999999999</v>
      </c>
      <c r="Q38" s="2">
        <f t="shared" si="10"/>
        <v>16.585000000000001</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t="str">
        <f>K8</f>
        <v xml:space="preserve"> Tyriet  9</v>
      </c>
      <c r="B39" s="23">
        <v>107</v>
      </c>
      <c r="C39" s="2">
        <f t="shared" si="6"/>
        <v>64.2</v>
      </c>
      <c r="D39" s="2">
        <f t="shared" si="7"/>
        <v>67.412674999999993</v>
      </c>
      <c r="E39" s="2">
        <f t="shared" si="8"/>
        <v>154.59306500000002</v>
      </c>
      <c r="F39" s="2">
        <f t="shared" si="9"/>
        <v>13.021600400000001</v>
      </c>
      <c r="G39" s="2">
        <f t="shared" si="5"/>
        <v>2.1400000000000002E-2</v>
      </c>
      <c r="H39" s="2">
        <f t="shared" si="5"/>
        <v>0.35631000000000002</v>
      </c>
      <c r="I39" s="2">
        <f t="shared" si="5"/>
        <v>5.3499999999999999E-2</v>
      </c>
      <c r="J39" s="2">
        <f t="shared" si="5"/>
        <v>1.07E-3</v>
      </c>
      <c r="K39" s="2">
        <f t="shared" si="5"/>
        <v>5.3500000000000006E-3</v>
      </c>
      <c r="L39" s="2">
        <f t="shared" si="5"/>
        <v>2.1400000000000002E-2</v>
      </c>
      <c r="M39" s="2">
        <f t="shared" si="5"/>
        <v>2.1400000000000002E-2</v>
      </c>
      <c r="N39" s="2">
        <f t="shared" si="5"/>
        <v>0</v>
      </c>
      <c r="O39" s="2">
        <f t="shared" si="5"/>
        <v>0</v>
      </c>
      <c r="P39" s="2">
        <f t="shared" si="5"/>
        <v>103.68299999999999</v>
      </c>
      <c r="Q39" s="2">
        <f t="shared" si="10"/>
        <v>16.585000000000001</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Trewindsor 1 (29/30)</v>
      </c>
      <c r="C57" s="16" t="str">
        <f t="shared" ref="C57:U57" si="13">D8</f>
        <v>Trewindsor 2 (31)</v>
      </c>
      <c r="D57" s="16" t="str">
        <f t="shared" si="13"/>
        <v>Trewindsor 3 (32)</v>
      </c>
      <c r="E57" s="16" t="str">
        <f t="shared" si="13"/>
        <v>Trewindsor 4 (50)</v>
      </c>
      <c r="F57" s="16" t="str">
        <f t="shared" si="13"/>
        <v>Trewindsor 5 (52)</v>
      </c>
      <c r="G57" s="16" t="str">
        <f t="shared" si="13"/>
        <v>Trewindsor 6 (53)</v>
      </c>
      <c r="H57" s="16" t="str">
        <f t="shared" si="13"/>
        <v>Trewindsor 7 (51)</v>
      </c>
      <c r="I57" s="16" t="str">
        <f t="shared" si="13"/>
        <v>Tyriet 8</v>
      </c>
      <c r="J57" s="16" t="str">
        <f t="shared" si="13"/>
        <v xml:space="preserve"> Tyriet  9</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"&amp;(VLOOKUP(C14,Table245[],6,FALSE))</f>
        <v>Medium/Clay I Grass</v>
      </c>
      <c r="C58" s="44" t="str">
        <f>D16&amp;" I "&amp;(VLOOKUP(D14,Table245[],6,FALSE))</f>
        <v>Medium/Clay I Grass</v>
      </c>
      <c r="D58" s="21" t="str">
        <f>E16&amp;" I "&amp;(VLOOKUP(E14,Table245[],6,FALSE))</f>
        <v>Medium/Clay I Grass</v>
      </c>
      <c r="E58" s="21" t="str">
        <f>F16&amp;" I "&amp;(VLOOKUP(F14,Table245[],6,FALSE))</f>
        <v>Medium/Clay I Grass</v>
      </c>
      <c r="F58" s="21" t="str">
        <f>G16&amp;" I "&amp;(VLOOKUP(G14,Table245[],6,FALSE))</f>
        <v>Medium/Clay I Grass</v>
      </c>
      <c r="G58" s="21" t="str">
        <f>H16&amp;" I "&amp;(VLOOKUP(H14,Table245[],6,FALSE))</f>
        <v>Medium/Clay I Grass</v>
      </c>
      <c r="H58" s="21" t="str">
        <f>I16&amp;" I "&amp;(VLOOKUP(I14,Table245[],6,FALSE))</f>
        <v>Medium/Clay I Grass</v>
      </c>
      <c r="I58" s="21" t="str">
        <f>J16&amp;" I "&amp;(VLOOKUP(J14,Table245[],6,FALSE))</f>
        <v>Medium/Clay I Grass</v>
      </c>
      <c r="J58" s="21" t="str">
        <f>K16&amp;" I "&amp;(VLOOKUP(K14,Table245[],6,FALSE))</f>
        <v>Medium/Clay I Grass</v>
      </c>
      <c r="K58" s="21" t="e">
        <f>L16&amp;" I "&amp;(VLOOKUP(L14,Table245[],6,FALSE))</f>
        <v>#N/A</v>
      </c>
      <c r="L58" s="21" t="e">
        <f>M16&amp;" I "&amp;(VLOOKUP(M14,Table245[],6,FALSE))</f>
        <v>#N/A</v>
      </c>
      <c r="M58" s="21" t="e">
        <f>N16&amp;" I "&amp;(VLOOKUP(N14,Table245[],6,FALSE))</f>
        <v>#N/A</v>
      </c>
      <c r="N58" s="21" t="e">
        <f>O16&amp;" I "&amp;(VLOOKUP(O14,Table245[],6,FALSE))</f>
        <v>#N/A</v>
      </c>
      <c r="O58" s="21" t="e">
        <f>P16&amp;" I "&amp;(VLOOKUP(P14,Table245[],6,FALSE))</f>
        <v>#N/A</v>
      </c>
      <c r="P58" s="21" t="e">
        <f>Q16&amp;" I "&amp;(VLOOKUP(Q14,Table245[],6,FALSE))</f>
        <v>#N/A</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92" t="s">
        <v>130</v>
      </c>
      <c r="B59" s="93">
        <f>VLOOKUP(C$14,Table245[],5,FALSE)</f>
        <v>6.2</v>
      </c>
      <c r="C59" s="93">
        <f>VLOOKUP(D$14,Table245[],5,FALSE)</f>
        <v>6.2</v>
      </c>
      <c r="D59" s="93">
        <f>VLOOKUP(E$14,Table245[],5,FALSE)</f>
        <v>6.2</v>
      </c>
      <c r="E59" s="93">
        <f>VLOOKUP(F$14,Table245[],5,FALSE)</f>
        <v>6.2</v>
      </c>
      <c r="F59" s="93">
        <f>VLOOKUP(G$14,Table245[],5,FALSE)</f>
        <v>6.2</v>
      </c>
      <c r="G59" s="93">
        <f>VLOOKUP(H$14,Table245[],5,FALSE)</f>
        <v>6.2</v>
      </c>
      <c r="H59" s="93">
        <f>VLOOKUP(I$14,Table245[],5,FALSE)</f>
        <v>6.2</v>
      </c>
      <c r="I59" s="93">
        <f>VLOOKUP(J$14,Table245[],5,FALSE)</f>
        <v>6.2</v>
      </c>
      <c r="J59" s="93">
        <f>VLOOKUP(K$14,Table245[],5,FALSE)</f>
        <v>6.2</v>
      </c>
      <c r="K59" s="93" t="e">
        <f>VLOOKUP(L$14,Table245[],5,FALSE)</f>
        <v>#N/A</v>
      </c>
      <c r="L59" s="93" t="e">
        <f>VLOOKUP(M$14,Table245[],5,FALSE)</f>
        <v>#N/A</v>
      </c>
      <c r="M59" s="93" t="e">
        <f>VLOOKUP(N$14,Table245[],5,FALSE)</f>
        <v>#N/A</v>
      </c>
      <c r="N59" s="93" t="e">
        <f>VLOOKUP(O$14,Table245[],5,FALSE)</f>
        <v>#N/A</v>
      </c>
      <c r="O59" s="93" t="e">
        <f>VLOOKUP(P$14,Table245[],5,FALSE)</f>
        <v>#N/A</v>
      </c>
      <c r="P59" s="93" t="e">
        <f>VLOOKUP(Q$14,Table245[],5,FALSE)</f>
        <v>#N/A</v>
      </c>
      <c r="Q59" s="93" t="e">
        <f>VLOOKUP(R$14,Table245[],5,FALSE)</f>
        <v>#N/A</v>
      </c>
      <c r="R59" s="93" t="e">
        <f>VLOOKUP(S$14,Table245[],5,FALSE)</f>
        <v>#N/A</v>
      </c>
      <c r="S59" s="93" t="e">
        <f>VLOOKUP(T$14,Table245[],5,FALSE)</f>
        <v>#N/A</v>
      </c>
      <c r="T59" s="93" t="e">
        <f>VLOOKUP(U$14,Table245[],5,FALSE)</f>
        <v>#N/A</v>
      </c>
      <c r="U59" s="93" t="e">
        <f>VLOOKUP(V$14,Table245[],5,FALSE)</f>
        <v>#N/A</v>
      </c>
    </row>
    <row r="60" spans="1:35" s="27" customFormat="1" hidden="1" x14ac:dyDescent="0.2">
      <c r="A60" s="92" t="s">
        <v>4</v>
      </c>
      <c r="B60" s="93">
        <f>C10</f>
        <v>5</v>
      </c>
      <c r="C60" s="93">
        <f t="shared" ref="C60:U60" si="14">D10</f>
        <v>5.7</v>
      </c>
      <c r="D60" s="93">
        <f t="shared" si="14"/>
        <v>5.8</v>
      </c>
      <c r="E60" s="93">
        <f t="shared" si="14"/>
        <v>5.7</v>
      </c>
      <c r="F60" s="93">
        <f t="shared" si="14"/>
        <v>5.6</v>
      </c>
      <c r="G60" s="93">
        <f t="shared" si="14"/>
        <v>6</v>
      </c>
      <c r="H60" s="93">
        <f t="shared" si="14"/>
        <v>5.8</v>
      </c>
      <c r="I60" s="93">
        <f t="shared" si="14"/>
        <v>5.7</v>
      </c>
      <c r="J60" s="93">
        <f t="shared" si="14"/>
        <v>5.6</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107</v>
      </c>
      <c r="C62" s="94">
        <f>B32</f>
        <v>107</v>
      </c>
      <c r="D62" s="94">
        <f>B33</f>
        <v>107</v>
      </c>
      <c r="E62" s="94">
        <f>B34</f>
        <v>107</v>
      </c>
      <c r="F62" s="94">
        <f>B35</f>
        <v>107</v>
      </c>
      <c r="G62" s="94">
        <f>B36</f>
        <v>107</v>
      </c>
      <c r="H62" s="94">
        <f>B37</f>
        <v>107</v>
      </c>
      <c r="I62" s="94">
        <f>B38</f>
        <v>107</v>
      </c>
      <c r="J62" s="94">
        <f>B39</f>
        <v>107</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7.2000000000000011</v>
      </c>
      <c r="C64" s="94">
        <f t="shared" ref="C64:U64" si="17">(C59-C60)*C61</f>
        <v>3</v>
      </c>
      <c r="D64" s="94">
        <f t="shared" si="17"/>
        <v>2.4000000000000021</v>
      </c>
      <c r="E64" s="94">
        <f t="shared" si="17"/>
        <v>3</v>
      </c>
      <c r="F64" s="94">
        <f t="shared" si="17"/>
        <v>3.6000000000000032</v>
      </c>
      <c r="G64" s="94">
        <f t="shared" si="17"/>
        <v>1.2000000000000011</v>
      </c>
      <c r="H64" s="94">
        <f t="shared" si="17"/>
        <v>2.4000000000000021</v>
      </c>
      <c r="I64" s="94">
        <f t="shared" si="17"/>
        <v>3</v>
      </c>
      <c r="J64" s="94">
        <f t="shared" si="17"/>
        <v>3.6000000000000032</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8" priority="33" operator="equal">
      <formula>"DECREASE"</formula>
    </cfRule>
    <cfRule type="cellIs" dxfId="87" priority="34" operator="equal">
      <formula>"INCREASE"</formula>
    </cfRule>
  </conditionalFormatting>
  <conditionalFormatting sqref="B62:U65 B31:B50">
    <cfRule type="cellIs" dxfId="86" priority="32" operator="greaterThan">
      <formula>$B$51</formula>
    </cfRule>
  </conditionalFormatting>
  <conditionalFormatting sqref="C31:C50">
    <cfRule type="cellIs" dxfId="85" priority="31" operator="greaterThan">
      <formula>$C$51</formula>
    </cfRule>
  </conditionalFormatting>
  <conditionalFormatting sqref="C18:V18">
    <cfRule type="cellIs" dxfId="84" priority="30" operator="equal">
      <formula>0</formula>
    </cfRule>
  </conditionalFormatting>
  <conditionalFormatting sqref="C17:V17">
    <cfRule type="cellIs" dxfId="83" priority="29" operator="equal">
      <formula>0</formula>
    </cfRule>
  </conditionalFormatting>
  <conditionalFormatting sqref="C19:V19">
    <cfRule type="cellIs" dxfId="82" priority="28" operator="equal">
      <formula>0</formula>
    </cfRule>
  </conditionalFormatting>
  <conditionalFormatting sqref="G31:G50">
    <cfRule type="cellIs" dxfId="81" priority="27" operator="greaterThan">
      <formula>$G$51</formula>
    </cfRule>
  </conditionalFormatting>
  <conditionalFormatting sqref="H31:H50">
    <cfRule type="cellIs" dxfId="80" priority="26" operator="greaterThan">
      <formula>$H$51</formula>
    </cfRule>
  </conditionalFormatting>
  <conditionalFormatting sqref="I31:I50">
    <cfRule type="cellIs" dxfId="79" priority="25" operator="greaterThan">
      <formula>$I$51</formula>
    </cfRule>
  </conditionalFormatting>
  <conditionalFormatting sqref="K31:K50">
    <cfRule type="cellIs" dxfId="78" priority="24" operator="greaterThan">
      <formula>$K$51</formula>
    </cfRule>
  </conditionalFormatting>
  <conditionalFormatting sqref="L31:L50">
    <cfRule type="cellIs" dxfId="77" priority="23" operator="greaterThan">
      <formula>$L$51</formula>
    </cfRule>
  </conditionalFormatting>
  <conditionalFormatting sqref="M31:M50">
    <cfRule type="cellIs" dxfId="76" priority="22" operator="greaterThan">
      <formula>$M$51</formula>
    </cfRule>
  </conditionalFormatting>
  <conditionalFormatting sqref="P31:P50">
    <cfRule type="cellIs" dxfId="75" priority="21" operator="greaterThan">
      <formula>$P$51</formula>
    </cfRule>
  </conditionalFormatting>
  <conditionalFormatting sqref="R31:R50">
    <cfRule type="cellIs" dxfId="74" priority="20" operator="greaterThan">
      <formula>$R$51</formula>
    </cfRule>
  </conditionalFormatting>
  <conditionalFormatting sqref="S31:S50">
    <cfRule type="cellIs" dxfId="73" priority="19" operator="greaterThan">
      <formula>$S$51</formula>
    </cfRule>
  </conditionalFormatting>
  <conditionalFormatting sqref="T31:T50">
    <cfRule type="cellIs" dxfId="72" priority="18" operator="greaterThan">
      <formula>$T$51</formula>
    </cfRule>
  </conditionalFormatting>
  <conditionalFormatting sqref="U31:U50">
    <cfRule type="cellIs" dxfId="71" priority="17" operator="greaterThan">
      <formula>$U$51</formula>
    </cfRule>
  </conditionalFormatting>
  <conditionalFormatting sqref="C22:V22">
    <cfRule type="cellIs" dxfId="70" priority="16" operator="equal">
      <formula>0</formula>
    </cfRule>
  </conditionalFormatting>
  <conditionalFormatting sqref="C24:V24">
    <cfRule type="cellIs" dxfId="69" priority="14" operator="equal">
      <formula>"DECREASE"</formula>
    </cfRule>
    <cfRule type="cellIs" dxfId="68" priority="15" operator="equal">
      <formula>"INCREASE"</formula>
    </cfRule>
  </conditionalFormatting>
  <conditionalFormatting sqref="C23:V23">
    <cfRule type="cellIs" dxfId="67" priority="13" operator="equal">
      <formula>0</formula>
    </cfRule>
  </conditionalFormatting>
  <conditionalFormatting sqref="C21:V21">
    <cfRule type="cellIs" dxfId="65" priority="9" operator="equal">
      <formula>0</formula>
    </cfRule>
  </conditionalFormatting>
  <conditionalFormatting sqref="B65:U65">
    <cfRule type="cellIs" dxfId="64" priority="7" operator="equal">
      <formula>"UNDER"</formula>
    </cfRule>
    <cfRule type="cellIs" dxfId="63" priority="8" operator="equal">
      <formula>"OVER"</formula>
    </cfRule>
  </conditionalFormatting>
  <conditionalFormatting sqref="J31:J50">
    <cfRule type="cellIs" dxfId="60" priority="4" operator="greaterThan">
      <formula>$J$51</formula>
    </cfRule>
  </conditionalFormatting>
  <conditionalFormatting sqref="I1">
    <cfRule type="cellIs" dxfId="5" priority="3" operator="lessThan">
      <formula>5</formula>
    </cfRule>
  </conditionalFormatting>
  <conditionalFormatting sqref="I2">
    <cfRule type="cellIs" dxfId="4" priority="2" operator="greaterThan">
      <formula>5000.1</formula>
    </cfRule>
  </conditionalFormatting>
  <conditionalFormatting sqref="I3">
    <cfRule type="cellIs" dxfId="3" priority="1" operator="greaterThan">
      <formula>4.1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zoomScale="90" zoomScaleNormal="90" workbookViewId="0">
      <selection activeCell="I24" sqref="I24"/>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20" t="s">
        <v>41</v>
      </c>
      <c r="B1" s="120"/>
      <c r="C1" s="128" t="str">
        <f>'Field data and Waste 1'!C1:D1</f>
        <v>PAN-014268</v>
      </c>
      <c r="D1" s="129"/>
      <c r="E1" s="37" t="s">
        <v>45</v>
      </c>
      <c r="F1" s="46">
        <f>'Field data and Waste 1'!F1</f>
        <v>49.2</v>
      </c>
      <c r="G1" s="108" t="s">
        <v>43</v>
      </c>
      <c r="H1" s="109"/>
      <c r="I1" s="103">
        <v>5.77</v>
      </c>
      <c r="AB1" s="26"/>
      <c r="AC1" s="26"/>
      <c r="AD1" s="43" t="s">
        <v>124</v>
      </c>
      <c r="AE1" s="25"/>
      <c r="AF1" s="25"/>
      <c r="AG1" s="26"/>
      <c r="AH1" s="26"/>
      <c r="AI1" s="47" t="s">
        <v>79</v>
      </c>
      <c r="AJ1" s="48" t="s">
        <v>91</v>
      </c>
      <c r="AK1" s="49" t="s">
        <v>92</v>
      </c>
      <c r="AL1" s="50" t="s">
        <v>123</v>
      </c>
      <c r="AM1" s="50" t="s">
        <v>129</v>
      </c>
      <c r="AN1" s="50" t="s">
        <v>109</v>
      </c>
    </row>
    <row r="2" spans="1:41" x14ac:dyDescent="0.2">
      <c r="A2" s="120" t="s">
        <v>84</v>
      </c>
      <c r="B2" s="120"/>
      <c r="C2" s="130" t="str">
        <f>'Field data and Waste 1'!C2:D2</f>
        <v>EPR-AB3891CX</v>
      </c>
      <c r="D2" s="131"/>
      <c r="E2" s="37" t="s">
        <v>106</v>
      </c>
      <c r="F2" s="103" t="s">
        <v>167</v>
      </c>
      <c r="G2" s="110" t="s">
        <v>107</v>
      </c>
      <c r="H2" s="111"/>
      <c r="I2" s="103">
        <v>948</v>
      </c>
      <c r="AB2" s="43" t="s">
        <v>56</v>
      </c>
      <c r="AC2" s="25"/>
      <c r="AD2" s="43" t="s">
        <v>70</v>
      </c>
      <c r="AE2" s="25"/>
      <c r="AF2" s="25"/>
      <c r="AG2" s="51" t="s">
        <v>76</v>
      </c>
      <c r="AH2" s="26"/>
      <c r="AI2" s="52" t="s">
        <v>124</v>
      </c>
      <c r="AJ2" s="53">
        <v>0</v>
      </c>
      <c r="AK2" s="54">
        <v>0</v>
      </c>
      <c r="AL2" s="18">
        <v>0</v>
      </c>
      <c r="AM2" s="19">
        <v>0</v>
      </c>
      <c r="AN2" s="19">
        <v>0</v>
      </c>
    </row>
    <row r="3" spans="1:41" x14ac:dyDescent="0.2">
      <c r="A3" s="124" t="s">
        <v>42</v>
      </c>
      <c r="B3" s="125"/>
      <c r="C3" s="130" t="str">
        <f>'Field data and Waste 1'!C3:D3</f>
        <v>Stepside Agri</v>
      </c>
      <c r="D3" s="131"/>
      <c r="E3" s="37" t="s">
        <v>105</v>
      </c>
      <c r="F3" s="45" t="s">
        <v>78</v>
      </c>
      <c r="G3" s="108" t="s">
        <v>108</v>
      </c>
      <c r="H3" s="109"/>
      <c r="I3" s="103">
        <v>0.82399999999999995</v>
      </c>
      <c r="AB3" s="43" t="s">
        <v>57</v>
      </c>
      <c r="AC3" s="25"/>
      <c r="AD3" s="43" t="s">
        <v>71</v>
      </c>
      <c r="AE3" s="25"/>
      <c r="AF3" s="25"/>
      <c r="AG3" s="51" t="s">
        <v>77</v>
      </c>
      <c r="AH3" s="26"/>
      <c r="AI3" s="55" t="s">
        <v>111</v>
      </c>
      <c r="AJ3" s="56">
        <v>1.7</v>
      </c>
      <c r="AK3" s="57">
        <v>6</v>
      </c>
      <c r="AL3" s="58">
        <v>1</v>
      </c>
      <c r="AM3" s="19">
        <v>6.2</v>
      </c>
      <c r="AN3" s="19" t="s">
        <v>110</v>
      </c>
    </row>
    <row r="4" spans="1:41" x14ac:dyDescent="0.2">
      <c r="A4" s="120" t="s">
        <v>0</v>
      </c>
      <c r="B4" s="120"/>
      <c r="C4" s="128" t="str">
        <f>'Field data and Waste 1'!C4:D4</f>
        <v>Trewindsor Farm, Llangoedmor, Cardigan, Ceredigion, SA43 2LN</v>
      </c>
      <c r="D4" s="129"/>
      <c r="E4" s="38" t="s">
        <v>1</v>
      </c>
      <c r="F4" s="103" t="s">
        <v>170</v>
      </c>
      <c r="G4" s="108"/>
      <c r="H4" s="109"/>
      <c r="I4" s="46"/>
      <c r="AB4" s="43" t="s">
        <v>52</v>
      </c>
      <c r="AC4" s="25"/>
      <c r="AD4" s="59" t="s">
        <v>72</v>
      </c>
      <c r="AE4" s="25"/>
      <c r="AF4" s="25"/>
      <c r="AG4" s="51" t="s">
        <v>78</v>
      </c>
      <c r="AH4" s="26"/>
      <c r="AI4" s="60" t="s">
        <v>122</v>
      </c>
      <c r="AJ4" s="61">
        <v>7</v>
      </c>
      <c r="AK4" s="62">
        <v>10.5</v>
      </c>
      <c r="AL4" s="19">
        <v>2</v>
      </c>
      <c r="AM4" s="19">
        <v>6.7</v>
      </c>
      <c r="AN4" s="19" t="s">
        <v>135</v>
      </c>
    </row>
    <row r="5" spans="1:41" x14ac:dyDescent="0.2">
      <c r="A5" s="120" t="s">
        <v>47</v>
      </c>
      <c r="B5" s="120"/>
      <c r="C5" s="128" t="str">
        <f>'Field data and Waste 1'!C5:D5</f>
        <v>Sion Sleep</v>
      </c>
      <c r="D5" s="129"/>
      <c r="E5" s="37"/>
      <c r="F5" s="46"/>
      <c r="G5" s="108"/>
      <c r="H5" s="109"/>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7" t="s">
        <v>63</v>
      </c>
      <c r="B7" s="11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20" t="s">
        <v>2</v>
      </c>
      <c r="B8" s="120"/>
      <c r="C8" s="67" t="str">
        <f>'Field data and Waste 1'!C8</f>
        <v>Trewindsor 1 (29/30)</v>
      </c>
      <c r="D8" s="67" t="str">
        <f>'Field data and Waste 1'!D8</f>
        <v>Trewindsor 2 (31)</v>
      </c>
      <c r="E8" s="67" t="str">
        <f>'Field data and Waste 1'!E8</f>
        <v>Trewindsor 3 (32)</v>
      </c>
      <c r="F8" s="67" t="str">
        <f>'Field data and Waste 1'!F8</f>
        <v>Trewindsor 4 (50)</v>
      </c>
      <c r="G8" s="67" t="str">
        <f>'Field data and Waste 1'!G8</f>
        <v>Trewindsor 5 (52)</v>
      </c>
      <c r="H8" s="67" t="str">
        <f>'Field data and Waste 1'!H8</f>
        <v>Trewindsor 6 (53)</v>
      </c>
      <c r="I8" s="67" t="str">
        <f>'Field data and Waste 1'!I8</f>
        <v>Trewindsor 7 (51)</v>
      </c>
      <c r="J8" s="67" t="str">
        <f>'Field data and Waste 1'!J8</f>
        <v>Tyriet 8</v>
      </c>
      <c r="K8" s="67" t="str">
        <f>'Field data and Waste 1'!K8</f>
        <v xml:space="preserve"> Tyriet  9</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20" t="s">
        <v>3</v>
      </c>
      <c r="B9" s="120"/>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20" t="s">
        <v>4</v>
      </c>
      <c r="B10" s="120"/>
      <c r="C10" s="67">
        <f>'Field data and Waste 1'!C10</f>
        <v>5</v>
      </c>
      <c r="D10" s="67">
        <f>'Field data and Waste 1'!D10</f>
        <v>5.7</v>
      </c>
      <c r="E10" s="67">
        <f>'Field data and Waste 1'!E10</f>
        <v>5.8</v>
      </c>
      <c r="F10" s="67">
        <f>'Field data and Waste 1'!F10</f>
        <v>5.7</v>
      </c>
      <c r="G10" s="67">
        <f>'Field data and Waste 1'!G10</f>
        <v>5.6</v>
      </c>
      <c r="H10" s="67">
        <f>'Field data and Waste 1'!H10</f>
        <v>6</v>
      </c>
      <c r="I10" s="67">
        <f>'Field data and Waste 1'!I10</f>
        <v>5.8</v>
      </c>
      <c r="J10" s="67">
        <f>'Field data and Waste 1'!J10</f>
        <v>5.7</v>
      </c>
      <c r="K10" s="67">
        <f>'Field data and Waste 1'!K10</f>
        <v>5.6</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20" t="s">
        <v>5</v>
      </c>
      <c r="B11" s="120"/>
      <c r="C11" s="67">
        <f>'Field data and Waste 1'!C11</f>
        <v>2</v>
      </c>
      <c r="D11" s="67">
        <f>'Field data and Waste 1'!D11</f>
        <v>2</v>
      </c>
      <c r="E11" s="67">
        <f>'Field data and Waste 1'!E11</f>
        <v>2</v>
      </c>
      <c r="F11" s="67">
        <f>'Field data and Waste 1'!F11</f>
        <v>2</v>
      </c>
      <c r="G11" s="67">
        <f>'Field data and Waste 1'!G11</f>
        <v>2</v>
      </c>
      <c r="H11" s="67">
        <f>'Field data and Waste 1'!H11</f>
        <v>3</v>
      </c>
      <c r="I11" s="67">
        <f>'Field data and Waste 1'!I11</f>
        <v>3</v>
      </c>
      <c r="J11" s="67">
        <f>'Field data and Waste 1'!J11</f>
        <v>1</v>
      </c>
      <c r="K11" s="67">
        <f>'Field data and Waste 1'!K11</f>
        <v>1</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20" t="s">
        <v>6</v>
      </c>
      <c r="B12" s="120"/>
      <c r="C12" s="67">
        <f>'Field data and Waste 1'!C12</f>
        <v>0</v>
      </c>
      <c r="D12" s="67">
        <f>'Field data and Waste 1'!D12</f>
        <v>0</v>
      </c>
      <c r="E12" s="67">
        <f>'Field data and Waste 1'!E12</f>
        <v>1</v>
      </c>
      <c r="F12" s="67">
        <f>'Field data and Waste 1'!F12</f>
        <v>1</v>
      </c>
      <c r="G12" s="67">
        <f>'Field data and Waste 1'!G12</f>
        <v>0</v>
      </c>
      <c r="H12" s="67">
        <f>'Field data and Waste 1'!H12</f>
        <v>2</v>
      </c>
      <c r="I12" s="67">
        <f>'Field data and Waste 1'!I12</f>
        <v>2</v>
      </c>
      <c r="J12" s="67">
        <f>'Field data and Waste 1'!J12</f>
        <v>1</v>
      </c>
      <c r="K12" s="67">
        <f>'Field data and Waste 1'!K12</f>
        <v>1</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20" t="s">
        <v>7</v>
      </c>
      <c r="B13" s="120"/>
      <c r="C13" s="67">
        <f>'Field data and Waste 1'!C13</f>
        <v>1</v>
      </c>
      <c r="D13" s="67">
        <f>'Field data and Waste 1'!D13</f>
        <v>1</v>
      </c>
      <c r="E13" s="67">
        <f>'Field data and Waste 1'!E13</f>
        <v>2</v>
      </c>
      <c r="F13" s="67">
        <f>'Field data and Waste 1'!F13</f>
        <v>2</v>
      </c>
      <c r="G13" s="67">
        <f>'Field data and Waste 1'!G13</f>
        <v>1</v>
      </c>
      <c r="H13" s="67">
        <f>'Field data and Waste 1'!H13</f>
        <v>2</v>
      </c>
      <c r="I13" s="67">
        <f>'Field data and Waste 1'!I13</f>
        <v>2</v>
      </c>
      <c r="J13" s="67">
        <f>'Field data and Waste 1'!J13</f>
        <v>2</v>
      </c>
      <c r="K13" s="67">
        <f>'Field data and Waste 1'!K13</f>
        <v>3</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2" t="s">
        <v>8</v>
      </c>
      <c r="B14" s="122"/>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21" t="s">
        <v>9</v>
      </c>
      <c r="B15" s="121"/>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3" t="s">
        <v>44</v>
      </c>
      <c r="B16" s="123"/>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8" t="s">
        <v>69</v>
      </c>
      <c r="B17" s="119"/>
      <c r="C17" s="39">
        <f>(VLOOKUP(C$14,$AI2:$AK26,2,FALSE))*C$15</f>
        <v>79.899999999999991</v>
      </c>
      <c r="D17" s="39">
        <f t="shared" ref="D17:V17" si="0">(VLOOKUP(D$14,$AI2:$AK26,2,FALSE))*D$15</f>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6" t="s">
        <v>23</v>
      </c>
      <c r="B18" s="117"/>
      <c r="C18" s="24">
        <f>$D31</f>
        <v>80.290385999999998</v>
      </c>
      <c r="D18" s="24">
        <f>$D32</f>
        <v>80.290385999999998</v>
      </c>
      <c r="E18" s="24">
        <f>$D33</f>
        <v>80.290385999999998</v>
      </c>
      <c r="F18" s="24">
        <f>$D34</f>
        <v>80.290385999999998</v>
      </c>
      <c r="G18" s="24">
        <f>$D35</f>
        <v>80.290385999999998</v>
      </c>
      <c r="H18" s="24">
        <f>$D36</f>
        <v>80.290385999999998</v>
      </c>
      <c r="I18" s="24">
        <f>$D37</f>
        <v>80.290385999999998</v>
      </c>
      <c r="J18" s="24">
        <f>$D38</f>
        <v>144.76599899999999</v>
      </c>
      <c r="K18" s="24">
        <f>$D39</f>
        <v>144.76599899999999</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6" t="s">
        <v>87</v>
      </c>
      <c r="B19" s="117"/>
      <c r="C19" s="24">
        <f>C18-C17</f>
        <v>0.39038600000000656</v>
      </c>
      <c r="D19" s="24">
        <f t="shared" ref="D19:V19" si="1">D18-D17</f>
        <v>0.39038600000000656</v>
      </c>
      <c r="E19" s="24">
        <f t="shared" si="1"/>
        <v>0.39038600000000656</v>
      </c>
      <c r="F19" s="24">
        <f t="shared" si="1"/>
        <v>0.39038600000000656</v>
      </c>
      <c r="G19" s="24">
        <f t="shared" si="1"/>
        <v>0.39038600000000656</v>
      </c>
      <c r="H19" s="24">
        <f t="shared" si="1"/>
        <v>0.39038600000000656</v>
      </c>
      <c r="I19" s="24">
        <f t="shared" si="1"/>
        <v>0.39038600000000656</v>
      </c>
      <c r="J19" s="24">
        <f t="shared" si="1"/>
        <v>64.865999000000002</v>
      </c>
      <c r="K19" s="24">
        <f t="shared" si="1"/>
        <v>64.865999000000002</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4" t="s">
        <v>88</v>
      </c>
      <c r="B20" s="115"/>
      <c r="C20" s="33" t="str">
        <f>IF($B31="","",IF(C$19&gt;=0,"INCREASE","DECREASE"))</f>
        <v>INCREASE</v>
      </c>
      <c r="D20" s="33" t="str">
        <f>IF($B32="","",IF(D$19&gt;=0,"INCREASE","DECREASE"))</f>
        <v>INCREASE</v>
      </c>
      <c r="E20" s="33" t="str">
        <f>IF($B33="","",IF(E$19&gt;=0,"INCREASE","DECREASE"))</f>
        <v>INCREASE</v>
      </c>
      <c r="F20" s="33" t="str">
        <f>IF($B34="","",IF(F$19&gt;=0,"INCREASE","DECREASE"))</f>
        <v>INCREASE</v>
      </c>
      <c r="G20" s="33" t="str">
        <f>IF($B35="","",IF(G$19&gt;=0,"INCREASE","DECREASE"))</f>
        <v>INCREASE</v>
      </c>
      <c r="H20" s="33" t="str">
        <f>IF($B36="","",IF(H$19&gt;=0,"INCREASE","DECREASE"))</f>
        <v>INCREASE</v>
      </c>
      <c r="I20" s="33" t="str">
        <f>IF($B37="","",IF(I$19&gt;=0,"INCREASE","DECREASE"))</f>
        <v>INCREASE</v>
      </c>
      <c r="J20" s="33" t="str">
        <f>IF($B38="","",IF(J$19&gt;=0,"INCREASE","DECREASE"))</f>
        <v>INCREASE</v>
      </c>
      <c r="K20" s="33" t="str">
        <f>IF($B39="","",IF(K$19&gt;=0,"INCREASE","DECREASE"))</f>
        <v>INCREASE</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8" t="s">
        <v>85</v>
      </c>
      <c r="B21" s="119"/>
      <c r="C21" s="39">
        <f>(VLOOKUP(C$14,$AI2:$AK26,3,FALSE))*C$15</f>
        <v>282</v>
      </c>
      <c r="D21" s="39">
        <f t="shared" ref="D21:V21" si="2">(VLOOKUP(D$14,$AI2:$AK24,3,FALSE))*D$15</f>
        <v>282</v>
      </c>
      <c r="E21" s="39">
        <f t="shared" si="2"/>
        <v>282</v>
      </c>
      <c r="F21" s="39">
        <f t="shared" si="2"/>
        <v>282</v>
      </c>
      <c r="G21" s="39">
        <f t="shared" si="2"/>
        <v>282</v>
      </c>
      <c r="H21" s="39">
        <f t="shared" si="2"/>
        <v>282</v>
      </c>
      <c r="I21" s="39">
        <f t="shared" si="2"/>
        <v>282</v>
      </c>
      <c r="J21" s="39">
        <f t="shared" si="2"/>
        <v>282</v>
      </c>
      <c r="K21" s="39">
        <f t="shared" si="2"/>
        <v>282</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6" t="s">
        <v>86</v>
      </c>
      <c r="B22" s="117"/>
      <c r="C22" s="24">
        <f>$E31</f>
        <v>21.075450000000004</v>
      </c>
      <c r="D22" s="24">
        <f>$E32</f>
        <v>21.075450000000004</v>
      </c>
      <c r="E22" s="24">
        <f>$E33</f>
        <v>21.075450000000004</v>
      </c>
      <c r="F22" s="24">
        <f>$E34</f>
        <v>21.075450000000004</v>
      </c>
      <c r="G22" s="24">
        <f>$E35</f>
        <v>21.075450000000004</v>
      </c>
      <c r="H22" s="24">
        <f>$E36</f>
        <v>21.075450000000004</v>
      </c>
      <c r="I22" s="24">
        <f>$E37</f>
        <v>21.075450000000004</v>
      </c>
      <c r="J22" s="24">
        <f>$E38</f>
        <v>37.999675000000003</v>
      </c>
      <c r="K22" s="24">
        <f>$E39</f>
        <v>37.999675000000003</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6" t="s">
        <v>89</v>
      </c>
      <c r="B23" s="117"/>
      <c r="C23" s="24">
        <f>C22-C21</f>
        <v>-260.92455000000001</v>
      </c>
      <c r="D23" s="24">
        <f t="shared" ref="D23:V23" si="3">D22-D21</f>
        <v>-260.92455000000001</v>
      </c>
      <c r="E23" s="24">
        <f t="shared" si="3"/>
        <v>-260.92455000000001</v>
      </c>
      <c r="F23" s="24">
        <f t="shared" si="3"/>
        <v>-260.92455000000001</v>
      </c>
      <c r="G23" s="24">
        <f t="shared" si="3"/>
        <v>-260.92455000000001</v>
      </c>
      <c r="H23" s="24">
        <f t="shared" si="3"/>
        <v>-260.92455000000001</v>
      </c>
      <c r="I23" s="24">
        <f t="shared" si="3"/>
        <v>-260.92455000000001</v>
      </c>
      <c r="J23" s="24">
        <f t="shared" si="3"/>
        <v>-244.000325</v>
      </c>
      <c r="K23" s="24">
        <f t="shared" si="3"/>
        <v>-244.000325</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4" t="s">
        <v>90</v>
      </c>
      <c r="B24" s="115"/>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3.15</v>
      </c>
      <c r="C28" s="23">
        <v>0.12</v>
      </c>
      <c r="D28" s="23">
        <v>531</v>
      </c>
      <c r="E28" s="23">
        <v>265</v>
      </c>
      <c r="F28" s="23">
        <v>82.2</v>
      </c>
      <c r="G28" s="23">
        <v>0.24</v>
      </c>
      <c r="H28" s="23">
        <v>8.43</v>
      </c>
      <c r="I28" s="23">
        <v>0.5</v>
      </c>
      <c r="J28" s="23">
        <v>0.01</v>
      </c>
      <c r="K28" s="30">
        <v>0.05</v>
      </c>
      <c r="L28" s="23">
        <v>0.2</v>
      </c>
      <c r="M28" s="23">
        <v>0.66</v>
      </c>
      <c r="N28" s="23"/>
      <c r="O28" s="23"/>
      <c r="P28" s="23">
        <v>875</v>
      </c>
      <c r="Q28" s="23">
        <v>129</v>
      </c>
      <c r="R28" s="23"/>
      <c r="S28" s="23"/>
      <c r="T28" s="23"/>
      <c r="U28" s="23"/>
    </row>
    <row r="29" spans="1:40" s="15" customFormat="1" ht="27" x14ac:dyDescent="0.25">
      <c r="A29" s="126"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7"/>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Trewindsor 1 (29/30)</v>
      </c>
      <c r="B31" s="23">
        <v>66</v>
      </c>
      <c r="C31" s="2">
        <f>IF(C$27="%w/w SAR",((C$28*10)*$B31),IF(C$27="%w/w DM",(((C$28*10)*($B$28/100))*$B31),IF(C$27="kg/t SAR",(C$28*$B31),IF(C$27="kg/t DM",((C$28*($B$28/100))*$B31),IF(C$27="mg/kg SAR",((C$28*0.001)*$B31),IF(C$27="mg/kg DM",(((C$28*0.001)*($B$28/100))*$B31),0))))))</f>
        <v>79.2</v>
      </c>
      <c r="D31" s="2">
        <f>(IF(D$27="%w/w SAR",((D$28*10)*$B31),IF(D$27="%w/w DM",(((D$28*10)*($B$28/100))*$B31),IF(D$27="kg/t SAR",(D$28*$B31),IF(D$27="kg/t DM",((D$28*($B$28/100))*$B31),IF(D$27="mg/kg SAR",((D$28*0.001)*$B31),IF(D$27="mg/kg DM",(((D$28*0.001)*($B$28/100))*$B31),"0")))))))*2.291</f>
        <v>80.290385999999998</v>
      </c>
      <c r="E31" s="2">
        <f>(IF(E$27="%w/w SAR",((E$28*10)*$B31),IF(E$27="%w/w DM",(((E$28*10)*($B$28/100))*$B31),IF(E$27="kg/t SAR",(E$28*$B31),IF(E$27="kg/t DM",((E$28*($B$28/100))*$B31),IF(E$27="mg/kg SAR",((E$28*0.001)*$B31),IF(E$27="mg/kg DM",(((E$28*0.001)*($B$28/100))*$B31),"0")))))))*1.205</f>
        <v>21.075450000000004</v>
      </c>
      <c r="F31" s="2">
        <f>(IF(F$27="%w/w SAR",((F$28*10)*$B31),IF(F$27="%w/w DM",(((F$28*10)*($B$28/100))*$B31),IF(F$27="kg/t SAR",(F$28*$B31),IF(F$27="kg/t DM",((F$28*($B$28/100))*$B31),IF(F$27="mg/kg SAR",((F$28*0.001)*$B31),IF(F$27="mg/kg DM",(((F$28*0.001)*($B$28/100))*$B31),"0")))))))*1.658</f>
        <v>8.9949815999999991</v>
      </c>
      <c r="G31" s="2">
        <f t="shared" ref="G31:P46" si="5">IF(G$27="%w/w SAR",((G$28*10)*$B31),IF(G$27="%w/w DM",(((G$28*10)*($B$28/100))*$B31),IF(G$27="kg/t SAR",(G$28*$B31),IF(G$27="kg/t DM",((G$28*($B$28/100))*$B31),IF(G$27="mg/kg SAR",((G$28*0.001)*$B31),IF(G$27="mg/kg DM",(((G$28*0.001)*($B$28/100))*$B31),0))))))</f>
        <v>1.584E-2</v>
      </c>
      <c r="H31" s="2">
        <f t="shared" si="5"/>
        <v>0.55637999999999999</v>
      </c>
      <c r="I31" s="2">
        <f t="shared" si="5"/>
        <v>3.3000000000000002E-2</v>
      </c>
      <c r="J31" s="2">
        <f t="shared" si="5"/>
        <v>6.600000000000001E-4</v>
      </c>
      <c r="K31" s="2">
        <f t="shared" si="5"/>
        <v>3.3E-3</v>
      </c>
      <c r="L31" s="2">
        <f t="shared" si="5"/>
        <v>1.32E-2</v>
      </c>
      <c r="M31" s="2">
        <f t="shared" si="5"/>
        <v>4.3560000000000001E-2</v>
      </c>
      <c r="N31" s="2">
        <f t="shared" si="5"/>
        <v>0</v>
      </c>
      <c r="O31" s="2">
        <f t="shared" si="5"/>
        <v>0</v>
      </c>
      <c r="P31" s="2">
        <f t="shared" si="5"/>
        <v>57.75</v>
      </c>
      <c r="Q31" s="2">
        <f>(IF(Q$27="%w/w SAR",((Q$28*10)*$B31),IF(Q$27="%w/w DM",(((Q$28*10)*($B$28/100))*$B31),IF(Q$27="kg/t SAR",(Q$28*$B31),IF(Q$27="kg/t DM",((Q$28*($B$28/100))*$B31),IF(Q$27="mg/kg SAR",((Q$28*0.001)*$B31),IF(Q$27="mg/kg DM",(((Q$28*0.001)*($B$28/100))*$B31),0)))))))*2.5</f>
        <v>21.284999999999997</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Trewindsor 2 (31)</v>
      </c>
      <c r="B32" s="23">
        <v>66</v>
      </c>
      <c r="C32" s="2">
        <f t="shared" ref="C32:C50" si="6">IF(C$27="%w/w SAR",((C$28*10)*$B32),IF(C$27="%w/w DM",(((C$28*10)*($B$28/100))*$B32),IF(C$27="kg/t SAR",(C$28*$B32),IF(C$27="kg/t DM",((C$28*($B$28/100))*$B32),IF(C$27="mg/kg SAR",((C$28*0.001)*$B32),IF(C$27="mg/kg DM",(((C$28*0.001)*($B$28/100))*$B32),0))))))</f>
        <v>79.2</v>
      </c>
      <c r="D32" s="2">
        <f t="shared" ref="D32:D50" si="7">(IF(D$27="%w/w SAR",((D$28*10)*$B32),IF(D$27="%w/w DM",(((D$28*10)*($B$28/100))*$B32),IF(D$27="kg/t SAR",(D$28*$B32),IF(D$27="kg/t DM",((D$28*($B$28/100))*$B32),IF(D$27="mg/kg SAR",((D$28*0.001)*$B32),IF(D$27="mg/kg DM",(((D$28*0.001)*($B$28/100))*$B32),"0")))))))*2.291</f>
        <v>80.290385999999998</v>
      </c>
      <c r="E32" s="2">
        <f t="shared" ref="E32:E50" si="8">(IF(E$27="%w/w SAR",((E$28*10)*$B32),IF(E$27="%w/w DM",(((E$28*10)*($B$28/100))*$B32),IF(E$27="kg/t SAR",(E$28*$B32),IF(E$27="kg/t DM",((E$28*($B$28/100))*$B32),IF(E$27="mg/kg SAR",((E$28*0.001)*$B32),IF(E$27="mg/kg DM",(((E$28*0.001)*($B$28/100))*$B32),"0")))))))*1.205</f>
        <v>21.075450000000004</v>
      </c>
      <c r="F32" s="2">
        <f t="shared" ref="F32:F50" si="9">(IF(F$27="%w/w SAR",((F$28*10)*$B32),IF(F$27="%w/w DM",(((F$28*10)*($B$28/100))*$B32),IF(F$27="kg/t SAR",(F$28*$B32),IF(F$27="kg/t DM",((F$28*($B$28/100))*$B32),IF(F$27="mg/kg SAR",((F$28*0.001)*$B32),IF(F$27="mg/kg DM",(((F$28*0.001)*($B$28/100))*$B32),"0")))))))*1.658</f>
        <v>8.9949815999999991</v>
      </c>
      <c r="G32" s="2">
        <f t="shared" si="5"/>
        <v>1.584E-2</v>
      </c>
      <c r="H32" s="2">
        <f t="shared" si="5"/>
        <v>0.55637999999999999</v>
      </c>
      <c r="I32" s="2">
        <f t="shared" si="5"/>
        <v>3.3000000000000002E-2</v>
      </c>
      <c r="J32" s="2">
        <f t="shared" si="5"/>
        <v>6.600000000000001E-4</v>
      </c>
      <c r="K32" s="2">
        <f t="shared" si="5"/>
        <v>3.3E-3</v>
      </c>
      <c r="L32" s="2">
        <f t="shared" si="5"/>
        <v>1.32E-2</v>
      </c>
      <c r="M32" s="2">
        <f t="shared" si="5"/>
        <v>4.3560000000000001E-2</v>
      </c>
      <c r="N32" s="2">
        <f t="shared" si="5"/>
        <v>0</v>
      </c>
      <c r="O32" s="2">
        <f t="shared" si="5"/>
        <v>0</v>
      </c>
      <c r="P32" s="2">
        <f t="shared" si="5"/>
        <v>57.75</v>
      </c>
      <c r="Q32" s="2">
        <f t="shared" ref="Q32:Q50" si="10">(IF(Q$27="%w/w SAR",((Q$28*10)*$B32),IF(Q$27="%w/w DM",(((Q$28*10)*($B$28/100))*$B32),IF(Q$27="kg/t SAR",(Q$28*$B32),IF(Q$27="kg/t DM",((Q$28*($B$28/100))*$B32),IF(Q$27="mg/kg SAR",((Q$28*0.001)*$B32),IF(Q$27="mg/kg DM",(((Q$28*0.001)*($B$28/100))*$B32),0)))))))*2.5</f>
        <v>21.284999999999997</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t="str">
        <f>E8</f>
        <v>Trewindsor 3 (32)</v>
      </c>
      <c r="B33" s="23">
        <v>66</v>
      </c>
      <c r="C33" s="2">
        <f t="shared" si="6"/>
        <v>79.2</v>
      </c>
      <c r="D33" s="2">
        <f t="shared" si="7"/>
        <v>80.290385999999998</v>
      </c>
      <c r="E33" s="2">
        <f t="shared" si="8"/>
        <v>21.075450000000004</v>
      </c>
      <c r="F33" s="2">
        <f t="shared" si="9"/>
        <v>8.9949815999999991</v>
      </c>
      <c r="G33" s="2">
        <f t="shared" si="5"/>
        <v>1.584E-2</v>
      </c>
      <c r="H33" s="2">
        <f t="shared" si="5"/>
        <v>0.55637999999999999</v>
      </c>
      <c r="I33" s="2">
        <f t="shared" si="5"/>
        <v>3.3000000000000002E-2</v>
      </c>
      <c r="J33" s="2">
        <f t="shared" si="5"/>
        <v>6.600000000000001E-4</v>
      </c>
      <c r="K33" s="2">
        <f t="shared" si="5"/>
        <v>3.3E-3</v>
      </c>
      <c r="L33" s="2">
        <f t="shared" si="5"/>
        <v>1.32E-2</v>
      </c>
      <c r="M33" s="2">
        <f t="shared" si="5"/>
        <v>4.3560000000000001E-2</v>
      </c>
      <c r="N33" s="2">
        <f t="shared" si="5"/>
        <v>0</v>
      </c>
      <c r="O33" s="2">
        <f t="shared" si="5"/>
        <v>0</v>
      </c>
      <c r="P33" s="2">
        <f t="shared" si="5"/>
        <v>57.75</v>
      </c>
      <c r="Q33" s="2">
        <f t="shared" si="10"/>
        <v>21.284999999999997</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t="str">
        <f>F8</f>
        <v>Trewindsor 4 (50)</v>
      </c>
      <c r="B34" s="23">
        <v>66</v>
      </c>
      <c r="C34" s="2">
        <f t="shared" si="6"/>
        <v>79.2</v>
      </c>
      <c r="D34" s="2">
        <f t="shared" si="7"/>
        <v>80.290385999999998</v>
      </c>
      <c r="E34" s="2">
        <f t="shared" si="8"/>
        <v>21.075450000000004</v>
      </c>
      <c r="F34" s="2">
        <f t="shared" si="9"/>
        <v>8.9949815999999991</v>
      </c>
      <c r="G34" s="2">
        <f t="shared" si="5"/>
        <v>1.584E-2</v>
      </c>
      <c r="H34" s="2">
        <f t="shared" si="5"/>
        <v>0.55637999999999999</v>
      </c>
      <c r="I34" s="2">
        <f t="shared" si="5"/>
        <v>3.3000000000000002E-2</v>
      </c>
      <c r="J34" s="2">
        <f t="shared" si="5"/>
        <v>6.600000000000001E-4</v>
      </c>
      <c r="K34" s="2">
        <f t="shared" si="5"/>
        <v>3.3E-3</v>
      </c>
      <c r="L34" s="2">
        <f t="shared" si="5"/>
        <v>1.32E-2</v>
      </c>
      <c r="M34" s="2">
        <f t="shared" si="5"/>
        <v>4.3560000000000001E-2</v>
      </c>
      <c r="N34" s="2">
        <f t="shared" si="5"/>
        <v>0</v>
      </c>
      <c r="O34" s="2">
        <f t="shared" si="5"/>
        <v>0</v>
      </c>
      <c r="P34" s="2">
        <f t="shared" si="5"/>
        <v>57.75</v>
      </c>
      <c r="Q34" s="2">
        <f t="shared" si="10"/>
        <v>21.284999999999997</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Trewindsor 5 (52)</v>
      </c>
      <c r="B35" s="23">
        <v>66</v>
      </c>
      <c r="C35" s="2">
        <f t="shared" si="6"/>
        <v>79.2</v>
      </c>
      <c r="D35" s="2">
        <f t="shared" si="7"/>
        <v>80.290385999999998</v>
      </c>
      <c r="E35" s="2">
        <f t="shared" si="8"/>
        <v>21.075450000000004</v>
      </c>
      <c r="F35" s="2">
        <f t="shared" si="9"/>
        <v>8.9949815999999991</v>
      </c>
      <c r="G35" s="2">
        <f t="shared" si="5"/>
        <v>1.584E-2</v>
      </c>
      <c r="H35" s="2">
        <f t="shared" si="5"/>
        <v>0.55637999999999999</v>
      </c>
      <c r="I35" s="2">
        <f t="shared" si="5"/>
        <v>3.3000000000000002E-2</v>
      </c>
      <c r="J35" s="2">
        <f t="shared" si="5"/>
        <v>6.600000000000001E-4</v>
      </c>
      <c r="K35" s="2">
        <f t="shared" si="5"/>
        <v>3.3E-3</v>
      </c>
      <c r="L35" s="2">
        <f t="shared" si="5"/>
        <v>1.32E-2</v>
      </c>
      <c r="M35" s="2">
        <f t="shared" si="5"/>
        <v>4.3560000000000001E-2</v>
      </c>
      <c r="N35" s="2">
        <f t="shared" si="5"/>
        <v>0</v>
      </c>
      <c r="O35" s="2">
        <f t="shared" si="5"/>
        <v>0</v>
      </c>
      <c r="P35" s="2">
        <f t="shared" si="5"/>
        <v>57.75</v>
      </c>
      <c r="Q35" s="2">
        <f t="shared" si="10"/>
        <v>21.284999999999997</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t="str">
        <f>H8</f>
        <v>Trewindsor 6 (53)</v>
      </c>
      <c r="B36" s="23">
        <v>66</v>
      </c>
      <c r="C36" s="2">
        <f t="shared" si="6"/>
        <v>79.2</v>
      </c>
      <c r="D36" s="2">
        <f t="shared" si="7"/>
        <v>80.290385999999998</v>
      </c>
      <c r="E36" s="2">
        <f t="shared" si="8"/>
        <v>21.075450000000004</v>
      </c>
      <c r="F36" s="2">
        <f t="shared" si="9"/>
        <v>8.9949815999999991</v>
      </c>
      <c r="G36" s="2">
        <f t="shared" si="5"/>
        <v>1.584E-2</v>
      </c>
      <c r="H36" s="2">
        <f t="shared" si="5"/>
        <v>0.55637999999999999</v>
      </c>
      <c r="I36" s="2">
        <f t="shared" si="5"/>
        <v>3.3000000000000002E-2</v>
      </c>
      <c r="J36" s="2">
        <f t="shared" si="5"/>
        <v>6.600000000000001E-4</v>
      </c>
      <c r="K36" s="2">
        <f t="shared" si="5"/>
        <v>3.3E-3</v>
      </c>
      <c r="L36" s="2">
        <f t="shared" si="5"/>
        <v>1.32E-2</v>
      </c>
      <c r="M36" s="2">
        <f t="shared" si="5"/>
        <v>4.3560000000000001E-2</v>
      </c>
      <c r="N36" s="2">
        <f t="shared" si="5"/>
        <v>0</v>
      </c>
      <c r="O36" s="2">
        <f t="shared" si="5"/>
        <v>0</v>
      </c>
      <c r="P36" s="2">
        <f t="shared" si="5"/>
        <v>57.75</v>
      </c>
      <c r="Q36" s="2">
        <f t="shared" si="10"/>
        <v>21.284999999999997</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t="str">
        <f>I8</f>
        <v>Trewindsor 7 (51)</v>
      </c>
      <c r="B37" s="23">
        <v>66</v>
      </c>
      <c r="C37" s="2">
        <f t="shared" si="6"/>
        <v>79.2</v>
      </c>
      <c r="D37" s="2">
        <f t="shared" si="7"/>
        <v>80.290385999999998</v>
      </c>
      <c r="E37" s="2">
        <f t="shared" si="8"/>
        <v>21.075450000000004</v>
      </c>
      <c r="F37" s="2">
        <f t="shared" si="9"/>
        <v>8.9949815999999991</v>
      </c>
      <c r="G37" s="2">
        <f t="shared" si="5"/>
        <v>1.584E-2</v>
      </c>
      <c r="H37" s="2">
        <f t="shared" si="5"/>
        <v>0.55637999999999999</v>
      </c>
      <c r="I37" s="2">
        <f t="shared" si="5"/>
        <v>3.3000000000000002E-2</v>
      </c>
      <c r="J37" s="2">
        <f t="shared" si="5"/>
        <v>6.600000000000001E-4</v>
      </c>
      <c r="K37" s="2">
        <f t="shared" si="5"/>
        <v>3.3E-3</v>
      </c>
      <c r="L37" s="2">
        <f t="shared" si="5"/>
        <v>1.32E-2</v>
      </c>
      <c r="M37" s="2">
        <f t="shared" si="5"/>
        <v>4.3560000000000001E-2</v>
      </c>
      <c r="N37" s="2">
        <f t="shared" si="5"/>
        <v>0</v>
      </c>
      <c r="O37" s="2">
        <f t="shared" si="5"/>
        <v>0</v>
      </c>
      <c r="P37" s="2">
        <f t="shared" si="5"/>
        <v>57.75</v>
      </c>
      <c r="Q37" s="2">
        <f t="shared" si="10"/>
        <v>21.284999999999997</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t="str">
        <f>J8</f>
        <v>Tyriet 8</v>
      </c>
      <c r="B38" s="23">
        <v>119</v>
      </c>
      <c r="C38" s="2">
        <f t="shared" si="6"/>
        <v>142.79999999999998</v>
      </c>
      <c r="D38" s="2">
        <f t="shared" si="7"/>
        <v>144.76599899999999</v>
      </c>
      <c r="E38" s="2">
        <f t="shared" si="8"/>
        <v>37.999675000000003</v>
      </c>
      <c r="F38" s="2">
        <f t="shared" si="9"/>
        <v>16.2182244</v>
      </c>
      <c r="G38" s="2">
        <f t="shared" si="5"/>
        <v>2.8560000000000002E-2</v>
      </c>
      <c r="H38" s="2">
        <f t="shared" si="5"/>
        <v>1.0031699999999999</v>
      </c>
      <c r="I38" s="2">
        <f t="shared" si="5"/>
        <v>5.9500000000000004E-2</v>
      </c>
      <c r="J38" s="2">
        <f t="shared" si="5"/>
        <v>1.1900000000000001E-3</v>
      </c>
      <c r="K38" s="2">
        <f t="shared" si="5"/>
        <v>5.9500000000000004E-3</v>
      </c>
      <c r="L38" s="2">
        <f t="shared" si="5"/>
        <v>2.3800000000000002E-2</v>
      </c>
      <c r="M38" s="2">
        <f t="shared" si="5"/>
        <v>7.8539999999999999E-2</v>
      </c>
      <c r="N38" s="2">
        <f t="shared" si="5"/>
        <v>0</v>
      </c>
      <c r="O38" s="2">
        <f t="shared" si="5"/>
        <v>0</v>
      </c>
      <c r="P38" s="2">
        <f t="shared" si="5"/>
        <v>104.125</v>
      </c>
      <c r="Q38" s="2">
        <f t="shared" si="10"/>
        <v>38.377500000000005</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t="str">
        <f>K8</f>
        <v xml:space="preserve"> Tyriet  9</v>
      </c>
      <c r="B39" s="23">
        <v>119</v>
      </c>
      <c r="C39" s="2">
        <f t="shared" si="6"/>
        <v>142.79999999999998</v>
      </c>
      <c r="D39" s="2">
        <f t="shared" si="7"/>
        <v>144.76599899999999</v>
      </c>
      <c r="E39" s="2">
        <f t="shared" si="8"/>
        <v>37.999675000000003</v>
      </c>
      <c r="F39" s="2">
        <f t="shared" si="9"/>
        <v>16.2182244</v>
      </c>
      <c r="G39" s="2">
        <f t="shared" si="5"/>
        <v>2.8560000000000002E-2</v>
      </c>
      <c r="H39" s="2">
        <f t="shared" si="5"/>
        <v>1.0031699999999999</v>
      </c>
      <c r="I39" s="2">
        <f t="shared" si="5"/>
        <v>5.9500000000000004E-2</v>
      </c>
      <c r="J39" s="2">
        <f t="shared" si="5"/>
        <v>1.1900000000000001E-3</v>
      </c>
      <c r="K39" s="2">
        <f t="shared" si="5"/>
        <v>5.9500000000000004E-3</v>
      </c>
      <c r="L39" s="2">
        <f t="shared" si="5"/>
        <v>2.3800000000000002E-2</v>
      </c>
      <c r="M39" s="2">
        <f t="shared" si="5"/>
        <v>7.8539999999999999E-2</v>
      </c>
      <c r="N39" s="2">
        <f t="shared" si="5"/>
        <v>0</v>
      </c>
      <c r="O39" s="2">
        <f t="shared" si="5"/>
        <v>0</v>
      </c>
      <c r="P39" s="2">
        <f t="shared" si="5"/>
        <v>104.125</v>
      </c>
      <c r="Q39" s="2">
        <f t="shared" si="10"/>
        <v>38.377500000000005</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Trewindsor 1 (29/30)</v>
      </c>
      <c r="C57" s="16" t="str">
        <f t="shared" ref="C57:U57" si="13">D8</f>
        <v>Trewindsor 2 (31)</v>
      </c>
      <c r="D57" s="16" t="str">
        <f t="shared" si="13"/>
        <v>Trewindsor 3 (32)</v>
      </c>
      <c r="E57" s="16" t="str">
        <f t="shared" si="13"/>
        <v>Trewindsor 4 (50)</v>
      </c>
      <c r="F57" s="16" t="str">
        <f t="shared" si="13"/>
        <v>Trewindsor 5 (52)</v>
      </c>
      <c r="G57" s="16" t="str">
        <f t="shared" si="13"/>
        <v>Trewindsor 6 (53)</v>
      </c>
      <c r="H57" s="16" t="str">
        <f t="shared" si="13"/>
        <v>Trewindsor 7 (51)</v>
      </c>
      <c r="I57" s="16" t="str">
        <f t="shared" si="13"/>
        <v>Tyriet 8</v>
      </c>
      <c r="J57" s="16" t="str">
        <f t="shared" si="13"/>
        <v xml:space="preserve"> Tyriet  9</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"&amp;(VLOOKUP(C14,Table245811[],6,FALSE))</f>
        <v>Medium/Clay I Grass</v>
      </c>
      <c r="C58" s="44" t="str">
        <f>D16&amp;" I "&amp;(VLOOKUP(D14,Table245811[],6,FALSE))</f>
        <v>Medium/Clay I Grass</v>
      </c>
      <c r="D58" s="21" t="str">
        <f>E16&amp;" I "&amp;(VLOOKUP(E14,Table245811[],6,FALSE))</f>
        <v>Medium/Clay I Grass</v>
      </c>
      <c r="E58" s="21" t="str">
        <f>F16&amp;" I "&amp;(VLOOKUP(F14,Table245811[],6,FALSE))</f>
        <v>Medium/Clay I Grass</v>
      </c>
      <c r="F58" s="21" t="str">
        <f>G16&amp;" I "&amp;(VLOOKUP(G14,Table245811[],6,FALSE))</f>
        <v>Medium/Clay I Grass</v>
      </c>
      <c r="G58" s="21" t="str">
        <f>H16&amp;" I "&amp;(VLOOKUP(H14,Table245811[],6,FALSE))</f>
        <v>Medium/Clay I Grass</v>
      </c>
      <c r="H58" s="21" t="str">
        <f>I16&amp;" I "&amp;(VLOOKUP(I14,Table245811[],6,FALSE))</f>
        <v>Medium/Clay I Grass</v>
      </c>
      <c r="I58" s="21" t="str">
        <f>J16&amp;" I "&amp;(VLOOKUP(J14,Table245811[],6,FALSE))</f>
        <v>Medium/Clay I Grass</v>
      </c>
      <c r="J58" s="21" t="str">
        <f>K16&amp;" I "&amp;(VLOOKUP(K14,Table245811[],6,FALSE))</f>
        <v>Medium/Clay I Grass</v>
      </c>
      <c r="K58" s="21" t="e">
        <f>L16&amp;" I "&amp;(VLOOKUP(L14,Table245811[],6,FALSE))</f>
        <v>#N/A</v>
      </c>
      <c r="L58" s="21" t="e">
        <f>M16&amp;" I "&amp;(VLOOKUP(M14,Table245811[],6,FALSE))</f>
        <v>#N/A</v>
      </c>
      <c r="M58" s="21" t="e">
        <f>N16&amp;" I "&amp;(VLOOKUP(N14,Table245811[],6,FALSE))</f>
        <v>#N/A</v>
      </c>
      <c r="N58" s="21" t="e">
        <f>O16&amp;" I "&amp;(VLOOKUP(O14,Table245811[],6,FALSE))</f>
        <v>#N/A</v>
      </c>
      <c r="O58" s="21" t="e">
        <f>P16&amp;" I "&amp;(VLOOKUP(P14,Table245811[],6,FALSE))</f>
        <v>#N/A</v>
      </c>
      <c r="P58" s="21" t="e">
        <f>Q16&amp;" I "&amp;(VLOOKUP(Q14,Table245811[],6,FALSE))</f>
        <v>#N/A</v>
      </c>
      <c r="Q58" s="21" t="e">
        <f>R16&amp;" I "&amp;(VLOOKUP(R14,Table245811[],6,FALSE))</f>
        <v>#N/A</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idden="1" x14ac:dyDescent="0.2">
      <c r="A59" s="92" t="s">
        <v>130</v>
      </c>
      <c r="B59" s="93">
        <f>VLOOKUP(C$14,Table245811[],5,FALSE)</f>
        <v>6.2</v>
      </c>
      <c r="C59" s="93">
        <f>VLOOKUP(D$14,Table245811[],5,FALSE)</f>
        <v>6.2</v>
      </c>
      <c r="D59" s="93">
        <f>VLOOKUP(E$14,Table245811[],5,FALSE)</f>
        <v>6.2</v>
      </c>
      <c r="E59" s="93">
        <f>VLOOKUP(F$14,Table245811[],5,FALSE)</f>
        <v>6.2</v>
      </c>
      <c r="F59" s="93">
        <f>VLOOKUP(G$14,Table245811[],5,FALSE)</f>
        <v>6.2</v>
      </c>
      <c r="G59" s="93">
        <f>VLOOKUP(H$14,Table245811[],5,FALSE)</f>
        <v>6.2</v>
      </c>
      <c r="H59" s="93">
        <f>VLOOKUP(I$14,Table245811[],5,FALSE)</f>
        <v>6.2</v>
      </c>
      <c r="I59" s="93">
        <f>VLOOKUP(J$14,Table245811[],5,FALSE)</f>
        <v>6.2</v>
      </c>
      <c r="J59" s="93">
        <f>VLOOKUP(K$14,Table245811[],5,FALSE)</f>
        <v>6.2</v>
      </c>
      <c r="K59" s="93" t="e">
        <f>VLOOKUP(L$14,Table245811[],5,FALSE)</f>
        <v>#N/A</v>
      </c>
      <c r="L59" s="93" t="e">
        <f>VLOOKUP(M$14,Table245811[],5,FALSE)</f>
        <v>#N/A</v>
      </c>
      <c r="M59" s="93" t="e">
        <f>VLOOKUP(N$14,Table245811[],5,FALSE)</f>
        <v>#N/A</v>
      </c>
      <c r="N59" s="93" t="e">
        <f>VLOOKUP(O$14,Table245811[],5,FALSE)</f>
        <v>#N/A</v>
      </c>
      <c r="O59" s="93" t="e">
        <f>VLOOKUP(P$14,Table245811[],5,FALSE)</f>
        <v>#N/A</v>
      </c>
      <c r="P59" s="93" t="e">
        <f>VLOOKUP(Q$14,Table245811[],5,FALSE)</f>
        <v>#N/A</v>
      </c>
      <c r="Q59" s="93" t="e">
        <f>VLOOKUP(R$14,Table245811[],5,FALSE)</f>
        <v>#N/A</v>
      </c>
      <c r="R59" s="93" t="e">
        <f>VLOOKUP(S$14,Table245811[],5,FALSE)</f>
        <v>#N/A</v>
      </c>
      <c r="S59" s="93" t="e">
        <f>VLOOKUP(T$14,Table245811[],5,FALSE)</f>
        <v>#N/A</v>
      </c>
      <c r="T59" s="93" t="e">
        <f>VLOOKUP(U$14,Table245811[],5,FALSE)</f>
        <v>#N/A</v>
      </c>
      <c r="U59" s="93" t="e">
        <f>VLOOKUP(V$14,Table245811[],5,FALSE)</f>
        <v>#N/A</v>
      </c>
    </row>
    <row r="60" spans="1:35" s="27" customFormat="1" hidden="1" x14ac:dyDescent="0.2">
      <c r="A60" s="92" t="s">
        <v>4</v>
      </c>
      <c r="B60" s="93">
        <f>C10</f>
        <v>5</v>
      </c>
      <c r="C60" s="93">
        <f t="shared" ref="C60:U60" si="14">D10</f>
        <v>5.7</v>
      </c>
      <c r="D60" s="93">
        <f t="shared" si="14"/>
        <v>5.8</v>
      </c>
      <c r="E60" s="93">
        <f t="shared" si="14"/>
        <v>5.7</v>
      </c>
      <c r="F60" s="93">
        <f t="shared" si="14"/>
        <v>5.6</v>
      </c>
      <c r="G60" s="93">
        <f t="shared" si="14"/>
        <v>6</v>
      </c>
      <c r="H60" s="93">
        <f t="shared" si="14"/>
        <v>5.8</v>
      </c>
      <c r="I60" s="93">
        <f t="shared" si="14"/>
        <v>5.7</v>
      </c>
      <c r="J60" s="93">
        <f t="shared" si="14"/>
        <v>5.6</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66</v>
      </c>
      <c r="C62" s="94">
        <f>B32</f>
        <v>66</v>
      </c>
      <c r="D62" s="94">
        <f>B33</f>
        <v>66</v>
      </c>
      <c r="E62" s="94">
        <f>B34</f>
        <v>66</v>
      </c>
      <c r="F62" s="94">
        <f>B35</f>
        <v>66</v>
      </c>
      <c r="G62" s="94">
        <f>B36</f>
        <v>66</v>
      </c>
      <c r="H62" s="94">
        <f>B37</f>
        <v>66</v>
      </c>
      <c r="I62" s="94">
        <f>B38</f>
        <v>119</v>
      </c>
      <c r="J62" s="94">
        <f>B39</f>
        <v>119</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7.2000000000000011</v>
      </c>
      <c r="C64" s="94">
        <f t="shared" ref="C64:U64" si="17">(C59-C60)*C61</f>
        <v>3</v>
      </c>
      <c r="D64" s="94">
        <f t="shared" si="17"/>
        <v>2.4000000000000021</v>
      </c>
      <c r="E64" s="94">
        <f t="shared" si="17"/>
        <v>3</v>
      </c>
      <c r="F64" s="94">
        <f t="shared" si="17"/>
        <v>3.6000000000000032</v>
      </c>
      <c r="G64" s="94">
        <f t="shared" si="17"/>
        <v>1.2000000000000011</v>
      </c>
      <c r="H64" s="94">
        <f t="shared" si="17"/>
        <v>2.4000000000000021</v>
      </c>
      <c r="I64" s="94">
        <f t="shared" si="17"/>
        <v>3</v>
      </c>
      <c r="J64" s="94">
        <f t="shared" si="17"/>
        <v>3.6000000000000032</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8" priority="33" operator="equal">
      <formula>"DECREASE"</formula>
    </cfRule>
    <cfRule type="cellIs" dxfId="47" priority="34" operator="equal">
      <formula>"INCREASE"</formula>
    </cfRule>
  </conditionalFormatting>
  <conditionalFormatting sqref="B62:U65 B31:B50">
    <cfRule type="cellIs" dxfId="46" priority="32" operator="greaterThan">
      <formula>$B$51</formula>
    </cfRule>
  </conditionalFormatting>
  <conditionalFormatting sqref="C31:C50">
    <cfRule type="cellIs" dxfId="45" priority="31" operator="greaterThan">
      <formula>$C$51</formula>
    </cfRule>
  </conditionalFormatting>
  <conditionalFormatting sqref="C18:V18">
    <cfRule type="cellIs" dxfId="44" priority="30" operator="equal">
      <formula>0</formula>
    </cfRule>
  </conditionalFormatting>
  <conditionalFormatting sqref="C17:V17">
    <cfRule type="cellIs" dxfId="43" priority="29" operator="equal">
      <formula>0</formula>
    </cfRule>
  </conditionalFormatting>
  <conditionalFormatting sqref="C19:V19">
    <cfRule type="cellIs" dxfId="42" priority="28" operator="equal">
      <formula>0</formula>
    </cfRule>
  </conditionalFormatting>
  <conditionalFormatting sqref="G31:G50">
    <cfRule type="cellIs" dxfId="41" priority="27" operator="greaterThan">
      <formula>$G$51</formula>
    </cfRule>
  </conditionalFormatting>
  <conditionalFormatting sqref="H31:H50">
    <cfRule type="cellIs" dxfId="40" priority="26" operator="greaterThan">
      <formula>$H$51</formula>
    </cfRule>
  </conditionalFormatting>
  <conditionalFormatting sqref="I31:I50">
    <cfRule type="cellIs" dxfId="39" priority="25" operator="greaterThan">
      <formula>$I$51</formula>
    </cfRule>
  </conditionalFormatting>
  <conditionalFormatting sqref="K31:K50">
    <cfRule type="cellIs" dxfId="38" priority="24" operator="greaterThan">
      <formula>$K$51</formula>
    </cfRule>
  </conditionalFormatting>
  <conditionalFormatting sqref="L31:L50">
    <cfRule type="cellIs" dxfId="37" priority="23" operator="greaterThan">
      <formula>$L$51</formula>
    </cfRule>
  </conditionalFormatting>
  <conditionalFormatting sqref="M31:M50">
    <cfRule type="cellIs" dxfId="36" priority="22" operator="greaterThan">
      <formula>$M$51</formula>
    </cfRule>
  </conditionalFormatting>
  <conditionalFormatting sqref="P31:P50">
    <cfRule type="cellIs" dxfId="35" priority="21" operator="greaterThan">
      <formula>$P$51</formula>
    </cfRule>
  </conditionalFormatting>
  <conditionalFormatting sqref="R31:R50">
    <cfRule type="cellIs" dxfId="34" priority="20" operator="greaterThan">
      <formula>$R$51</formula>
    </cfRule>
  </conditionalFormatting>
  <conditionalFormatting sqref="S31:S50">
    <cfRule type="cellIs" dxfId="33" priority="19" operator="greaterThan">
      <formula>$S$51</formula>
    </cfRule>
  </conditionalFormatting>
  <conditionalFormatting sqref="T31:T50">
    <cfRule type="cellIs" dxfId="32" priority="18" operator="greaterThan">
      <formula>$T$51</formula>
    </cfRule>
  </conditionalFormatting>
  <conditionalFormatting sqref="U31:U50">
    <cfRule type="cellIs" dxfId="31" priority="17" operator="greaterThan">
      <formula>$U$51</formula>
    </cfRule>
  </conditionalFormatting>
  <conditionalFormatting sqref="C22:V22">
    <cfRule type="cellIs" dxfId="30" priority="16" operator="equal">
      <formula>0</formula>
    </cfRule>
  </conditionalFormatting>
  <conditionalFormatting sqref="C24:V24">
    <cfRule type="cellIs" dxfId="29" priority="14" operator="equal">
      <formula>"DECREASE"</formula>
    </cfRule>
    <cfRule type="cellIs" dxfId="28" priority="15" operator="equal">
      <formula>"INCREASE"</formula>
    </cfRule>
  </conditionalFormatting>
  <conditionalFormatting sqref="C23:V23">
    <cfRule type="cellIs" dxfId="27" priority="13" operator="equal">
      <formula>0</formula>
    </cfRule>
  </conditionalFormatting>
  <conditionalFormatting sqref="C21:V21">
    <cfRule type="cellIs" dxfId="25" priority="9" operator="equal">
      <formula>0</formula>
    </cfRule>
  </conditionalFormatting>
  <conditionalFormatting sqref="B65:U65">
    <cfRule type="cellIs" dxfId="24" priority="7" operator="equal">
      <formula>"UNDER"</formula>
    </cfRule>
    <cfRule type="cellIs" dxfId="23" priority="8" operator="equal">
      <formula>"OVER"</formula>
    </cfRule>
  </conditionalFormatting>
  <conditionalFormatting sqref="J31:J50">
    <cfRule type="cellIs" dxfId="20" priority="4" operator="greaterThan">
      <formula>$J$51</formula>
    </cfRule>
  </conditionalFormatting>
  <conditionalFormatting sqref="I1">
    <cfRule type="cellIs" dxfId="2" priority="3" operator="lessThan">
      <formula>5</formula>
    </cfRule>
  </conditionalFormatting>
  <conditionalFormatting sqref="I2">
    <cfRule type="cellIs" dxfId="1" priority="2" operator="greaterThan">
      <formula>5000.1</formula>
    </cfRule>
  </conditionalFormatting>
  <conditionalFormatting sqref="I3">
    <cfRule type="cellIs" dxfId="0" priority="1" operator="greaterThan">
      <formula>4.1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54" ma:contentTypeDescription="Permitting &amp; Compliance Excel Document" ma:contentTypeScope="" ma:versionID="1fbbe51468295724527f2ae6ab308c90">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e735e5a36dcd1f688899cef58a2c654d"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Stepside Agri 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2021-06-01T23:00:00+00:00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E75818DF-19DB-4488-B9D8-0C397B5C6D84}"/>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3EB88BFD-E29A-4849-A8E6-116EB74B98EA}">
  <ds:schemaRefs>
    <ds:schemaRef ds:uri="9be56660-2c31-41ef-bc00-23e72f632f2a"/>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73F6ACA6-2A99-49C9-9A4A-7CC678CDA8C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Field data and Waste 1</vt:lpstr>
      <vt:lpstr>Waste 2</vt:lpstr>
      <vt:lpstr>Waste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2021-06-02T09:42:32Z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ca22fba4-d587-4b24-9793-6b5dbb1f6ff3</vt:lpwstr>
  </property>
  <property fmtid="{D5CDD505-2E9C-101B-9397-08002B2CF9AE}" pid="4" name="_dlc_DocId">
    <vt:lpwstr>REGU-195-2422596</vt:lpwstr>
  </property>
  <property fmtid="{D5CDD505-2E9C-101B-9397-08002B2CF9AE}" pid="5" name="_dlc_DocIdUrl">
    <vt:lpwstr>https://cyfoethnaturiolcymru.sharepoint.com/teams/Regulatory/Permitting/_layouts/15/DocIdRedir.aspx?ID=REGU-195-2422596, REGU-195-2422596</vt:lpwstr>
  </property>
</Properties>
</file>