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Waste Team\PAN-014433\"/>
    </mc:Choice>
  </mc:AlternateContent>
  <xr:revisionPtr revIDLastSave="0" documentId="13_ncr:1_{40BC522B-4FA8-4FA5-B8D0-9BF897D03E1D}" xr6:coauthVersionLast="45" xr6:coauthVersionMax="45" xr10:uidLastSave="{00000000-0000-0000-0000-000000000000}"/>
  <bookViews>
    <workbookView xWindow="-120" yWindow="-120" windowWidth="29040" windowHeight="15840" tabRatio="870" xr2:uid="{00000000-000D-0000-FFFF-FFFF00000000}"/>
  </bookViews>
  <sheets>
    <sheet name="Field data and Waste 1" sheetId="1" r:id="rId1"/>
    <sheet name="Waste 2" sheetId="2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D8" i="21" l="1"/>
  <c r="A32" i="21" s="1"/>
  <c r="E8" i="21"/>
  <c r="D57" i="21" s="1"/>
  <c r="F8" i="21"/>
  <c r="A34" i="21" s="1"/>
  <c r="G8" i="21"/>
  <c r="F57" i="21" s="1"/>
  <c r="H8" i="21"/>
  <c r="A36" i="21" s="1"/>
  <c r="I8" i="21"/>
  <c r="H57" i="21" s="1"/>
  <c r="J8" i="21"/>
  <c r="I57" i="21" s="1"/>
  <c r="K8" i="21"/>
  <c r="A39" i="21" s="1"/>
  <c r="L8" i="21"/>
  <c r="A40" i="21" s="1"/>
  <c r="M8" i="21"/>
  <c r="L57" i="21" s="1"/>
  <c r="N8" i="21"/>
  <c r="M57" i="21" s="1"/>
  <c r="O8" i="21"/>
  <c r="N57" i="21" s="1"/>
  <c r="P8" i="21"/>
  <c r="A44" i="21" s="1"/>
  <c r="Q8" i="21"/>
  <c r="P57" i="21" s="1"/>
  <c r="R8" i="21"/>
  <c r="A46" i="21" s="1"/>
  <c r="S8" i="21"/>
  <c r="A47" i="21" s="1"/>
  <c r="T8" i="21"/>
  <c r="A48" i="21" s="1"/>
  <c r="U8" i="21"/>
  <c r="T57" i="21" s="1"/>
  <c r="V8" i="21"/>
  <c r="U57"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Q10" i="21"/>
  <c r="P60" i="21" s="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F58" i="21" s="1"/>
  <c r="F61" i="21" s="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N63" i="21" s="1"/>
  <c r="M62" i="21"/>
  <c r="L62" i="21"/>
  <c r="K62" i="21"/>
  <c r="J62" i="21"/>
  <c r="I62" i="21"/>
  <c r="H62" i="21"/>
  <c r="G62" i="21"/>
  <c r="F62" i="21"/>
  <c r="F63" i="21" s="1"/>
  <c r="E62" i="21"/>
  <c r="D62" i="21"/>
  <c r="C62" i="21"/>
  <c r="B62" i="21"/>
  <c r="U60" i="21"/>
  <c r="O60" i="2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V20" i="21"/>
  <c r="U20" i="21"/>
  <c r="T20" i="21"/>
  <c r="S20" i="21"/>
  <c r="R20" i="21"/>
  <c r="Q20" i="21"/>
  <c r="P20" i="21"/>
  <c r="O20" i="21"/>
  <c r="N20" i="21"/>
  <c r="M20" i="21"/>
  <c r="L20" i="21"/>
  <c r="K20" i="21"/>
  <c r="V18" i="21"/>
  <c r="E57" i="21" l="1"/>
  <c r="K59" i="21"/>
  <c r="L17" i="21"/>
  <c r="L21" i="21"/>
  <c r="A35" i="21"/>
  <c r="T58" i="21"/>
  <c r="T61" i="21" s="1"/>
  <c r="L58" i="21"/>
  <c r="L61" i="21" s="1"/>
  <c r="D58" i="21"/>
  <c r="D61" i="21" s="1"/>
  <c r="R59" i="21"/>
  <c r="S17" i="21"/>
  <c r="S19" i="21" s="1"/>
  <c r="S21" i="21"/>
  <c r="J59" i="21"/>
  <c r="K17" i="21"/>
  <c r="K21" i="21"/>
  <c r="T59" i="21"/>
  <c r="U17" i="21"/>
  <c r="U21" i="21"/>
  <c r="U23" i="21" s="1"/>
  <c r="U24" i="21" s="1"/>
  <c r="C59" i="21"/>
  <c r="D17" i="21"/>
  <c r="D19" i="21" s="1"/>
  <c r="D20" i="21" s="1"/>
  <c r="D21" i="21"/>
  <c r="I59" i="21"/>
  <c r="J21" i="21"/>
  <c r="J17" i="21"/>
  <c r="S59" i="21"/>
  <c r="S64" i="21" s="1"/>
  <c r="S65" i="21" s="1"/>
  <c r="T17" i="21"/>
  <c r="T21" i="21"/>
  <c r="Q59" i="21"/>
  <c r="R21" i="21"/>
  <c r="R17" i="21"/>
  <c r="P59" i="21"/>
  <c r="Q21" i="21"/>
  <c r="Q17" i="21"/>
  <c r="I21" i="21"/>
  <c r="I17" i="21"/>
  <c r="I19" i="21" s="1"/>
  <c r="I20" i="21" s="1"/>
  <c r="M17" i="21"/>
  <c r="M19" i="21" s="1"/>
  <c r="M21" i="21"/>
  <c r="O59" i="21"/>
  <c r="P21" i="21"/>
  <c r="P23" i="21" s="1"/>
  <c r="P24" i="21" s="1"/>
  <c r="P17" i="21"/>
  <c r="H21" i="21"/>
  <c r="H23" i="21" s="1"/>
  <c r="H24" i="21" s="1"/>
  <c r="H17" i="21"/>
  <c r="F59" i="21"/>
  <c r="G21" i="21"/>
  <c r="G17" i="21"/>
  <c r="L59" i="21"/>
  <c r="N59" i="21"/>
  <c r="O21" i="21"/>
  <c r="O17" i="21"/>
  <c r="O58" i="21"/>
  <c r="O61" i="21" s="1"/>
  <c r="G58" i="21"/>
  <c r="G61" i="21" s="1"/>
  <c r="U59" i="21"/>
  <c r="V17" i="21"/>
  <c r="V21" i="21"/>
  <c r="V23" i="21" s="1"/>
  <c r="V24" i="21" s="1"/>
  <c r="M59" i="21"/>
  <c r="N17" i="21"/>
  <c r="N19" i="21" s="1"/>
  <c r="N21" i="21"/>
  <c r="E59" i="21"/>
  <c r="F17" i="21"/>
  <c r="F21" i="21"/>
  <c r="E17" i="21"/>
  <c r="E21" i="21"/>
  <c r="E23" i="21" s="1"/>
  <c r="E24" i="21" s="1"/>
  <c r="B59" i="21"/>
  <c r="C21" i="21"/>
  <c r="C23" i="21" s="1"/>
  <c r="C24" i="21" s="1"/>
  <c r="C17" i="21"/>
  <c r="C19" i="21" s="1"/>
  <c r="C20" i="21" s="1"/>
  <c r="D23" i="21"/>
  <c r="D24" i="21" s="1"/>
  <c r="S58" i="21"/>
  <c r="S61" i="21" s="1"/>
  <c r="C58" i="21"/>
  <c r="C61" i="21" s="1"/>
  <c r="C64" i="21" s="1"/>
  <c r="K58" i="21"/>
  <c r="K61" i="21" s="1"/>
  <c r="R58" i="21"/>
  <c r="R61" i="21" s="1"/>
  <c r="S23" i="21"/>
  <c r="S24" i="21" s="1"/>
  <c r="O57" i="21"/>
  <c r="O23" i="21"/>
  <c r="O24" i="21" s="1"/>
  <c r="A43" i="21"/>
  <c r="J58" i="21"/>
  <c r="J61" i="21" s="1"/>
  <c r="E19" i="21"/>
  <c r="E20" i="21" s="1"/>
  <c r="P58" i="21"/>
  <c r="P61" i="21" s="1"/>
  <c r="H58" i="21"/>
  <c r="H61" i="21" s="1"/>
  <c r="R57" i="21"/>
  <c r="J57" i="21"/>
  <c r="H59" i="21"/>
  <c r="O64" i="21"/>
  <c r="G59" i="21"/>
  <c r="G64" i="21" s="1"/>
  <c r="K19" i="21"/>
  <c r="Q57" i="21"/>
  <c r="B58" i="21"/>
  <c r="B61" i="21" s="1"/>
  <c r="U19" i="21"/>
  <c r="V19" i="21"/>
  <c r="A38" i="21"/>
  <c r="P19" i="21"/>
  <c r="F19" i="21"/>
  <c r="F20" i="21" s="1"/>
  <c r="Q58" i="21"/>
  <c r="Q61" i="21" s="1"/>
  <c r="I58" i="21"/>
  <c r="I61" i="21" s="1"/>
  <c r="I64" i="21" s="1"/>
  <c r="G57" i="21"/>
  <c r="P64" i="21"/>
  <c r="N64" i="21"/>
  <c r="N65" i="21" s="1"/>
  <c r="F64" i="21"/>
  <c r="F65" i="21" s="1"/>
  <c r="L23" i="21"/>
  <c r="L24" i="21" s="1"/>
  <c r="T23" i="21"/>
  <c r="T24" i="21" s="1"/>
  <c r="F23" i="21"/>
  <c r="F24" i="21" s="1"/>
  <c r="N23" i="21"/>
  <c r="N24" i="21" s="1"/>
  <c r="A33" i="21"/>
  <c r="A37" i="21"/>
  <c r="A41" i="21"/>
  <c r="A45" i="21"/>
  <c r="A49" i="21"/>
  <c r="E58" i="21"/>
  <c r="E61" i="21" s="1"/>
  <c r="E64" i="21" s="1"/>
  <c r="M58" i="21"/>
  <c r="M61" i="21" s="1"/>
  <c r="M64" i="21" s="1"/>
  <c r="U58" i="21"/>
  <c r="U61" i="21" s="1"/>
  <c r="U64" i="21" s="1"/>
  <c r="U65" i="21" s="1"/>
  <c r="H19" i="21"/>
  <c r="H20" i="21" s="1"/>
  <c r="O19" i="21"/>
  <c r="I23" i="21"/>
  <c r="I24" i="21" s="1"/>
  <c r="Q23" i="21"/>
  <c r="Q24" i="21" s="1"/>
  <c r="G23" i="21"/>
  <c r="G24" i="21" s="1"/>
  <c r="K23" i="21"/>
  <c r="K24" i="21" s="1"/>
  <c r="M23" i="21"/>
  <c r="M24" i="21" s="1"/>
  <c r="C57" i="21"/>
  <c r="K57" i="21"/>
  <c r="S57" i="21"/>
  <c r="G19" i="21"/>
  <c r="G20" i="21" s="1"/>
  <c r="Q19" i="21"/>
  <c r="J23" i="21"/>
  <c r="J24" i="21" s="1"/>
  <c r="R23" i="21"/>
  <c r="R24" i="21" s="1"/>
  <c r="J19" i="21"/>
  <c r="J20" i="21" s="1"/>
  <c r="L19" i="21"/>
  <c r="T19" i="21"/>
  <c r="R19" i="21"/>
  <c r="A31" i="21"/>
  <c r="Q64" i="21"/>
  <c r="J64" i="21"/>
  <c r="D64" i="21"/>
  <c r="L64" i="21"/>
  <c r="T64" i="21"/>
  <c r="R64" i="21"/>
  <c r="K64" i="2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21" l="1"/>
  <c r="H65" i="21" s="1"/>
  <c r="B64" i="21"/>
  <c r="B65" i="21" s="1"/>
  <c r="I65" i="21"/>
  <c r="Q65" i="21"/>
  <c r="P65" i="21"/>
  <c r="G65" i="21"/>
  <c r="J65" i="21"/>
  <c r="E65" i="21"/>
  <c r="T65" i="21"/>
  <c r="L65" i="21"/>
  <c r="S64" i="1"/>
  <c r="R64" i="1"/>
  <c r="Q64" i="1"/>
  <c r="U64" i="1"/>
  <c r="P64" i="1"/>
  <c r="M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<sst xmlns="http://schemas.openxmlformats.org/spreadsheetml/2006/main" count="451" uniqueCount="163">
  <si>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</si>
  <si>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</si>
  <si>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</si>
  <si>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</si>
  <si>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</si>
  <si>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</si>
  <si>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</si>
  <si>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</si>
  <si>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</si>
  <si>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</si>
  <si>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</si>
  <si>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</si>
  <si>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</si>
  <si>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</si>
  <si>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</si>
  <si>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</si>
  <si>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</si>
  <si>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</si>
  <si>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</si>
  <si>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</si>
  <si>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</si>
  <si>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</si>
  <si>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</si>
  <si>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</si>
  <si>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</si>
  <si>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</si>
  <si>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</si>
  <si>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</si>
  <si>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</si>
  <si>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</si>
  <si>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</si>
  <si>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</si>
  <si>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</si>
  <si>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</si>
  <si>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</si>
  <si>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</si>
  <si>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</si>
  <si>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</si>
  <si>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</si>
  <si>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</si>
  <si>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</si>
  <si>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</si>
  <si>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</si>
  <si>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</si>
  <si>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</si>
  <si>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</si>
  <si>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</si>
  <si>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</si>
  <si>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</si>
  <si>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</si>
  <si>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</si>
  <si>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</si>
  <si>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</si>
  <si>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</si>
  <si>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</si>
  <si>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</si>
  <si>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</si>
  <si>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</si>
  <si>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</si>
  <si>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</si>
  <si>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</si>
  <si>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</si>
  <si>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</si>
  <si>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</si>
  <si>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</si>
  <si>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</si>
  <si>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</si>
  <si>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</si>
  <si>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</si>
  <si>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</si>
  <si>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</si>
  <si>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</si>
  <si>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</si>
  <si>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</si>
  <si>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</si>
  <si>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</si>
  <si>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</si>
  <si>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</si>
  <si>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</si>
  <si>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</si>
  <si>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</si>
  <si>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</si>
  <si>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</si>
  <si>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</si>
  <si>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</si>
  <si>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</si>
  <si>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</si>
  <si>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</si>
  <si>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</si>
  <si>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</si>
  <si>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</si>
  <si>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</si>
  <si>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</si>
  <si>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</si>
  <si>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</si>
  <si>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</si>
  <si>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</si>
  <si>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</si>
  <si>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</si>
  <si>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</si>
  <si>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</si>
  <si>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</si>
  <si>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</si>
  <si>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</si>
  <si>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</si>
  <si>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</si>
  <si>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</si>
  <si>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</si>
  <si>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</si>
  <si>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</si>
  <si>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</si>
  <si>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</si>
  <si>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</si>
  <si>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</si>
  <si>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</si>
  <si>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</si>
  <si>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</si>
  <si>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</si>
  <si>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</si>
  <si>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</si>
  <si>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</si>
  <si>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</si>
  <si>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</si>
  <si>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</si>
  <si>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</si>
  <si>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</si>
  <si>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</si>
  <si>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</si>
  <si>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</si>
  <si>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</si>
  <si>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</si>
  <si>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</si>
  <si>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</si>
  <si>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</si>
  <si>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</si>
  <si>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</si>
  <si>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</si>
  <si>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</si>
  <si>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</si>
  <si>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</si>
  <si>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</si>
  <si>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</si>
  <si>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</si>
  <si>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</si>
  <si>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</si>
  <si>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</si>
  <si>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</si>
  <si>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</si>
  <si>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</si>
  <si>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</si>
  <si>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</si>
  <si>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</si>
  <si>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PAN-014433</t>
  </si>
  <si>
    <t>EPR-GP3697ES</t>
  </si>
  <si>
    <t>Andrew Thomas</t>
  </si>
  <si>
    <t>Trehelig Farm, Welshpool, SY21 8SG</t>
  </si>
  <si>
    <t>Sion Sleep</t>
  </si>
  <si>
    <t>Mod</t>
  </si>
  <si>
    <t>Minsterley creamery</t>
  </si>
  <si>
    <t>Sidoli Welshpool</t>
  </si>
  <si>
    <t>02 05 02</t>
  </si>
  <si>
    <t>47.71 ha</t>
  </si>
  <si>
    <t>02 06 03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</si>
</sst>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
      <sz val="10"/>
      <color rgb="FF000000"/>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rgb="FFFFF2CC"/>
        <bgColor rgb="FF000000"/>
      </patternFill>
    </fill>
    <fill>
      <patternFill patternType="solid">
        <fgColor rgb="FFC6E0B4"/>
        <bgColor rgb="FF000000"/>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5">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12" fillId="10" borderId="3" xfId="0" applyFont="1" applyFill="1" applyBorder="1" applyAlignment="1">
      <alignment horizontal="center" vertical="top"/>
    </xf>
    <xf numFmtId="0" fontId="12" fillId="11" borderId="3" xfId="0" applyFont="1" applyFill="1" applyBorder="1" applyAlignment="1">
      <alignment vertical="top"/>
    </xf>
    <xf numFmtId="0" fontId="12" fillId="11" borderId="1" xfId="0" applyFont="1" applyFill="1" applyBorder="1" applyAlignment="1">
      <alignment horizontal="left" vertical="top"/>
    </xf>
    <xf numFmtId="0" fontId="5" fillId="3" borderId="6"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8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360F44E4-7249-415F-8D5E-41D249F9A162}" name="Crop" dataDxfId="45"/>
    <tableColumn id="2" xr3:uid="{55E07717-B4EC-4E8A-B9A9-34F3CF85E32D}" name="P Offtake" dataDxfId="44"/>
    <tableColumn id="3" xr3:uid="{7B25FA52-8104-4FE3-AED4-B53CBFDF89B2}" name="K Offtake" dataDxfId="43"/>
    <tableColumn id="4" xr3:uid="{0DBAE461-2D09-43C8-9342-3980D552AE4D}" name="Order" dataDxfId="42"/>
    <tableColumn id="5" xr3:uid="{52CACE7B-0CBA-46FC-9F24-02CBD6100239}" name="Lime pH requirement" dataDxfId="41"/>
    <tableColumn id="6" xr3:uid="{F1432630-9B16-4266-8147-CE754A715307}" name="Column1" dataDxfId="4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7E96A84B-948F-445F-BD6E-30CC8E6E6DD1}" name="Crop" dataDxfId="5"/>
    <tableColumn id="2" xr3:uid="{12657DDB-F680-47DE-ABB1-8675D5F91E41}" name="P Offtake" dataDxfId="4"/>
    <tableColumn id="3" xr3:uid="{DEB99109-D325-4F98-8A71-E70C03433437}" name="K Offtake" dataDxfId="3"/>
    <tableColumn id="4" xr3:uid="{E96A561F-7E7F-4FB3-97AA-0B35D8C8E93A}" name="Order" dataDxfId="2"/>
    <tableColumn id="5" xr3:uid="{181DD475-0A71-4C52-AF1A-8BFF46F5A827}" name="Lime pH requirement" dataDxfId="1"/>
    <tableColumn id="6" xr3:uid="{AC3FA7E8-D76B-43A3-B715-04446DFF63C6}"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zoomScaleNormal="100" workbookViewId="0">
      <selection activeCell="H20" sqref="H20:H2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42" width="0" style="19" hidden="1" customWidth="1"/>
    <col min="43" max="16384" width="13.140625" style="19"/>
  </cols>
  <sheetData>
    <row r="1" spans="1:40" x14ac:dyDescent="0.2">
      <c r="A1" s="123" t="s">
        <v>41</v>
      </c>
      <c r="B1" s="123"/>
      <c r="C1" s="109" t="s">
        <v>152</v>
      </c>
      <c r="D1" s="110"/>
      <c r="E1" s="37" t="s">
        <v>45</v>
      </c>
      <c r="F1" s="35" t="s">
        <v>161</v>
      </c>
      <c r="G1" s="111" t="s">
        <v>43</v>
      </c>
      <c r="H1" s="112"/>
      <c r="I1" s="35">
        <v>5.38</v>
      </c>
      <c r="AB1" s="26"/>
      <c r="AC1" s="26"/>
      <c r="AD1" s="43" t="s">
        <v>124</v>
      </c>
      <c r="AE1" s="25"/>
      <c r="AF1" s="25"/>
      <c r="AG1" s="26"/>
      <c r="AH1" s="26"/>
      <c r="AI1" s="47" t="s">
        <v>79</v>
      </c>
      <c r="AJ1" s="48" t="s">
        <v>91</v>
      </c>
      <c r="AK1" s="49" t="s">
        <v>92</v>
      </c>
      <c r="AL1" s="50" t="s">
        <v>123</v>
      </c>
      <c r="AM1" s="50" t="s">
        <v>129</v>
      </c>
      <c r="AN1" s="50" t="s">
        <v>109</v>
      </c>
    </row>
    <row r="2" spans="1:40" x14ac:dyDescent="0.2">
      <c r="A2" s="123" t="s">
        <v>84</v>
      </c>
      <c r="B2" s="123"/>
      <c r="C2" s="107" t="s">
        <v>153</v>
      </c>
      <c r="D2" s="108"/>
      <c r="E2" s="37" t="s">
        <v>106</v>
      </c>
      <c r="F2" s="35" t="s">
        <v>162</v>
      </c>
      <c r="G2" s="113" t="s">
        <v>107</v>
      </c>
      <c r="H2" s="114"/>
      <c r="I2" s="35">
        <v>847</v>
      </c>
      <c r="AB2" s="43" t="s">
        <v>56</v>
      </c>
      <c r="AC2" s="25"/>
      <c r="AD2" s="43" t="s">
        <v>70</v>
      </c>
      <c r="AE2" s="25"/>
      <c r="AF2" s="25"/>
      <c r="AG2" s="51" t="s">
        <v>76</v>
      </c>
      <c r="AH2" s="26"/>
      <c r="AI2" s="52" t="s">
        <v>124</v>
      </c>
      <c r="AJ2" s="53">
        <v>0</v>
      </c>
      <c r="AK2" s="54">
        <v>0</v>
      </c>
      <c r="AL2" s="18">
        <v>0</v>
      </c>
      <c r="AM2" s="19">
        <v>0</v>
      </c>
      <c r="AN2" s="19">
        <v>0</v>
      </c>
    </row>
    <row r="3" spans="1:40" x14ac:dyDescent="0.2">
      <c r="A3" s="127" t="s">
        <v>42</v>
      </c>
      <c r="B3" s="128"/>
      <c r="C3" s="107" t="s">
        <v>154</v>
      </c>
      <c r="D3" s="108"/>
      <c r="E3" s="37" t="s">
        <v>105</v>
      </c>
      <c r="F3" s="45" t="s">
        <v>78</v>
      </c>
      <c r="G3" s="115" t="s">
        <v>108</v>
      </c>
      <c r="H3" s="115"/>
      <c r="I3" s="35">
        <v>0.29799999999999999</v>
      </c>
      <c r="AB3" s="43" t="s">
        <v>57</v>
      </c>
      <c r="AC3" s="25"/>
      <c r="AD3" s="43" t="s">
        <v>71</v>
      </c>
      <c r="AE3" s="25"/>
      <c r="AF3" s="25"/>
      <c r="AG3" s="51" t="s">
        <v>77</v>
      </c>
      <c r="AH3" s="26"/>
      <c r="AI3" s="55" t="s">
        <v>111</v>
      </c>
      <c r="AJ3" s="56">
        <v>1.7</v>
      </c>
      <c r="AK3" s="57">
        <v>6</v>
      </c>
      <c r="AL3" s="58">
        <v>1</v>
      </c>
      <c r="AM3" s="19">
        <v>6.2</v>
      </c>
      <c r="AN3" s="19" t="s">
        <v>110</v>
      </c>
    </row>
    <row r="4" spans="1:40" x14ac:dyDescent="0.2">
      <c r="A4" s="123" t="s">
        <v>0</v>
      </c>
      <c r="B4" s="123"/>
      <c r="C4" s="109" t="s">
        <v>155</v>
      </c>
      <c r="D4" s="110"/>
      <c r="E4" s="38" t="s">
        <v>1</v>
      </c>
      <c r="F4" s="106" t="s">
        <v>158</v>
      </c>
      <c r="G4" s="115"/>
      <c r="H4" s="115"/>
      <c r="I4" s="35"/>
      <c r="AB4" s="43" t="s">
        <v>52</v>
      </c>
      <c r="AC4" s="25"/>
      <c r="AD4" s="59" t="s">
        <v>72</v>
      </c>
      <c r="AE4" s="25"/>
      <c r="AF4" s="25"/>
      <c r="AG4" s="51" t="s">
        <v>78</v>
      </c>
      <c r="AH4" s="26"/>
      <c r="AI4" s="60" t="s">
        <v>122</v>
      </c>
      <c r="AJ4" s="61">
        <v>7</v>
      </c>
      <c r="AK4" s="62">
        <v>10.5</v>
      </c>
      <c r="AL4" s="19">
        <v>2</v>
      </c>
      <c r="AM4" s="19">
        <v>6.7</v>
      </c>
      <c r="AN4" s="19" t="s">
        <v>135</v>
      </c>
    </row>
    <row r="5" spans="1:40" x14ac:dyDescent="0.2">
      <c r="A5" s="123" t="s">
        <v>47</v>
      </c>
      <c r="B5" s="123"/>
      <c r="C5" s="116" t="s">
        <v>156</v>
      </c>
      <c r="D5" s="116"/>
      <c r="E5" s="38"/>
      <c r="F5" s="100"/>
      <c r="G5" s="115"/>
      <c r="H5" s="115"/>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20" t="s">
        <v>63</v>
      </c>
      <c r="B7" s="120"/>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23" t="s">
        <v>2</v>
      </c>
      <c r="B8" s="123"/>
      <c r="C8" s="23">
        <v>1</v>
      </c>
      <c r="D8" s="23">
        <v>2</v>
      </c>
      <c r="E8" s="23">
        <v>3</v>
      </c>
      <c r="F8" s="23">
        <v>4</v>
      </c>
      <c r="G8" s="23">
        <v>5</v>
      </c>
      <c r="H8" s="23">
        <v>6</v>
      </c>
      <c r="I8" s="23">
        <v>7</v>
      </c>
      <c r="J8" s="23">
        <v>8</v>
      </c>
      <c r="K8" s="23"/>
      <c r="L8" s="23"/>
      <c r="M8" s="23"/>
      <c r="N8" s="23"/>
      <c r="O8" s="23"/>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23" t="s">
        <v>3</v>
      </c>
      <c r="B9" s="123"/>
      <c r="C9" s="103">
        <v>1</v>
      </c>
      <c r="D9" s="103">
        <v>1</v>
      </c>
      <c r="E9" s="103">
        <v>1</v>
      </c>
      <c r="F9" s="103" t="s">
        <v>157</v>
      </c>
      <c r="G9" s="103">
        <v>1</v>
      </c>
      <c r="H9" s="103">
        <v>1</v>
      </c>
      <c r="I9" s="103">
        <v>1</v>
      </c>
      <c r="J9" s="103">
        <v>1</v>
      </c>
      <c r="K9" s="23"/>
      <c r="L9" s="23"/>
      <c r="M9" s="23"/>
      <c r="N9" s="23"/>
      <c r="O9" s="23"/>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23" t="s">
        <v>4</v>
      </c>
      <c r="B10" s="123"/>
      <c r="C10" s="23">
        <v>5.0999999999999996</v>
      </c>
      <c r="D10" s="23">
        <v>5.3</v>
      </c>
      <c r="E10" s="23">
        <v>5.5</v>
      </c>
      <c r="F10" s="23">
        <v>5.0999999999999996</v>
      </c>
      <c r="G10" s="23">
        <v>5.3</v>
      </c>
      <c r="H10" s="23">
        <v>5.2</v>
      </c>
      <c r="I10" s="23">
        <v>5.6</v>
      </c>
      <c r="J10" s="23">
        <v>5.7</v>
      </c>
      <c r="K10" s="23"/>
      <c r="L10" s="23"/>
      <c r="M10" s="23"/>
      <c r="N10" s="23"/>
      <c r="O10" s="23"/>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23" t="s">
        <v>5</v>
      </c>
      <c r="B11" s="123"/>
      <c r="C11" s="23">
        <v>2</v>
      </c>
      <c r="D11" s="23">
        <v>2</v>
      </c>
      <c r="E11" s="23">
        <v>2</v>
      </c>
      <c r="F11" s="23">
        <v>2</v>
      </c>
      <c r="G11" s="23">
        <v>1</v>
      </c>
      <c r="H11" s="23">
        <v>2</v>
      </c>
      <c r="I11" s="23">
        <v>2</v>
      </c>
      <c r="J11" s="23">
        <v>2</v>
      </c>
      <c r="K11" s="23"/>
      <c r="L11" s="23"/>
      <c r="M11" s="23"/>
      <c r="N11" s="23"/>
      <c r="O11" s="23"/>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23" t="s">
        <v>6</v>
      </c>
      <c r="B12" s="123"/>
      <c r="C12" s="23">
        <v>1</v>
      </c>
      <c r="D12" s="23">
        <v>1</v>
      </c>
      <c r="E12" s="23">
        <v>1</v>
      </c>
      <c r="F12" s="23">
        <v>1</v>
      </c>
      <c r="G12" s="23">
        <v>1</v>
      </c>
      <c r="H12" s="23">
        <v>1</v>
      </c>
      <c r="I12" s="23">
        <v>1</v>
      </c>
      <c r="J12" s="23">
        <v>1</v>
      </c>
      <c r="K12" s="23"/>
      <c r="L12" s="23"/>
      <c r="M12" s="23"/>
      <c r="N12" s="23"/>
      <c r="O12" s="23"/>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23" t="s">
        <v>7</v>
      </c>
      <c r="B13" s="123"/>
      <c r="C13" s="23">
        <v>3</v>
      </c>
      <c r="D13" s="23">
        <v>3</v>
      </c>
      <c r="E13" s="23">
        <v>3</v>
      </c>
      <c r="F13" s="23">
        <v>3</v>
      </c>
      <c r="G13" s="23">
        <v>3</v>
      </c>
      <c r="H13" s="23">
        <v>3</v>
      </c>
      <c r="I13" s="23">
        <v>3</v>
      </c>
      <c r="J13" s="23">
        <v>3</v>
      </c>
      <c r="K13" s="23"/>
      <c r="L13" s="23"/>
      <c r="M13" s="23"/>
      <c r="N13" s="23"/>
      <c r="O13" s="23"/>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5" t="s">
        <v>8</v>
      </c>
      <c r="B14" s="125"/>
      <c r="C14" s="104" t="s">
        <v>102</v>
      </c>
      <c r="D14" s="104" t="s">
        <v>102</v>
      </c>
      <c r="E14" s="104" t="s">
        <v>102</v>
      </c>
      <c r="F14" s="104" t="s">
        <v>111</v>
      </c>
      <c r="G14" s="104" t="s">
        <v>122</v>
      </c>
      <c r="H14" s="104" t="s">
        <v>102</v>
      </c>
      <c r="I14" s="104" t="s">
        <v>102</v>
      </c>
      <c r="J14" s="104" t="s">
        <v>102</v>
      </c>
      <c r="K14" s="36"/>
      <c r="L14" s="36"/>
      <c r="M14" s="36"/>
      <c r="N14" s="36"/>
      <c r="O14" s="36"/>
      <c r="P14" s="36"/>
      <c r="Q14" s="36"/>
      <c r="R14" s="36"/>
      <c r="S14" s="36"/>
      <c r="T14" s="36"/>
      <c r="U14" s="36"/>
      <c r="V14" s="36"/>
      <c r="AD14" s="43" t="s">
        <v>138</v>
      </c>
      <c r="AE14" s="43">
        <v>6</v>
      </c>
      <c r="AI14" s="60" t="s">
        <v>117</v>
      </c>
      <c r="AJ14" s="61">
        <v>0.8</v>
      </c>
      <c r="AK14" s="62">
        <v>1.7</v>
      </c>
      <c r="AL14" s="19">
        <v>12</v>
      </c>
      <c r="AM14" s="19">
        <v>6.7</v>
      </c>
      <c r="AN14" s="19" t="s">
        <v>135</v>
      </c>
    </row>
    <row r="15" spans="1:40" x14ac:dyDescent="0.2">
      <c r="A15" s="124" t="s">
        <v>9</v>
      </c>
      <c r="B15" s="124"/>
      <c r="C15" s="103">
        <v>50</v>
      </c>
      <c r="D15" s="103">
        <v>50</v>
      </c>
      <c r="E15" s="103">
        <v>50</v>
      </c>
      <c r="F15" s="103">
        <v>47</v>
      </c>
      <c r="G15" s="103">
        <v>10</v>
      </c>
      <c r="H15" s="103">
        <v>50</v>
      </c>
      <c r="I15" s="103">
        <v>50</v>
      </c>
      <c r="J15" s="103">
        <v>50</v>
      </c>
      <c r="K15" s="23"/>
      <c r="L15" s="23"/>
      <c r="M15" s="23"/>
      <c r="N15" s="23"/>
      <c r="O15" s="23"/>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26" t="s">
        <v>44</v>
      </c>
      <c r="B16" s="126"/>
      <c r="C16" s="105" t="s">
        <v>72</v>
      </c>
      <c r="D16" s="105" t="s">
        <v>72</v>
      </c>
      <c r="E16" s="105" t="s">
        <v>72</v>
      </c>
      <c r="F16" s="105" t="s">
        <v>72</v>
      </c>
      <c r="G16" s="105" t="s">
        <v>72</v>
      </c>
      <c r="H16" s="105" t="s">
        <v>72</v>
      </c>
      <c r="I16" s="105" t="s">
        <v>72</v>
      </c>
      <c r="J16" s="105" t="s">
        <v>72</v>
      </c>
      <c r="K16" s="41"/>
      <c r="L16" s="41"/>
      <c r="M16" s="41"/>
      <c r="N16" s="41"/>
      <c r="O16" s="41"/>
      <c r="P16" s="41"/>
      <c r="Q16" s="41"/>
      <c r="R16" s="41"/>
      <c r="S16" s="41"/>
      <c r="T16" s="41"/>
      <c r="U16" s="41"/>
      <c r="V16" s="41"/>
      <c r="AD16" s="59" t="s">
        <v>145</v>
      </c>
      <c r="AE16" s="43">
        <v>8</v>
      </c>
      <c r="AI16" s="60" t="s">
        <v>116</v>
      </c>
      <c r="AJ16" s="61">
        <v>8</v>
      </c>
      <c r="AK16" s="62">
        <v>5.5</v>
      </c>
      <c r="AL16" s="20">
        <v>14</v>
      </c>
      <c r="AM16" s="19">
        <v>6.7</v>
      </c>
      <c r="AN16" s="19" t="s">
        <v>135</v>
      </c>
    </row>
    <row r="17" spans="1:40" x14ac:dyDescent="0.2">
      <c r="A17" s="121" t="s">
        <v>69</v>
      </c>
      <c r="B17" s="122"/>
      <c r="C17" s="39">
        <f>(VLOOKUP(C$14,$AI2:$AK26,2,FALSE))*C$15</f>
        <v>70</v>
      </c>
      <c r="D17" s="39">
        <f t="shared" ref="D17:V17" si="0">(VLOOKUP(D$14,$AI2:$AK26,2,FALSE))*D$15</f>
        <v>70</v>
      </c>
      <c r="E17" s="39">
        <f t="shared" si="0"/>
        <v>70</v>
      </c>
      <c r="F17" s="39">
        <f t="shared" si="0"/>
        <v>79.899999999999991</v>
      </c>
      <c r="G17" s="39">
        <f t="shared" si="0"/>
        <v>70</v>
      </c>
      <c r="H17" s="39">
        <f t="shared" si="0"/>
        <v>70</v>
      </c>
      <c r="I17" s="39">
        <f t="shared" si="0"/>
        <v>70</v>
      </c>
      <c r="J17" s="39">
        <f t="shared" si="0"/>
        <v>70</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9" t="s">
        <v>23</v>
      </c>
      <c r="B18" s="120"/>
      <c r="C18" s="24">
        <f>$D31</f>
        <v>68.73</v>
      </c>
      <c r="D18" s="24">
        <f>$D32</f>
        <v>68.73</v>
      </c>
      <c r="E18" s="24">
        <f>$D33</f>
        <v>68.73</v>
      </c>
      <c r="F18" s="24">
        <f>$D34</f>
        <v>68.73</v>
      </c>
      <c r="G18" s="24">
        <f>$D35</f>
        <v>68.73</v>
      </c>
      <c r="H18" s="24">
        <f>$D36</f>
        <v>68.73</v>
      </c>
      <c r="I18" s="24">
        <f>$D37</f>
        <v>68.73</v>
      </c>
      <c r="J18" s="24">
        <f>$D38</f>
        <v>68.73</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9" t="s">
        <v>87</v>
      </c>
      <c r="B19" s="120"/>
      <c r="C19" s="24">
        <f>C18-C17</f>
        <v>-1.269999999999996</v>
      </c>
      <c r="D19" s="24">
        <f t="shared" ref="D19:V19" si="1">D18-D17</f>
        <v>-1.269999999999996</v>
      </c>
      <c r="E19" s="24">
        <f t="shared" si="1"/>
        <v>-1.269999999999996</v>
      </c>
      <c r="F19" s="24">
        <f t="shared" si="1"/>
        <v>-11.169999999999987</v>
      </c>
      <c r="G19" s="24">
        <f t="shared" si="1"/>
        <v>-1.269999999999996</v>
      </c>
      <c r="H19" s="24">
        <f t="shared" si="1"/>
        <v>-1.269999999999996</v>
      </c>
      <c r="I19" s="24">
        <f t="shared" si="1"/>
        <v>-1.269999999999996</v>
      </c>
      <c r="J19" s="24">
        <f t="shared" si="1"/>
        <v>-1.269999999999996</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7" t="s">
        <v>88</v>
      </c>
      <c r="B20" s="118"/>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21" t="s">
        <v>85</v>
      </c>
      <c r="B21" s="122"/>
      <c r="C21" s="39">
        <f>(VLOOKUP(C$14,$AI2:$AK26,3,FALSE))*C$15</f>
        <v>220.00000000000003</v>
      </c>
      <c r="D21" s="39">
        <f t="shared" ref="D21:V21" si="2">(VLOOKUP(D$14,$AI2:$AK26,3,FALSE))*D$15</f>
        <v>220.00000000000003</v>
      </c>
      <c r="E21" s="39">
        <f t="shared" si="2"/>
        <v>220.00000000000003</v>
      </c>
      <c r="F21" s="39">
        <f t="shared" si="2"/>
        <v>282</v>
      </c>
      <c r="G21" s="39">
        <f t="shared" si="2"/>
        <v>105</v>
      </c>
      <c r="H21" s="39">
        <f t="shared" si="2"/>
        <v>220.00000000000003</v>
      </c>
      <c r="I21" s="39">
        <f t="shared" si="2"/>
        <v>220.00000000000003</v>
      </c>
      <c r="J21" s="39">
        <f t="shared" si="2"/>
        <v>220.00000000000003</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9" t="s">
        <v>86</v>
      </c>
      <c r="B22" s="120"/>
      <c r="C22" s="24">
        <f>$E31</f>
        <v>43.38</v>
      </c>
      <c r="D22" s="24">
        <f>$E32</f>
        <v>43.38</v>
      </c>
      <c r="E22" s="24">
        <f>$E33</f>
        <v>43.38</v>
      </c>
      <c r="F22" s="24">
        <f>$E34</f>
        <v>43.38</v>
      </c>
      <c r="G22" s="24">
        <f>$E35</f>
        <v>43.38</v>
      </c>
      <c r="H22" s="24">
        <f>$E36</f>
        <v>43.38</v>
      </c>
      <c r="I22" s="24">
        <f>$E37</f>
        <v>43.38</v>
      </c>
      <c r="J22" s="24">
        <f>$E38</f>
        <v>43.38</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9" t="s">
        <v>89</v>
      </c>
      <c r="B23" s="120"/>
      <c r="C23" s="24">
        <f>C22-C21</f>
        <v>-176.62000000000003</v>
      </c>
      <c r="D23" s="24">
        <f t="shared" ref="D23:V23" si="3">D22-D21</f>
        <v>-176.62000000000003</v>
      </c>
      <c r="E23" s="24">
        <f t="shared" si="3"/>
        <v>-176.62000000000003</v>
      </c>
      <c r="F23" s="24">
        <f t="shared" si="3"/>
        <v>-238.62</v>
      </c>
      <c r="G23" s="24">
        <f t="shared" si="3"/>
        <v>-61.62</v>
      </c>
      <c r="H23" s="24">
        <f t="shared" si="3"/>
        <v>-176.62000000000003</v>
      </c>
      <c r="I23" s="24">
        <f t="shared" si="3"/>
        <v>-176.62000000000003</v>
      </c>
      <c r="J23" s="24">
        <f t="shared" si="3"/>
        <v>-176.62000000000003</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7" t="s">
        <v>90</v>
      </c>
      <c r="B24" s="11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56</v>
      </c>
      <c r="E27" s="101" t="s">
        <v>56</v>
      </c>
      <c r="F27" s="101" t="s">
        <v>56</v>
      </c>
      <c r="G27" s="101" t="s">
        <v>54</v>
      </c>
      <c r="H27" s="101" t="s">
        <v>54</v>
      </c>
      <c r="I27" s="101" t="s">
        <v>54</v>
      </c>
      <c r="J27" s="101" t="s">
        <v>54</v>
      </c>
      <c r="K27" s="101" t="s">
        <v>54</v>
      </c>
      <c r="L27" s="101" t="s">
        <v>54</v>
      </c>
      <c r="M27" s="101" t="s">
        <v>54</v>
      </c>
      <c r="N27" s="101"/>
      <c r="O27" s="101"/>
      <c r="P27" s="101" t="s">
        <v>56</v>
      </c>
      <c r="Q27" s="101" t="s">
        <v>56</v>
      </c>
      <c r="R27" s="101"/>
      <c r="S27" s="101"/>
      <c r="T27" s="101"/>
      <c r="U27" s="101"/>
    </row>
    <row r="28" spans="1:40" s="64" customFormat="1" x14ac:dyDescent="0.25">
      <c r="A28" s="82"/>
      <c r="B28" s="31">
        <v>1.35</v>
      </c>
      <c r="C28" s="23">
        <v>0.06</v>
      </c>
      <c r="D28" s="23">
        <v>0.02</v>
      </c>
      <c r="E28" s="23">
        <v>2.4E-2</v>
      </c>
      <c r="F28" s="23">
        <v>8.9999999999999993E-3</v>
      </c>
      <c r="G28" s="23">
        <v>8.6199999999999992</v>
      </c>
      <c r="H28" s="23">
        <v>41.4</v>
      </c>
      <c r="I28" s="23">
        <v>0.71399999999999997</v>
      </c>
      <c r="J28" s="23">
        <v>0.01</v>
      </c>
      <c r="K28" s="30">
        <v>0.05</v>
      </c>
      <c r="L28" s="23">
        <v>1.99</v>
      </c>
      <c r="M28" s="23">
        <v>0.92800000000000005</v>
      </c>
      <c r="N28" s="23"/>
      <c r="O28" s="23"/>
      <c r="P28" s="23">
        <v>0.05</v>
      </c>
      <c r="Q28" s="23">
        <v>6.0000000000000001E-3</v>
      </c>
      <c r="R28" s="23"/>
      <c r="S28" s="23"/>
      <c r="T28" s="23"/>
      <c r="U28" s="23"/>
    </row>
    <row r="29" spans="1:40" s="15" customFormat="1" ht="27" x14ac:dyDescent="0.25">
      <c r="A29" s="12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3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150</v>
      </c>
      <c r="C31" s="2">
        <f>IF(C$27="%w/w SAR",((C$28*10)*$B31),IF(C$27="%w/w DM",(((C$28*10)*($B$28/100))*$B31),IF(C$27="kg/t SAR",(C$28*$B31),IF(C$27="kg/t DM",((C$28*($B$28/100))*$B31),IF(C$27="mg/kg SAR",((C$28*0.001)*$B31),IF(C$27="mg/kg DM",(((C$28*0.001)*($B$28/100))*$B31),0))))))</f>
        <v>90</v>
      </c>
      <c r="D31" s="2">
        <f>(IF(D$27="%w/w SAR",((D$28*10)*$B31),IF(D$27="%w/w DM",(((D$28*10)*($B$28/100))*$B31),IF(D$27="kg/t SAR",(D$28*$B31),IF(D$27="kg/t DM",((D$28*($B$28/100))*$B31),IF(D$27="mg/kg SAR",((D$28*0.001)*$B31),IF(D$27="mg/kg DM",(((D$28*0.001)*($B$28/100))*$B31),"0")))))))*2.291</f>
        <v>68.73</v>
      </c>
      <c r="E31" s="2">
        <f>(IF(E$27="%w/w SAR",((E$28*10)*$B31),IF(E$27="%w/w DM",(((E$28*10)*($B$28/100))*$B31),IF(E$27="kg/t SAR",(E$28*$B31),IF(E$27="kg/t DM",((E$28*($B$28/100))*$B31),IF(E$27="mg/kg SAR",((E$28*0.001)*$B31),IF(E$27="mg/kg DM",(((E$28*0.001)*($B$28/100))*$B31),"0")))))))*1.205</f>
        <v>43.38</v>
      </c>
      <c r="F31" s="2">
        <f>(IF(F$27="%w/w SAR",((F$28*10)*$B31),IF(F$27="%w/w DM",(((F$28*10)*($B$28/100))*$B31),IF(F$27="kg/t SAR",(F$28*$B31),IF(F$27="kg/t DM",((F$28*($B$28/100))*$B31),IF(F$27="mg/kg SAR",((F$28*0.001)*$B31),IF(F$27="mg/kg DM",(((F$28*0.001)*($B$28/100))*$B31),"0")))))))*1.658</f>
        <v>22.382999999999999</v>
      </c>
      <c r="G31" s="2">
        <f t="shared" ref="G31:P31" si="5">IF(G$27="%w/w SAR",((G$28*10)*$B31),IF(G$27="%w/w DM",(((G$28*10)*($B$28/100))*$B31),IF(G$27="kg/t SAR",(G$28*$B31),IF(G$27="kg/t DM",((G$28*($B$28/100))*$B31),IF(G$27="mg/kg SAR",((G$28*0.001)*$B31),IF(G$27="mg/kg DM",(((G$28*0.001)*($B$28/100))*$B31),0))))))</f>
        <v>1.2929999999999999</v>
      </c>
      <c r="H31" s="2">
        <f t="shared" si="5"/>
        <v>6.21</v>
      </c>
      <c r="I31" s="2">
        <f t="shared" si="5"/>
        <v>0.1071</v>
      </c>
      <c r="J31" s="2">
        <f t="shared" si="5"/>
        <v>1.5E-3</v>
      </c>
      <c r="K31" s="2">
        <f t="shared" si="5"/>
        <v>7.5000000000000006E-3</v>
      </c>
      <c r="L31" s="2">
        <f t="shared" si="5"/>
        <v>0.29849999999999999</v>
      </c>
      <c r="M31" s="2">
        <f t="shared" si="5"/>
        <v>0.13920000000000002</v>
      </c>
      <c r="N31" s="2">
        <f t="shared" si="5"/>
        <v>0</v>
      </c>
      <c r="O31" s="2">
        <f t="shared" si="5"/>
        <v>0</v>
      </c>
      <c r="P31" s="2">
        <f t="shared" si="5"/>
        <v>75</v>
      </c>
      <c r="Q31" s="2">
        <f>(IF(Q$27="%w/w SAR",((Q$28*10)*$B31),IF(Q$27="%w/w DM",(((Q$28*10)*($B$28/100))*$B31),IF(Q$27="kg/t SAR",(Q$28*$B31),IF(Q$27="kg/t DM",((Q$28*($B$28/100))*$B31),IF(Q$27="mg/kg SAR",((Q$28*0.001)*$B31),IF(Q$27="mg/kg DM",(((Q$28*0.001)*($B$28/100))*$B31),0)))))))*2.5</f>
        <v>22.5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150</v>
      </c>
      <c r="C32" s="2">
        <f t="shared" ref="C32:C50" si="6">IF(C$27="%w/w SAR",((C$28*10)*$B32),IF(C$27="%w/w DM",(((C$28*10)*($B$28/100))*$B32),IF(C$27="kg/t SAR",(C$28*$B32),IF(C$27="kg/t DM",((C$28*($B$28/100))*$B32),IF(C$27="mg/kg SAR",((C$28*0.001)*$B32),IF(C$27="mg/kg DM",(((C$28*0.001)*($B$28/100))*$B32),0))))))</f>
        <v>90</v>
      </c>
      <c r="D32" s="2">
        <f t="shared" ref="D32:D50" si="7">(IF(D$27="%w/w SAR",((D$28*10)*$B32),IF(D$27="%w/w DM",(((D$28*10)*($B$28/100))*$B32),IF(D$27="kg/t SAR",(D$28*$B32),IF(D$27="kg/t DM",((D$28*($B$28/100))*$B32),IF(D$27="mg/kg SAR",((D$28*0.001)*$B32),IF(D$27="mg/kg DM",(((D$28*0.001)*($B$28/100))*$B32),"0")))))))*2.291</f>
        <v>68.73</v>
      </c>
      <c r="E32" s="2">
        <f t="shared" ref="E32:E50" si="8">(IF(E$27="%w/w SAR",((E$28*10)*$B32),IF(E$27="%w/w DM",(((E$28*10)*($B$28/100))*$B32),IF(E$27="kg/t SAR",(E$28*$B32),IF(E$27="kg/t DM",((E$28*($B$28/100))*$B32),IF(E$27="mg/kg SAR",((E$28*0.001)*$B32),IF(E$27="mg/kg DM",(((E$28*0.001)*($B$28/100))*$B32),"0")))))))*1.205</f>
        <v>43.38</v>
      </c>
      <c r="F32" s="2">
        <f t="shared" ref="F32:F50" si="9">(IF(F$27="%w/w SAR",((F$28*10)*$B32),IF(F$27="%w/w DM",(((F$28*10)*($B$28/100))*$B32),IF(F$27="kg/t SAR",(F$28*$B32),IF(F$27="kg/t DM",((F$28*($B$28/100))*$B32),IF(F$27="mg/kg SAR",((F$28*0.001)*$B32),IF(F$27="mg/kg DM",(((F$28*0.001)*($B$28/100))*$B32),"0")))))))*1.658</f>
        <v>22.382999999999999</v>
      </c>
      <c r="G32" s="2">
        <f t="shared" ref="G32:P50" si="10">IF(G$27="%w/w SAR",((G$28*10)*$B32),IF(G$27="%w/w DM",(((G$28*10)*($B$28/100))*$B32),IF(G$27="kg/t SAR",(G$28*$B32),IF(G$27="kg/t DM",((G$28*($B$28/100))*$B32),IF(G$27="mg/kg SAR",((G$28*0.001)*$B32),IF(G$27="mg/kg DM",(((G$28*0.001)*($B$28/100))*$B32),0))))))</f>
        <v>1.2929999999999999</v>
      </c>
      <c r="H32" s="2">
        <f t="shared" si="10"/>
        <v>6.21</v>
      </c>
      <c r="I32" s="2">
        <f t="shared" si="10"/>
        <v>0.1071</v>
      </c>
      <c r="J32" s="2">
        <f t="shared" si="10"/>
        <v>1.5E-3</v>
      </c>
      <c r="K32" s="2">
        <f t="shared" si="10"/>
        <v>7.5000000000000006E-3</v>
      </c>
      <c r="L32" s="2">
        <f t="shared" si="10"/>
        <v>0.29849999999999999</v>
      </c>
      <c r="M32" s="2">
        <f t="shared" si="10"/>
        <v>0.13920000000000002</v>
      </c>
      <c r="N32" s="2">
        <f t="shared" si="10"/>
        <v>0</v>
      </c>
      <c r="O32" s="2">
        <f t="shared" si="10"/>
        <v>0</v>
      </c>
      <c r="P32" s="2">
        <f t="shared" si="10"/>
        <v>75</v>
      </c>
      <c r="Q32" s="2">
        <f t="shared" ref="Q32:Q50" si="11">(IF(Q$27="%w/w SAR",((Q$28*10)*$B32),IF(Q$27="%w/w DM",(((Q$28*10)*($B$28/100))*$B32),IF(Q$27="kg/t SAR",(Q$28*$B32),IF(Q$27="kg/t DM",((Q$28*($B$28/100))*$B32),IF(Q$27="mg/kg SAR",((Q$28*0.001)*$B32),IF(Q$27="mg/kg DM",(((Q$28*0.001)*($B$28/100))*$B32),0)))))))*2.5</f>
        <v>22.5</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f>E8</f>
        <v>3</v>
      </c>
      <c r="B33" s="23">
        <v>150</v>
      </c>
      <c r="C33" s="2">
        <f t="shared" si="6"/>
        <v>90</v>
      </c>
      <c r="D33" s="2">
        <f t="shared" si="7"/>
        <v>68.73</v>
      </c>
      <c r="E33" s="2">
        <f t="shared" si="8"/>
        <v>43.38</v>
      </c>
      <c r="F33" s="2">
        <f t="shared" si="9"/>
        <v>22.382999999999999</v>
      </c>
      <c r="G33" s="2">
        <f t="shared" si="10"/>
        <v>1.2929999999999999</v>
      </c>
      <c r="H33" s="2">
        <f t="shared" si="10"/>
        <v>6.21</v>
      </c>
      <c r="I33" s="2">
        <f t="shared" si="10"/>
        <v>0.1071</v>
      </c>
      <c r="J33" s="2">
        <f t="shared" si="10"/>
        <v>1.5E-3</v>
      </c>
      <c r="K33" s="2">
        <f t="shared" si="10"/>
        <v>7.5000000000000006E-3</v>
      </c>
      <c r="L33" s="2">
        <f t="shared" si="10"/>
        <v>0.29849999999999999</v>
      </c>
      <c r="M33" s="2">
        <f t="shared" si="10"/>
        <v>0.13920000000000002</v>
      </c>
      <c r="N33" s="2">
        <f t="shared" si="10"/>
        <v>0</v>
      </c>
      <c r="O33" s="2">
        <f t="shared" si="10"/>
        <v>0</v>
      </c>
      <c r="P33" s="2">
        <f t="shared" si="10"/>
        <v>75</v>
      </c>
      <c r="Q33" s="2">
        <f t="shared" si="11"/>
        <v>22.5</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f>F8</f>
        <v>4</v>
      </c>
      <c r="B34" s="23">
        <v>150</v>
      </c>
      <c r="C34" s="2">
        <f t="shared" si="6"/>
        <v>90</v>
      </c>
      <c r="D34" s="2">
        <f t="shared" si="7"/>
        <v>68.73</v>
      </c>
      <c r="E34" s="2">
        <f t="shared" si="8"/>
        <v>43.38</v>
      </c>
      <c r="F34" s="2">
        <f t="shared" si="9"/>
        <v>22.382999999999999</v>
      </c>
      <c r="G34" s="2">
        <f t="shared" si="10"/>
        <v>1.2929999999999999</v>
      </c>
      <c r="H34" s="2">
        <f t="shared" si="10"/>
        <v>6.21</v>
      </c>
      <c r="I34" s="2">
        <f t="shared" si="10"/>
        <v>0.1071</v>
      </c>
      <c r="J34" s="2">
        <f t="shared" si="10"/>
        <v>1.5E-3</v>
      </c>
      <c r="K34" s="2">
        <f t="shared" si="10"/>
        <v>7.5000000000000006E-3</v>
      </c>
      <c r="L34" s="2">
        <f t="shared" si="10"/>
        <v>0.29849999999999999</v>
      </c>
      <c r="M34" s="2">
        <f t="shared" si="10"/>
        <v>0.13920000000000002</v>
      </c>
      <c r="N34" s="2">
        <f t="shared" si="10"/>
        <v>0</v>
      </c>
      <c r="O34" s="2">
        <f t="shared" si="10"/>
        <v>0</v>
      </c>
      <c r="P34" s="2">
        <f t="shared" si="10"/>
        <v>75</v>
      </c>
      <c r="Q34" s="2">
        <f t="shared" si="11"/>
        <v>22.5</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f>G8</f>
        <v>5</v>
      </c>
      <c r="B35" s="23">
        <v>150</v>
      </c>
      <c r="C35" s="2">
        <f t="shared" si="6"/>
        <v>90</v>
      </c>
      <c r="D35" s="2">
        <f t="shared" si="7"/>
        <v>68.73</v>
      </c>
      <c r="E35" s="2">
        <f t="shared" si="8"/>
        <v>43.38</v>
      </c>
      <c r="F35" s="2">
        <f t="shared" si="9"/>
        <v>22.382999999999999</v>
      </c>
      <c r="G35" s="2">
        <f t="shared" si="10"/>
        <v>1.2929999999999999</v>
      </c>
      <c r="H35" s="2">
        <f t="shared" si="10"/>
        <v>6.21</v>
      </c>
      <c r="I35" s="2">
        <f t="shared" si="10"/>
        <v>0.1071</v>
      </c>
      <c r="J35" s="2">
        <f t="shared" si="10"/>
        <v>1.5E-3</v>
      </c>
      <c r="K35" s="2">
        <f t="shared" si="10"/>
        <v>7.5000000000000006E-3</v>
      </c>
      <c r="L35" s="2">
        <f t="shared" si="10"/>
        <v>0.29849999999999999</v>
      </c>
      <c r="M35" s="2">
        <f t="shared" si="10"/>
        <v>0.13920000000000002</v>
      </c>
      <c r="N35" s="2">
        <f t="shared" si="10"/>
        <v>0</v>
      </c>
      <c r="O35" s="2">
        <f t="shared" si="10"/>
        <v>0</v>
      </c>
      <c r="P35" s="2">
        <f t="shared" si="10"/>
        <v>75</v>
      </c>
      <c r="Q35" s="2">
        <f t="shared" si="11"/>
        <v>22.5</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f>H8</f>
        <v>6</v>
      </c>
      <c r="B36" s="23">
        <v>150</v>
      </c>
      <c r="C36" s="2">
        <f t="shared" si="6"/>
        <v>90</v>
      </c>
      <c r="D36" s="2">
        <f t="shared" si="7"/>
        <v>68.73</v>
      </c>
      <c r="E36" s="2">
        <f t="shared" si="8"/>
        <v>43.38</v>
      </c>
      <c r="F36" s="2">
        <f t="shared" si="9"/>
        <v>22.382999999999999</v>
      </c>
      <c r="G36" s="2">
        <f t="shared" si="10"/>
        <v>1.2929999999999999</v>
      </c>
      <c r="H36" s="2">
        <f t="shared" si="10"/>
        <v>6.21</v>
      </c>
      <c r="I36" s="2">
        <f t="shared" si="10"/>
        <v>0.1071</v>
      </c>
      <c r="J36" s="2">
        <f t="shared" si="10"/>
        <v>1.5E-3</v>
      </c>
      <c r="K36" s="2">
        <f t="shared" si="10"/>
        <v>7.5000000000000006E-3</v>
      </c>
      <c r="L36" s="2">
        <f t="shared" si="10"/>
        <v>0.29849999999999999</v>
      </c>
      <c r="M36" s="2">
        <f t="shared" si="10"/>
        <v>0.13920000000000002</v>
      </c>
      <c r="N36" s="2">
        <f t="shared" si="10"/>
        <v>0</v>
      </c>
      <c r="O36" s="2">
        <f t="shared" si="10"/>
        <v>0</v>
      </c>
      <c r="P36" s="2">
        <f t="shared" si="10"/>
        <v>75</v>
      </c>
      <c r="Q36" s="2">
        <f t="shared" si="11"/>
        <v>22.5</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f>I8</f>
        <v>7</v>
      </c>
      <c r="B37" s="23">
        <v>150</v>
      </c>
      <c r="C37" s="2">
        <f t="shared" si="6"/>
        <v>90</v>
      </c>
      <c r="D37" s="2">
        <f t="shared" si="7"/>
        <v>68.73</v>
      </c>
      <c r="E37" s="2">
        <f t="shared" si="8"/>
        <v>43.38</v>
      </c>
      <c r="F37" s="2">
        <f t="shared" si="9"/>
        <v>22.382999999999999</v>
      </c>
      <c r="G37" s="2">
        <f t="shared" si="10"/>
        <v>1.2929999999999999</v>
      </c>
      <c r="H37" s="2">
        <f t="shared" si="10"/>
        <v>6.21</v>
      </c>
      <c r="I37" s="2">
        <f t="shared" si="10"/>
        <v>0.1071</v>
      </c>
      <c r="J37" s="2">
        <f t="shared" si="10"/>
        <v>1.5E-3</v>
      </c>
      <c r="K37" s="2">
        <f t="shared" si="10"/>
        <v>7.5000000000000006E-3</v>
      </c>
      <c r="L37" s="2">
        <f t="shared" si="10"/>
        <v>0.29849999999999999</v>
      </c>
      <c r="M37" s="2">
        <f t="shared" si="10"/>
        <v>0.13920000000000002</v>
      </c>
      <c r="N37" s="2">
        <f t="shared" si="10"/>
        <v>0</v>
      </c>
      <c r="O37" s="2">
        <f t="shared" si="10"/>
        <v>0</v>
      </c>
      <c r="P37" s="2">
        <f t="shared" si="10"/>
        <v>75</v>
      </c>
      <c r="Q37" s="2">
        <f t="shared" si="11"/>
        <v>22.5</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f>J8</f>
        <v>8</v>
      </c>
      <c r="B38" s="23">
        <v>150</v>
      </c>
      <c r="C38" s="2">
        <f t="shared" si="6"/>
        <v>90</v>
      </c>
      <c r="D38" s="2">
        <f t="shared" si="7"/>
        <v>68.73</v>
      </c>
      <c r="E38" s="2">
        <f t="shared" si="8"/>
        <v>43.38</v>
      </c>
      <c r="F38" s="2">
        <f t="shared" si="9"/>
        <v>22.382999999999999</v>
      </c>
      <c r="G38" s="2">
        <f t="shared" si="10"/>
        <v>1.2929999999999999</v>
      </c>
      <c r="H38" s="2">
        <f t="shared" si="10"/>
        <v>6.21</v>
      </c>
      <c r="I38" s="2">
        <f t="shared" si="10"/>
        <v>0.1071</v>
      </c>
      <c r="J38" s="2">
        <f t="shared" si="10"/>
        <v>1.5E-3</v>
      </c>
      <c r="K38" s="2">
        <f t="shared" si="10"/>
        <v>7.5000000000000006E-3</v>
      </c>
      <c r="L38" s="2">
        <f t="shared" si="10"/>
        <v>0.29849999999999999</v>
      </c>
      <c r="M38" s="2">
        <f t="shared" si="10"/>
        <v>0.13920000000000002</v>
      </c>
      <c r="N38" s="2">
        <f t="shared" si="10"/>
        <v>0</v>
      </c>
      <c r="O38" s="2">
        <f t="shared" si="10"/>
        <v>0</v>
      </c>
      <c r="P38" s="2">
        <f t="shared" si="10"/>
        <v>75</v>
      </c>
      <c r="Q38" s="2">
        <f t="shared" si="11"/>
        <v>22.5</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10"/>
        <v>0</v>
      </c>
      <c r="H39" s="2">
        <f t="shared" si="10"/>
        <v>0</v>
      </c>
      <c r="I39" s="2">
        <f t="shared" si="10"/>
        <v>0</v>
      </c>
      <c r="J39" s="2">
        <f t="shared" si="10"/>
        <v>0</v>
      </c>
      <c r="K39" s="2">
        <f t="shared" si="10"/>
        <v>0</v>
      </c>
      <c r="L39" s="2">
        <f t="shared" si="10"/>
        <v>0</v>
      </c>
      <c r="M39" s="2">
        <f t="shared" si="10"/>
        <v>0</v>
      </c>
      <c r="N39" s="2">
        <f t="shared" si="10"/>
        <v>0</v>
      </c>
      <c r="O39" s="2">
        <f t="shared" si="10"/>
        <v>0</v>
      </c>
      <c r="P39" s="2">
        <f t="shared" si="10"/>
        <v>0</v>
      </c>
      <c r="Q39" s="2">
        <f t="shared" si="11"/>
        <v>0</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10"/>
        <v>0</v>
      </c>
      <c r="H40" s="2">
        <f t="shared" si="10"/>
        <v>0</v>
      </c>
      <c r="I40" s="2">
        <f t="shared" si="10"/>
        <v>0</v>
      </c>
      <c r="J40" s="2">
        <f t="shared" si="10"/>
        <v>0</v>
      </c>
      <c r="K40" s="2">
        <f t="shared" si="10"/>
        <v>0</v>
      </c>
      <c r="L40" s="2">
        <f t="shared" si="10"/>
        <v>0</v>
      </c>
      <c r="M40" s="2">
        <f t="shared" si="10"/>
        <v>0</v>
      </c>
      <c r="N40" s="2">
        <f t="shared" si="10"/>
        <v>0</v>
      </c>
      <c r="O40" s="2">
        <f t="shared" si="10"/>
        <v>0</v>
      </c>
      <c r="P40" s="2">
        <f t="shared" si="10"/>
        <v>0</v>
      </c>
      <c r="Q40" s="2">
        <f t="shared" si="11"/>
        <v>0</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10"/>
        <v>0</v>
      </c>
      <c r="H41" s="2">
        <f t="shared" si="10"/>
        <v>0</v>
      </c>
      <c r="I41" s="2">
        <f t="shared" si="10"/>
        <v>0</v>
      </c>
      <c r="J41" s="2">
        <f t="shared" si="10"/>
        <v>0</v>
      </c>
      <c r="K41" s="2">
        <f t="shared" si="10"/>
        <v>0</v>
      </c>
      <c r="L41" s="2">
        <f t="shared" si="10"/>
        <v>0</v>
      </c>
      <c r="M41" s="2">
        <f t="shared" si="10"/>
        <v>0</v>
      </c>
      <c r="N41" s="2">
        <f t="shared" si="10"/>
        <v>0</v>
      </c>
      <c r="O41" s="2">
        <f t="shared" si="10"/>
        <v>0</v>
      </c>
      <c r="P41" s="2">
        <f t="shared" si="10"/>
        <v>0</v>
      </c>
      <c r="Q41" s="2">
        <f t="shared" si="11"/>
        <v>0</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Arable</v>
      </c>
      <c r="C58" s="44" t="str">
        <f>D16&amp;" I "&amp;(VLOOKUP(D14,Table24[],6,FALSE))</f>
        <v>Medium/Clay I Arable</v>
      </c>
      <c r="D58" s="21" t="str">
        <f>E16&amp;" I "&amp;(VLOOKUP(E14,Table24[],6,FALSE))</f>
        <v>Medium/Clay I Arable</v>
      </c>
      <c r="E58" s="21" t="str">
        <f>F16&amp;" I "&amp;(VLOOKUP(F14,Table24[],6,FALSE))</f>
        <v>Medium/Clay I Grass</v>
      </c>
      <c r="F58" s="21" t="str">
        <f>G16&amp;" I "&amp;(VLOOKUP(G14,Table24[],6,FALSE))</f>
        <v>Medium/Clay I Arable</v>
      </c>
      <c r="G58" s="21" t="str">
        <f>H16&amp;" I "&amp;(VLOOKUP(H14,Table24[],6,FALSE))</f>
        <v>Medium/Clay I Arable</v>
      </c>
      <c r="H58" s="21" t="str">
        <f>I16&amp;" I "&amp;(VLOOKUP(I14,Table24[],6,FALSE))</f>
        <v>Medium/Clay I Arable</v>
      </c>
      <c r="I58" s="21" t="str">
        <f>J16&amp;" I "&amp;(VLOOKUP(J14,Table24[],6,FALSE))</f>
        <v>Medium/Clay I Arable</v>
      </c>
      <c r="J58" s="21" t="e">
        <f>K16&amp;" I "&amp;(VLOOKUP(K14,Table24[],6,FALSE))</f>
        <v>#N/A</v>
      </c>
      <c r="K58" s="21" t="e">
        <f>L16&amp;" I "&amp;(VLOOKUP(L14,Table24[],6,FALSE))</f>
        <v>#N/A</v>
      </c>
      <c r="L58" s="21" t="e">
        <f>M16&amp;" I "&amp;(VLOOKUP(M14,Table24[],6,FALSE))</f>
        <v>#N/A</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6.7</v>
      </c>
      <c r="C59" s="93">
        <f>VLOOKUP(D$14,Table24[],5,FALSE)</f>
        <v>6.7</v>
      </c>
      <c r="D59" s="93">
        <f>VLOOKUP(E$14,Table24[],5,FALSE)</f>
        <v>6.7</v>
      </c>
      <c r="E59" s="93">
        <f>VLOOKUP(F$14,Table24[],5,FALSE)</f>
        <v>6.2</v>
      </c>
      <c r="F59" s="93">
        <f>VLOOKUP(G$14,Table24[],5,FALSE)</f>
        <v>6.7</v>
      </c>
      <c r="G59" s="93">
        <f>VLOOKUP(H$14,Table24[],5,FALSE)</f>
        <v>6.7</v>
      </c>
      <c r="H59" s="93">
        <f>VLOOKUP(I$14,Table24[],5,FALSE)</f>
        <v>6.7</v>
      </c>
      <c r="I59" s="93">
        <f>VLOOKUP(J$14,Table24[],5,FALSE)</f>
        <v>6.7</v>
      </c>
      <c r="J59" s="93" t="e">
        <f>VLOOKUP(K$14,Table24[],5,FALSE)</f>
        <v>#N/A</v>
      </c>
      <c r="K59" s="93" t="e">
        <f>VLOOKUP(L$14,Table24[],5,FALSE)</f>
        <v>#N/A</v>
      </c>
      <c r="L59" s="93" t="e">
        <f>VLOOKUP(M$14,Table24[],5,FALSE)</f>
        <v>#N/A</v>
      </c>
      <c r="M59" s="93" t="e">
        <f>VLOOKUP(N$14,Table24[],5,FALSE)</f>
        <v>#N/A</v>
      </c>
      <c r="N59" s="93" t="e">
        <f>VLOOKUP(O$14,Table24[],5,FALSE)</f>
        <v>#N/A</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5.0999999999999996</v>
      </c>
      <c r="C60" s="93">
        <f t="shared" ref="C60:U60" si="14">D10</f>
        <v>5.3</v>
      </c>
      <c r="D60" s="93">
        <f t="shared" si="14"/>
        <v>5.5</v>
      </c>
      <c r="E60" s="93">
        <f t="shared" si="14"/>
        <v>5.0999999999999996</v>
      </c>
      <c r="F60" s="93">
        <f t="shared" si="14"/>
        <v>5.3</v>
      </c>
      <c r="G60" s="93">
        <f t="shared" si="14"/>
        <v>5.2</v>
      </c>
      <c r="H60" s="93">
        <f t="shared" si="14"/>
        <v>5.6</v>
      </c>
      <c r="I60" s="93">
        <f t="shared" si="14"/>
        <v>5.7</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8</v>
      </c>
      <c r="E61" s="93">
        <f t="shared" si="15"/>
        <v>6</v>
      </c>
      <c r="F61" s="93">
        <f t="shared" si="15"/>
        <v>8</v>
      </c>
      <c r="G61" s="93">
        <f t="shared" si="15"/>
        <v>8</v>
      </c>
      <c r="H61" s="93">
        <f t="shared" si="15"/>
        <v>8</v>
      </c>
      <c r="I61" s="93">
        <f t="shared" si="15"/>
        <v>8</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150</v>
      </c>
      <c r="C62" s="94">
        <f>B32</f>
        <v>150</v>
      </c>
      <c r="D62" s="94">
        <f>B33</f>
        <v>150</v>
      </c>
      <c r="E62" s="94">
        <f>B34</f>
        <v>150</v>
      </c>
      <c r="F62" s="94">
        <f>B35</f>
        <v>150</v>
      </c>
      <c r="G62" s="94">
        <f>B36</f>
        <v>150</v>
      </c>
      <c r="H62" s="94">
        <f>B37</f>
        <v>150</v>
      </c>
      <c r="I62" s="94">
        <f>B38</f>
        <v>150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12.800000000000004</v>
      </c>
      <c r="C64" s="94">
        <f t="shared" ref="C64:U64" si="17">(C59-C60)*C61</f>
        <v>11.200000000000003</v>
      </c>
      <c r="D64" s="94">
        <f t="shared" si="17"/>
        <v>9.6000000000000014</v>
      </c>
      <c r="E64" s="94">
        <f t="shared" si="17"/>
        <v>6.6000000000000032</v>
      </c>
      <c r="F64" s="94">
        <f t="shared" si="17"/>
        <v>11.200000000000003</v>
      </c>
      <c r="G64" s="94">
        <f t="shared" si="17"/>
        <v>12</v>
      </c>
      <c r="H64" s="94">
        <f t="shared" si="17"/>
        <v>8.8000000000000043</v>
      </c>
      <c r="I64" s="94">
        <f t="shared" si="17"/>
        <v>8</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79" priority="41" operator="equal">
      <formula>"DECREASE"</formula>
    </cfRule>
    <cfRule type="cellIs" dxfId="78" priority="42" operator="equal">
      <formula>"INCREASE"</formula>
    </cfRule>
  </conditionalFormatting>
  <conditionalFormatting sqref="B62:U65 B31:B50">
    <cfRule type="cellIs" dxfId="77" priority="40" operator="greaterThan">
      <formula>$B$51</formula>
    </cfRule>
  </conditionalFormatting>
  <conditionalFormatting sqref="C31:C50">
    <cfRule type="cellIs" dxfId="76" priority="39" operator="greaterThan">
      <formula>$C$51</formula>
    </cfRule>
  </conditionalFormatting>
  <conditionalFormatting sqref="C18:V18">
    <cfRule type="cellIs" dxfId="75" priority="35" operator="equal">
      <formula>0</formula>
    </cfRule>
  </conditionalFormatting>
  <conditionalFormatting sqref="C17:V17">
    <cfRule type="cellIs" dxfId="74" priority="33" operator="equal">
      <formula>0</formula>
    </cfRule>
  </conditionalFormatting>
  <conditionalFormatting sqref="C19:V19">
    <cfRule type="cellIs" dxfId="73" priority="32" operator="equal">
      <formula>0</formula>
    </cfRule>
  </conditionalFormatting>
  <conditionalFormatting sqref="G31:G50">
    <cfRule type="cellIs" dxfId="72" priority="29" operator="greaterThan">
      <formula>$G$51</formula>
    </cfRule>
  </conditionalFormatting>
  <conditionalFormatting sqref="H31:H50">
    <cfRule type="cellIs" dxfId="71" priority="28" operator="greaterThan">
      <formula>$H$51</formula>
    </cfRule>
  </conditionalFormatting>
  <conditionalFormatting sqref="I31:I50">
    <cfRule type="cellIs" dxfId="70" priority="27" operator="greaterThan">
      <formula>$I$51</formula>
    </cfRule>
  </conditionalFormatting>
  <conditionalFormatting sqref="K31:K50">
    <cfRule type="cellIs" dxfId="69" priority="25" operator="greaterThan">
      <formula>$K$51</formula>
    </cfRule>
  </conditionalFormatting>
  <conditionalFormatting sqref="L31:L50">
    <cfRule type="cellIs" dxfId="68" priority="24" operator="greaterThan">
      <formula>$L$51</formula>
    </cfRule>
  </conditionalFormatting>
  <conditionalFormatting sqref="M31:M50">
    <cfRule type="cellIs" dxfId="67" priority="23" operator="greaterThan">
      <formula>$M$51</formula>
    </cfRule>
  </conditionalFormatting>
  <conditionalFormatting sqref="P31:P50">
    <cfRule type="cellIs" dxfId="66" priority="22" operator="greaterThan">
      <formula>$P$51</formula>
    </cfRule>
  </conditionalFormatting>
  <conditionalFormatting sqref="R31:R50">
    <cfRule type="cellIs" dxfId="65" priority="21" operator="greaterThan">
      <formula>$R$51</formula>
    </cfRule>
  </conditionalFormatting>
  <conditionalFormatting sqref="S31:S50">
    <cfRule type="cellIs" dxfId="64" priority="20" operator="greaterThan">
      <formula>$S$51</formula>
    </cfRule>
  </conditionalFormatting>
  <conditionalFormatting sqref="T31:T50">
    <cfRule type="cellIs" dxfId="63" priority="19" operator="greaterThan">
      <formula>$T$51</formula>
    </cfRule>
  </conditionalFormatting>
  <conditionalFormatting sqref="U31:U50">
    <cfRule type="cellIs" dxfId="62" priority="18" operator="greaterThan">
      <formula>$U$51</formula>
    </cfRule>
  </conditionalFormatting>
  <conditionalFormatting sqref="C22:V22">
    <cfRule type="cellIs" dxfId="61" priority="16" operator="equal">
      <formula>0</formula>
    </cfRule>
  </conditionalFormatting>
  <conditionalFormatting sqref="C24:V24">
    <cfRule type="cellIs" dxfId="60" priority="14" operator="equal">
      <formula>"DECREASE"</formula>
    </cfRule>
    <cfRule type="cellIs" dxfId="59" priority="15" operator="equal">
      <formula>"INCREASE"</formula>
    </cfRule>
  </conditionalFormatting>
  <conditionalFormatting sqref="C23:V23">
    <cfRule type="cellIs" dxfId="58" priority="13" operator="equal">
      <formula>0</formula>
    </cfRule>
  </conditionalFormatting>
  <conditionalFormatting sqref="I1">
    <cfRule type="cellIs" dxfId="57" priority="9" operator="lessThan">
      <formula>5</formula>
    </cfRule>
  </conditionalFormatting>
  <conditionalFormatting sqref="I2">
    <cfRule type="cellIs" dxfId="56" priority="8" operator="greaterThan">
      <formula>5000.1</formula>
    </cfRule>
  </conditionalFormatting>
  <conditionalFormatting sqref="I3">
    <cfRule type="cellIs" dxfId="55" priority="7" operator="greaterThan">
      <formula>4.1</formula>
    </cfRule>
  </conditionalFormatting>
  <conditionalFormatting sqref="C21:V21">
    <cfRule type="cellIs" dxfId="54" priority="6" operator="equal">
      <formula>0</formula>
    </cfRule>
  </conditionalFormatting>
  <conditionalFormatting sqref="B65:U65">
    <cfRule type="cellIs" dxfId="53" priority="2" operator="equal">
      <formula>"UNDER"</formula>
    </cfRule>
    <cfRule type="cellIs" dxfId="52" priority="3" operator="equal">
      <formula>"OVER"</formula>
    </cfRule>
  </conditionalFormatting>
  <conditionalFormatting sqref="J31:J50">
    <cfRule type="cellIs" dxfId="51"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K14:V14" xr:uid="{6B1F863F-87A5-4AAF-B4D7-121619606936}">
      <formula1>$AI$2:$AI$26</formula1>
    </dataValidation>
    <dataValidation type="list" allowBlank="1" showInputMessage="1" showErrorMessage="1" sqref="K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Normal="100" workbookViewId="0">
      <selection activeCell="F4" sqref="F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23" t="s">
        <v>41</v>
      </c>
      <c r="B1" s="123"/>
      <c r="C1" s="131" t="str">
        <f>'Field data and Waste 1'!C1:D1</f>
        <v>PAN-014433</v>
      </c>
      <c r="D1" s="132"/>
      <c r="E1" s="37" t="s">
        <v>45</v>
      </c>
      <c r="F1" s="46" t="str">
        <f>'Field data and Waste 1'!F1</f>
        <v>47.71 ha</v>
      </c>
      <c r="G1" s="111" t="s">
        <v>43</v>
      </c>
      <c r="H1" s="112"/>
      <c r="I1" s="35">
        <v>5.28</v>
      </c>
      <c r="AB1" s="26"/>
      <c r="AC1" s="26"/>
      <c r="AD1" s="43" t="s">
        <v>124</v>
      </c>
      <c r="AE1" s="25"/>
      <c r="AF1" s="25"/>
      <c r="AG1" s="26"/>
      <c r="AH1" s="26"/>
      <c r="AI1" s="47" t="s">
        <v>79</v>
      </c>
      <c r="AJ1" s="48" t="s">
        <v>91</v>
      </c>
      <c r="AK1" s="49" t="s">
        <v>92</v>
      </c>
      <c r="AL1" s="50" t="s">
        <v>123</v>
      </c>
      <c r="AM1" s="50" t="s">
        <v>129</v>
      </c>
      <c r="AN1" s="50" t="s">
        <v>109</v>
      </c>
    </row>
    <row r="2" spans="1:41" x14ac:dyDescent="0.2">
      <c r="A2" s="123" t="s">
        <v>84</v>
      </c>
      <c r="B2" s="123"/>
      <c r="C2" s="133" t="str">
        <f>'Field data and Waste 1'!C2:D2</f>
        <v>EPR-GP3697ES</v>
      </c>
      <c r="D2" s="134"/>
      <c r="E2" s="37" t="s">
        <v>106</v>
      </c>
      <c r="F2" s="102" t="s">
        <v>159</v>
      </c>
      <c r="G2" s="113" t="s">
        <v>107</v>
      </c>
      <c r="H2" s="114"/>
      <c r="I2" s="35">
        <v>655</v>
      </c>
      <c r="AB2" s="43" t="s">
        <v>56</v>
      </c>
      <c r="AC2" s="25"/>
      <c r="AD2" s="43" t="s">
        <v>70</v>
      </c>
      <c r="AE2" s="25"/>
      <c r="AF2" s="25"/>
      <c r="AG2" s="51" t="s">
        <v>76</v>
      </c>
      <c r="AH2" s="26"/>
      <c r="AI2" s="52" t="s">
        <v>124</v>
      </c>
      <c r="AJ2" s="53">
        <v>0</v>
      </c>
      <c r="AK2" s="54">
        <v>0</v>
      </c>
      <c r="AL2" s="18">
        <v>0</v>
      </c>
      <c r="AM2" s="19">
        <v>0</v>
      </c>
      <c r="AN2" s="19">
        <v>0</v>
      </c>
    </row>
    <row r="3" spans="1:41" x14ac:dyDescent="0.2">
      <c r="A3" s="127" t="s">
        <v>42</v>
      </c>
      <c r="B3" s="128"/>
      <c r="C3" s="133" t="str">
        <f>'Field data and Waste 1'!C3:D3</f>
        <v>Andrew Thomas</v>
      </c>
      <c r="D3" s="134"/>
      <c r="E3" s="37" t="s">
        <v>105</v>
      </c>
      <c r="F3" s="45" t="s">
        <v>78</v>
      </c>
      <c r="G3" s="111" t="s">
        <v>108</v>
      </c>
      <c r="H3" s="112"/>
      <c r="I3" s="35">
        <v>2.4754</v>
      </c>
      <c r="AB3" s="43" t="s">
        <v>57</v>
      </c>
      <c r="AC3" s="25"/>
      <c r="AD3" s="43" t="s">
        <v>71</v>
      </c>
      <c r="AE3" s="25"/>
      <c r="AF3" s="25"/>
      <c r="AG3" s="51" t="s">
        <v>77</v>
      </c>
      <c r="AH3" s="26"/>
      <c r="AI3" s="55" t="s">
        <v>111</v>
      </c>
      <c r="AJ3" s="56">
        <v>1.7</v>
      </c>
      <c r="AK3" s="57">
        <v>6</v>
      </c>
      <c r="AL3" s="58">
        <v>1</v>
      </c>
      <c r="AM3" s="19">
        <v>6.2</v>
      </c>
      <c r="AN3" s="19" t="s">
        <v>110</v>
      </c>
    </row>
    <row r="4" spans="1:41" x14ac:dyDescent="0.2">
      <c r="A4" s="123" t="s">
        <v>0</v>
      </c>
      <c r="B4" s="123"/>
      <c r="C4" s="131" t="str">
        <f>'Field data and Waste 1'!C4:D4</f>
        <v>Trehelig Farm, Welshpool, SY21 8SG</v>
      </c>
      <c r="D4" s="132"/>
      <c r="E4" s="38" t="s">
        <v>1</v>
      </c>
      <c r="F4" s="35" t="s">
        <v>160</v>
      </c>
      <c r="G4" s="111"/>
      <c r="H4" s="112"/>
      <c r="I4" s="46"/>
      <c r="AB4" s="43" t="s">
        <v>52</v>
      </c>
      <c r="AC4" s="25"/>
      <c r="AD4" s="59" t="s">
        <v>72</v>
      </c>
      <c r="AE4" s="25"/>
      <c r="AF4" s="25"/>
      <c r="AG4" s="51" t="s">
        <v>78</v>
      </c>
      <c r="AH4" s="26"/>
      <c r="AI4" s="60" t="s">
        <v>122</v>
      </c>
      <c r="AJ4" s="61">
        <v>7</v>
      </c>
      <c r="AK4" s="62">
        <v>10.5</v>
      </c>
      <c r="AL4" s="19">
        <v>2</v>
      </c>
      <c r="AM4" s="19">
        <v>6.7</v>
      </c>
      <c r="AN4" s="19" t="s">
        <v>135</v>
      </c>
    </row>
    <row r="5" spans="1:41" x14ac:dyDescent="0.2">
      <c r="A5" s="123" t="s">
        <v>47</v>
      </c>
      <c r="B5" s="123"/>
      <c r="C5" s="131" t="str">
        <f>'Field data and Waste 1'!C5:D5</f>
        <v>Sion Sleep</v>
      </c>
      <c r="D5" s="132"/>
      <c r="E5" s="37"/>
      <c r="F5" s="46"/>
      <c r="G5" s="111"/>
      <c r="H5" s="112"/>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20" t="s">
        <v>63</v>
      </c>
      <c r="B7" s="120"/>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23" t="s">
        <v>2</v>
      </c>
      <c r="B8" s="123"/>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23" t="s">
        <v>3</v>
      </c>
      <c r="B9" s="123"/>
      <c r="C9" s="67">
        <f>'Field data and Waste 1'!C9</f>
        <v>1</v>
      </c>
      <c r="D9" s="67">
        <f>'Field data and Waste 1'!D9</f>
        <v>1</v>
      </c>
      <c r="E9" s="67">
        <f>'Field data and Waste 1'!E9</f>
        <v>1</v>
      </c>
      <c r="F9" s="67" t="str">
        <f>'Field data and Waste 1'!F9</f>
        <v>Mod</v>
      </c>
      <c r="G9" s="67">
        <f>'Field data and Waste 1'!G9</f>
        <v>1</v>
      </c>
      <c r="H9" s="67">
        <f>'Field data and Waste 1'!H9</f>
        <v>1</v>
      </c>
      <c r="I9" s="67">
        <f>'Field data and Waste 1'!I9</f>
        <v>1</v>
      </c>
      <c r="J9" s="67">
        <f>'Field data and Waste 1'!J9</f>
        <v>1</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23" t="s">
        <v>4</v>
      </c>
      <c r="B10" s="123"/>
      <c r="C10" s="67">
        <f>'Field data and Waste 1'!C10</f>
        <v>5.0999999999999996</v>
      </c>
      <c r="D10" s="67">
        <f>'Field data and Waste 1'!D10</f>
        <v>5.3</v>
      </c>
      <c r="E10" s="67">
        <f>'Field data and Waste 1'!E10</f>
        <v>5.5</v>
      </c>
      <c r="F10" s="67">
        <f>'Field data and Waste 1'!F10</f>
        <v>5.0999999999999996</v>
      </c>
      <c r="G10" s="67">
        <f>'Field data and Waste 1'!G10</f>
        <v>5.3</v>
      </c>
      <c r="H10" s="67">
        <f>'Field data and Waste 1'!H10</f>
        <v>5.2</v>
      </c>
      <c r="I10" s="67">
        <f>'Field data and Waste 1'!I10</f>
        <v>5.6</v>
      </c>
      <c r="J10" s="67">
        <f>'Field data and Waste 1'!J10</f>
        <v>5.7</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23" t="s">
        <v>5</v>
      </c>
      <c r="B11" s="123"/>
      <c r="C11" s="67">
        <f>'Field data and Waste 1'!C11</f>
        <v>2</v>
      </c>
      <c r="D11" s="67">
        <f>'Field data and Waste 1'!D11</f>
        <v>2</v>
      </c>
      <c r="E11" s="67">
        <f>'Field data and Waste 1'!E11</f>
        <v>2</v>
      </c>
      <c r="F11" s="67">
        <f>'Field data and Waste 1'!F11</f>
        <v>2</v>
      </c>
      <c r="G11" s="67">
        <f>'Field data and Waste 1'!G11</f>
        <v>1</v>
      </c>
      <c r="H11" s="67">
        <f>'Field data and Waste 1'!H11</f>
        <v>2</v>
      </c>
      <c r="I11" s="67">
        <f>'Field data and Waste 1'!I11</f>
        <v>2</v>
      </c>
      <c r="J11" s="67">
        <f>'Field data and Waste 1'!J11</f>
        <v>2</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23" t="s">
        <v>6</v>
      </c>
      <c r="B12" s="123"/>
      <c r="C12" s="67">
        <f>'Field data and Waste 1'!C12</f>
        <v>1</v>
      </c>
      <c r="D12" s="67">
        <f>'Field data and Waste 1'!D12</f>
        <v>1</v>
      </c>
      <c r="E12" s="67">
        <f>'Field data and Waste 1'!E12</f>
        <v>1</v>
      </c>
      <c r="F12" s="67">
        <f>'Field data and Waste 1'!F12</f>
        <v>1</v>
      </c>
      <c r="G12" s="67">
        <f>'Field data and Waste 1'!G12</f>
        <v>1</v>
      </c>
      <c r="H12" s="67">
        <f>'Field data and Waste 1'!H12</f>
        <v>1</v>
      </c>
      <c r="I12" s="67">
        <f>'Field data and Waste 1'!I12</f>
        <v>1</v>
      </c>
      <c r="J12" s="67">
        <f>'Field data and Waste 1'!J12</f>
        <v>1</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23" t="s">
        <v>7</v>
      </c>
      <c r="B13" s="123"/>
      <c r="C13" s="67">
        <f>'Field data and Waste 1'!C13</f>
        <v>3</v>
      </c>
      <c r="D13" s="67">
        <f>'Field data and Waste 1'!D13</f>
        <v>3</v>
      </c>
      <c r="E13" s="67">
        <f>'Field data and Waste 1'!E13</f>
        <v>3</v>
      </c>
      <c r="F13" s="67">
        <f>'Field data and Waste 1'!F13</f>
        <v>3</v>
      </c>
      <c r="G13" s="67">
        <f>'Field data and Waste 1'!G13</f>
        <v>3</v>
      </c>
      <c r="H13" s="67">
        <f>'Field data and Waste 1'!H13</f>
        <v>3</v>
      </c>
      <c r="I13" s="67">
        <f>'Field data and Waste 1'!I13</f>
        <v>3</v>
      </c>
      <c r="J13" s="67">
        <f>'Field data and Waste 1'!J13</f>
        <v>3</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5" t="s">
        <v>8</v>
      </c>
      <c r="B14" s="125"/>
      <c r="C14" s="73" t="str">
        <f>'Field data and Waste 1'!C14</f>
        <v>Maize- Silage (30% DM)</v>
      </c>
      <c r="D14" s="73" t="str">
        <f>'Field data and Waste 1'!D14</f>
        <v>Maize- Silage (30% DM)</v>
      </c>
      <c r="E14" s="73" t="str">
        <f>'Field data and Waste 1'!E14</f>
        <v>Maize- Silage (30% DM)</v>
      </c>
      <c r="F14" s="73" t="str">
        <f>'Field data and Waste 1'!F14</f>
        <v xml:space="preserve">Grass Silage (25% DM) </v>
      </c>
      <c r="G14" s="73" t="str">
        <f>'Field data and Waste 1'!G14</f>
        <v>Winter wheat- grain &amp; straw</v>
      </c>
      <c r="H14" s="73" t="str">
        <f>'Field data and Waste 1'!H14</f>
        <v>Maize- Silage (30% DM)</v>
      </c>
      <c r="I14" s="73" t="str">
        <f>'Field data and Waste 1'!I14</f>
        <v>Maize- Silage (30% DM)</v>
      </c>
      <c r="J14" s="73" t="str">
        <f>'Field data and Waste 1'!J14</f>
        <v>Maize- Silage (30% DM)</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4" t="s">
        <v>9</v>
      </c>
      <c r="B15" s="124"/>
      <c r="C15" s="67">
        <f>'Field data and Waste 1'!C15</f>
        <v>50</v>
      </c>
      <c r="D15" s="67">
        <f>'Field data and Waste 1'!D15</f>
        <v>50</v>
      </c>
      <c r="E15" s="67">
        <f>'Field data and Waste 1'!E15</f>
        <v>50</v>
      </c>
      <c r="F15" s="67">
        <f>'Field data and Waste 1'!F15</f>
        <v>47</v>
      </c>
      <c r="G15" s="67">
        <f>'Field data and Waste 1'!G15</f>
        <v>10</v>
      </c>
      <c r="H15" s="67">
        <f>'Field data and Waste 1'!H15</f>
        <v>50</v>
      </c>
      <c r="I15" s="67">
        <f>'Field data and Waste 1'!I15</f>
        <v>50</v>
      </c>
      <c r="J15" s="67">
        <f>'Field data and Waste 1'!J15</f>
        <v>50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6" t="s">
        <v>44</v>
      </c>
      <c r="B16" s="126"/>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21" t="s">
        <v>69</v>
      </c>
      <c r="B17" s="122"/>
      <c r="C17" s="39">
        <f>(VLOOKUP(C$14,$AI2:$AK26,2,FALSE))*C$15</f>
        <v>70</v>
      </c>
      <c r="D17" s="39">
        <f t="shared" ref="D17:V17" si="0">(VLOOKUP(D$14,$AI2:$AK26,2,FALSE))*D$15</f>
        <v>70</v>
      </c>
      <c r="E17" s="39">
        <f t="shared" si="0"/>
        <v>70</v>
      </c>
      <c r="F17" s="39">
        <f t="shared" si="0"/>
        <v>79.899999999999991</v>
      </c>
      <c r="G17" s="39">
        <f t="shared" si="0"/>
        <v>70</v>
      </c>
      <c r="H17" s="39">
        <f t="shared" si="0"/>
        <v>70</v>
      </c>
      <c r="I17" s="39">
        <f t="shared" si="0"/>
        <v>70</v>
      </c>
      <c r="J17" s="39">
        <f t="shared" si="0"/>
        <v>70</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9" t="s">
        <v>23</v>
      </c>
      <c r="B18" s="120"/>
      <c r="C18" s="24">
        <f>$D31</f>
        <v>65.866249999999994</v>
      </c>
      <c r="D18" s="24">
        <f>$D32</f>
        <v>65.866249999999994</v>
      </c>
      <c r="E18" s="24">
        <f>$D33</f>
        <v>65.866249999999994</v>
      </c>
      <c r="F18" s="24">
        <f>$D34</f>
        <v>65.866249999999994</v>
      </c>
      <c r="G18" s="24">
        <f>$D35</f>
        <v>65.866249999999994</v>
      </c>
      <c r="H18" s="24">
        <f>$D36</f>
        <v>65.866249999999994</v>
      </c>
      <c r="I18" s="24">
        <f>$D37</f>
        <v>65.866249999999994</v>
      </c>
      <c r="J18" s="24">
        <f>$D38</f>
        <v>65.866249999999994</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9" t="s">
        <v>87</v>
      </c>
      <c r="B19" s="120"/>
      <c r="C19" s="24">
        <f>C18-C17</f>
        <v>-4.1337500000000063</v>
      </c>
      <c r="D19" s="24">
        <f t="shared" ref="D19:V19" si="1">D18-D17</f>
        <v>-4.1337500000000063</v>
      </c>
      <c r="E19" s="24">
        <f t="shared" si="1"/>
        <v>-4.1337500000000063</v>
      </c>
      <c r="F19" s="24">
        <f t="shared" si="1"/>
        <v>-14.033749999999998</v>
      </c>
      <c r="G19" s="24">
        <f t="shared" si="1"/>
        <v>-4.1337500000000063</v>
      </c>
      <c r="H19" s="24">
        <f t="shared" si="1"/>
        <v>-4.1337500000000063</v>
      </c>
      <c r="I19" s="24">
        <f t="shared" si="1"/>
        <v>-4.1337500000000063</v>
      </c>
      <c r="J19" s="24">
        <f t="shared" si="1"/>
        <v>-4.1337500000000063</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7" t="s">
        <v>88</v>
      </c>
      <c r="B20" s="118"/>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21" t="s">
        <v>85</v>
      </c>
      <c r="B21" s="122"/>
      <c r="C21" s="39">
        <f>(VLOOKUP(C$14,$AI2:$AK26,3,FALSE))*C$15</f>
        <v>220.00000000000003</v>
      </c>
      <c r="D21" s="39">
        <f t="shared" ref="D21:V21" si="2">(VLOOKUP(D$14,$AI2:$AK26,3,FALSE))*D$15</f>
        <v>220.00000000000003</v>
      </c>
      <c r="E21" s="39">
        <f t="shared" si="2"/>
        <v>220.00000000000003</v>
      </c>
      <c r="F21" s="39">
        <f t="shared" si="2"/>
        <v>282</v>
      </c>
      <c r="G21" s="39">
        <f t="shared" si="2"/>
        <v>105</v>
      </c>
      <c r="H21" s="39">
        <f t="shared" si="2"/>
        <v>220.00000000000003</v>
      </c>
      <c r="I21" s="39">
        <f t="shared" si="2"/>
        <v>220.00000000000003</v>
      </c>
      <c r="J21" s="39">
        <f t="shared" si="2"/>
        <v>220.00000000000003</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9" t="s">
        <v>86</v>
      </c>
      <c r="B22" s="120"/>
      <c r="C22" s="24">
        <f>$E31</f>
        <v>24.1</v>
      </c>
      <c r="D22" s="24">
        <f>$E32</f>
        <v>24.1</v>
      </c>
      <c r="E22" s="24">
        <f>$E33</f>
        <v>24.1</v>
      </c>
      <c r="F22" s="24">
        <f>$E34</f>
        <v>24.1</v>
      </c>
      <c r="G22" s="24">
        <f>$E35</f>
        <v>24.1</v>
      </c>
      <c r="H22" s="24">
        <f>$E36</f>
        <v>24.1</v>
      </c>
      <c r="I22" s="24">
        <f>$E37</f>
        <v>24.1</v>
      </c>
      <c r="J22" s="24">
        <f>$E38</f>
        <v>24.1</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9" t="s">
        <v>89</v>
      </c>
      <c r="B23" s="120"/>
      <c r="C23" s="24">
        <f>C22-C21</f>
        <v>-195.90000000000003</v>
      </c>
      <c r="D23" s="24">
        <f t="shared" ref="D23:V23" si="3">D22-D21</f>
        <v>-195.90000000000003</v>
      </c>
      <c r="E23" s="24">
        <f t="shared" si="3"/>
        <v>-195.90000000000003</v>
      </c>
      <c r="F23" s="24">
        <f t="shared" si="3"/>
        <v>-257.89999999999998</v>
      </c>
      <c r="G23" s="24">
        <f t="shared" si="3"/>
        <v>-80.900000000000006</v>
      </c>
      <c r="H23" s="24">
        <f t="shared" si="3"/>
        <v>-195.90000000000003</v>
      </c>
      <c r="I23" s="24">
        <f t="shared" si="3"/>
        <v>-195.90000000000003</v>
      </c>
      <c r="J23" s="24">
        <f t="shared" si="3"/>
        <v>-195.90000000000003</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7" t="s">
        <v>90</v>
      </c>
      <c r="B24" s="11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56</v>
      </c>
      <c r="E27" s="101" t="s">
        <v>56</v>
      </c>
      <c r="F27" s="101" t="s">
        <v>56</v>
      </c>
      <c r="G27" s="101" t="s">
        <v>54</v>
      </c>
      <c r="H27" s="101" t="s">
        <v>54</v>
      </c>
      <c r="I27" s="101" t="s">
        <v>54</v>
      </c>
      <c r="J27" s="101" t="s">
        <v>54</v>
      </c>
      <c r="K27" s="101" t="s">
        <v>54</v>
      </c>
      <c r="L27" s="101" t="s">
        <v>54</v>
      </c>
      <c r="M27" s="101" t="s">
        <v>54</v>
      </c>
      <c r="N27" s="101"/>
      <c r="O27" s="101"/>
      <c r="P27" s="101" t="s">
        <v>56</v>
      </c>
      <c r="Q27" s="101" t="s">
        <v>56</v>
      </c>
      <c r="R27" s="101"/>
      <c r="S27" s="101"/>
      <c r="T27" s="101"/>
      <c r="U27" s="101"/>
    </row>
    <row r="28" spans="1:40" s="64" customFormat="1" x14ac:dyDescent="0.25">
      <c r="A28" s="82"/>
      <c r="B28" s="31">
        <v>5.41</v>
      </c>
      <c r="C28" s="23">
        <v>0.08</v>
      </c>
      <c r="D28" s="23">
        <v>2.3E-2</v>
      </c>
      <c r="E28" s="23">
        <v>1.6E-2</v>
      </c>
      <c r="F28" s="23">
        <v>5.0000000000000001E-3</v>
      </c>
      <c r="G28" s="23">
        <v>0.67200000000000004</v>
      </c>
      <c r="H28" s="23">
        <v>1.25</v>
      </c>
      <c r="I28" s="23">
        <v>0.5</v>
      </c>
      <c r="J28" s="23">
        <v>0.01</v>
      </c>
      <c r="K28" s="30">
        <v>0.05</v>
      </c>
      <c r="L28" s="23">
        <v>0.2</v>
      </c>
      <c r="M28" s="23">
        <v>0.23799999999999999</v>
      </c>
      <c r="N28" s="23"/>
      <c r="O28" s="23"/>
      <c r="P28" s="23">
        <v>6.2E-2</v>
      </c>
      <c r="Q28" s="23">
        <v>3.3000000000000002E-2</v>
      </c>
      <c r="R28" s="23"/>
      <c r="S28" s="23"/>
      <c r="T28" s="23"/>
      <c r="U28" s="23"/>
    </row>
    <row r="29" spans="1:40" s="15" customFormat="1" ht="27" x14ac:dyDescent="0.25">
      <c r="A29" s="12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3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125</v>
      </c>
      <c r="C31" s="2">
        <f>IF(C$27="%w/w SAR",((C$28*10)*$B31),IF(C$27="%w/w DM",(((C$28*10)*($B$28/100))*$B31),IF(C$27="kg/t SAR",(C$28*$B31),IF(C$27="kg/t DM",((C$28*($B$28/100))*$B31),IF(C$27="mg/kg SAR",((C$28*0.001)*$B31),IF(C$27="mg/kg DM",(((C$28*0.001)*($B$28/100))*$B31),0))))))</f>
        <v>100</v>
      </c>
      <c r="D31" s="2">
        <f>(IF(D$27="%w/w SAR",((D$28*10)*$B31),IF(D$27="%w/w DM",(((D$28*10)*($B$28/100))*$B31),IF(D$27="kg/t SAR",(D$28*$B31),IF(D$27="kg/t DM",((D$28*($B$28/100))*$B31),IF(D$27="mg/kg SAR",((D$28*0.001)*$B31),IF(D$27="mg/kg DM",(((D$28*0.001)*($B$28/100))*$B31),"0")))))))*2.291</f>
        <v>65.866249999999994</v>
      </c>
      <c r="E31" s="2">
        <f>(IF(E$27="%w/w SAR",((E$28*10)*$B31),IF(E$27="%w/w DM",(((E$28*10)*($B$28/100))*$B31),IF(E$27="kg/t SAR",(E$28*$B31),IF(E$27="kg/t DM",((E$28*($B$28/100))*$B31),IF(E$27="mg/kg SAR",((E$28*0.001)*$B31),IF(E$27="mg/kg DM",(((E$28*0.001)*($B$28/100))*$B31),"0")))))))*1.205</f>
        <v>24.1</v>
      </c>
      <c r="F31" s="2">
        <f>(IF(F$27="%w/w SAR",((F$28*10)*$B31),IF(F$27="%w/w DM",(((F$28*10)*($B$28/100))*$B31),IF(F$27="kg/t SAR",(F$28*$B31),IF(F$27="kg/t DM",((F$28*($B$28/100))*$B31),IF(F$27="mg/kg SAR",((F$28*0.001)*$B31),IF(F$27="mg/kg DM",(((F$28*0.001)*($B$28/100))*$B31),"0")))))))*1.658</f>
        <v>10.362499999999999</v>
      </c>
      <c r="G31" s="2">
        <f t="shared" ref="G31:P46" si="5">IF(G$27="%w/w SAR",((G$28*10)*$B31),IF(G$27="%w/w DM",(((G$28*10)*($B$28/100))*$B31),IF(G$27="kg/t SAR",(G$28*$B31),IF(G$27="kg/t DM",((G$28*($B$28/100))*$B31),IF(G$27="mg/kg SAR",((G$28*0.001)*$B31),IF(G$27="mg/kg DM",(((G$28*0.001)*($B$28/100))*$B31),0))))))</f>
        <v>8.4000000000000005E-2</v>
      </c>
      <c r="H31" s="2">
        <f t="shared" si="5"/>
        <v>0.15625</v>
      </c>
      <c r="I31" s="2">
        <f t="shared" si="5"/>
        <v>6.25E-2</v>
      </c>
      <c r="J31" s="2">
        <f t="shared" si="5"/>
        <v>1.25E-3</v>
      </c>
      <c r="K31" s="2">
        <f t="shared" si="5"/>
        <v>6.2500000000000003E-3</v>
      </c>
      <c r="L31" s="2">
        <f t="shared" si="5"/>
        <v>2.5000000000000001E-2</v>
      </c>
      <c r="M31" s="2">
        <f t="shared" si="5"/>
        <v>2.9749999999999999E-2</v>
      </c>
      <c r="N31" s="2">
        <f t="shared" si="5"/>
        <v>0</v>
      </c>
      <c r="O31" s="2">
        <f t="shared" si="5"/>
        <v>0</v>
      </c>
      <c r="P31" s="2">
        <f t="shared" si="5"/>
        <v>77.5</v>
      </c>
      <c r="Q31" s="2">
        <f>(IF(Q$27="%w/w SAR",((Q$28*10)*$B31),IF(Q$27="%w/w DM",(((Q$28*10)*($B$28/100))*$B31),IF(Q$27="kg/t SAR",(Q$28*$B31),IF(Q$27="kg/t DM",((Q$28*($B$28/100))*$B31),IF(Q$27="mg/kg SAR",((Q$28*0.001)*$B31),IF(Q$27="mg/kg DM",(((Q$28*0.001)*($B$28/100))*$B31),0)))))))*2.5</f>
        <v>103.125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125</v>
      </c>
      <c r="C32" s="2">
        <f t="shared" ref="C32:C50" si="6">IF(C$27="%w/w SAR",((C$28*10)*$B32),IF(C$27="%w/w DM",(((C$28*10)*($B$28/100))*$B32),IF(C$27="kg/t SAR",(C$28*$B32),IF(C$27="kg/t DM",((C$28*($B$28/100))*$B32),IF(C$27="mg/kg SAR",((C$28*0.001)*$B32),IF(C$27="mg/kg DM",(((C$28*0.001)*($B$28/100))*$B32),0))))))</f>
        <v>100</v>
      </c>
      <c r="D32" s="2">
        <f t="shared" ref="D32:D50" si="7">(IF(D$27="%w/w SAR",((D$28*10)*$B32),IF(D$27="%w/w DM",(((D$28*10)*($B$28/100))*$B32),IF(D$27="kg/t SAR",(D$28*$B32),IF(D$27="kg/t DM",((D$28*($B$28/100))*$B32),IF(D$27="mg/kg SAR",((D$28*0.001)*$B32),IF(D$27="mg/kg DM",(((D$28*0.001)*($B$28/100))*$B32),"0")))))))*2.291</f>
        <v>65.866249999999994</v>
      </c>
      <c r="E32" s="2">
        <f t="shared" ref="E32:E50" si="8">(IF(E$27="%w/w SAR",((E$28*10)*$B32),IF(E$27="%w/w DM",(((E$28*10)*($B$28/100))*$B32),IF(E$27="kg/t SAR",(E$28*$B32),IF(E$27="kg/t DM",((E$28*($B$28/100))*$B32),IF(E$27="mg/kg SAR",((E$28*0.001)*$B32),IF(E$27="mg/kg DM",(((E$28*0.001)*($B$28/100))*$B32),"0")))))))*1.205</f>
        <v>24.1</v>
      </c>
      <c r="F32" s="2">
        <f t="shared" ref="F32:F50" si="9">(IF(F$27="%w/w SAR",((F$28*10)*$B32),IF(F$27="%w/w DM",(((F$28*10)*($B$28/100))*$B32),IF(F$27="kg/t SAR",(F$28*$B32),IF(F$27="kg/t DM",((F$28*($B$28/100))*$B32),IF(F$27="mg/kg SAR",((F$28*0.001)*$B32),IF(F$27="mg/kg DM",(((F$28*0.001)*($B$28/100))*$B32),"0")))))))*1.658</f>
        <v>10.362499999999999</v>
      </c>
      <c r="G32" s="2">
        <f t="shared" si="5"/>
        <v>8.4000000000000005E-2</v>
      </c>
      <c r="H32" s="2">
        <f t="shared" si="5"/>
        <v>0.15625</v>
      </c>
      <c r="I32" s="2">
        <f t="shared" si="5"/>
        <v>6.25E-2</v>
      </c>
      <c r="J32" s="2">
        <f t="shared" si="5"/>
        <v>1.25E-3</v>
      </c>
      <c r="K32" s="2">
        <f t="shared" si="5"/>
        <v>6.2500000000000003E-3</v>
      </c>
      <c r="L32" s="2">
        <f t="shared" si="5"/>
        <v>2.5000000000000001E-2</v>
      </c>
      <c r="M32" s="2">
        <f t="shared" si="5"/>
        <v>2.9749999999999999E-2</v>
      </c>
      <c r="N32" s="2">
        <f t="shared" si="5"/>
        <v>0</v>
      </c>
      <c r="O32" s="2">
        <f t="shared" si="5"/>
        <v>0</v>
      </c>
      <c r="P32" s="2">
        <f t="shared" si="5"/>
        <v>77.5</v>
      </c>
      <c r="Q32" s="2">
        <f t="shared" ref="Q32:Q50" si="10">(IF(Q$27="%w/w SAR",((Q$28*10)*$B32),IF(Q$27="%w/w DM",(((Q$28*10)*($B$28/100))*$B32),IF(Q$27="kg/t SAR",(Q$28*$B32),IF(Q$27="kg/t DM",((Q$28*($B$28/100))*$B32),IF(Q$27="mg/kg SAR",((Q$28*0.001)*$B32),IF(Q$27="mg/kg DM",(((Q$28*0.001)*($B$28/100))*$B32),0)))))))*2.5</f>
        <v>103.125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125</v>
      </c>
      <c r="C33" s="2">
        <f t="shared" si="6"/>
        <v>100</v>
      </c>
      <c r="D33" s="2">
        <f t="shared" si="7"/>
        <v>65.866249999999994</v>
      </c>
      <c r="E33" s="2">
        <f t="shared" si="8"/>
        <v>24.1</v>
      </c>
      <c r="F33" s="2">
        <f t="shared" si="9"/>
        <v>10.362499999999999</v>
      </c>
      <c r="G33" s="2">
        <f t="shared" si="5"/>
        <v>8.4000000000000005E-2</v>
      </c>
      <c r="H33" s="2">
        <f t="shared" si="5"/>
        <v>0.15625</v>
      </c>
      <c r="I33" s="2">
        <f t="shared" si="5"/>
        <v>6.25E-2</v>
      </c>
      <c r="J33" s="2">
        <f t="shared" si="5"/>
        <v>1.25E-3</v>
      </c>
      <c r="K33" s="2">
        <f t="shared" si="5"/>
        <v>6.2500000000000003E-3</v>
      </c>
      <c r="L33" s="2">
        <f t="shared" si="5"/>
        <v>2.5000000000000001E-2</v>
      </c>
      <c r="M33" s="2">
        <f t="shared" si="5"/>
        <v>2.9749999999999999E-2</v>
      </c>
      <c r="N33" s="2">
        <f t="shared" si="5"/>
        <v>0</v>
      </c>
      <c r="O33" s="2">
        <f t="shared" si="5"/>
        <v>0</v>
      </c>
      <c r="P33" s="2">
        <f t="shared" si="5"/>
        <v>77.5</v>
      </c>
      <c r="Q33" s="2">
        <f t="shared" si="10"/>
        <v>103.125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125</v>
      </c>
      <c r="C34" s="2">
        <f t="shared" si="6"/>
        <v>100</v>
      </c>
      <c r="D34" s="2">
        <f t="shared" si="7"/>
        <v>65.866249999999994</v>
      </c>
      <c r="E34" s="2">
        <f t="shared" si="8"/>
        <v>24.1</v>
      </c>
      <c r="F34" s="2">
        <f t="shared" si="9"/>
        <v>10.362499999999999</v>
      </c>
      <c r="G34" s="2">
        <f t="shared" si="5"/>
        <v>8.4000000000000005E-2</v>
      </c>
      <c r="H34" s="2">
        <f t="shared" si="5"/>
        <v>0.15625</v>
      </c>
      <c r="I34" s="2">
        <f t="shared" si="5"/>
        <v>6.25E-2</v>
      </c>
      <c r="J34" s="2">
        <f t="shared" si="5"/>
        <v>1.25E-3</v>
      </c>
      <c r="K34" s="2">
        <f t="shared" si="5"/>
        <v>6.2500000000000003E-3</v>
      </c>
      <c r="L34" s="2">
        <f t="shared" si="5"/>
        <v>2.5000000000000001E-2</v>
      </c>
      <c r="M34" s="2">
        <f t="shared" si="5"/>
        <v>2.9749999999999999E-2</v>
      </c>
      <c r="N34" s="2">
        <f t="shared" si="5"/>
        <v>0</v>
      </c>
      <c r="O34" s="2">
        <f t="shared" si="5"/>
        <v>0</v>
      </c>
      <c r="P34" s="2">
        <f t="shared" si="5"/>
        <v>77.5</v>
      </c>
      <c r="Q34" s="2">
        <f t="shared" si="10"/>
        <v>103.125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125</v>
      </c>
      <c r="C35" s="2">
        <f t="shared" si="6"/>
        <v>100</v>
      </c>
      <c r="D35" s="2">
        <f t="shared" si="7"/>
        <v>65.866249999999994</v>
      </c>
      <c r="E35" s="2">
        <f t="shared" si="8"/>
        <v>24.1</v>
      </c>
      <c r="F35" s="2">
        <f t="shared" si="9"/>
        <v>10.362499999999999</v>
      </c>
      <c r="G35" s="2">
        <f t="shared" si="5"/>
        <v>8.4000000000000005E-2</v>
      </c>
      <c r="H35" s="2">
        <f t="shared" si="5"/>
        <v>0.15625</v>
      </c>
      <c r="I35" s="2">
        <f t="shared" si="5"/>
        <v>6.25E-2</v>
      </c>
      <c r="J35" s="2">
        <f t="shared" si="5"/>
        <v>1.25E-3</v>
      </c>
      <c r="K35" s="2">
        <f t="shared" si="5"/>
        <v>6.2500000000000003E-3</v>
      </c>
      <c r="L35" s="2">
        <f t="shared" si="5"/>
        <v>2.5000000000000001E-2</v>
      </c>
      <c r="M35" s="2">
        <f t="shared" si="5"/>
        <v>2.9749999999999999E-2</v>
      </c>
      <c r="N35" s="2">
        <f t="shared" si="5"/>
        <v>0</v>
      </c>
      <c r="O35" s="2">
        <f t="shared" si="5"/>
        <v>0</v>
      </c>
      <c r="P35" s="2">
        <f t="shared" si="5"/>
        <v>77.5</v>
      </c>
      <c r="Q35" s="2">
        <f t="shared" si="10"/>
        <v>103.125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125</v>
      </c>
      <c r="C36" s="2">
        <f t="shared" si="6"/>
        <v>100</v>
      </c>
      <c r="D36" s="2">
        <f t="shared" si="7"/>
        <v>65.866249999999994</v>
      </c>
      <c r="E36" s="2">
        <f t="shared" si="8"/>
        <v>24.1</v>
      </c>
      <c r="F36" s="2">
        <f t="shared" si="9"/>
        <v>10.362499999999999</v>
      </c>
      <c r="G36" s="2">
        <f t="shared" si="5"/>
        <v>8.4000000000000005E-2</v>
      </c>
      <c r="H36" s="2">
        <f t="shared" si="5"/>
        <v>0.15625</v>
      </c>
      <c r="I36" s="2">
        <f t="shared" si="5"/>
        <v>6.25E-2</v>
      </c>
      <c r="J36" s="2">
        <f t="shared" si="5"/>
        <v>1.25E-3</v>
      </c>
      <c r="K36" s="2">
        <f t="shared" si="5"/>
        <v>6.2500000000000003E-3</v>
      </c>
      <c r="L36" s="2">
        <f t="shared" si="5"/>
        <v>2.5000000000000001E-2</v>
      </c>
      <c r="M36" s="2">
        <f t="shared" si="5"/>
        <v>2.9749999999999999E-2</v>
      </c>
      <c r="N36" s="2">
        <f t="shared" si="5"/>
        <v>0</v>
      </c>
      <c r="O36" s="2">
        <f t="shared" si="5"/>
        <v>0</v>
      </c>
      <c r="P36" s="2">
        <f t="shared" si="5"/>
        <v>77.5</v>
      </c>
      <c r="Q36" s="2">
        <f t="shared" si="10"/>
        <v>103.125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125</v>
      </c>
      <c r="C37" s="2">
        <f t="shared" si="6"/>
        <v>100</v>
      </c>
      <c r="D37" s="2">
        <f t="shared" si="7"/>
        <v>65.866249999999994</v>
      </c>
      <c r="E37" s="2">
        <f t="shared" si="8"/>
        <v>24.1</v>
      </c>
      <c r="F37" s="2">
        <f t="shared" si="9"/>
        <v>10.362499999999999</v>
      </c>
      <c r="G37" s="2">
        <f t="shared" si="5"/>
        <v>8.4000000000000005E-2</v>
      </c>
      <c r="H37" s="2">
        <f t="shared" si="5"/>
        <v>0.15625</v>
      </c>
      <c r="I37" s="2">
        <f t="shared" si="5"/>
        <v>6.25E-2</v>
      </c>
      <c r="J37" s="2">
        <f t="shared" si="5"/>
        <v>1.25E-3</v>
      </c>
      <c r="K37" s="2">
        <f t="shared" si="5"/>
        <v>6.2500000000000003E-3</v>
      </c>
      <c r="L37" s="2">
        <f t="shared" si="5"/>
        <v>2.5000000000000001E-2</v>
      </c>
      <c r="M37" s="2">
        <f t="shared" si="5"/>
        <v>2.9749999999999999E-2</v>
      </c>
      <c r="N37" s="2">
        <f t="shared" si="5"/>
        <v>0</v>
      </c>
      <c r="O37" s="2">
        <f t="shared" si="5"/>
        <v>0</v>
      </c>
      <c r="P37" s="2">
        <f t="shared" si="5"/>
        <v>77.5</v>
      </c>
      <c r="Q37" s="2">
        <f t="shared" si="10"/>
        <v>103.125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8</v>
      </c>
      <c r="B38" s="23">
        <v>125</v>
      </c>
      <c r="C38" s="2">
        <f t="shared" si="6"/>
        <v>100</v>
      </c>
      <c r="D38" s="2">
        <f t="shared" si="7"/>
        <v>65.866249999999994</v>
      </c>
      <c r="E38" s="2">
        <f t="shared" si="8"/>
        <v>24.1</v>
      </c>
      <c r="F38" s="2">
        <f t="shared" si="9"/>
        <v>10.362499999999999</v>
      </c>
      <c r="G38" s="2">
        <f t="shared" si="5"/>
        <v>8.4000000000000005E-2</v>
      </c>
      <c r="H38" s="2">
        <f t="shared" si="5"/>
        <v>0.15625</v>
      </c>
      <c r="I38" s="2">
        <f t="shared" si="5"/>
        <v>6.25E-2</v>
      </c>
      <c r="J38" s="2">
        <f t="shared" si="5"/>
        <v>1.25E-3</v>
      </c>
      <c r="K38" s="2">
        <f t="shared" si="5"/>
        <v>6.2500000000000003E-3</v>
      </c>
      <c r="L38" s="2">
        <f t="shared" si="5"/>
        <v>2.5000000000000001E-2</v>
      </c>
      <c r="M38" s="2">
        <f t="shared" si="5"/>
        <v>2.9749999999999999E-2</v>
      </c>
      <c r="N38" s="2">
        <f t="shared" si="5"/>
        <v>0</v>
      </c>
      <c r="O38" s="2">
        <f t="shared" si="5"/>
        <v>0</v>
      </c>
      <c r="P38" s="2">
        <f t="shared" si="5"/>
        <v>77.5</v>
      </c>
      <c r="Q38" s="2">
        <f t="shared" si="10"/>
        <v>103.125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Arable</v>
      </c>
      <c r="C58" s="44" t="str">
        <f>D16&amp;" I "&amp;(VLOOKUP(D14,Table245[],6,FALSE))</f>
        <v>Medium/Clay I Arable</v>
      </c>
      <c r="D58" s="21" t="str">
        <f>E16&amp;" I "&amp;(VLOOKUP(E14,Table245[],6,FALSE))</f>
        <v>Medium/Clay I Arable</v>
      </c>
      <c r="E58" s="21" t="str">
        <f>F16&amp;" I "&amp;(VLOOKUP(F14,Table245[],6,FALSE))</f>
        <v>Medium/Clay I Grass</v>
      </c>
      <c r="F58" s="21" t="str">
        <f>G16&amp;" I "&amp;(VLOOKUP(G14,Table245[],6,FALSE))</f>
        <v>Medium/Clay I Arable</v>
      </c>
      <c r="G58" s="21" t="str">
        <f>H16&amp;" I "&amp;(VLOOKUP(H14,Table245[],6,FALSE))</f>
        <v>Medium/Clay I Arable</v>
      </c>
      <c r="H58" s="21" t="str">
        <f>I16&amp;" I "&amp;(VLOOKUP(I14,Table245[],6,FALSE))</f>
        <v>Medium/Clay I Arable</v>
      </c>
      <c r="I58" s="21" t="str">
        <f>J16&amp;" I "&amp;(VLOOKUP(J14,Table245[],6,FALSE))</f>
        <v>Medium/Clay I Arable</v>
      </c>
      <c r="J58" s="21" t="e">
        <f>K16&amp;" I "&amp;(VLOOKUP(K14,Table245[],6,FALSE))</f>
        <v>#N/A</v>
      </c>
      <c r="K58" s="21" t="e">
        <f>L16&amp;" I "&amp;(VLOOKUP(L14,Table245[],6,FALSE))</f>
        <v>#N/A</v>
      </c>
      <c r="L58" s="21" t="e">
        <f>M16&amp;" I "&amp;(VLOOKUP(M14,Table245[],6,FALSE))</f>
        <v>#N/A</v>
      </c>
      <c r="M58" s="21" t="e">
        <f>N16&amp;" I "&amp;(VLOOKUP(N14,Table245[],6,FALSE))</f>
        <v>#N/A</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6.7</v>
      </c>
      <c r="C59" s="93">
        <f>VLOOKUP(D$14,Table245[],5,FALSE)</f>
        <v>6.7</v>
      </c>
      <c r="D59" s="93">
        <f>VLOOKUP(E$14,Table245[],5,FALSE)</f>
        <v>6.7</v>
      </c>
      <c r="E59" s="93">
        <f>VLOOKUP(F$14,Table245[],5,FALSE)</f>
        <v>6.2</v>
      </c>
      <c r="F59" s="93">
        <f>VLOOKUP(G$14,Table245[],5,FALSE)</f>
        <v>6.7</v>
      </c>
      <c r="G59" s="93">
        <f>VLOOKUP(H$14,Table245[],5,FALSE)</f>
        <v>6.7</v>
      </c>
      <c r="H59" s="93">
        <f>VLOOKUP(I$14,Table245[],5,FALSE)</f>
        <v>6.7</v>
      </c>
      <c r="I59" s="93">
        <f>VLOOKUP(J$14,Table245[],5,FALSE)</f>
        <v>6.7</v>
      </c>
      <c r="J59" s="93" t="e">
        <f>VLOOKUP(K$14,Table245[],5,FALSE)</f>
        <v>#N/A</v>
      </c>
      <c r="K59" s="93" t="e">
        <f>VLOOKUP(L$14,Table245[],5,FALSE)</f>
        <v>#N/A</v>
      </c>
      <c r="L59" s="93" t="e">
        <f>VLOOKUP(M$14,Table245[],5,FALSE)</f>
        <v>#N/A</v>
      </c>
      <c r="M59" s="93" t="e">
        <f>VLOOKUP(N$14,Table245[],5,FALSE)</f>
        <v>#N/A</v>
      </c>
      <c r="N59" s="93" t="e">
        <f>VLOOKUP(O$14,Table245[],5,FALSE)</f>
        <v>#N/A</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5.0999999999999996</v>
      </c>
      <c r="C60" s="93">
        <f t="shared" ref="C60:U60" si="14">D10</f>
        <v>5.3</v>
      </c>
      <c r="D60" s="93">
        <f t="shared" si="14"/>
        <v>5.5</v>
      </c>
      <c r="E60" s="93">
        <f t="shared" si="14"/>
        <v>5.0999999999999996</v>
      </c>
      <c r="F60" s="93">
        <f t="shared" si="14"/>
        <v>5.3</v>
      </c>
      <c r="G60" s="93">
        <f t="shared" si="14"/>
        <v>5.2</v>
      </c>
      <c r="H60" s="93">
        <f t="shared" si="14"/>
        <v>5.6</v>
      </c>
      <c r="I60" s="93">
        <f t="shared" si="14"/>
        <v>5.7</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8</v>
      </c>
      <c r="E61" s="93">
        <f t="shared" si="15"/>
        <v>6</v>
      </c>
      <c r="F61" s="93">
        <f t="shared" si="15"/>
        <v>8</v>
      </c>
      <c r="G61" s="93">
        <f t="shared" si="15"/>
        <v>8</v>
      </c>
      <c r="H61" s="93">
        <f t="shared" si="15"/>
        <v>8</v>
      </c>
      <c r="I61" s="93">
        <f t="shared" si="15"/>
        <v>8</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125</v>
      </c>
      <c r="C62" s="94">
        <f>B32</f>
        <v>125</v>
      </c>
      <c r="D62" s="94">
        <f>B33</f>
        <v>125</v>
      </c>
      <c r="E62" s="94">
        <f>B34</f>
        <v>125</v>
      </c>
      <c r="F62" s="94">
        <f>B35</f>
        <v>125</v>
      </c>
      <c r="G62" s="94">
        <f>B36</f>
        <v>125</v>
      </c>
      <c r="H62" s="94">
        <f>B37</f>
        <v>125</v>
      </c>
      <c r="I62" s="94">
        <f>B38</f>
        <v>125</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12.800000000000004</v>
      </c>
      <c r="C64" s="94">
        <f t="shared" ref="C64:U64" si="17">(C59-C60)*C61</f>
        <v>11.200000000000003</v>
      </c>
      <c r="D64" s="94">
        <f t="shared" si="17"/>
        <v>9.6000000000000014</v>
      </c>
      <c r="E64" s="94">
        <f t="shared" si="17"/>
        <v>6.6000000000000032</v>
      </c>
      <c r="F64" s="94">
        <f t="shared" si="17"/>
        <v>11.200000000000003</v>
      </c>
      <c r="G64" s="94">
        <f t="shared" si="17"/>
        <v>12</v>
      </c>
      <c r="H64" s="94">
        <f t="shared" si="17"/>
        <v>8.8000000000000043</v>
      </c>
      <c r="I64" s="94">
        <f t="shared" si="17"/>
        <v>8</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9" priority="30" operator="equal">
      <formula>"DECREASE"</formula>
    </cfRule>
    <cfRule type="cellIs" dxfId="38" priority="31" operator="equal">
      <formula>"INCREASE"</formula>
    </cfRule>
  </conditionalFormatting>
  <conditionalFormatting sqref="B62:U65 B31:B50">
    <cfRule type="cellIs" dxfId="37" priority="29" operator="greaterThan">
      <formula>$B$51</formula>
    </cfRule>
  </conditionalFormatting>
  <conditionalFormatting sqref="C31:C50">
    <cfRule type="cellIs" dxfId="36" priority="28" operator="greaterThan">
      <formula>$C$51</formula>
    </cfRule>
  </conditionalFormatting>
  <conditionalFormatting sqref="C18:V18">
    <cfRule type="cellIs" dxfId="35" priority="27" operator="equal">
      <formula>0</formula>
    </cfRule>
  </conditionalFormatting>
  <conditionalFormatting sqref="C17:V17">
    <cfRule type="cellIs" dxfId="34" priority="26" operator="equal">
      <formula>0</formula>
    </cfRule>
  </conditionalFormatting>
  <conditionalFormatting sqref="C19:V19">
    <cfRule type="cellIs" dxfId="33" priority="25" operator="equal">
      <formula>0</formula>
    </cfRule>
  </conditionalFormatting>
  <conditionalFormatting sqref="G31:G50">
    <cfRule type="cellIs" dxfId="32" priority="24" operator="greaterThan">
      <formula>$G$51</formula>
    </cfRule>
  </conditionalFormatting>
  <conditionalFormatting sqref="H31:H50">
    <cfRule type="cellIs" dxfId="31" priority="23" operator="greaterThan">
      <formula>$H$51</formula>
    </cfRule>
  </conditionalFormatting>
  <conditionalFormatting sqref="I31:I50">
    <cfRule type="cellIs" dxfId="30" priority="22" operator="greaterThan">
      <formula>$I$51</formula>
    </cfRule>
  </conditionalFormatting>
  <conditionalFormatting sqref="K31:K50">
    <cfRule type="cellIs" dxfId="29" priority="21" operator="greaterThan">
      <formula>$K$51</formula>
    </cfRule>
  </conditionalFormatting>
  <conditionalFormatting sqref="L31:L50">
    <cfRule type="cellIs" dxfId="28" priority="20" operator="greaterThan">
      <formula>$L$51</formula>
    </cfRule>
  </conditionalFormatting>
  <conditionalFormatting sqref="M31:M50">
    <cfRule type="cellIs" dxfId="27" priority="19" operator="greaterThan">
      <formula>$M$51</formula>
    </cfRule>
  </conditionalFormatting>
  <conditionalFormatting sqref="P31:P50">
    <cfRule type="cellIs" dxfId="26" priority="18" operator="greaterThan">
      <formula>$P$51</formula>
    </cfRule>
  </conditionalFormatting>
  <conditionalFormatting sqref="R31:R50">
    <cfRule type="cellIs" dxfId="25" priority="17" operator="greaterThan">
      <formula>$R$51</formula>
    </cfRule>
  </conditionalFormatting>
  <conditionalFormatting sqref="S31:S50">
    <cfRule type="cellIs" dxfId="24" priority="16" operator="greaterThan">
      <formula>$S$51</formula>
    </cfRule>
  </conditionalFormatting>
  <conditionalFormatting sqref="T31:T50">
    <cfRule type="cellIs" dxfId="23" priority="15" operator="greaterThan">
      <formula>$T$51</formula>
    </cfRule>
  </conditionalFormatting>
  <conditionalFormatting sqref="U31:U50">
    <cfRule type="cellIs" dxfId="22" priority="14" operator="greaterThan">
      <formula>$U$51</formula>
    </cfRule>
  </conditionalFormatting>
  <conditionalFormatting sqref="C22:V22">
    <cfRule type="cellIs" dxfId="21" priority="13" operator="equal">
      <formula>0</formula>
    </cfRule>
  </conditionalFormatting>
  <conditionalFormatting sqref="C24:V24">
    <cfRule type="cellIs" dxfId="20" priority="11" operator="equal">
      <formula>"DECREASE"</formula>
    </cfRule>
    <cfRule type="cellIs" dxfId="19" priority="12" operator="equal">
      <formula>"INCREASE"</formula>
    </cfRule>
  </conditionalFormatting>
  <conditionalFormatting sqref="C23:V23">
    <cfRule type="cellIs" dxfId="18" priority="10" operator="equal">
      <formula>0</formula>
    </cfRule>
  </conditionalFormatting>
  <conditionalFormatting sqref="I1">
    <cfRule type="cellIs" dxfId="17" priority="9" operator="lessThan">
      <formula>5</formula>
    </cfRule>
  </conditionalFormatting>
  <conditionalFormatting sqref="C21:V21">
    <cfRule type="cellIs" dxfId="16" priority="6" operator="equal">
      <formula>0</formula>
    </cfRule>
  </conditionalFormatting>
  <conditionalFormatting sqref="B65:U65">
    <cfRule type="cellIs" dxfId="15" priority="4" operator="equal">
      <formula>"UNDER"</formula>
    </cfRule>
    <cfRule type="cellIs" dxfId="14" priority="5" operator="equal">
      <formula>"OVER"</formula>
    </cfRule>
  </conditionalFormatting>
  <conditionalFormatting sqref="I2">
    <cfRule type="cellIs" dxfId="13" priority="3" operator="greaterThan">
      <formula>5000.1</formula>
    </cfRule>
  </conditionalFormatting>
  <conditionalFormatting sqref="I3">
    <cfRule type="cellIs" dxfId="12" priority="2" operator="greaterThan">
      <formula>4.1</formula>
    </cfRule>
  </conditionalFormatting>
  <conditionalFormatting sqref="J31:J50">
    <cfRule type="cellIs" dxfId="11" priority="1" operator="greaterThan">
      <formula>$J$51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54" ma:contentTypeDescription="Permitting &amp; Compliance Excel Document" ma:contentTypeScope="" ma:versionID="1fbbe51468295724527f2ae6ab308c90">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e735e5a36dcd1f688899cef58a2c654d"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2021-07-19T23:00:00+00:00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Andrew Thomas And Mr Bryan Thomas</Customer_x0020_Name>
    <Surrendered_x002f_Expired_x0020_Date xmlns="859f7ad6-93f6-4205-b62b-a17f28acbbac" xsi:nil="true"/>
    <IconOverlay xmlns="http://schemas.microsoft.com/sharepoint/v4"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643F9E0E-9841-4445-9214-45BEFF2D43C1}"/>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9be56660-2c31-41ef-bc00-23e72f632f2a"/>
    <ds:schemaRef ds:uri="http://schemas.microsoft.com/office/infopath/2007/PartnerControls"/>
    <ds:schemaRef ds:uri="http://purl.org/dc/term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 ds:uri="http://purl.org/dc/dcmitype/"/>
  </ds:schemaRefs>
</ds:datastoreItem>
</file>

<file path=customXml/itemProps5.xml><?xml version="1.0" encoding="utf-8"?>
<ds:datastoreItem xmlns:ds="http://schemas.openxmlformats.org/officeDocument/2006/customXml" ds:itemID="{C6F821F7-6FF9-4663-A428-5F414CE16D6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Field data and Waste 1</vt:lpstr>
      <vt:lpstr>Waste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2021-07-20T07:59:13Z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119c03e7-f71f-42cf-bf75-d422da902155</vt:lpwstr>
  </property>
  <property fmtid="{D5CDD505-2E9C-101B-9397-08002B2CF9AE}" pid="4" name="_dlc_DocId">
    <vt:lpwstr>REGU-195-2422708</vt:lpwstr>
  </property>
  <property fmtid="{D5CDD505-2E9C-101B-9397-08002B2CF9AE}" pid="5" name="_dlc_DocIdUrl">
    <vt:lpwstr>https://cyfoethnaturiolcymru.sharepoint.com/teams/Regulatory/Permitting/_layouts/15/DocIdRedir.aspx?ID=REGU-195-2422708, REGU-195-2422708</vt:lpwstr>
  </property>
</Properties>
</file>