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015166 dep/"/>
    </mc:Choice>
  </mc:AlternateContent>
  <xr:revisionPtr revIDLastSave="0" documentId="13_ncr:1_{E2B682BD-7D6E-4CB0-825E-2E1BE955DD1E}" xr6:coauthVersionLast="45" xr6:coauthVersionMax="45" xr10:uidLastSave="{00000000-0000-0000-0000-000000000000}"/>
  <bookViews>
    <workbookView xWindow="-120" yWindow="-120" windowWidth="29040" windowHeight="15840" tabRatio="898" xr2:uid="{00000000-000D-0000-FFFF-FFFF00000000}"/>
  </bookViews>
  <sheets>
    <sheet name="DCWW Bolton Hill" sheetId="1" r:id="rId1"/>
    <sheet name="DCWW Bontgoch" sheetId="21" r:id="rId2"/>
    <sheet name="DCWW Bryngwyn" sheetId="27" r:id="rId3"/>
    <sheet name="DCWW Capel Dewi" sheetId="28" r:id="rId4"/>
    <sheet name="DCWW Cefn Dryscoed" sheetId="30" r:id="rId5"/>
    <sheet name="DCWW Crai" sheetId="26" r:id="rId6"/>
    <sheet name="DCWW Hirwaun" sheetId="24" r:id="rId7"/>
    <sheet name="DCWW Llechryd" sheetId="29" r:id="rId8"/>
    <sheet name="DCWW Preseli" sheetId="23" r:id="rId9"/>
    <sheet name="DCWW Strata Florida"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65" i="1" l="1"/>
  <c r="O65" i="1"/>
  <c r="P65" i="1"/>
  <c r="Q65" i="1"/>
  <c r="R65" i="1"/>
  <c r="S65" i="1"/>
  <c r="T65" i="1"/>
  <c r="U65" i="1"/>
  <c r="N65" i="21"/>
  <c r="O65" i="21"/>
  <c r="P65" i="21"/>
  <c r="Q65" i="21"/>
  <c r="R65" i="21"/>
  <c r="S65" i="21"/>
  <c r="T65" i="21"/>
  <c r="U65" i="21"/>
  <c r="N65" i="27"/>
  <c r="O65" i="27"/>
  <c r="P65" i="27"/>
  <c r="Q65" i="27"/>
  <c r="R65" i="27"/>
  <c r="S65" i="27"/>
  <c r="T65" i="27"/>
  <c r="U65" i="27"/>
  <c r="N65" i="28"/>
  <c r="O65" i="28"/>
  <c r="P65" i="28"/>
  <c r="Q65" i="28"/>
  <c r="R65" i="28"/>
  <c r="S65" i="28"/>
  <c r="T65" i="28"/>
  <c r="U65" i="28"/>
  <c r="N65" i="30"/>
  <c r="O65" i="30"/>
  <c r="P65" i="30"/>
  <c r="Q65" i="30"/>
  <c r="R65" i="30"/>
  <c r="S65" i="30"/>
  <c r="T65" i="30"/>
  <c r="U65" i="30"/>
  <c r="N65" i="26"/>
  <c r="O65" i="26"/>
  <c r="P65" i="26"/>
  <c r="Q65" i="26"/>
  <c r="R65" i="26"/>
  <c r="S65" i="26"/>
  <c r="T65" i="26"/>
  <c r="U65" i="26"/>
  <c r="N65" i="24"/>
  <c r="O65" i="24"/>
  <c r="P65" i="24"/>
  <c r="Q65" i="24"/>
  <c r="R65" i="24"/>
  <c r="S65" i="24"/>
  <c r="T65" i="24"/>
  <c r="U65" i="24"/>
  <c r="N65" i="29"/>
  <c r="O65" i="29"/>
  <c r="P65" i="29"/>
  <c r="Q65" i="29"/>
  <c r="R65" i="29"/>
  <c r="S65" i="29"/>
  <c r="T65" i="29"/>
  <c r="U65" i="29"/>
  <c r="N65" i="23"/>
  <c r="O65" i="23"/>
  <c r="P65" i="23"/>
  <c r="Q65" i="23"/>
  <c r="R65" i="23"/>
  <c r="S65" i="23"/>
  <c r="T65" i="23"/>
  <c r="U65" i="23"/>
  <c r="N65" i="22"/>
  <c r="O65" i="22"/>
  <c r="P65" i="22"/>
  <c r="Q65" i="22"/>
  <c r="R65" i="22"/>
  <c r="S65" i="22"/>
  <c r="T65" i="22"/>
  <c r="U65" i="22"/>
  <c r="L3" i="27"/>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U62" i="30" l="1"/>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2" i="30"/>
  <c r="N22" i="30"/>
  <c r="V20" i="30"/>
  <c r="U20" i="30"/>
  <c r="T20" i="30"/>
  <c r="S20" i="30"/>
  <c r="R20" i="30"/>
  <c r="Q20" i="30"/>
  <c r="P20" i="30"/>
  <c r="O20" i="30"/>
  <c r="Q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31" i="29"/>
  <c r="V20" i="29"/>
  <c r="U20" i="29"/>
  <c r="T20" i="29"/>
  <c r="S20" i="29"/>
  <c r="R20" i="29"/>
  <c r="Q20" i="29"/>
  <c r="P20" i="29"/>
  <c r="O20" i="29"/>
  <c r="U18" i="29"/>
  <c r="T18" i="29"/>
  <c r="R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0" i="28"/>
  <c r="U20" i="28"/>
  <c r="T20" i="28"/>
  <c r="S20" i="28"/>
  <c r="R20" i="28"/>
  <c r="Q20" i="28"/>
  <c r="P20" i="28"/>
  <c r="O20" i="28"/>
  <c r="V18" i="28"/>
  <c r="U18" i="28"/>
  <c r="R18" i="28"/>
  <c r="P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0" i="27"/>
  <c r="U20" i="27"/>
  <c r="T20" i="27"/>
  <c r="S20" i="27"/>
  <c r="R20" i="27"/>
  <c r="Q20" i="27"/>
  <c r="P20" i="27"/>
  <c r="O20" i="27"/>
  <c r="U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0" i="26"/>
  <c r="U20" i="26"/>
  <c r="T20" i="26"/>
  <c r="S20" i="26"/>
  <c r="R20" i="26"/>
  <c r="Q20" i="26"/>
  <c r="P20" i="26"/>
  <c r="O20" i="26"/>
  <c r="V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0" i="24"/>
  <c r="U20" i="24"/>
  <c r="T20" i="24"/>
  <c r="S20" i="24"/>
  <c r="R20" i="24"/>
  <c r="Q20" i="24"/>
  <c r="P20" i="24"/>
  <c r="O20"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I22" i="23"/>
  <c r="V20" i="23"/>
  <c r="U20" i="23"/>
  <c r="T20" i="23"/>
  <c r="S20" i="23"/>
  <c r="R20" i="23"/>
  <c r="Q20" i="23"/>
  <c r="P20" i="23"/>
  <c r="O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O22" i="22"/>
  <c r="M22" i="22"/>
  <c r="V20" i="22"/>
  <c r="U20" i="22"/>
  <c r="T20" i="22"/>
  <c r="S20" i="22"/>
  <c r="R20" i="22"/>
  <c r="Q20" i="22"/>
  <c r="P20" i="22"/>
  <c r="O20"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O20" i="21"/>
  <c r="V18" i="21"/>
  <c r="F58" i="21" l="1"/>
  <c r="F61" i="21" s="1"/>
  <c r="U57" i="21"/>
  <c r="T63" i="26"/>
  <c r="U63" i="26"/>
  <c r="F57" i="21"/>
  <c r="O58" i="21"/>
  <c r="O61" i="21" s="1"/>
  <c r="C22" i="22"/>
  <c r="G58" i="21"/>
  <c r="G61" i="21" s="1"/>
  <c r="T58" i="21"/>
  <c r="T61" i="21" s="1"/>
  <c r="L58" i="21"/>
  <c r="L61" i="21" s="1"/>
  <c r="L64" i="21" s="1"/>
  <c r="D58" i="21"/>
  <c r="D61" i="21" s="1"/>
  <c r="G17" i="27"/>
  <c r="O17" i="27"/>
  <c r="O19" i="27" s="1"/>
  <c r="E59" i="26"/>
  <c r="F17" i="26"/>
  <c r="F19" i="26" s="1"/>
  <c r="F20" i="26" s="1"/>
  <c r="F21" i="26"/>
  <c r="F23" i="26" s="1"/>
  <c r="F24" i="26" s="1"/>
  <c r="M59" i="26"/>
  <c r="N17" i="26"/>
  <c r="N19" i="26" s="1"/>
  <c r="N20" i="26" s="1"/>
  <c r="N21" i="26"/>
  <c r="N23" i="26" s="1"/>
  <c r="N24" i="26" s="1"/>
  <c r="U59" i="26"/>
  <c r="V21" i="26"/>
  <c r="V17" i="26"/>
  <c r="V19" i="26" s="1"/>
  <c r="C59" i="29"/>
  <c r="D21" i="29"/>
  <c r="D23" i="29" s="1"/>
  <c r="D24" i="29" s="1"/>
  <c r="D17" i="29"/>
  <c r="D19" i="29" s="1"/>
  <c r="D20" i="29" s="1"/>
  <c r="K59" i="29"/>
  <c r="L21" i="29"/>
  <c r="L17" i="29"/>
  <c r="S59" i="29"/>
  <c r="T21" i="29"/>
  <c r="T17" i="29"/>
  <c r="U63" i="24"/>
  <c r="F63" i="24"/>
  <c r="N63" i="24"/>
  <c r="D59" i="28"/>
  <c r="E17" i="28"/>
  <c r="E21" i="28"/>
  <c r="E23" i="28" s="1"/>
  <c r="E24" i="28" s="1"/>
  <c r="L59" i="28"/>
  <c r="M17" i="28"/>
  <c r="M19" i="28" s="1"/>
  <c r="M20" i="28" s="1"/>
  <c r="M21" i="28"/>
  <c r="T59" i="28"/>
  <c r="U17" i="28"/>
  <c r="U21" i="28"/>
  <c r="U23" i="28" s="1"/>
  <c r="U24" i="28" s="1"/>
  <c r="I59" i="21"/>
  <c r="J17" i="21"/>
  <c r="J19" i="21" s="1"/>
  <c r="J20" i="21" s="1"/>
  <c r="J21" i="21"/>
  <c r="J23" i="21" s="1"/>
  <c r="J24" i="21" s="1"/>
  <c r="C59" i="22"/>
  <c r="D21" i="22"/>
  <c r="D23" i="22" s="1"/>
  <c r="D24" i="22" s="1"/>
  <c r="D17" i="22"/>
  <c r="D19" i="22" s="1"/>
  <c r="D20" i="22" s="1"/>
  <c r="O21" i="23"/>
  <c r="O23" i="23" s="1"/>
  <c r="O24" i="23" s="1"/>
  <c r="O17" i="23"/>
  <c r="Q59" i="21"/>
  <c r="R21" i="21"/>
  <c r="R17" i="21"/>
  <c r="K59" i="22"/>
  <c r="L21" i="22"/>
  <c r="L17" i="22"/>
  <c r="U63" i="21"/>
  <c r="N63" i="21"/>
  <c r="F63" i="21"/>
  <c r="P59" i="21"/>
  <c r="Q21" i="21"/>
  <c r="Q23" i="21" s="1"/>
  <c r="Q24" i="21" s="1"/>
  <c r="Q17" i="21"/>
  <c r="I17" i="21"/>
  <c r="I19" i="21" s="1"/>
  <c r="I20" i="21" s="1"/>
  <c r="I21" i="21"/>
  <c r="D59" i="22"/>
  <c r="E21" i="22"/>
  <c r="E23" i="22" s="1"/>
  <c r="E24" i="22" s="1"/>
  <c r="E17" i="22"/>
  <c r="L59" i="22"/>
  <c r="M21" i="22"/>
  <c r="M23" i="22" s="1"/>
  <c r="M24" i="22" s="1"/>
  <c r="M17" i="22"/>
  <c r="M19" i="22" s="1"/>
  <c r="M20" i="22" s="1"/>
  <c r="T59" i="22"/>
  <c r="U21" i="22"/>
  <c r="U17" i="22"/>
  <c r="U19" i="22" s="1"/>
  <c r="D59" i="27"/>
  <c r="E17" i="27"/>
  <c r="E19" i="27" s="1"/>
  <c r="E20" i="27" s="1"/>
  <c r="L59" i="27"/>
  <c r="M17" i="27"/>
  <c r="M19" i="27" s="1"/>
  <c r="M20" i="27" s="1"/>
  <c r="T59" i="27"/>
  <c r="U17" i="27"/>
  <c r="S59" i="22"/>
  <c r="T21" i="22"/>
  <c r="T17" i="22"/>
  <c r="G21" i="23"/>
  <c r="G23" i="23" s="1"/>
  <c r="G24" i="23" s="1"/>
  <c r="G17" i="23"/>
  <c r="I59" i="24"/>
  <c r="J21" i="24"/>
  <c r="J17" i="24"/>
  <c r="J19" i="24" s="1"/>
  <c r="J20" i="24" s="1"/>
  <c r="Q59" i="24"/>
  <c r="R21" i="24"/>
  <c r="R17" i="24"/>
  <c r="C18" i="29"/>
  <c r="C22" i="21"/>
  <c r="K59" i="21"/>
  <c r="L17" i="21"/>
  <c r="L19" i="21" s="1"/>
  <c r="L20" i="21" s="1"/>
  <c r="L21" i="21"/>
  <c r="I59" i="22"/>
  <c r="J17" i="22"/>
  <c r="J21" i="22"/>
  <c r="J23" i="22" s="1"/>
  <c r="J24"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S24" i="22" s="1"/>
  <c r="D59" i="23"/>
  <c r="E17" i="23"/>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23" i="26" s="1"/>
  <c r="L24" i="26" s="1"/>
  <c r="L17" i="26"/>
  <c r="S59" i="26"/>
  <c r="T21" i="26"/>
  <c r="T17" i="26"/>
  <c r="N63" i="26"/>
  <c r="J59" i="27"/>
  <c r="K17" i="27"/>
  <c r="K19" i="27" s="1"/>
  <c r="K20" i="27" s="1"/>
  <c r="R59" i="27"/>
  <c r="S17" i="27"/>
  <c r="S19" i="27" s="1"/>
  <c r="J59" i="28"/>
  <c r="K17" i="28"/>
  <c r="K21" i="28"/>
  <c r="R59" i="28"/>
  <c r="S17" i="28"/>
  <c r="S21" i="28"/>
  <c r="S23" i="28" s="1"/>
  <c r="S24" i="28" s="1"/>
  <c r="I59" i="29"/>
  <c r="J17" i="29"/>
  <c r="J19" i="29" s="1"/>
  <c r="J20" i="29" s="1"/>
  <c r="J21" i="29"/>
  <c r="J23" i="29" s="1"/>
  <c r="J24" i="29" s="1"/>
  <c r="Q59" i="29"/>
  <c r="R21" i="29"/>
  <c r="R23" i="29" s="1"/>
  <c r="R24" i="29" s="1"/>
  <c r="R17" i="29"/>
  <c r="H59" i="30"/>
  <c r="I17" i="30"/>
  <c r="I19" i="30" s="1"/>
  <c r="I20" i="30" s="1"/>
  <c r="I21" i="30"/>
  <c r="I23" i="30" s="1"/>
  <c r="I24" i="30" s="1"/>
  <c r="Q17" i="30"/>
  <c r="Q21" i="30"/>
  <c r="E59" i="23"/>
  <c r="F21" i="23"/>
  <c r="F17" i="23"/>
  <c r="F19" i="23" s="1"/>
  <c r="F20" i="23" s="1"/>
  <c r="M59" i="23"/>
  <c r="N21" i="23"/>
  <c r="N23" i="23" s="1"/>
  <c r="N24" i="23" s="1"/>
  <c r="N17" i="23"/>
  <c r="N19" i="23" s="1"/>
  <c r="N20" i="23" s="1"/>
  <c r="U59" i="23"/>
  <c r="V21" i="23"/>
  <c r="V23" i="23" s="1"/>
  <c r="V24" i="23" s="1"/>
  <c r="V17" i="23"/>
  <c r="I17" i="24"/>
  <c r="I19" i="24" s="1"/>
  <c r="I20" i="24" s="1"/>
  <c r="I21" i="24"/>
  <c r="I23" i="24" s="1"/>
  <c r="I24" i="24" s="1"/>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23" i="28" s="1"/>
  <c r="L24" i="28" s="1"/>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24" i="30" s="1"/>
  <c r="R17" i="30"/>
  <c r="J59" i="30"/>
  <c r="K17" i="30"/>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1" i="23"/>
  <c r="J59" i="24"/>
  <c r="K21" i="24"/>
  <c r="K17" i="24"/>
  <c r="K19" i="24" s="1"/>
  <c r="K20" i="24" s="1"/>
  <c r="R59" i="24"/>
  <c r="S21" i="24"/>
  <c r="S23" i="24" s="1"/>
  <c r="S24" i="24" s="1"/>
  <c r="S17" i="24"/>
  <c r="G21" i="26"/>
  <c r="G17" i="26"/>
  <c r="G19" i="26" s="1"/>
  <c r="G20" i="26" s="1"/>
  <c r="O17" i="26"/>
  <c r="O21" i="26"/>
  <c r="E59" i="27"/>
  <c r="F17" i="27"/>
  <c r="F19" i="27" s="1"/>
  <c r="F20" i="27" s="1"/>
  <c r="M59" i="27"/>
  <c r="N17" i="27"/>
  <c r="N19" i="27" s="1"/>
  <c r="N20" i="27" s="1"/>
  <c r="U59" i="27"/>
  <c r="V17" i="27"/>
  <c r="E59" i="28"/>
  <c r="F17" i="28"/>
  <c r="F19" i="28" s="1"/>
  <c r="F20" i="28" s="1"/>
  <c r="F21" i="28"/>
  <c r="M59" i="28"/>
  <c r="N17" i="28"/>
  <c r="N19" i="28" s="1"/>
  <c r="N20" i="28" s="1"/>
  <c r="N21" i="28"/>
  <c r="N23" i="28" s="1"/>
  <c r="N24" i="28" s="1"/>
  <c r="U59" i="28"/>
  <c r="V17" i="28"/>
  <c r="V21" i="28"/>
  <c r="D59" i="29"/>
  <c r="E17" i="29"/>
  <c r="E21" i="29"/>
  <c r="E23" i="29" s="1"/>
  <c r="E24" i="29" s="1"/>
  <c r="L59" i="29"/>
  <c r="M17" i="29"/>
  <c r="M19" i="29" s="1"/>
  <c r="M20" i="29" s="1"/>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R59" i="30"/>
  <c r="S17" i="30"/>
  <c r="S21" i="30"/>
  <c r="A34" i="21"/>
  <c r="N59" i="21"/>
  <c r="N64" i="21" s="1"/>
  <c r="N66" i="21" s="1"/>
  <c r="O21" i="21"/>
  <c r="O23" i="21" s="1"/>
  <c r="O24" i="21" s="1"/>
  <c r="O17" i="21"/>
  <c r="O19" i="21" s="1"/>
  <c r="F59" i="21"/>
  <c r="G21" i="21"/>
  <c r="G23" i="21" s="1"/>
  <c r="G24" i="21" s="1"/>
  <c r="G17" i="21"/>
  <c r="G17" i="22"/>
  <c r="G21" i="22"/>
  <c r="O17" i="22"/>
  <c r="O19" i="22" s="1"/>
  <c r="O21" i="22"/>
  <c r="O23" i="22" s="1"/>
  <c r="O24" i="22" s="1"/>
  <c r="H59" i="23"/>
  <c r="I21" i="23"/>
  <c r="I23" i="23" s="1"/>
  <c r="I24" i="23" s="1"/>
  <c r="I17" i="23"/>
  <c r="P59" i="23"/>
  <c r="Q17" i="23"/>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M59" i="29"/>
  <c r="N17" i="29"/>
  <c r="N21" i="29"/>
  <c r="N23" i="29" s="1"/>
  <c r="N24" i="29" s="1"/>
  <c r="U59" i="29"/>
  <c r="V17" i="29"/>
  <c r="V21" i="29"/>
  <c r="V23" i="29" s="1"/>
  <c r="V24" i="29" s="1"/>
  <c r="D59" i="30"/>
  <c r="E17" i="30"/>
  <c r="E21" i="30"/>
  <c r="L59" i="30"/>
  <c r="M17" i="30"/>
  <c r="M21" i="30"/>
  <c r="M23" i="30" s="1"/>
  <c r="M24" i="30" s="1"/>
  <c r="T59" i="30"/>
  <c r="U17" i="30"/>
  <c r="U19" i="30" s="1"/>
  <c r="U21" i="30"/>
  <c r="M59" i="21"/>
  <c r="N17" i="21"/>
  <c r="N19" i="21" s="1"/>
  <c r="N20" i="21" s="1"/>
  <c r="N21" i="21"/>
  <c r="N23" i="21" s="1"/>
  <c r="N24" i="21" s="1"/>
  <c r="G59" i="22"/>
  <c r="H21" i="22"/>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23" i="30" s="1"/>
  <c r="N24" i="30" s="1"/>
  <c r="N17" i="30"/>
  <c r="N19" i="30" s="1"/>
  <c r="N20" i="30" s="1"/>
  <c r="U59" i="30"/>
  <c r="V21" i="30"/>
  <c r="V23" i="30" s="1"/>
  <c r="V24" i="30" s="1"/>
  <c r="V17" i="30"/>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M23" i="21" s="1"/>
  <c r="M24" i="21" s="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H19" i="29" s="1"/>
  <c r="H20" i="29" s="1"/>
  <c r="P21" i="29"/>
  <c r="P23" i="29" s="1"/>
  <c r="P24" i="29" s="1"/>
  <c r="P17" i="29"/>
  <c r="G21" i="30"/>
  <c r="G17" i="30"/>
  <c r="O21" i="30"/>
  <c r="O17" i="30"/>
  <c r="O19" i="30"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C64" i="21" s="1"/>
  <c r="G23" i="22"/>
  <c r="G24" i="22" s="1"/>
  <c r="K58" i="21"/>
  <c r="K61" i="21" s="1"/>
  <c r="K64"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D64" i="30" s="1"/>
  <c r="L58" i="30"/>
  <c r="L61" i="30" s="1"/>
  <c r="R58" i="23"/>
  <c r="R61" i="23" s="1"/>
  <c r="H21" i="27"/>
  <c r="H23" i="27" s="1"/>
  <c r="H24" i="27" s="1"/>
  <c r="P21" i="27"/>
  <c r="J58" i="22"/>
  <c r="J61" i="22" s="1"/>
  <c r="J58" i="26"/>
  <c r="J61" i="26" s="1"/>
  <c r="R19" i="23"/>
  <c r="J58" i="27"/>
  <c r="J61" i="27" s="1"/>
  <c r="J64" i="27" s="1"/>
  <c r="J65"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I65" i="23" s="1"/>
  <c r="Q58" i="23"/>
  <c r="Q61" i="23" s="1"/>
  <c r="L58" i="29"/>
  <c r="L61" i="29" s="1"/>
  <c r="T58" i="29"/>
  <c r="T61" i="29" s="1"/>
  <c r="T64" i="29"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Q24" i="22"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H58" i="30"/>
  <c r="H61" i="30" s="1"/>
  <c r="N59" i="30"/>
  <c r="Q57" i="21"/>
  <c r="B58" i="21"/>
  <c r="B61" i="21" s="1"/>
  <c r="I58" i="22"/>
  <c r="I61" i="22" s="1"/>
  <c r="I64"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H24" i="22" s="1"/>
  <c r="P23" i="22"/>
  <c r="P24" i="22" s="1"/>
  <c r="C58" i="22"/>
  <c r="C61" i="22" s="1"/>
  <c r="C64" i="22" s="1"/>
  <c r="C65" i="22" s="1"/>
  <c r="K58" i="22"/>
  <c r="K61" i="22" s="1"/>
  <c r="K64" i="22" s="1"/>
  <c r="S58" i="22"/>
  <c r="S61" i="22" s="1"/>
  <c r="S64" i="22" s="1"/>
  <c r="F57" i="23"/>
  <c r="D23" i="24"/>
  <c r="D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G57" i="21"/>
  <c r="J19" i="22"/>
  <c r="J20" i="22" s="1"/>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H64" i="30"/>
  <c r="O23" i="30"/>
  <c r="O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V19" i="30"/>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U19" i="29"/>
  <c r="U23" i="29"/>
  <c r="U24" i="29" s="1"/>
  <c r="I57" i="29"/>
  <c r="Q57" i="29"/>
  <c r="I63" i="29"/>
  <c r="Q63" i="29"/>
  <c r="F19" i="29"/>
  <c r="F20" i="29" s="1"/>
  <c r="N19" i="29"/>
  <c r="N20" i="29" s="1"/>
  <c r="V19" i="29"/>
  <c r="F23" i="29"/>
  <c r="F24" i="29" s="1"/>
  <c r="B63" i="29"/>
  <c r="J63" i="29"/>
  <c r="R63" i="29"/>
  <c r="L19" i="29"/>
  <c r="L20" i="29" s="1"/>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T23" i="28"/>
  <c r="T24" i="28" s="1"/>
  <c r="H59" i="28"/>
  <c r="P59" i="28"/>
  <c r="H63" i="28"/>
  <c r="P63" i="28"/>
  <c r="E19" i="28"/>
  <c r="E20" i="28" s="1"/>
  <c r="U19" i="28"/>
  <c r="M23" i="28"/>
  <c r="M24" i="28" s="1"/>
  <c r="I57" i="28"/>
  <c r="Q57" i="28"/>
  <c r="I63" i="28"/>
  <c r="Q63" i="28"/>
  <c r="R19" i="28"/>
  <c r="V19" i="28"/>
  <c r="F23" i="28"/>
  <c r="F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L20" i="26" s="1"/>
  <c r="T19" i="26"/>
  <c r="T23" i="26"/>
  <c r="T24" i="26" s="1"/>
  <c r="H63" i="26"/>
  <c r="P63" i="26"/>
  <c r="M19" i="26"/>
  <c r="M20" i="26" s="1"/>
  <c r="M23" i="26"/>
  <c r="M24" i="26" s="1"/>
  <c r="I57" i="26"/>
  <c r="Q57" i="26"/>
  <c r="I59" i="26"/>
  <c r="Q59" i="26"/>
  <c r="Q64" i="26" s="1"/>
  <c r="I63" i="26"/>
  <c r="Q63" i="26"/>
  <c r="V23" i="26"/>
  <c r="V24" i="26" s="1"/>
  <c r="B63" i="26"/>
  <c r="J63" i="26"/>
  <c r="R63" i="26"/>
  <c r="O19" i="26"/>
  <c r="A32" i="26"/>
  <c r="A34" i="26"/>
  <c r="A40" i="26"/>
  <c r="A42" i="26"/>
  <c r="A48" i="26"/>
  <c r="A50" i="26"/>
  <c r="C63" i="26"/>
  <c r="K63" i="26"/>
  <c r="S63" i="26"/>
  <c r="P19" i="26"/>
  <c r="D63" i="26"/>
  <c r="L63" i="26"/>
  <c r="J23" i="24"/>
  <c r="J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M19" i="23"/>
  <c r="M20" i="23" s="1"/>
  <c r="E23" i="23"/>
  <c r="E24" i="23" s="1"/>
  <c r="M23" i="23"/>
  <c r="M24" i="23" s="1"/>
  <c r="I57" i="23"/>
  <c r="Q57" i="23"/>
  <c r="F23" i="23"/>
  <c r="F24" i="23" s="1"/>
  <c r="G19" i="23"/>
  <c r="G20" i="23" s="1"/>
  <c r="O19" i="23"/>
  <c r="A32" i="23"/>
  <c r="A34" i="23"/>
  <c r="A40" i="23"/>
  <c r="A42" i="23"/>
  <c r="A48" i="23"/>
  <c r="A50" i="23"/>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L20" i="22" s="1"/>
  <c r="T19" i="22"/>
  <c r="L23" i="22"/>
  <c r="L24" i="22" s="1"/>
  <c r="T23" i="22"/>
  <c r="T24" i="22" s="1"/>
  <c r="K23" i="22"/>
  <c r="K24" i="22" s="1"/>
  <c r="A31" i="22"/>
  <c r="A33" i="22"/>
  <c r="A41" i="22"/>
  <c r="A47" i="22"/>
  <c r="E19" i="22"/>
  <c r="E20" i="22" s="1"/>
  <c r="U23" i="22"/>
  <c r="U24" i="22" s="1"/>
  <c r="I57" i="22"/>
  <c r="Q57" i="22"/>
  <c r="K19" i="22"/>
  <c r="K20" i="22" s="1"/>
  <c r="A39" i="22"/>
  <c r="A49" i="22"/>
  <c r="N19" i="22"/>
  <c r="N20" i="22" s="1"/>
  <c r="V19" i="22"/>
  <c r="V23" i="22"/>
  <c r="V24" i="22" s="1"/>
  <c r="G19" i="22"/>
  <c r="G20" i="22" s="1"/>
  <c r="A32" i="22"/>
  <c r="A34" i="22"/>
  <c r="A40" i="22"/>
  <c r="A42" i="22"/>
  <c r="A48" i="22"/>
  <c r="A50" i="22"/>
  <c r="P19" i="22"/>
  <c r="P64" i="21"/>
  <c r="L23" i="21"/>
  <c r="L24" i="21" s="1"/>
  <c r="F23" i="21"/>
  <c r="F24" i="21" s="1"/>
  <c r="A33" i="21"/>
  <c r="A37" i="21"/>
  <c r="A41" i="21"/>
  <c r="A45" i="21"/>
  <c r="A49" i="21"/>
  <c r="E58" i="21"/>
  <c r="E61" i="21" s="1"/>
  <c r="M58" i="21"/>
  <c r="M61" i="21" s="1"/>
  <c r="U58" i="21"/>
  <c r="U61" i="21" s="1"/>
  <c r="U64" i="21" s="1"/>
  <c r="U66" i="21" s="1"/>
  <c r="S19" i="21"/>
  <c r="I23" i="21"/>
  <c r="I24" i="21" s="1"/>
  <c r="C57" i="21"/>
  <c r="K57" i="21"/>
  <c r="S57" i="21"/>
  <c r="G19" i="21"/>
  <c r="G20" i="21" s="1"/>
  <c r="Q19" i="21"/>
  <c r="R23" i="21"/>
  <c r="R24" i="21" s="1"/>
  <c r="R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B64" i="24" l="1"/>
  <c r="B65" i="24" s="1"/>
  <c r="I65" i="29"/>
  <c r="C23" i="22"/>
  <c r="C24" i="22" s="1"/>
  <c r="C23" i="21"/>
  <c r="C24" i="21" s="1"/>
  <c r="M65" i="22"/>
  <c r="E65" i="22"/>
  <c r="I65" i="22"/>
  <c r="K65" i="22"/>
  <c r="E65" i="23"/>
  <c r="J65" i="23"/>
  <c r="C19" i="29"/>
  <c r="C20" i="29" s="1"/>
  <c r="L65" i="24"/>
  <c r="J65" i="24"/>
  <c r="E65" i="30"/>
  <c r="K65" i="30"/>
  <c r="D65" i="30"/>
  <c r="H65" i="30"/>
  <c r="I65" i="30"/>
  <c r="J65" i="28"/>
  <c r="E65" i="27"/>
  <c r="K65" i="27"/>
  <c r="C65" i="27"/>
  <c r="K65" i="21"/>
  <c r="C65" i="21"/>
  <c r="D65" i="21"/>
  <c r="L65" i="21"/>
  <c r="F64" i="26"/>
  <c r="F66" i="26" s="1"/>
  <c r="M64" i="26"/>
  <c r="M65" i="26" s="1"/>
  <c r="L64" i="30"/>
  <c r="L65" i="30" s="1"/>
  <c r="L64" i="28"/>
  <c r="L65" i="28" s="1"/>
  <c r="L64" i="26"/>
  <c r="L65" i="26" s="1"/>
  <c r="L64" i="23"/>
  <c r="L65" i="23" s="1"/>
  <c r="K64" i="28"/>
  <c r="K65" i="28" s="1"/>
  <c r="J64" i="30"/>
  <c r="J65" i="30" s="1"/>
  <c r="I64" i="27"/>
  <c r="I65" i="27" s="1"/>
  <c r="I64" i="26"/>
  <c r="I65" i="26" s="1"/>
  <c r="H64" i="22"/>
  <c r="H65" i="22" s="1"/>
  <c r="G64" i="30"/>
  <c r="G65" i="30" s="1"/>
  <c r="D64" i="24"/>
  <c r="D65" i="24" s="1"/>
  <c r="D64" i="27"/>
  <c r="D65" i="27" s="1"/>
  <c r="C64" i="26"/>
  <c r="C65" i="26" s="1"/>
  <c r="C64" i="30"/>
  <c r="C65" i="30" s="1"/>
  <c r="C64" i="29"/>
  <c r="C65" i="29" s="1"/>
  <c r="C64" i="23"/>
  <c r="C65" i="23" s="1"/>
  <c r="B64" i="30"/>
  <c r="B65" i="30" s="1"/>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J66" i="28"/>
  <c r="G64" i="26"/>
  <c r="G64" i="29"/>
  <c r="F64" i="22"/>
  <c r="O64" i="26"/>
  <c r="O66" i="26" s="1"/>
  <c r="R66" i="22"/>
  <c r="T66" i="24"/>
  <c r="U66" i="23"/>
  <c r="P64" i="30"/>
  <c r="P66" i="30" s="1"/>
  <c r="C66" i="23"/>
  <c r="P66" i="23"/>
  <c r="E66" i="22"/>
  <c r="T66" i="23"/>
  <c r="Q66" i="21"/>
  <c r="P66" i="21"/>
  <c r="K66" i="27"/>
  <c r="G64" i="23"/>
  <c r="Q66" i="24"/>
  <c r="R66" i="27"/>
  <c r="C66" i="27"/>
  <c r="H66" i="23"/>
  <c r="J66" i="27"/>
  <c r="G64" i="27"/>
  <c r="F64" i="27"/>
  <c r="T66" i="27"/>
  <c r="Q66" i="22"/>
  <c r="C66" i="22"/>
  <c r="T66" i="21"/>
  <c r="S66" i="23"/>
  <c r="H66" i="30"/>
  <c r="E66" i="30"/>
  <c r="S66" i="24"/>
  <c r="L66" i="21"/>
  <c r="D66" i="22"/>
  <c r="S66" i="26"/>
  <c r="L66" i="28"/>
  <c r="L66" i="26"/>
  <c r="T66" i="30"/>
  <c r="R66" i="28"/>
  <c r="N64" i="26"/>
  <c r="N66" i="26" s="1"/>
  <c r="O64" i="29"/>
  <c r="O66" i="29" s="1"/>
  <c r="P64" i="29"/>
  <c r="P66" i="29" s="1"/>
  <c r="S64" i="1"/>
  <c r="R66" i="26"/>
  <c r="N64" i="29"/>
  <c r="N66" i="29" s="1"/>
  <c r="R66" i="30"/>
  <c r="O66" i="22"/>
  <c r="R64" i="1"/>
  <c r="J66" i="23"/>
  <c r="Q64" i="1"/>
  <c r="U64" i="1"/>
  <c r="P64" i="1"/>
  <c r="E66" i="27"/>
  <c r="J66" i="24"/>
  <c r="Q66" i="29"/>
  <c r="F64" i="29"/>
  <c r="O64" i="23"/>
  <c r="O66" i="23" s="1"/>
  <c r="O64" i="30"/>
  <c r="O66" i="30" s="1"/>
  <c r="N64" i="24"/>
  <c r="N66" i="24" s="1"/>
  <c r="B66" i="24"/>
  <c r="K66" i="30"/>
  <c r="I66" i="30"/>
  <c r="R66" i="29"/>
  <c r="I66" i="29"/>
  <c r="S66" i="29"/>
  <c r="T66" i="28"/>
  <c r="D66" i="28"/>
  <c r="Q66" i="28"/>
  <c r="I66" i="28"/>
  <c r="S66" i="28"/>
  <c r="Q66" i="27"/>
  <c r="I66" i="27"/>
  <c r="P66" i="27"/>
  <c r="Q66" i="26"/>
  <c r="P66" i="26"/>
  <c r="H66" i="26"/>
  <c r="L66" i="24"/>
  <c r="P66" i="24"/>
  <c r="K66" i="24"/>
  <c r="I66" i="23"/>
  <c r="N66" i="23"/>
  <c r="E66" i="23"/>
  <c r="I66" i="22"/>
  <c r="M66" i="22"/>
  <c r="S66" i="22"/>
  <c r="K66" i="22"/>
  <c r="T66" i="22"/>
  <c r="K66" i="21"/>
  <c r="C66" i="21"/>
  <c r="D66" i="21"/>
  <c r="R66" i="21"/>
  <c r="N64" i="1"/>
  <c r="M64" i="1"/>
  <c r="T64" i="1"/>
  <c r="L64" i="1"/>
  <c r="L65" i="1" s="1"/>
  <c r="J64" i="1"/>
  <c r="J65" i="1" s="1"/>
  <c r="K64" i="1"/>
  <c r="K65" i="1" s="1"/>
  <c r="O64" i="1"/>
  <c r="C64" i="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H65" i="1" l="1"/>
  <c r="M65" i="1"/>
  <c r="G65" i="1"/>
  <c r="I65" i="1"/>
  <c r="C65" i="1"/>
  <c r="B65" i="1"/>
  <c r="J66" i="30"/>
  <c r="H66" i="22"/>
  <c r="F65" i="26"/>
  <c r="D66" i="29"/>
  <c r="C66" i="26"/>
  <c r="M66" i="21"/>
  <c r="M66" i="26"/>
  <c r="M66" i="29"/>
  <c r="M66" i="28"/>
  <c r="L66" i="23"/>
  <c r="L66" i="30"/>
  <c r="K66" i="28"/>
  <c r="J66" i="26"/>
  <c r="I66" i="24"/>
  <c r="I66" i="26"/>
  <c r="H66" i="21"/>
  <c r="G66" i="30"/>
  <c r="D66" i="24"/>
  <c r="D66" i="23"/>
  <c r="D66" i="27"/>
  <c r="C66" i="30"/>
  <c r="C66" i="29"/>
  <c r="B66" i="30"/>
  <c r="M66" i="27"/>
  <c r="M65" i="27"/>
  <c r="M66" i="24"/>
  <c r="M66" i="30"/>
  <c r="M65" i="30"/>
  <c r="M66" i="23"/>
  <c r="M65" i="23"/>
  <c r="L66" i="29"/>
  <c r="L66" i="27"/>
  <c r="L65" i="27"/>
  <c r="L66" i="22"/>
  <c r="K66" i="29"/>
  <c r="K65" i="29"/>
  <c r="K66" i="26"/>
  <c r="K65" i="26"/>
  <c r="K66" i="23"/>
  <c r="K65" i="23"/>
  <c r="J66" i="29"/>
  <c r="J65" i="29"/>
  <c r="J66" i="22"/>
  <c r="J65" i="22"/>
  <c r="J66" i="21"/>
  <c r="J65" i="21"/>
  <c r="I66" i="21"/>
  <c r="I65" i="21"/>
  <c r="H66" i="27"/>
  <c r="H65" i="27"/>
  <c r="H66" i="28"/>
  <c r="H65" i="28"/>
  <c r="H66" i="29"/>
  <c r="H65" i="29"/>
  <c r="H66" i="24"/>
  <c r="H65" i="24"/>
  <c r="G66" i="24"/>
  <c r="G65" i="24"/>
  <c r="G66" i="22"/>
  <c r="G65" i="22"/>
  <c r="G66" i="28"/>
  <c r="G65" i="28"/>
  <c r="G66" i="23"/>
  <c r="G65" i="23"/>
  <c r="G66" i="21"/>
  <c r="G65" i="21"/>
  <c r="G66" i="27"/>
  <c r="G65" i="27"/>
  <c r="G66" i="29"/>
  <c r="G65" i="29"/>
  <c r="G66" i="26"/>
  <c r="G65" i="26"/>
  <c r="F66" i="23"/>
  <c r="F65" i="23"/>
  <c r="F66" i="22"/>
  <c r="F65" i="22"/>
  <c r="F66" i="29"/>
  <c r="F65" i="29"/>
  <c r="F66" i="21"/>
  <c r="F65" i="21"/>
  <c r="F66" i="28"/>
  <c r="F65" i="28"/>
  <c r="F66" i="24"/>
  <c r="F65" i="24"/>
  <c r="F66" i="27"/>
  <c r="F65" i="27"/>
  <c r="F66" i="30"/>
  <c r="F65" i="30"/>
  <c r="E66" i="29"/>
  <c r="E65" i="29"/>
  <c r="E66" i="26"/>
  <c r="E65" i="26"/>
  <c r="E66" i="24"/>
  <c r="E65" i="24"/>
  <c r="E66" i="28"/>
  <c r="E65" i="28"/>
  <c r="E66" i="21"/>
  <c r="E65" i="21"/>
  <c r="D66" i="26"/>
  <c r="C66" i="24"/>
  <c r="C65" i="24"/>
  <c r="C66" i="28"/>
  <c r="C65" i="28"/>
  <c r="B66" i="21"/>
  <c r="B65" i="21"/>
  <c r="B66" i="26"/>
  <c r="B65" i="26"/>
  <c r="B66" i="27"/>
  <c r="B65" i="27"/>
  <c r="B66" i="28"/>
  <c r="B65" i="28"/>
  <c r="B66" i="29"/>
  <c r="B65" i="29"/>
  <c r="B66" i="23"/>
  <c r="B65" i="23"/>
  <c r="B66" i="22"/>
  <c r="B65" i="22"/>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<sst xmlns="http://schemas.openxmlformats.org/spreadsheetml/2006/main" count="2246" uniqueCount="175">
  <si>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</si>
  <si>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</si>
  <si>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</si>
  <si>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</si>
  <si>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</si>
  <si>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</si>
  <si>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</si>
  <si>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</si>
  <si>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</si>
  <si>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</si>
  <si>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</si>
  <si>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</si>
  <si>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</si>
  <si>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</si>
  <si>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</si>
  <si>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</si>
  <si>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</si>
  <si>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</si>
  <si>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</si>
  <si>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</si>
  <si>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</si>
  <si>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</si>
  <si>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</si>
  <si>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</si>
  <si>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</si>
  <si>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</si>
  <si>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</si>
  <si>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</si>
  <si>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</si>
  <si>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</si>
  <si>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</si>
  <si>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</si>
  <si>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</si>
  <si>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</si>
  <si>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</si>
  <si>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</si>
  <si>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</si>
  <si>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</si>
  <si>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</si>
  <si>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</si>
  <si>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</si>
  <si>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</si>
  <si>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</si>
  <si>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</si>
  <si>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</si>
  <si>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</si>
  <si>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</si>
  <si>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</si>
  <si>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</si>
  <si>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</si>
  <si>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</si>
  <si>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</si>
  <si>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</si>
  <si>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</si>
  <si>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</si>
  <si>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</si>
  <si>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</si>
  <si>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</si>
  <si>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</si>
  <si>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</si>
  <si>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</si>
  <si>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</si>
  <si>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</si>
  <si>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</si>
  <si>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</si>
  <si>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</si>
  <si>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</si>
  <si>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</si>
  <si>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</si>
  <si>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</si>
  <si>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</si>
  <si>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</si>
  <si>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</si>
  <si>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</si>
  <si>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</si>
  <si>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</si>
  <si>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</si>
  <si>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</si>
  <si>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</si>
  <si>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</si>
  <si>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</si>
  <si>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</si>
  <si>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</si>
  <si>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</si>
  <si>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</si>
  <si>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</si>
  <si>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</si>
  <si>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</si>
  <si>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</si>
  <si>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</si>
  <si>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</si>
  <si>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</si>
  <si>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</si>
  <si>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</si>
  <si>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</si>
  <si>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</si>
  <si>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</si>
  <si>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</si>
  <si>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</si>
  <si>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</si>
  <si>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</si>
  <si>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</si>
  <si>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</si>
  <si>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</si>
  <si>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</si>
  <si>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</si>
  <si>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</si>
  <si>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</si>
  <si>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</si>
  <si>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</si>
  <si>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</si>
  <si>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</si>
  <si>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</si>
  <si>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</si>
  <si>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</si>
  <si>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</si>
  <si>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</si>
  <si>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</si>
  <si>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</si>
  <si>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</si>
  <si>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</si>
  <si>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</si>
  <si>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</si>
  <si>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</si>
  <si>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</si>
  <si>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</si>
  <si>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</si>
  <si>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</si>
  <si>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</si>
  <si>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</si>
  <si>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</si>
  <si>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</si>
  <si>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</si>
  <si>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</si>
  <si>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</si>
  <si>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</si>
  <si>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</si>
  <si>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</si>
  <si>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</si>
  <si>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</si>
  <si>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</si>
  <si>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</si>
  <si>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</si>
  <si>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</si>
  <si>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</si>
  <si>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</si>
  <si>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</si>
  <si>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</si>
  <si>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</si>
  <si>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</si>
  <si>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</si>
  <si>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Total Nitrogen (mg/kg)</t>
  </si>
  <si>
    <t>Readily available nitrogen content %</t>
  </si>
  <si>
    <t>Lime applied in waste 
t/ha</t>
  </si>
  <si>
    <t>Lime required to bring pH to target level 
t/a CaCo3</t>
  </si>
  <si>
    <t>Difference between applied and  required</t>
  </si>
  <si>
    <t>PAN-015166</t>
  </si>
  <si>
    <t>EPR-GP3792SK</t>
  </si>
  <si>
    <t>ByProduct Recovery Ltd</t>
  </si>
  <si>
    <t>Tyncwym, Llansawel, Llandeilo, Carmarthenshire, SA19 7PQ</t>
  </si>
  <si>
    <t>Louise Bailey</t>
  </si>
  <si>
    <t>DCWW Bolton Hill</t>
  </si>
  <si>
    <t>DCWW Bontgoch</t>
  </si>
  <si>
    <t>DCWW Bryngwyn</t>
  </si>
  <si>
    <t>DCWW Capel Dewi</t>
  </si>
  <si>
    <t>DCWW Cefn Dryscoed</t>
  </si>
  <si>
    <t>DCWW Crai</t>
  </si>
  <si>
    <t>DCWW Hirwaun</t>
  </si>
  <si>
    <t>DCWW Llechryd</t>
  </si>
  <si>
    <t>DCWW Preseli</t>
  </si>
  <si>
    <t>DCWW Strata Florida</t>
  </si>
  <si>
    <t>5a</t>
  </si>
  <si>
    <t>5b</t>
  </si>
  <si>
    <t>6..9</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</si>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</sst>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3">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11" sqref="F1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98" t="s">
        <v>41</v>
      </c>
      <c r="B1" s="98"/>
      <c r="C1" s="114" t="s">
        <v>156</v>
      </c>
      <c r="D1" s="115"/>
      <c r="E1" s="73" t="s">
        <v>45</v>
      </c>
      <c r="F1" s="76">
        <v>39.799999999999997</v>
      </c>
      <c r="G1" s="99" t="s">
        <v>43</v>
      </c>
      <c r="H1" s="100"/>
      <c r="I1" s="76">
        <v>6.4</v>
      </c>
      <c r="J1" s="98" t="s">
        <v>150</v>
      </c>
      <c r="K1" s="98"/>
      <c r="L1" s="76">
        <v>52</v>
      </c>
      <c r="AB1" s="18"/>
      <c r="AC1" s="18"/>
      <c r="AD1" s="29" t="s">
        <v>124</v>
      </c>
      <c r="AE1" s="17"/>
      <c r="AF1" s="17"/>
      <c r="AG1" s="18"/>
      <c r="AH1" s="18"/>
      <c r="AI1" s="32" t="s">
        <v>79</v>
      </c>
      <c r="AJ1" s="33" t="s">
        <v>91</v>
      </c>
      <c r="AK1" s="34" t="s">
        <v>92</v>
      </c>
      <c r="AL1" s="35" t="s">
        <v>123</v>
      </c>
      <c r="AM1" s="35" t="s">
        <v>129</v>
      </c>
      <c r="AN1" s="35" t="s">
        <v>109</v>
      </c>
    </row>
    <row r="2" spans="1:40" x14ac:dyDescent="0.2">
      <c r="A2" s="98" t="s">
        <v>84</v>
      </c>
      <c r="B2" s="98"/>
      <c r="C2" s="112" t="s">
        <v>157</v>
      </c>
      <c r="D2" s="113"/>
      <c r="E2" s="73" t="s">
        <v>106</v>
      </c>
      <c r="F2" s="76">
        <v>190902</v>
      </c>
      <c r="G2" s="117" t="s">
        <v>107</v>
      </c>
      <c r="H2" s="118"/>
      <c r="I2" s="76"/>
      <c r="J2" s="98" t="s">
        <v>151</v>
      </c>
      <c r="K2" s="98"/>
      <c r="L2" s="76">
        <v>13200</v>
      </c>
      <c r="AB2" s="29" t="s">
        <v>56</v>
      </c>
      <c r="AC2" s="17"/>
      <c r="AD2" s="29" t="s">
        <v>70</v>
      </c>
      <c r="AE2" s="17"/>
      <c r="AF2" s="17"/>
      <c r="AG2" s="36" t="s">
        <v>76</v>
      </c>
      <c r="AH2" s="18"/>
      <c r="AI2" s="37" t="s">
        <v>124</v>
      </c>
      <c r="AJ2" s="38">
        <v>0</v>
      </c>
      <c r="AK2" s="39">
        <v>0</v>
      </c>
      <c r="AL2" s="10">
        <v>0</v>
      </c>
      <c r="AM2" s="11">
        <v>0</v>
      </c>
      <c r="AN2" s="11">
        <v>0</v>
      </c>
    </row>
    <row r="3" spans="1:40" x14ac:dyDescent="0.2">
      <c r="A3" s="99" t="s">
        <v>42</v>
      </c>
      <c r="B3" s="100"/>
      <c r="C3" s="112" t="s">
        <v>158</v>
      </c>
      <c r="D3" s="113"/>
      <c r="E3" s="73" t="s">
        <v>105</v>
      </c>
      <c r="F3" s="30" t="s">
        <v>78</v>
      </c>
      <c r="G3" s="98" t="s">
        <v>108</v>
      </c>
      <c r="H3" s="98"/>
      <c r="I3" s="76"/>
      <c r="J3" s="99" t="s">
        <v>152</v>
      </c>
      <c r="K3" s="100"/>
      <c r="L3" s="76">
        <f>(L1/L2)*100</f>
        <v>0.39393939393939398</v>
      </c>
      <c r="AB3" s="29" t="s">
        <v>57</v>
      </c>
      <c r="AC3" s="17"/>
      <c r="AD3" s="29" t="s">
        <v>71</v>
      </c>
      <c r="AE3" s="17"/>
      <c r="AF3" s="17"/>
      <c r="AG3" s="36" t="s">
        <v>77</v>
      </c>
      <c r="AH3" s="18"/>
      <c r="AI3" s="40" t="s">
        <v>111</v>
      </c>
      <c r="AJ3" s="41">
        <v>1.7</v>
      </c>
      <c r="AK3" s="42">
        <v>6</v>
      </c>
      <c r="AL3" s="43">
        <v>1</v>
      </c>
      <c r="AM3" s="11">
        <v>6.2</v>
      </c>
      <c r="AN3" s="11" t="s">
        <v>110</v>
      </c>
    </row>
    <row r="4" spans="1:40" x14ac:dyDescent="0.2">
      <c r="A4" s="98" t="s">
        <v>0</v>
      </c>
      <c r="B4" s="98"/>
      <c r="C4" s="114" t="s">
        <v>159</v>
      </c>
      <c r="D4" s="115"/>
      <c r="E4" s="74" t="s">
        <v>1</v>
      </c>
      <c r="F4" s="97" t="s">
        <v>161</v>
      </c>
      <c r="G4" s="98"/>
      <c r="H4" s="98"/>
      <c r="I4" s="76"/>
      <c r="J4" s="99"/>
      <c r="K4" s="100"/>
      <c r="L4" s="76"/>
      <c r="AB4" s="29" t="s">
        <v>52</v>
      </c>
      <c r="AC4" s="17"/>
      <c r="AD4" s="44" t="s">
        <v>72</v>
      </c>
      <c r="AE4" s="17"/>
      <c r="AF4" s="17"/>
      <c r="AG4" s="36" t="s">
        <v>78</v>
      </c>
      <c r="AH4" s="18"/>
      <c r="AI4" s="45" t="s">
        <v>122</v>
      </c>
      <c r="AJ4" s="46">
        <v>7</v>
      </c>
      <c r="AK4" s="47">
        <v>10.5</v>
      </c>
      <c r="AL4" s="11">
        <v>2</v>
      </c>
      <c r="AM4" s="11">
        <v>6.7</v>
      </c>
      <c r="AN4" s="11" t="s">
        <v>133</v>
      </c>
    </row>
    <row r="5" spans="1:40" x14ac:dyDescent="0.2">
      <c r="A5" s="98" t="s">
        <v>47</v>
      </c>
      <c r="B5" s="98"/>
      <c r="C5" s="116" t="s">
        <v>160</v>
      </c>
      <c r="D5" s="116"/>
      <c r="E5" s="74"/>
      <c r="F5" s="75"/>
      <c r="G5" s="98"/>
      <c r="H5" s="98"/>
      <c r="I5" s="76"/>
      <c r="J5" s="99"/>
      <c r="K5" s="100"/>
      <c r="L5" s="76"/>
      <c r="AB5" s="29" t="s">
        <v>53</v>
      </c>
      <c r="AC5" s="17"/>
      <c r="AD5" s="44" t="s">
        <v>73</v>
      </c>
      <c r="AE5" s="17"/>
      <c r="AF5" s="17"/>
      <c r="AG5" s="36" t="s">
        <v>101</v>
      </c>
      <c r="AH5" s="18"/>
      <c r="AI5" s="45" t="s">
        <v>121</v>
      </c>
      <c r="AJ5" s="46">
        <v>6.5</v>
      </c>
      <c r="AK5" s="47">
        <v>5.5</v>
      </c>
      <c r="AL5" s="11">
        <v>3</v>
      </c>
      <c r="AM5" s="11">
        <v>6.7</v>
      </c>
      <c r="AN5" s="11" t="s">
        <v>133</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0"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row>
    <row r="8" spans="1:40" x14ac:dyDescent="0.2">
      <c r="A8" s="98" t="s">
        <v>2</v>
      </c>
      <c r="B8" s="98"/>
      <c r="C8" s="15"/>
      <c r="D8" s="15">
        <v>2</v>
      </c>
      <c r="E8" s="15">
        <v>3</v>
      </c>
      <c r="F8" s="15">
        <v>4</v>
      </c>
      <c r="G8" s="15" t="s">
        <v>171</v>
      </c>
      <c r="H8" s="15" t="s">
        <v>172</v>
      </c>
      <c r="I8" s="15">
        <v>6</v>
      </c>
      <c r="J8" s="15">
        <v>7</v>
      </c>
      <c r="K8" s="15">
        <v>9</v>
      </c>
      <c r="L8" s="15">
        <v>10</v>
      </c>
      <c r="M8" s="15">
        <v>11</v>
      </c>
      <c r="N8" s="15">
        <v>12</v>
      </c>
      <c r="O8" s="15"/>
      <c r="P8" s="15"/>
      <c r="Q8" s="15"/>
      <c r="R8" s="15"/>
      <c r="S8" s="15"/>
      <c r="T8" s="15"/>
      <c r="U8" s="15"/>
      <c r="V8" s="15"/>
      <c r="AB8" s="53"/>
      <c r="AC8" s="53"/>
      <c r="AD8" s="18"/>
      <c r="AE8" s="17" t="s">
        <v>137</v>
      </c>
      <c r="AF8" s="17"/>
      <c r="AG8" s="18"/>
      <c r="AH8" s="18"/>
      <c r="AI8" s="45" t="s">
        <v>102</v>
      </c>
      <c r="AJ8" s="54">
        <v>1.4</v>
      </c>
      <c r="AK8" s="47">
        <v>4.4000000000000004</v>
      </c>
      <c r="AL8" s="11">
        <v>6</v>
      </c>
      <c r="AM8" s="11">
        <v>6.7</v>
      </c>
      <c r="AN8" s="11" t="s">
        <v>133</v>
      </c>
    </row>
    <row r="9" spans="1:40" x14ac:dyDescent="0.2">
      <c r="A9" s="98" t="s">
        <v>3</v>
      </c>
      <c r="B9" s="98"/>
      <c r="C9" s="15"/>
      <c r="D9" s="15" t="s">
        <v>174</v>
      </c>
      <c r="E9" s="15" t="s">
        <v>174</v>
      </c>
      <c r="F9" s="15" t="s">
        <v>174</v>
      </c>
      <c r="G9" s="15" t="s">
        <v>174</v>
      </c>
      <c r="H9" s="15" t="s">
        <v>174</v>
      </c>
      <c r="I9" s="15" t="s">
        <v>174</v>
      </c>
      <c r="J9" s="15" t="s">
        <v>174</v>
      </c>
      <c r="K9" s="15" t="s">
        <v>174</v>
      </c>
      <c r="L9" s="15" t="s">
        <v>174</v>
      </c>
      <c r="M9" s="15" t="s">
        <v>174</v>
      </c>
      <c r="N9" s="15" t="s">
        <v>174</v>
      </c>
      <c r="O9" s="15"/>
      <c r="P9" s="15"/>
      <c r="Q9" s="15"/>
      <c r="R9" s="15"/>
      <c r="S9" s="15"/>
      <c r="T9" s="15"/>
      <c r="U9" s="15"/>
      <c r="V9" s="15"/>
      <c r="AB9" s="17"/>
      <c r="AC9" s="17"/>
      <c r="AD9" s="29" t="s">
        <v>135</v>
      </c>
      <c r="AE9" s="29">
        <v>4.5</v>
      </c>
      <c r="AF9" s="17"/>
      <c r="AG9" s="18"/>
      <c r="AH9" s="18"/>
      <c r="AI9" s="55" t="s">
        <v>100</v>
      </c>
      <c r="AJ9" s="56">
        <v>0.7</v>
      </c>
      <c r="AK9" s="57">
        <v>4</v>
      </c>
      <c r="AL9" s="28">
        <v>7</v>
      </c>
      <c r="AM9" s="11">
        <v>6.7</v>
      </c>
      <c r="AN9" s="11" t="s">
        <v>133</v>
      </c>
    </row>
    <row r="10" spans="1:40" x14ac:dyDescent="0.2">
      <c r="A10" s="98" t="s">
        <v>4</v>
      </c>
      <c r="B10" s="98"/>
      <c r="C10" s="15"/>
      <c r="D10" s="15">
        <v>6.8</v>
      </c>
      <c r="E10" s="15">
        <v>6.8</v>
      </c>
      <c r="F10" s="15">
        <v>7</v>
      </c>
      <c r="G10" s="15" t="s">
        <v>173</v>
      </c>
      <c r="H10" s="15">
        <v>6.7</v>
      </c>
      <c r="I10" s="15">
        <v>6.9</v>
      </c>
      <c r="J10" s="15">
        <v>6.9</v>
      </c>
      <c r="K10" s="15">
        <v>6.7</v>
      </c>
      <c r="L10" s="15">
        <v>5.5</v>
      </c>
      <c r="M10" s="15">
        <v>6</v>
      </c>
      <c r="N10" s="15">
        <v>6</v>
      </c>
      <c r="O10" s="15"/>
      <c r="P10" s="15"/>
      <c r="Q10" s="15"/>
      <c r="R10" s="15"/>
      <c r="S10" s="15"/>
      <c r="T10" s="15"/>
      <c r="U10" s="15"/>
      <c r="V10" s="15"/>
      <c r="AB10" s="17"/>
      <c r="AC10" s="17"/>
      <c r="AD10" s="29" t="s">
        <v>138</v>
      </c>
      <c r="AE10" s="29">
        <v>5</v>
      </c>
      <c r="AF10" s="17"/>
      <c r="AG10" s="18"/>
      <c r="AH10" s="18"/>
      <c r="AI10" s="45" t="s">
        <v>94</v>
      </c>
      <c r="AJ10" s="46">
        <v>9</v>
      </c>
      <c r="AK10" s="47">
        <v>16.5</v>
      </c>
      <c r="AL10" s="11">
        <v>8</v>
      </c>
      <c r="AM10" s="11">
        <v>6.7</v>
      </c>
      <c r="AN10" s="11" t="s">
        <v>133</v>
      </c>
    </row>
    <row r="11" spans="1:40" x14ac:dyDescent="0.2">
      <c r="A11" s="98" t="s">
        <v>5</v>
      </c>
      <c r="B11" s="98"/>
      <c r="C11" s="15"/>
      <c r="D11" s="15">
        <v>3</v>
      </c>
      <c r="E11" s="15">
        <v>2</v>
      </c>
      <c r="F11" s="15">
        <v>3</v>
      </c>
      <c r="G11" s="15">
        <v>2</v>
      </c>
      <c r="H11" s="15">
        <v>3</v>
      </c>
      <c r="I11" s="15">
        <v>3</v>
      </c>
      <c r="J11" s="15">
        <v>2</v>
      </c>
      <c r="K11" s="15">
        <v>1</v>
      </c>
      <c r="L11" s="15">
        <v>2</v>
      </c>
      <c r="M11" s="15">
        <v>1</v>
      </c>
      <c r="N11" s="15">
        <v>2</v>
      </c>
      <c r="O11" s="15"/>
      <c r="P11" s="15"/>
      <c r="Q11" s="15"/>
      <c r="R11" s="15"/>
      <c r="S11" s="15"/>
      <c r="T11" s="15"/>
      <c r="U11" s="15"/>
      <c r="V11" s="15"/>
      <c r="AB11" s="17"/>
      <c r="AC11" s="17"/>
      <c r="AD11" s="44" t="s">
        <v>139</v>
      </c>
      <c r="AE11" s="29">
        <v>6</v>
      </c>
      <c r="AF11" s="17"/>
      <c r="AG11" s="18"/>
      <c r="AH11" s="18"/>
      <c r="AI11" s="45" t="s">
        <v>120</v>
      </c>
      <c r="AJ11" s="46">
        <v>15</v>
      </c>
      <c r="AK11" s="47">
        <v>17.5</v>
      </c>
      <c r="AL11" s="11">
        <v>9</v>
      </c>
      <c r="AM11" s="11">
        <v>7</v>
      </c>
      <c r="AN11" s="11" t="s">
        <v>133</v>
      </c>
    </row>
    <row r="12" spans="1:40" x14ac:dyDescent="0.2">
      <c r="A12" s="98" t="s">
        <v>6</v>
      </c>
      <c r="B12" s="98"/>
      <c r="C12" s="15"/>
      <c r="D12" s="15">
        <v>2</v>
      </c>
      <c r="E12" s="15">
        <v>0</v>
      </c>
      <c r="F12" s="15">
        <v>3</v>
      </c>
      <c r="G12" s="15">
        <v>0</v>
      </c>
      <c r="H12" s="15">
        <v>0</v>
      </c>
      <c r="I12" s="15">
        <v>1</v>
      </c>
      <c r="J12" s="15">
        <v>1</v>
      </c>
      <c r="K12" s="15">
        <v>1</v>
      </c>
      <c r="L12" s="15">
        <v>0</v>
      </c>
      <c r="M12" s="15">
        <v>1</v>
      </c>
      <c r="N12" s="15">
        <v>3</v>
      </c>
      <c r="O12" s="15"/>
      <c r="P12" s="15"/>
      <c r="Q12" s="15"/>
      <c r="R12" s="15"/>
      <c r="S12" s="15"/>
      <c r="T12" s="15"/>
      <c r="U12" s="15"/>
      <c r="V12" s="15"/>
      <c r="AB12" s="17"/>
      <c r="AC12" s="17"/>
      <c r="AD12" s="44" t="s">
        <v>140</v>
      </c>
      <c r="AE12" s="29">
        <v>7.5</v>
      </c>
      <c r="AF12" s="17"/>
      <c r="AG12" s="18"/>
      <c r="AH12" s="18"/>
      <c r="AI12" s="45" t="s">
        <v>119</v>
      </c>
      <c r="AJ12" s="46">
        <v>14</v>
      </c>
      <c r="AK12" s="47">
        <v>11</v>
      </c>
      <c r="AL12" s="11">
        <v>10</v>
      </c>
      <c r="AM12" s="11">
        <v>7</v>
      </c>
      <c r="AN12" s="11" t="s">
        <v>133</v>
      </c>
    </row>
    <row r="13" spans="1:40" x14ac:dyDescent="0.2">
      <c r="A13" s="98" t="s">
        <v>7</v>
      </c>
      <c r="B13" s="98"/>
      <c r="C13" s="15"/>
      <c r="D13" s="15">
        <v>2</v>
      </c>
      <c r="E13" s="15">
        <v>5</v>
      </c>
      <c r="F13" s="15">
        <v>3</v>
      </c>
      <c r="G13" s="15">
        <v>2</v>
      </c>
      <c r="H13" s="15">
        <v>2</v>
      </c>
      <c r="I13" s="15">
        <v>3</v>
      </c>
      <c r="J13" s="15">
        <v>2</v>
      </c>
      <c r="K13" s="15">
        <v>2</v>
      </c>
      <c r="L13" s="15">
        <v>0</v>
      </c>
      <c r="M13" s="15">
        <v>2</v>
      </c>
      <c r="N13" s="15">
        <v>3</v>
      </c>
      <c r="O13" s="15"/>
      <c r="P13" s="15"/>
      <c r="Q13" s="15"/>
      <c r="R13" s="15"/>
      <c r="S13" s="15"/>
      <c r="T13" s="15"/>
      <c r="U13" s="15"/>
      <c r="V13" s="15"/>
      <c r="AB13" s="17"/>
      <c r="AC13" s="17"/>
      <c r="AD13" s="44" t="s">
        <v>141</v>
      </c>
      <c r="AE13" s="29">
        <v>12</v>
      </c>
      <c r="AF13" s="17"/>
      <c r="AG13" s="18"/>
      <c r="AH13" s="18"/>
      <c r="AI13" s="45" t="s">
        <v>118</v>
      </c>
      <c r="AJ13" s="46">
        <v>1.9</v>
      </c>
      <c r="AK13" s="47">
        <v>7.5</v>
      </c>
      <c r="AL13" s="11">
        <v>11</v>
      </c>
      <c r="AM13" s="11">
        <v>6.7</v>
      </c>
      <c r="AN13" s="11" t="s">
        <v>133</v>
      </c>
    </row>
    <row r="14" spans="1:40" x14ac:dyDescent="0.2">
      <c r="A14" s="110" t="s">
        <v>8</v>
      </c>
      <c r="B14" s="110"/>
      <c r="C14" s="79"/>
      <c r="D14" s="79" t="s">
        <v>111</v>
      </c>
      <c r="E14" s="79" t="s">
        <v>111</v>
      </c>
      <c r="F14" s="79" t="s">
        <v>111</v>
      </c>
      <c r="G14" s="79" t="s">
        <v>111</v>
      </c>
      <c r="H14" s="79" t="s">
        <v>111</v>
      </c>
      <c r="I14" s="79" t="s">
        <v>111</v>
      </c>
      <c r="J14" s="79" t="s">
        <v>111</v>
      </c>
      <c r="K14" s="79" t="s">
        <v>111</v>
      </c>
      <c r="L14" s="79" t="s">
        <v>111</v>
      </c>
      <c r="M14" s="79" t="s">
        <v>111</v>
      </c>
      <c r="N14" s="79" t="s">
        <v>111</v>
      </c>
      <c r="O14" s="79"/>
      <c r="P14" s="79"/>
      <c r="Q14" s="79"/>
      <c r="R14" s="79"/>
      <c r="S14" s="79"/>
      <c r="T14" s="79"/>
      <c r="U14" s="79"/>
      <c r="V14" s="79"/>
      <c r="AD14" s="29" t="s">
        <v>136</v>
      </c>
      <c r="AE14" s="29">
        <v>6</v>
      </c>
      <c r="AI14" s="45" t="s">
        <v>117</v>
      </c>
      <c r="AJ14" s="46">
        <v>0.8</v>
      </c>
      <c r="AK14" s="47">
        <v>1.7</v>
      </c>
      <c r="AL14" s="11">
        <v>12</v>
      </c>
      <c r="AM14" s="11">
        <v>6.7</v>
      </c>
      <c r="AN14" s="11" t="s">
        <v>133</v>
      </c>
    </row>
    <row r="15" spans="1:40" x14ac:dyDescent="0.2">
      <c r="A15" s="109" t="s">
        <v>9</v>
      </c>
      <c r="B15" s="109"/>
      <c r="C15" s="15"/>
      <c r="D15" s="15">
        <v>45</v>
      </c>
      <c r="E15" s="15">
        <v>45</v>
      </c>
      <c r="F15" s="15">
        <v>45</v>
      </c>
      <c r="G15" s="15">
        <v>45</v>
      </c>
      <c r="H15" s="15">
        <v>45</v>
      </c>
      <c r="I15" s="15">
        <v>45</v>
      </c>
      <c r="J15" s="15">
        <v>45</v>
      </c>
      <c r="K15" s="15">
        <v>45</v>
      </c>
      <c r="L15" s="15">
        <v>45</v>
      </c>
      <c r="M15" s="15">
        <v>45</v>
      </c>
      <c r="N15" s="15">
        <v>45</v>
      </c>
      <c r="O15" s="15"/>
      <c r="P15" s="15"/>
      <c r="Q15" s="15"/>
      <c r="R15" s="15"/>
      <c r="S15" s="15"/>
      <c r="T15" s="15"/>
      <c r="U15" s="15"/>
      <c r="V15" s="15"/>
      <c r="AD15" s="29" t="s">
        <v>142</v>
      </c>
      <c r="AE15" s="29">
        <v>7</v>
      </c>
      <c r="AI15" s="45" t="s">
        <v>98</v>
      </c>
      <c r="AJ15" s="54">
        <v>1.8</v>
      </c>
      <c r="AK15" s="47">
        <v>5.4</v>
      </c>
      <c r="AL15" s="11">
        <v>13</v>
      </c>
      <c r="AM15" s="11">
        <v>6.7</v>
      </c>
      <c r="AN15" s="11" t="s">
        <v>133</v>
      </c>
    </row>
    <row r="16" spans="1:40" ht="13.5" thickBot="1" x14ac:dyDescent="0.25">
      <c r="A16" s="111" t="s">
        <v>44</v>
      </c>
      <c r="B16" s="111"/>
      <c r="C16" s="80"/>
      <c r="D16" s="80" t="s">
        <v>72</v>
      </c>
      <c r="E16" s="80" t="s">
        <v>72</v>
      </c>
      <c r="F16" s="80" t="s">
        <v>72</v>
      </c>
      <c r="G16" s="80" t="s">
        <v>72</v>
      </c>
      <c r="H16" s="80" t="s">
        <v>72</v>
      </c>
      <c r="I16" s="80" t="s">
        <v>72</v>
      </c>
      <c r="J16" s="80" t="s">
        <v>72</v>
      </c>
      <c r="K16" s="80" t="s">
        <v>72</v>
      </c>
      <c r="L16" s="80" t="s">
        <v>72</v>
      </c>
      <c r="M16" s="80" t="s">
        <v>72</v>
      </c>
      <c r="N16" s="80" t="s">
        <v>72</v>
      </c>
      <c r="O16" s="80"/>
      <c r="P16" s="80"/>
      <c r="Q16" s="80"/>
      <c r="R16" s="80"/>
      <c r="S16" s="80"/>
      <c r="T16" s="80"/>
      <c r="U16" s="80"/>
      <c r="V16" s="80"/>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74.259328499999995</v>
      </c>
      <c r="E18" s="16">
        <f>$D33</f>
        <v>74.259328499999995</v>
      </c>
      <c r="F18" s="16">
        <f>$D34</f>
        <v>74.259328499999995</v>
      </c>
      <c r="G18" s="16">
        <f>$D35</f>
        <v>74.259328499999995</v>
      </c>
      <c r="H18" s="16">
        <f>$D36</f>
        <v>74.259328499999995</v>
      </c>
      <c r="I18" s="16">
        <f>$D37</f>
        <v>74.259328499999995</v>
      </c>
      <c r="J18" s="16">
        <f>$D38</f>
        <v>74.259328499999995</v>
      </c>
      <c r="K18" s="16">
        <f>$D39</f>
        <v>74.259328499999995</v>
      </c>
      <c r="L18" s="16">
        <f>$D40</f>
        <v>0</v>
      </c>
      <c r="M18" s="16">
        <f>$D41</f>
        <v>74.259328499999995</v>
      </c>
      <c r="N18" s="16">
        <f>$D42</f>
        <v>74.259328499999995</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-2.2406715000000048</v>
      </c>
      <c r="E19" s="16">
        <f t="shared" si="1"/>
        <v>-2.2406715000000048</v>
      </c>
      <c r="F19" s="16">
        <f t="shared" si="1"/>
        <v>-2.2406715000000048</v>
      </c>
      <c r="G19" s="16">
        <f t="shared" si="1"/>
        <v>-2.2406715000000048</v>
      </c>
      <c r="H19" s="16">
        <f t="shared" si="1"/>
        <v>-2.2406715000000048</v>
      </c>
      <c r="I19" s="16">
        <f t="shared" si="1"/>
        <v>-2.2406715000000048</v>
      </c>
      <c r="J19" s="16">
        <f t="shared" si="1"/>
        <v>-2.2406715000000048</v>
      </c>
      <c r="K19" s="16">
        <f t="shared" si="1"/>
        <v>-2.2406715000000048</v>
      </c>
      <c r="L19" s="16">
        <f t="shared" si="1"/>
        <v>-76.5</v>
      </c>
      <c r="M19" s="16">
        <f t="shared" si="1"/>
        <v>-2.2406715000000048</v>
      </c>
      <c r="N19" s="16">
        <f t="shared" si="1"/>
        <v>-2.2406715000000048</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6.26172225</v>
      </c>
      <c r="E22" s="16">
        <f>$E33</f>
        <v>6.26172225</v>
      </c>
      <c r="F22" s="16">
        <f>$E34</f>
        <v>6.26172225</v>
      </c>
      <c r="G22" s="16">
        <f>$E35</f>
        <v>6.26172225</v>
      </c>
      <c r="H22" s="16">
        <f>$E36</f>
        <v>6.26172225</v>
      </c>
      <c r="I22" s="16">
        <f>$E37</f>
        <v>6.26172225</v>
      </c>
      <c r="J22" s="16">
        <f>$E38</f>
        <v>6.26172225</v>
      </c>
      <c r="K22" s="16">
        <f>$E39</f>
        <v>6.26172225</v>
      </c>
      <c r="L22" s="16">
        <f>$E40</f>
        <v>0</v>
      </c>
      <c r="M22" s="16">
        <f>$E41</f>
        <v>6.26172225</v>
      </c>
      <c r="N22" s="16">
        <f>$E42</f>
        <v>6.26172225</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-263.73827775000001</v>
      </c>
      <c r="E23" s="16">
        <f t="shared" si="3"/>
        <v>-263.73827775000001</v>
      </c>
      <c r="F23" s="16">
        <f t="shared" si="3"/>
        <v>-263.73827775000001</v>
      </c>
      <c r="G23" s="16">
        <f t="shared" si="3"/>
        <v>-263.73827775000001</v>
      </c>
      <c r="H23" s="16">
        <f t="shared" si="3"/>
        <v>-263.73827775000001</v>
      </c>
      <c r="I23" s="16">
        <f t="shared" si="3"/>
        <v>-263.73827775000001</v>
      </c>
      <c r="J23" s="16">
        <f t="shared" si="3"/>
        <v>-263.73827775000001</v>
      </c>
      <c r="K23" s="16">
        <f t="shared" si="3"/>
        <v>-263.73827775000001</v>
      </c>
      <c r="L23" s="16">
        <f t="shared" si="3"/>
        <v>-270</v>
      </c>
      <c r="M23" s="16">
        <f t="shared" si="3"/>
        <v>-263.73827775000001</v>
      </c>
      <c r="N23" s="16">
        <f t="shared" si="3"/>
        <v>-263.73827775000001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14.7</v>
      </c>
      <c r="C28" s="15">
        <v>1.32</v>
      </c>
      <c r="D28" s="15">
        <v>0.441</v>
      </c>
      <c r="E28" s="15">
        <v>7.0699999999999999E-2</v>
      </c>
      <c r="F28" s="15">
        <v>1020</v>
      </c>
      <c r="G28" s="15">
        <v>67.900000000000006</v>
      </c>
      <c r="H28" s="15">
        <v>119</v>
      </c>
      <c r="I28" s="15">
        <v>9.3000000000000007</v>
      </c>
      <c r="J28" s="15">
        <v>0.39</v>
      </c>
      <c r="K28" s="22">
        <v>0.34</v>
      </c>
      <c r="L28" s="15">
        <v>28.8</v>
      </c>
      <c r="M28" s="15">
        <v>10.8</v>
      </c>
      <c r="N28" s="15">
        <v>154000</v>
      </c>
      <c r="O28" s="15">
        <v>23400</v>
      </c>
      <c r="P28" s="15"/>
      <c r="Q28" s="15">
        <v>5860</v>
      </c>
      <c r="R28" s="15"/>
      <c r="S28" s="15">
        <v>17.399999999999999</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31"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50</v>
      </c>
      <c r="C32" s="69">
        <f t="shared" ref="C32:C50" si="6">IF(C$27="%w/w SAR",((C$28*10)*$B32),IF(C$27="%w/w DM",(((C$28*10)*($B$28/100))*$B32),IF(C$27="kg/t SAR",(C$28*$B32),IF(C$27="kg/t DM",((C$28*($B$28/100))*$B32),IF(C$27="mg/kg SAR",((C$28*0.001)*$B32),IF(C$27="mg/kg DM",(((C$28*0.001)*($B$28/100))*$B32),0))))))</f>
        <v>97.02000000000001</v>
      </c>
      <c r="D32" s="69">
        <f t="shared" ref="D32:D50" si="7">(IF(D$27="%w/w SAR",((D$28*10)*$B32),IF(D$27="%w/w DM",(((D$28*10)*($B$28/100))*$B32),IF(D$27="kg/t SAR",(D$28*$B32),IF(D$27="kg/t DM",((D$28*($B$28/100))*$B32),IF(D$27="mg/kg SAR",((D$28*0.001)*$B32),IF(D$27="mg/kg DM",(((D$28*0.001)*($B$28/100))*$B32),"0")))))))*2.291</f>
        <v>74.259328499999995</v>
      </c>
      <c r="E32" s="69">
        <f t="shared" ref="E32:E50" si="8">(IF(E$27="%w/w SAR",((E$28*10)*$B32),IF(E$27="%w/w DM",(((E$28*10)*($B$28/100))*$B32),IF(E$27="kg/t SAR",(E$28*$B32),IF(E$27="kg/t DM",((E$28*($B$28/100))*$B32),IF(E$27="mg/kg SAR",((E$28*0.001)*$B32),IF(E$27="mg/kg DM",(((E$28*0.001)*($B$28/100))*$B32),"0")))))))*1.205</f>
        <v>6.26172225</v>
      </c>
      <c r="F32" s="69">
        <f t="shared" ref="F32:F50" si="9">(IF(F$27="%w/w SAR",((F$28*10)*$B32),IF(F$27="%w/w DM",(((F$28*10)*($B$28/100))*$B32),IF(F$27="kg/t SAR",(F$28*$B32),IF(F$27="kg/t DM",((F$28*($B$28/100))*$B32),IF(F$27="mg/kg SAR",((F$28*0.001)*$B32),IF(F$27="mg/kg DM",(((F$28*0.001)*($B$28/100))*$B32),"0")))))))*1.658</f>
        <v>12.430026</v>
      </c>
      <c r="G32" s="69">
        <f t="shared" ref="G32:P50" si="10">IF(G$27="%w/w SAR",((G$28*10)*$B32),IF(G$27="%w/w DM",(((G$28*10)*($B$28/100))*$B32),IF(G$27="kg/t SAR",(G$28*$B32),IF(G$27="kg/t DM",((G$28*($B$28/100))*$B32),IF(G$27="mg/kg SAR",((G$28*0.001)*$B32),IF(G$27="mg/kg DM",(((G$28*0.001)*($B$28/100))*$B32),0))))))</f>
        <v>0.49906500000000004</v>
      </c>
      <c r="H32" s="69">
        <f t="shared" si="10"/>
        <v>0.87465000000000004</v>
      </c>
      <c r="I32" s="69">
        <f t="shared" si="10"/>
        <v>6.8354999999999999E-2</v>
      </c>
      <c r="J32" s="69">
        <f t="shared" si="10"/>
        <v>2.8665000000000001E-3</v>
      </c>
      <c r="K32" s="69">
        <f t="shared" si="10"/>
        <v>2.4989999999999999E-3</v>
      </c>
      <c r="L32" s="69">
        <f t="shared" si="10"/>
        <v>0.21168000000000003</v>
      </c>
      <c r="M32" s="69">
        <f t="shared" si="10"/>
        <v>7.9380000000000006E-2</v>
      </c>
      <c r="N32" s="69">
        <f t="shared" si="10"/>
        <v>1131.8999999999999</v>
      </c>
      <c r="O32" s="69">
        <f t="shared" si="10"/>
        <v>171.99</v>
      </c>
      <c r="P32" s="69">
        <f t="shared" si="10"/>
        <v>0</v>
      </c>
      <c r="Q32" s="69">
        <f t="shared" ref="Q32:Q50" si="11">(IF(Q$27="%w/w SAR",((Q$28*10)*$B32),IF(Q$27="%w/w DM",(((Q$28*10)*($B$28/100))*$B32),IF(Q$27="kg/t SAR",(Q$28*$B32),IF(Q$27="kg/t DM",((Q$28*($B$28/100))*$B32),IF(Q$27="mg/kg SAR",((Q$28*0.001)*$B32),IF(Q$27="mg/kg DM",(((Q$28*0.001)*($B$28/100))*$B32),0)))))))*2.5</f>
        <v>107.67749999999999</v>
      </c>
      <c r="R32" s="69">
        <f t="shared" ref="R32:U50" si="12">IF(R$27="%w/w SAR",((R$28*10)*$B32),IF(R$27="%w/w DM",(((R$28*10)*($B$28/100))*$B32),IF(R$27="kg/t SAR",(R$28*$B32),IF(R$27="kg/t DM",((R$28*($B$28/100))*$B32),IF(R$27="mg/kg SAR",((R$28*0.001)*$B32),IF(R$27="mg/kg DM",(((R$28*0.001)*($B$28/100))*$B32),0))))))</f>
        <v>0</v>
      </c>
      <c r="S32" s="69">
        <f t="shared" si="12"/>
        <v>0.12789</v>
      </c>
      <c r="T32" s="69">
        <f t="shared" si="12"/>
        <v>0</v>
      </c>
      <c r="U32" s="69">
        <f t="shared" si="12"/>
        <v>0</v>
      </c>
      <c r="AB32" s="51"/>
      <c r="AC32" s="51"/>
      <c r="AD32" s="51"/>
      <c r="AE32" s="51"/>
      <c r="AF32" s="51"/>
      <c r="AG32" s="51"/>
      <c r="AH32" s="51"/>
      <c r="AI32" s="51"/>
    </row>
    <row r="33" spans="1:35" s="64" customFormat="1" x14ac:dyDescent="0.25">
      <c r="A33" s="13">
        <f>E8</f>
        <v>3</v>
      </c>
      <c r="B33" s="15">
        <v>50</v>
      </c>
      <c r="C33" s="69">
        <f t="shared" si="6"/>
        <v>97.02000000000001</v>
      </c>
      <c r="D33" s="69">
        <f t="shared" si="7"/>
        <v>74.259328499999995</v>
      </c>
      <c r="E33" s="69">
        <f t="shared" si="8"/>
        <v>6.26172225</v>
      </c>
      <c r="F33" s="69">
        <f t="shared" si="9"/>
        <v>12.430026</v>
      </c>
      <c r="G33" s="69">
        <f t="shared" si="10"/>
        <v>0.49906500000000004</v>
      </c>
      <c r="H33" s="69">
        <f t="shared" si="10"/>
        <v>0.87465000000000004</v>
      </c>
      <c r="I33" s="69">
        <f t="shared" si="10"/>
        <v>6.8354999999999999E-2</v>
      </c>
      <c r="J33" s="69">
        <f t="shared" si="10"/>
        <v>2.8665000000000001E-3</v>
      </c>
      <c r="K33" s="69">
        <f t="shared" si="10"/>
        <v>2.4989999999999999E-3</v>
      </c>
      <c r="L33" s="69">
        <f t="shared" si="10"/>
        <v>0.21168000000000003</v>
      </c>
      <c r="M33" s="69">
        <f t="shared" si="10"/>
        <v>7.9380000000000006E-2</v>
      </c>
      <c r="N33" s="69">
        <f t="shared" si="10"/>
        <v>1131.8999999999999</v>
      </c>
      <c r="O33" s="69">
        <f t="shared" si="10"/>
        <v>171.99</v>
      </c>
      <c r="P33" s="69">
        <f t="shared" si="10"/>
        <v>0</v>
      </c>
      <c r="Q33" s="69">
        <f t="shared" si="11"/>
        <v>107.67749999999999</v>
      </c>
      <c r="R33" s="69">
        <f t="shared" si="12"/>
        <v>0</v>
      </c>
      <c r="S33" s="69">
        <f t="shared" si="12"/>
        <v>0.12789</v>
      </c>
      <c r="T33" s="69">
        <f t="shared" si="12"/>
        <v>0</v>
      </c>
      <c r="U33" s="69">
        <f t="shared" si="12"/>
        <v>0</v>
      </c>
      <c r="AB33" s="51"/>
      <c r="AC33" s="51"/>
      <c r="AD33" s="51"/>
      <c r="AE33" s="51"/>
      <c r="AF33" s="51"/>
      <c r="AG33" s="51"/>
      <c r="AH33" s="51"/>
      <c r="AI33" s="51"/>
    </row>
    <row r="34" spans="1:35" s="64" customFormat="1" x14ac:dyDescent="0.25">
      <c r="A34" s="13">
        <f>F8</f>
        <v>4</v>
      </c>
      <c r="B34" s="15">
        <v>50</v>
      </c>
      <c r="C34" s="69">
        <f t="shared" si="6"/>
        <v>97.02000000000001</v>
      </c>
      <c r="D34" s="69">
        <f t="shared" si="7"/>
        <v>74.259328499999995</v>
      </c>
      <c r="E34" s="69">
        <f t="shared" si="8"/>
        <v>6.26172225</v>
      </c>
      <c r="F34" s="69">
        <f t="shared" si="9"/>
        <v>12.430026</v>
      </c>
      <c r="G34" s="69">
        <f t="shared" si="10"/>
        <v>0.49906500000000004</v>
      </c>
      <c r="H34" s="69">
        <f t="shared" si="10"/>
        <v>0.87465000000000004</v>
      </c>
      <c r="I34" s="69">
        <f t="shared" si="10"/>
        <v>6.8354999999999999E-2</v>
      </c>
      <c r="J34" s="69">
        <f t="shared" si="10"/>
        <v>2.8665000000000001E-3</v>
      </c>
      <c r="K34" s="69">
        <f t="shared" si="10"/>
        <v>2.4989999999999999E-3</v>
      </c>
      <c r="L34" s="69">
        <f t="shared" si="10"/>
        <v>0.21168000000000003</v>
      </c>
      <c r="M34" s="69">
        <f t="shared" si="10"/>
        <v>7.9380000000000006E-2</v>
      </c>
      <c r="N34" s="69">
        <f t="shared" si="10"/>
        <v>1131.8999999999999</v>
      </c>
      <c r="O34" s="69">
        <f t="shared" si="10"/>
        <v>171.99</v>
      </c>
      <c r="P34" s="69">
        <f t="shared" si="10"/>
        <v>0</v>
      </c>
      <c r="Q34" s="69">
        <f t="shared" si="11"/>
        <v>107.67749999999999</v>
      </c>
      <c r="R34" s="69">
        <f t="shared" si="12"/>
        <v>0</v>
      </c>
      <c r="S34" s="69">
        <f t="shared" si="12"/>
        <v>0.12789</v>
      </c>
      <c r="T34" s="69">
        <f t="shared" si="12"/>
        <v>0</v>
      </c>
      <c r="U34" s="69">
        <f t="shared" si="12"/>
        <v>0</v>
      </c>
      <c r="AB34" s="51"/>
      <c r="AC34" s="51"/>
      <c r="AD34" s="51"/>
      <c r="AE34" s="51"/>
      <c r="AF34" s="51"/>
      <c r="AG34" s="51"/>
      <c r="AH34" s="51"/>
      <c r="AI34" s="51"/>
    </row>
    <row r="35" spans="1:35" s="64" customFormat="1" x14ac:dyDescent="0.25">
      <c r="A35" s="13" t="str">
        <f>G8</f>
        <v>5a</v>
      </c>
      <c r="B35" s="15">
        <v>50</v>
      </c>
      <c r="C35" s="69">
        <f t="shared" si="6"/>
        <v>97.02000000000001</v>
      </c>
      <c r="D35" s="69">
        <f t="shared" si="7"/>
        <v>74.259328499999995</v>
      </c>
      <c r="E35" s="69">
        <f t="shared" si="8"/>
        <v>6.26172225</v>
      </c>
      <c r="F35" s="69">
        <f t="shared" si="9"/>
        <v>12.430026</v>
      </c>
      <c r="G35" s="69">
        <f t="shared" si="10"/>
        <v>0.49906500000000004</v>
      </c>
      <c r="H35" s="69">
        <f t="shared" si="10"/>
        <v>0.87465000000000004</v>
      </c>
      <c r="I35" s="69">
        <f t="shared" si="10"/>
        <v>6.8354999999999999E-2</v>
      </c>
      <c r="J35" s="69">
        <f t="shared" si="10"/>
        <v>2.8665000000000001E-3</v>
      </c>
      <c r="K35" s="69">
        <f t="shared" si="10"/>
        <v>2.4989999999999999E-3</v>
      </c>
      <c r="L35" s="69">
        <f t="shared" si="10"/>
        <v>0.21168000000000003</v>
      </c>
      <c r="M35" s="69">
        <f t="shared" si="10"/>
        <v>7.9380000000000006E-2</v>
      </c>
      <c r="N35" s="69">
        <f t="shared" si="10"/>
        <v>1131.8999999999999</v>
      </c>
      <c r="O35" s="69">
        <f t="shared" si="10"/>
        <v>171.99</v>
      </c>
      <c r="P35" s="69">
        <f t="shared" si="10"/>
        <v>0</v>
      </c>
      <c r="Q35" s="69">
        <f t="shared" si="11"/>
        <v>107.67749999999999</v>
      </c>
      <c r="R35" s="69">
        <f t="shared" si="12"/>
        <v>0</v>
      </c>
      <c r="S35" s="69">
        <f t="shared" si="12"/>
        <v>0.12789</v>
      </c>
      <c r="T35" s="69">
        <f t="shared" si="12"/>
        <v>0</v>
      </c>
      <c r="U35" s="69">
        <f t="shared" si="12"/>
        <v>0</v>
      </c>
      <c r="AB35" s="51"/>
      <c r="AC35" s="51"/>
      <c r="AD35" s="51"/>
      <c r="AE35" s="51"/>
      <c r="AF35" s="51"/>
      <c r="AG35" s="51"/>
      <c r="AH35" s="51"/>
      <c r="AI35" s="51"/>
    </row>
    <row r="36" spans="1:35" s="64" customFormat="1" x14ac:dyDescent="0.25">
      <c r="A36" s="13" t="str">
        <f>H8</f>
        <v>5b</v>
      </c>
      <c r="B36" s="15">
        <v>50</v>
      </c>
      <c r="C36" s="69">
        <f t="shared" si="6"/>
        <v>97.02000000000001</v>
      </c>
      <c r="D36" s="69">
        <f t="shared" si="7"/>
        <v>74.259328499999995</v>
      </c>
      <c r="E36" s="69">
        <f t="shared" si="8"/>
        <v>6.26172225</v>
      </c>
      <c r="F36" s="69">
        <f t="shared" si="9"/>
        <v>12.430026</v>
      </c>
      <c r="G36" s="69">
        <f t="shared" si="10"/>
        <v>0.49906500000000004</v>
      </c>
      <c r="H36" s="69">
        <f t="shared" si="10"/>
        <v>0.87465000000000004</v>
      </c>
      <c r="I36" s="69">
        <f t="shared" si="10"/>
        <v>6.8354999999999999E-2</v>
      </c>
      <c r="J36" s="69">
        <f t="shared" si="10"/>
        <v>2.8665000000000001E-3</v>
      </c>
      <c r="K36" s="69">
        <f t="shared" si="10"/>
        <v>2.4989999999999999E-3</v>
      </c>
      <c r="L36" s="69">
        <f t="shared" si="10"/>
        <v>0.21168000000000003</v>
      </c>
      <c r="M36" s="69">
        <f t="shared" si="10"/>
        <v>7.9380000000000006E-2</v>
      </c>
      <c r="N36" s="69">
        <f t="shared" si="10"/>
        <v>1131.8999999999999</v>
      </c>
      <c r="O36" s="69">
        <f t="shared" si="10"/>
        <v>171.99</v>
      </c>
      <c r="P36" s="69">
        <f t="shared" si="10"/>
        <v>0</v>
      </c>
      <c r="Q36" s="69">
        <f t="shared" si="11"/>
        <v>107.67749999999999</v>
      </c>
      <c r="R36" s="69">
        <f t="shared" si="12"/>
        <v>0</v>
      </c>
      <c r="S36" s="69">
        <f t="shared" si="12"/>
        <v>0.12789</v>
      </c>
      <c r="T36" s="69">
        <f t="shared" si="12"/>
        <v>0</v>
      </c>
      <c r="U36" s="69">
        <f t="shared" si="12"/>
        <v>0</v>
      </c>
      <c r="AB36" s="51"/>
      <c r="AC36" s="51"/>
      <c r="AD36" s="51"/>
      <c r="AE36" s="51"/>
      <c r="AF36" s="51"/>
      <c r="AG36" s="51"/>
      <c r="AH36" s="51"/>
      <c r="AI36" s="51"/>
    </row>
    <row r="37" spans="1:35" s="64" customFormat="1" x14ac:dyDescent="0.25">
      <c r="A37" s="13">
        <f>I8</f>
        <v>6</v>
      </c>
      <c r="B37" s="15">
        <v>50</v>
      </c>
      <c r="C37" s="69">
        <f t="shared" si="6"/>
        <v>97.02000000000001</v>
      </c>
      <c r="D37" s="69">
        <f t="shared" si="7"/>
        <v>74.259328499999995</v>
      </c>
      <c r="E37" s="69">
        <f t="shared" si="8"/>
        <v>6.26172225</v>
      </c>
      <c r="F37" s="69">
        <f t="shared" si="9"/>
        <v>12.430026</v>
      </c>
      <c r="G37" s="69">
        <f t="shared" si="10"/>
        <v>0.49906500000000004</v>
      </c>
      <c r="H37" s="69">
        <f t="shared" si="10"/>
        <v>0.87465000000000004</v>
      </c>
      <c r="I37" s="69">
        <f t="shared" si="10"/>
        <v>6.8354999999999999E-2</v>
      </c>
      <c r="J37" s="69">
        <f t="shared" si="10"/>
        <v>2.8665000000000001E-3</v>
      </c>
      <c r="K37" s="69">
        <f t="shared" si="10"/>
        <v>2.4989999999999999E-3</v>
      </c>
      <c r="L37" s="69">
        <f t="shared" si="10"/>
        <v>0.21168000000000003</v>
      </c>
      <c r="M37" s="69">
        <f t="shared" si="10"/>
        <v>7.9380000000000006E-2</v>
      </c>
      <c r="N37" s="69">
        <f t="shared" si="10"/>
        <v>1131.8999999999999</v>
      </c>
      <c r="O37" s="69">
        <f t="shared" si="10"/>
        <v>171.99</v>
      </c>
      <c r="P37" s="69">
        <f t="shared" si="10"/>
        <v>0</v>
      </c>
      <c r="Q37" s="69">
        <f t="shared" si="11"/>
        <v>107.67749999999999</v>
      </c>
      <c r="R37" s="69">
        <f t="shared" si="12"/>
        <v>0</v>
      </c>
      <c r="S37" s="69">
        <f t="shared" si="12"/>
        <v>0.12789</v>
      </c>
      <c r="T37" s="69">
        <f t="shared" si="12"/>
        <v>0</v>
      </c>
      <c r="U37" s="69">
        <f t="shared" si="12"/>
        <v>0</v>
      </c>
      <c r="AB37" s="51"/>
      <c r="AC37" s="51"/>
      <c r="AD37" s="51"/>
      <c r="AE37" s="51"/>
      <c r="AF37" s="51"/>
      <c r="AG37" s="51"/>
      <c r="AH37" s="51"/>
      <c r="AI37" s="51"/>
    </row>
    <row r="38" spans="1:35" s="64" customFormat="1" x14ac:dyDescent="0.25">
      <c r="A38" s="13">
        <f>J8</f>
        <v>7</v>
      </c>
      <c r="B38" s="15">
        <v>50</v>
      </c>
      <c r="C38" s="69">
        <f t="shared" si="6"/>
        <v>97.02000000000001</v>
      </c>
      <c r="D38" s="69">
        <f t="shared" si="7"/>
        <v>74.259328499999995</v>
      </c>
      <c r="E38" s="69">
        <f t="shared" si="8"/>
        <v>6.26172225</v>
      </c>
      <c r="F38" s="69">
        <f t="shared" si="9"/>
        <v>12.430026</v>
      </c>
      <c r="G38" s="69">
        <f t="shared" si="10"/>
        <v>0.49906500000000004</v>
      </c>
      <c r="H38" s="69">
        <f t="shared" si="10"/>
        <v>0.87465000000000004</v>
      </c>
      <c r="I38" s="69">
        <f t="shared" si="10"/>
        <v>6.8354999999999999E-2</v>
      </c>
      <c r="J38" s="69">
        <f t="shared" si="10"/>
        <v>2.8665000000000001E-3</v>
      </c>
      <c r="K38" s="69">
        <f t="shared" si="10"/>
        <v>2.4989999999999999E-3</v>
      </c>
      <c r="L38" s="69">
        <f t="shared" si="10"/>
        <v>0.21168000000000003</v>
      </c>
      <c r="M38" s="69">
        <f t="shared" si="10"/>
        <v>7.9380000000000006E-2</v>
      </c>
      <c r="N38" s="69">
        <f t="shared" si="10"/>
        <v>1131.8999999999999</v>
      </c>
      <c r="O38" s="69">
        <f t="shared" si="10"/>
        <v>171.99</v>
      </c>
      <c r="P38" s="69">
        <f t="shared" si="10"/>
        <v>0</v>
      </c>
      <c r="Q38" s="69">
        <f t="shared" si="11"/>
        <v>107.67749999999999</v>
      </c>
      <c r="R38" s="69">
        <f t="shared" si="12"/>
        <v>0</v>
      </c>
      <c r="S38" s="69">
        <f t="shared" si="12"/>
        <v>0.12789</v>
      </c>
      <c r="T38" s="69">
        <f t="shared" si="12"/>
        <v>0</v>
      </c>
      <c r="U38" s="69">
        <f t="shared" si="12"/>
        <v>0</v>
      </c>
      <c r="AB38" s="51"/>
      <c r="AC38" s="51"/>
      <c r="AD38" s="51"/>
      <c r="AE38" s="51"/>
      <c r="AF38" s="51"/>
      <c r="AG38" s="51"/>
      <c r="AH38" s="51"/>
      <c r="AI38" s="51"/>
    </row>
    <row r="39" spans="1:35" s="64" customFormat="1" x14ac:dyDescent="0.25">
      <c r="A39" s="13">
        <f>K8</f>
        <v>9</v>
      </c>
      <c r="B39" s="15">
        <v>50</v>
      </c>
      <c r="C39" s="69">
        <f t="shared" si="6"/>
        <v>97.02000000000001</v>
      </c>
      <c r="D39" s="69">
        <f t="shared" si="7"/>
        <v>74.259328499999995</v>
      </c>
      <c r="E39" s="69">
        <f t="shared" si="8"/>
        <v>6.26172225</v>
      </c>
      <c r="F39" s="69">
        <f t="shared" si="9"/>
        <v>12.430026</v>
      </c>
      <c r="G39" s="69">
        <f t="shared" si="10"/>
        <v>0.49906500000000004</v>
      </c>
      <c r="H39" s="69">
        <f t="shared" si="10"/>
        <v>0.87465000000000004</v>
      </c>
      <c r="I39" s="69">
        <f t="shared" si="10"/>
        <v>6.8354999999999999E-2</v>
      </c>
      <c r="J39" s="69">
        <f t="shared" si="10"/>
        <v>2.8665000000000001E-3</v>
      </c>
      <c r="K39" s="69">
        <f t="shared" si="10"/>
        <v>2.4989999999999999E-3</v>
      </c>
      <c r="L39" s="69">
        <f t="shared" si="10"/>
        <v>0.21168000000000003</v>
      </c>
      <c r="M39" s="69">
        <f t="shared" si="10"/>
        <v>7.9380000000000006E-2</v>
      </c>
      <c r="N39" s="69">
        <f t="shared" si="10"/>
        <v>1131.8999999999999</v>
      </c>
      <c r="O39" s="69">
        <f t="shared" si="10"/>
        <v>171.99</v>
      </c>
      <c r="P39" s="69">
        <f t="shared" si="10"/>
        <v>0</v>
      </c>
      <c r="Q39" s="69">
        <f t="shared" si="11"/>
        <v>107.67749999999999</v>
      </c>
      <c r="R39" s="69">
        <f t="shared" si="12"/>
        <v>0</v>
      </c>
      <c r="S39" s="69">
        <f t="shared" si="12"/>
        <v>0.12789</v>
      </c>
      <c r="T39" s="69">
        <f t="shared" si="12"/>
        <v>0</v>
      </c>
      <c r="U39" s="69">
        <f t="shared" si="12"/>
        <v>0</v>
      </c>
      <c r="AB39" s="51"/>
      <c r="AC39" s="51"/>
      <c r="AD39" s="51"/>
      <c r="AE39" s="51"/>
      <c r="AF39" s="51"/>
      <c r="AG39" s="51"/>
      <c r="AH39" s="51"/>
      <c r="AI39" s="51"/>
    </row>
    <row r="40" spans="1:35" s="64" customFormat="1" x14ac:dyDescent="0.25">
      <c r="A40" s="13">
        <f>L8</f>
        <v>10</v>
      </c>
      <c r="B40" s="15"/>
      <c r="C40" s="69">
        <f t="shared" si="6"/>
        <v>0</v>
      </c>
      <c r="D40" s="69">
        <f t="shared" si="7"/>
        <v>0</v>
      </c>
      <c r="E40" s="69">
        <f t="shared" si="8"/>
        <v>0</v>
      </c>
      <c r="F40" s="69">
        <f t="shared" si="9"/>
        <v>0</v>
      </c>
      <c r="G40" s="69">
        <f t="shared" si="10"/>
        <v>0</v>
      </c>
      <c r="H40" s="69">
        <f t="shared" si="10"/>
        <v>0</v>
      </c>
      <c r="I40" s="69">
        <f t="shared" si="10"/>
        <v>0</v>
      </c>
      <c r="J40" s="69">
        <f t="shared" si="10"/>
        <v>0</v>
      </c>
      <c r="K40" s="69">
        <f t="shared" si="10"/>
        <v>0</v>
      </c>
      <c r="L40" s="69">
        <f t="shared" si="10"/>
        <v>0</v>
      </c>
      <c r="M40" s="69">
        <f t="shared" si="10"/>
        <v>0</v>
      </c>
      <c r="N40" s="69">
        <f t="shared" si="10"/>
        <v>0</v>
      </c>
      <c r="O40" s="69">
        <f t="shared" si="10"/>
        <v>0</v>
      </c>
      <c r="P40" s="69">
        <f t="shared" si="10"/>
        <v>0</v>
      </c>
      <c r="Q40" s="69">
        <f t="shared" si="11"/>
        <v>0</v>
      </c>
      <c r="R40" s="69">
        <f t="shared" si="12"/>
        <v>0</v>
      </c>
      <c r="S40" s="69">
        <f t="shared" si="12"/>
        <v>0</v>
      </c>
      <c r="T40" s="69">
        <f t="shared" si="12"/>
        <v>0</v>
      </c>
      <c r="U40" s="69">
        <f t="shared" si="12"/>
        <v>0</v>
      </c>
      <c r="AB40" s="51"/>
      <c r="AC40" s="51"/>
      <c r="AD40" s="51"/>
      <c r="AE40" s="51"/>
      <c r="AF40" s="51"/>
      <c r="AG40" s="51"/>
      <c r="AH40" s="51"/>
      <c r="AI40" s="51"/>
    </row>
    <row r="41" spans="1:35" s="64" customFormat="1" x14ac:dyDescent="0.25">
      <c r="A41" s="13">
        <f>M8</f>
        <v>11</v>
      </c>
      <c r="B41" s="15">
        <v>50</v>
      </c>
      <c r="C41" s="69">
        <f t="shared" si="6"/>
        <v>97.02000000000001</v>
      </c>
      <c r="D41" s="69">
        <f t="shared" si="7"/>
        <v>74.259328499999995</v>
      </c>
      <c r="E41" s="69">
        <f t="shared" si="8"/>
        <v>6.26172225</v>
      </c>
      <c r="F41" s="69">
        <f t="shared" si="9"/>
        <v>12.430026</v>
      </c>
      <c r="G41" s="69">
        <f t="shared" si="10"/>
        <v>0.49906500000000004</v>
      </c>
      <c r="H41" s="69">
        <f t="shared" si="10"/>
        <v>0.87465000000000004</v>
      </c>
      <c r="I41" s="69">
        <f t="shared" si="10"/>
        <v>6.8354999999999999E-2</v>
      </c>
      <c r="J41" s="69">
        <f t="shared" si="10"/>
        <v>2.8665000000000001E-3</v>
      </c>
      <c r="K41" s="69">
        <f t="shared" si="10"/>
        <v>2.4989999999999999E-3</v>
      </c>
      <c r="L41" s="69">
        <f t="shared" si="10"/>
        <v>0.21168000000000003</v>
      </c>
      <c r="M41" s="69">
        <f t="shared" si="10"/>
        <v>7.9380000000000006E-2</v>
      </c>
      <c r="N41" s="69">
        <f t="shared" si="10"/>
        <v>1131.8999999999999</v>
      </c>
      <c r="O41" s="69">
        <f t="shared" si="10"/>
        <v>171.99</v>
      </c>
      <c r="P41" s="69">
        <f t="shared" si="10"/>
        <v>0</v>
      </c>
      <c r="Q41" s="69">
        <f t="shared" si="11"/>
        <v>107.67749999999999</v>
      </c>
      <c r="R41" s="69">
        <f t="shared" si="12"/>
        <v>0</v>
      </c>
      <c r="S41" s="69">
        <f t="shared" si="12"/>
        <v>0.12789</v>
      </c>
      <c r="T41" s="69">
        <f t="shared" si="12"/>
        <v>0</v>
      </c>
      <c r="U41" s="69">
        <f t="shared" si="12"/>
        <v>0</v>
      </c>
      <c r="AB41" s="51"/>
      <c r="AC41" s="51"/>
      <c r="AD41" s="51"/>
      <c r="AE41" s="51"/>
      <c r="AF41" s="51"/>
      <c r="AG41" s="51"/>
      <c r="AH41" s="51"/>
      <c r="AI41" s="51"/>
    </row>
    <row r="42" spans="1:35" s="64" customFormat="1" x14ac:dyDescent="0.25">
      <c r="A42" s="13">
        <f>N8</f>
        <v>12</v>
      </c>
      <c r="B42" s="15">
        <v>50</v>
      </c>
      <c r="C42" s="69">
        <f t="shared" si="6"/>
        <v>97.02000000000001</v>
      </c>
      <c r="D42" s="69">
        <f t="shared" si="7"/>
        <v>74.259328499999995</v>
      </c>
      <c r="E42" s="69">
        <f t="shared" si="8"/>
        <v>6.26172225</v>
      </c>
      <c r="F42" s="69">
        <f t="shared" si="9"/>
        <v>12.430026</v>
      </c>
      <c r="G42" s="69">
        <f t="shared" si="10"/>
        <v>0.49906500000000004</v>
      </c>
      <c r="H42" s="69">
        <f t="shared" si="10"/>
        <v>0.87465000000000004</v>
      </c>
      <c r="I42" s="69">
        <f t="shared" si="10"/>
        <v>6.8354999999999999E-2</v>
      </c>
      <c r="J42" s="69">
        <f t="shared" si="10"/>
        <v>2.8665000000000001E-3</v>
      </c>
      <c r="K42" s="69">
        <f t="shared" si="10"/>
        <v>2.4989999999999999E-3</v>
      </c>
      <c r="L42" s="69">
        <f t="shared" si="10"/>
        <v>0.21168000000000003</v>
      </c>
      <c r="M42" s="69">
        <f t="shared" si="10"/>
        <v>7.9380000000000006E-2</v>
      </c>
      <c r="N42" s="69">
        <f t="shared" si="10"/>
        <v>1131.8999999999999</v>
      </c>
      <c r="O42" s="69">
        <f t="shared" si="10"/>
        <v>171.99</v>
      </c>
      <c r="P42" s="69">
        <f t="shared" si="10"/>
        <v>0</v>
      </c>
      <c r="Q42" s="69">
        <f t="shared" si="11"/>
        <v>107.67749999999999</v>
      </c>
      <c r="R42" s="69">
        <f t="shared" si="12"/>
        <v>0</v>
      </c>
      <c r="S42" s="69">
        <f t="shared" si="12"/>
        <v>0.12789</v>
      </c>
      <c r="T42" s="69">
        <f t="shared" si="12"/>
        <v>0</v>
      </c>
      <c r="U42" s="69">
        <f t="shared" si="12"/>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10"/>
        <v>0</v>
      </c>
      <c r="H43" s="69">
        <f t="shared" si="10"/>
        <v>0</v>
      </c>
      <c r="I43" s="69">
        <f t="shared" si="10"/>
        <v>0</v>
      </c>
      <c r="J43" s="69">
        <f t="shared" si="10"/>
        <v>0</v>
      </c>
      <c r="K43" s="69">
        <f t="shared" si="10"/>
        <v>0</v>
      </c>
      <c r="L43" s="69">
        <f t="shared" si="10"/>
        <v>0</v>
      </c>
      <c r="M43" s="69">
        <f t="shared" si="10"/>
        <v>0</v>
      </c>
      <c r="N43" s="69">
        <f t="shared" si="10"/>
        <v>0</v>
      </c>
      <c r="O43" s="69">
        <f t="shared" si="10"/>
        <v>0</v>
      </c>
      <c r="P43" s="69">
        <f t="shared" si="10"/>
        <v>0</v>
      </c>
      <c r="Q43" s="69">
        <f t="shared" si="11"/>
        <v>0</v>
      </c>
      <c r="R43" s="69">
        <f t="shared" si="12"/>
        <v>0</v>
      </c>
      <c r="S43" s="69">
        <f t="shared" si="12"/>
        <v>0</v>
      </c>
      <c r="T43" s="69">
        <f t="shared" si="12"/>
        <v>0</v>
      </c>
      <c r="U43" s="69">
        <f t="shared" si="12"/>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10"/>
        <v>0</v>
      </c>
      <c r="H44" s="69">
        <f t="shared" si="10"/>
        <v>0</v>
      </c>
      <c r="I44" s="69">
        <f t="shared" si="10"/>
        <v>0</v>
      </c>
      <c r="J44" s="69">
        <f t="shared" si="10"/>
        <v>0</v>
      </c>
      <c r="K44" s="69">
        <f t="shared" si="10"/>
        <v>0</v>
      </c>
      <c r="L44" s="69">
        <f t="shared" si="10"/>
        <v>0</v>
      </c>
      <c r="M44" s="69">
        <f t="shared" si="10"/>
        <v>0</v>
      </c>
      <c r="N44" s="69">
        <f t="shared" si="10"/>
        <v>0</v>
      </c>
      <c r="O44" s="69">
        <f t="shared" si="10"/>
        <v>0</v>
      </c>
      <c r="P44" s="69">
        <f t="shared" si="10"/>
        <v>0</v>
      </c>
      <c r="Q44" s="69">
        <f t="shared" si="11"/>
        <v>0</v>
      </c>
      <c r="R44" s="69">
        <f t="shared" si="12"/>
        <v>0</v>
      </c>
      <c r="S44" s="69">
        <f t="shared" si="12"/>
        <v>0</v>
      </c>
      <c r="T44" s="69">
        <f t="shared" si="12"/>
        <v>0</v>
      </c>
      <c r="U44" s="69">
        <f t="shared" si="12"/>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0"/>
        <v>0</v>
      </c>
      <c r="H50" s="77">
        <f t="shared" si="10"/>
        <v>0</v>
      </c>
      <c r="I50" s="77">
        <f t="shared" si="10"/>
        <v>0</v>
      </c>
      <c r="J50" s="77">
        <f t="shared" si="10"/>
        <v>0</v>
      </c>
      <c r="K50" s="77">
        <f t="shared" si="10"/>
        <v>0</v>
      </c>
      <c r="L50" s="77">
        <f t="shared" si="10"/>
        <v>0</v>
      </c>
      <c r="M50" s="77">
        <f t="shared" si="10"/>
        <v>0</v>
      </c>
      <c r="N50" s="77">
        <f t="shared" si="10"/>
        <v>0</v>
      </c>
      <c r="O50" s="77">
        <f t="shared" si="10"/>
        <v>0</v>
      </c>
      <c r="P50" s="77">
        <f t="shared" si="10"/>
        <v>0</v>
      </c>
      <c r="Q50" s="77">
        <f t="shared" si="11"/>
        <v>0</v>
      </c>
      <c r="R50" s="77">
        <f t="shared" si="12"/>
        <v>0</v>
      </c>
      <c r="S50" s="77">
        <f t="shared" si="12"/>
        <v>0</v>
      </c>
      <c r="T50" s="77">
        <f t="shared" si="12"/>
        <v>0</v>
      </c>
      <c r="U50" s="77">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"&amp;(VLOOKUP(C14,Table24[],6,FALSE))</f>
        <v>#N/A</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0" t="s">
        <v>130</v>
      </c>
      <c r="B59" s="68" t="e">
        <f>VLOOKUP(C$14,Table24[],5,FALSE)</f>
        <v>#N/A</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f>VLOOKUP(L$14,Table24[],5,FALSE)</f>
        <v>6.2</v>
      </c>
      <c r="L59" s="68">
        <f>VLOOKUP(M$14,Table24[],5,FALSE)</f>
        <v>6.2</v>
      </c>
      <c r="M59" s="68">
        <f>VLOOKUP(N$14,Table24[],5,FALSE)</f>
        <v>6.2</v>
      </c>
      <c r="N59" s="68" t="e">
        <f>VLOOKUP(O$14,Table24[],5,FALSE)</f>
        <v>#N/A</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50</v>
      </c>
      <c r="D62" s="69">
        <f>B33</f>
        <v>50</v>
      </c>
      <c r="E62" s="69">
        <f>B34</f>
        <v>50</v>
      </c>
      <c r="F62" s="69">
        <f>B35</f>
        <v>50</v>
      </c>
      <c r="G62" s="69">
        <f>B36</f>
        <v>50</v>
      </c>
      <c r="H62" s="69">
        <f>B37</f>
        <v>50</v>
      </c>
      <c r="I62" s="69">
        <f>B38</f>
        <v>50</v>
      </c>
      <c r="J62" s="69">
        <f>B39</f>
        <v>50</v>
      </c>
      <c r="K62" s="69">
        <f>B40</f>
        <v>0</v>
      </c>
      <c r="L62" s="69">
        <f>B41</f>
        <v>50</v>
      </c>
      <c r="M62" s="69">
        <f>B42</f>
        <v>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7"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6.7</v>
      </c>
      <c r="J1" s="98" t="s">
        <v>150</v>
      </c>
      <c r="K1" s="98"/>
      <c r="L1" s="76">
        <v>82.599997999999999</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18100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0.4563535801104972</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162</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75.509985399999991</v>
      </c>
      <c r="E18" s="16">
        <f>$D33</f>
        <v>75.509985399999991</v>
      </c>
      <c r="F18" s="16">
        <f>$D34</f>
        <v>75.509985399999991</v>
      </c>
      <c r="G18" s="16">
        <f>$D35</f>
        <v>75.509985399999991</v>
      </c>
      <c r="H18" s="16">
        <f>$D36</f>
        <v>75.509985399999991</v>
      </c>
      <c r="I18" s="16">
        <f>$D37</f>
        <v>75.509985399999991</v>
      </c>
      <c r="J18" s="16">
        <f>$D38</f>
        <v>75.509985399999991</v>
      </c>
      <c r="K18" s="16">
        <f>$D39</f>
        <v>75.509985399999991</v>
      </c>
      <c r="L18" s="16">
        <f>$D40</f>
        <v>0</v>
      </c>
      <c r="M18" s="16">
        <f>$D41</f>
        <v>75.509985399999991</v>
      </c>
      <c r="N18" s="16">
        <f>$D42</f>
        <v>75.509985399999991</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-0.99001460000000918</v>
      </c>
      <c r="E19" s="16">
        <f t="shared" si="1"/>
        <v>-0.99001460000000918</v>
      </c>
      <c r="F19" s="16">
        <f t="shared" si="1"/>
        <v>-0.99001460000000918</v>
      </c>
      <c r="G19" s="16">
        <f t="shared" si="1"/>
        <v>-0.99001460000000918</v>
      </c>
      <c r="H19" s="16">
        <f t="shared" si="1"/>
        <v>-0.99001460000000918</v>
      </c>
      <c r="I19" s="16">
        <f t="shared" si="1"/>
        <v>-0.99001460000000918</v>
      </c>
      <c r="J19" s="16">
        <f t="shared" si="1"/>
        <v>-0.99001460000000918</v>
      </c>
      <c r="K19" s="16">
        <f t="shared" si="1"/>
        <v>-0.99001460000000918</v>
      </c>
      <c r="L19" s="16">
        <f t="shared" si="1"/>
        <v>-76.5</v>
      </c>
      <c r="M19" s="16">
        <f t="shared" si="1"/>
        <v>-0.99001460000000918</v>
      </c>
      <c r="N19" s="16">
        <f t="shared" si="1"/>
        <v>-0.99001460000000918</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4.3723304500000004E-5</v>
      </c>
      <c r="E22" s="16">
        <f>$E33</f>
        <v>4.3723304500000004E-5</v>
      </c>
      <c r="F22" s="16">
        <f>$E34</f>
        <v>4.3723304500000004E-5</v>
      </c>
      <c r="G22" s="16">
        <f>$E35</f>
        <v>4.3723304500000004E-5</v>
      </c>
      <c r="H22" s="16">
        <f>$E36</f>
        <v>4.3723304500000004E-5</v>
      </c>
      <c r="I22" s="16">
        <f>$E37</f>
        <v>4.3723304500000004E-5</v>
      </c>
      <c r="J22" s="16">
        <f>$E38</f>
        <v>4.3723304500000004E-5</v>
      </c>
      <c r="K22" s="16">
        <f>$E39</f>
        <v>4.3723304500000004E-5</v>
      </c>
      <c r="L22" s="16">
        <f>$E40</f>
        <v>0</v>
      </c>
      <c r="M22" s="16">
        <f>$E41</f>
        <v>4.3723304500000004E-5</v>
      </c>
      <c r="N22" s="16">
        <f>$E42</f>
        <v>4.3723304500000004E-5</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-269.99995627669551</v>
      </c>
      <c r="E23" s="16">
        <f t="shared" si="3"/>
        <v>-269.99995627669551</v>
      </c>
      <c r="F23" s="16">
        <f t="shared" si="3"/>
        <v>-269.99995627669551</v>
      </c>
      <c r="G23" s="16">
        <f t="shared" si="3"/>
        <v>-269.99995627669551</v>
      </c>
      <c r="H23" s="16">
        <f t="shared" si="3"/>
        <v>-269.99995627669551</v>
      </c>
      <c r="I23" s="16">
        <f t="shared" si="3"/>
        <v>-269.99995627669551</v>
      </c>
      <c r="J23" s="16">
        <f t="shared" si="3"/>
        <v>-269.99995627669551</v>
      </c>
      <c r="K23" s="16">
        <f t="shared" si="3"/>
        <v>-269.99995627669551</v>
      </c>
      <c r="L23" s="16">
        <f t="shared" si="3"/>
        <v>-270</v>
      </c>
      <c r="M23" s="16">
        <f t="shared" si="3"/>
        <v>-269.99995627669551</v>
      </c>
      <c r="N23" s="16">
        <f t="shared" si="3"/>
        <v>-269.99995627669551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55</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7.39</v>
      </c>
      <c r="C28" s="15">
        <v>1.81</v>
      </c>
      <c r="D28" s="15">
        <v>0.89200000000000002</v>
      </c>
      <c r="E28" s="15">
        <v>9.8200000000000006E-3</v>
      </c>
      <c r="F28" s="15">
        <v>1470</v>
      </c>
      <c r="G28" s="15">
        <v>19.5</v>
      </c>
      <c r="H28" s="15">
        <v>424</v>
      </c>
      <c r="I28" s="15">
        <v>60.400002000000001</v>
      </c>
      <c r="J28" s="15">
        <v>0.45</v>
      </c>
      <c r="K28" s="22">
        <v>0.28000000000000003</v>
      </c>
      <c r="L28" s="15">
        <v>25.700001</v>
      </c>
      <c r="M28" s="15">
        <v>20.9</v>
      </c>
      <c r="N28" s="15">
        <v>133000</v>
      </c>
      <c r="O28" s="15">
        <v>4700</v>
      </c>
      <c r="P28" s="15"/>
      <c r="Q28" s="15">
        <v>2690</v>
      </c>
      <c r="R28" s="15"/>
      <c r="S28" s="15">
        <v>12.9</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50</v>
      </c>
      <c r="C32" s="69">
        <f t="shared" ref="C32:C50" si="6">IF(C$27="%w/w SAR",((C$28*10)*$B32),IF(C$27="%w/w DM",(((C$28*10)*($B$28/100))*$B32),IF(C$27="kg/t SAR",(C$28*$B32),IF(C$27="kg/t DM",((C$28*($B$28/100))*$B32),IF(C$27="mg/kg SAR",((C$28*0.001)*$B32),IF(C$27="mg/kg DM",(((C$28*0.001)*($B$28/100))*$B32),0))))))</f>
        <v>66.879500000000007</v>
      </c>
      <c r="D32" s="69">
        <f t="shared" ref="D32:D50" si="7">(IF(D$27="%w/w SAR",((D$28*10)*$B32),IF(D$27="%w/w DM",(((D$28*10)*($B$28/100))*$B32),IF(D$27="kg/t SAR",(D$28*$B32),IF(D$27="kg/t DM",((D$28*($B$28/100))*$B32),IF(D$27="mg/kg SAR",((D$28*0.001)*$B32),IF(D$27="mg/kg DM",(((D$28*0.001)*($B$28/100))*$B32),"0")))))))*2.291</f>
        <v>75.509985399999991</v>
      </c>
      <c r="E32" s="69">
        <f t="shared" ref="E32:E50" si="8">(IF(E$27="%w/w SAR",((E$28*10)*$B32),IF(E$27="%w/w DM",(((E$28*10)*($B$28/100))*$B32),IF(E$27="kg/t SAR",(E$28*$B32),IF(E$27="kg/t DM",((E$28*($B$28/100))*$B32),IF(E$27="mg/kg SAR",((E$28*0.001)*$B32),IF(E$27="mg/kg DM",(((E$28*0.001)*($B$28/100))*$B32),"0")))))))*1.205</f>
        <v>4.3723304500000004E-5</v>
      </c>
      <c r="F32" s="69">
        <f t="shared" ref="F32:F50" si="9">(IF(F$27="%w/w SAR",((F$28*10)*$B32),IF(F$27="%w/w DM",(((F$28*10)*($B$28/100))*$B32),IF(F$27="kg/t SAR",(F$28*$B32),IF(F$27="kg/t DM",((F$28*($B$28/100))*$B32),IF(F$27="mg/kg SAR",((F$28*0.001)*$B32),IF(F$27="mg/kg DM",(((F$28*0.001)*($B$28/100))*$B32),"0")))))))*1.658</f>
        <v>9.0056756999999994</v>
      </c>
      <c r="G32" s="69">
        <f t="shared" si="5"/>
        <v>7.2052499999999992E-2</v>
      </c>
      <c r="H32" s="69">
        <f t="shared" si="5"/>
        <v>1.5666799999999999</v>
      </c>
      <c r="I32" s="69">
        <f t="shared" si="5"/>
        <v>0.22317800738999999</v>
      </c>
      <c r="J32" s="69">
        <f t="shared" si="5"/>
        <v>1.6627499999999999E-3</v>
      </c>
      <c r="K32" s="69">
        <f t="shared" si="5"/>
        <v>1.0346000000000001E-3</v>
      </c>
      <c r="L32" s="69">
        <f t="shared" si="5"/>
        <v>9.4961503694999991E-2</v>
      </c>
      <c r="M32" s="69">
        <f t="shared" si="5"/>
        <v>7.7225499999999989E-2</v>
      </c>
      <c r="N32" s="69">
        <f t="shared" si="5"/>
        <v>491.435</v>
      </c>
      <c r="O32" s="69">
        <f t="shared" si="5"/>
        <v>17.366499999999998</v>
      </c>
      <c r="P32" s="69">
        <f t="shared" si="5"/>
        <v>0</v>
      </c>
      <c r="Q32" s="69">
        <f t="shared" ref="Q32:Q50" si="10">(IF(Q$27="%w/w SAR",((Q$28*10)*$B32),IF(Q$27="%w/w DM",(((Q$28*10)*($B$28/100))*$B32),IF(Q$27="kg/t SAR",(Q$28*$B32),IF(Q$27="kg/t DM",((Q$28*($B$28/100))*$B32),IF(Q$27="mg/kg SAR",((Q$28*0.001)*$B32),IF(Q$27="mg/kg DM",(((Q$28*0.001)*($B$28/100))*$B32),0)))))))*2.5</f>
        <v>24.848874999999996</v>
      </c>
      <c r="R32" s="69">
        <f t="shared" ref="R32:U50" si="11">IF(R$27="%w/w SAR",((R$28*10)*$B32),IF(R$27="%w/w DM",(((R$28*10)*($B$28/100))*$B32),IF(R$27="kg/t SAR",(R$28*$B32),IF(R$27="kg/t DM",((R$28*($B$28/100))*$B32),IF(R$27="mg/kg SAR",((R$28*0.001)*$B32),IF(R$27="mg/kg DM",(((R$28*0.001)*($B$28/100))*$B32),0))))))</f>
        <v>0</v>
      </c>
      <c r="S32" s="69">
        <f t="shared" si="11"/>
        <v>4.76655E-2</v>
      </c>
      <c r="T32" s="69">
        <f t="shared" si="11"/>
        <v>0</v>
      </c>
      <c r="U32" s="69">
        <f t="shared" si="11"/>
        <v>0</v>
      </c>
      <c r="AB32" s="51"/>
      <c r="AC32" s="51"/>
      <c r="AD32" s="51"/>
      <c r="AE32" s="51"/>
      <c r="AF32" s="51"/>
      <c r="AG32" s="51"/>
      <c r="AH32" s="51"/>
      <c r="AI32" s="51"/>
    </row>
    <row r="33" spans="1:35" s="64" customFormat="1" x14ac:dyDescent="0.25">
      <c r="A33" s="13">
        <f>E8</f>
        <v>3</v>
      </c>
      <c r="B33" s="15">
        <v>50</v>
      </c>
      <c r="C33" s="69">
        <f t="shared" si="6"/>
        <v>66.879500000000007</v>
      </c>
      <c r="D33" s="69">
        <f t="shared" si="7"/>
        <v>75.509985399999991</v>
      </c>
      <c r="E33" s="69">
        <f t="shared" si="8"/>
        <v>4.3723304500000004E-5</v>
      </c>
      <c r="F33" s="69">
        <f t="shared" si="9"/>
        <v>9.0056756999999994</v>
      </c>
      <c r="G33" s="69">
        <f t="shared" si="5"/>
        <v>7.2052499999999992E-2</v>
      </c>
      <c r="H33" s="69">
        <f t="shared" si="5"/>
        <v>1.5666799999999999</v>
      </c>
      <c r="I33" s="69">
        <f t="shared" si="5"/>
        <v>0.22317800738999999</v>
      </c>
      <c r="J33" s="69">
        <f t="shared" si="5"/>
        <v>1.6627499999999999E-3</v>
      </c>
      <c r="K33" s="69">
        <f t="shared" si="5"/>
        <v>1.0346000000000001E-3</v>
      </c>
      <c r="L33" s="69">
        <f t="shared" si="5"/>
        <v>9.4961503694999991E-2</v>
      </c>
      <c r="M33" s="69">
        <f t="shared" si="5"/>
        <v>7.7225499999999989E-2</v>
      </c>
      <c r="N33" s="69">
        <f t="shared" si="5"/>
        <v>491.435</v>
      </c>
      <c r="O33" s="69">
        <f t="shared" si="5"/>
        <v>17.366499999999998</v>
      </c>
      <c r="P33" s="69">
        <f t="shared" si="5"/>
        <v>0</v>
      </c>
      <c r="Q33" s="69">
        <f t="shared" si="10"/>
        <v>24.848874999999996</v>
      </c>
      <c r="R33" s="69">
        <f t="shared" si="11"/>
        <v>0</v>
      </c>
      <c r="S33" s="69">
        <f t="shared" si="11"/>
        <v>4.76655E-2</v>
      </c>
      <c r="T33" s="69">
        <f t="shared" si="11"/>
        <v>0</v>
      </c>
      <c r="U33" s="69">
        <f t="shared" si="11"/>
        <v>0</v>
      </c>
      <c r="AB33" s="51"/>
      <c r="AC33" s="51"/>
      <c r="AD33" s="51"/>
      <c r="AE33" s="51"/>
      <c r="AF33" s="51"/>
      <c r="AG33" s="51"/>
      <c r="AH33" s="51"/>
      <c r="AI33" s="51"/>
    </row>
    <row r="34" spans="1:35" s="64" customFormat="1" x14ac:dyDescent="0.25">
      <c r="A34" s="13">
        <f>F8</f>
        <v>4</v>
      </c>
      <c r="B34" s="15">
        <v>50</v>
      </c>
      <c r="C34" s="69">
        <f t="shared" si="6"/>
        <v>66.879500000000007</v>
      </c>
      <c r="D34" s="69">
        <f t="shared" si="7"/>
        <v>75.509985399999991</v>
      </c>
      <c r="E34" s="69">
        <f t="shared" si="8"/>
        <v>4.3723304500000004E-5</v>
      </c>
      <c r="F34" s="69">
        <f t="shared" si="9"/>
        <v>9.0056756999999994</v>
      </c>
      <c r="G34" s="69">
        <f t="shared" si="5"/>
        <v>7.2052499999999992E-2</v>
      </c>
      <c r="H34" s="69">
        <f t="shared" si="5"/>
        <v>1.5666799999999999</v>
      </c>
      <c r="I34" s="69">
        <f t="shared" si="5"/>
        <v>0.22317800738999999</v>
      </c>
      <c r="J34" s="69">
        <f t="shared" si="5"/>
        <v>1.6627499999999999E-3</v>
      </c>
      <c r="K34" s="69">
        <f t="shared" si="5"/>
        <v>1.0346000000000001E-3</v>
      </c>
      <c r="L34" s="69">
        <f t="shared" si="5"/>
        <v>9.4961503694999991E-2</v>
      </c>
      <c r="M34" s="69">
        <f t="shared" si="5"/>
        <v>7.7225499999999989E-2</v>
      </c>
      <c r="N34" s="69">
        <f t="shared" si="5"/>
        <v>491.435</v>
      </c>
      <c r="O34" s="69">
        <f t="shared" si="5"/>
        <v>17.366499999999998</v>
      </c>
      <c r="P34" s="69">
        <f t="shared" si="5"/>
        <v>0</v>
      </c>
      <c r="Q34" s="69">
        <f t="shared" si="10"/>
        <v>24.848874999999996</v>
      </c>
      <c r="R34" s="69">
        <f t="shared" si="11"/>
        <v>0</v>
      </c>
      <c r="S34" s="69">
        <f t="shared" si="11"/>
        <v>4.76655E-2</v>
      </c>
      <c r="T34" s="69">
        <f t="shared" si="11"/>
        <v>0</v>
      </c>
      <c r="U34" s="69">
        <f t="shared" si="11"/>
        <v>0</v>
      </c>
      <c r="AB34" s="51"/>
      <c r="AC34" s="51"/>
      <c r="AD34" s="51"/>
      <c r="AE34" s="51"/>
      <c r="AF34" s="51"/>
      <c r="AG34" s="51"/>
      <c r="AH34" s="51"/>
      <c r="AI34" s="51"/>
    </row>
    <row r="35" spans="1:35" s="64" customFormat="1" x14ac:dyDescent="0.25">
      <c r="A35" s="13" t="str">
        <f>G8</f>
        <v>5a</v>
      </c>
      <c r="B35" s="15">
        <v>50</v>
      </c>
      <c r="C35" s="69">
        <f t="shared" si="6"/>
        <v>66.879500000000007</v>
      </c>
      <c r="D35" s="69">
        <f t="shared" si="7"/>
        <v>75.509985399999991</v>
      </c>
      <c r="E35" s="69">
        <f t="shared" si="8"/>
        <v>4.3723304500000004E-5</v>
      </c>
      <c r="F35" s="69">
        <f t="shared" si="9"/>
        <v>9.0056756999999994</v>
      </c>
      <c r="G35" s="69">
        <f t="shared" si="5"/>
        <v>7.2052499999999992E-2</v>
      </c>
      <c r="H35" s="69">
        <f t="shared" si="5"/>
        <v>1.5666799999999999</v>
      </c>
      <c r="I35" s="69">
        <f t="shared" si="5"/>
        <v>0.22317800738999999</v>
      </c>
      <c r="J35" s="69">
        <f t="shared" si="5"/>
        <v>1.6627499999999999E-3</v>
      </c>
      <c r="K35" s="69">
        <f t="shared" si="5"/>
        <v>1.0346000000000001E-3</v>
      </c>
      <c r="L35" s="69">
        <f t="shared" si="5"/>
        <v>9.4961503694999991E-2</v>
      </c>
      <c r="M35" s="69">
        <f t="shared" si="5"/>
        <v>7.7225499999999989E-2</v>
      </c>
      <c r="N35" s="69">
        <f t="shared" si="5"/>
        <v>491.435</v>
      </c>
      <c r="O35" s="69">
        <f t="shared" si="5"/>
        <v>17.366499999999998</v>
      </c>
      <c r="P35" s="69">
        <f t="shared" si="5"/>
        <v>0</v>
      </c>
      <c r="Q35" s="69">
        <f t="shared" si="10"/>
        <v>24.848874999999996</v>
      </c>
      <c r="R35" s="69">
        <f t="shared" si="11"/>
        <v>0</v>
      </c>
      <c r="S35" s="69">
        <f t="shared" si="11"/>
        <v>4.76655E-2</v>
      </c>
      <c r="T35" s="69">
        <f t="shared" si="11"/>
        <v>0</v>
      </c>
      <c r="U35" s="69">
        <f t="shared" si="11"/>
        <v>0</v>
      </c>
      <c r="AB35" s="51"/>
      <c r="AC35" s="51"/>
      <c r="AD35" s="51"/>
      <c r="AE35" s="51"/>
      <c r="AF35" s="51"/>
      <c r="AG35" s="51"/>
      <c r="AH35" s="51"/>
      <c r="AI35" s="51"/>
    </row>
    <row r="36" spans="1:35" s="64" customFormat="1" x14ac:dyDescent="0.25">
      <c r="A36" s="13" t="str">
        <f>H8</f>
        <v>5b</v>
      </c>
      <c r="B36" s="15">
        <v>50</v>
      </c>
      <c r="C36" s="69">
        <f t="shared" si="6"/>
        <v>66.879500000000007</v>
      </c>
      <c r="D36" s="69">
        <f t="shared" si="7"/>
        <v>75.509985399999991</v>
      </c>
      <c r="E36" s="69">
        <f t="shared" si="8"/>
        <v>4.3723304500000004E-5</v>
      </c>
      <c r="F36" s="69">
        <f t="shared" si="9"/>
        <v>9.0056756999999994</v>
      </c>
      <c r="G36" s="69">
        <f t="shared" si="5"/>
        <v>7.2052499999999992E-2</v>
      </c>
      <c r="H36" s="69">
        <f t="shared" si="5"/>
        <v>1.5666799999999999</v>
      </c>
      <c r="I36" s="69">
        <f t="shared" si="5"/>
        <v>0.22317800738999999</v>
      </c>
      <c r="J36" s="69">
        <f t="shared" si="5"/>
        <v>1.6627499999999999E-3</v>
      </c>
      <c r="K36" s="69">
        <f t="shared" si="5"/>
        <v>1.0346000000000001E-3</v>
      </c>
      <c r="L36" s="69">
        <f t="shared" si="5"/>
        <v>9.4961503694999991E-2</v>
      </c>
      <c r="M36" s="69">
        <f t="shared" si="5"/>
        <v>7.7225499999999989E-2</v>
      </c>
      <c r="N36" s="69">
        <f t="shared" si="5"/>
        <v>491.435</v>
      </c>
      <c r="O36" s="69">
        <f t="shared" si="5"/>
        <v>17.366499999999998</v>
      </c>
      <c r="P36" s="69">
        <f t="shared" si="5"/>
        <v>0</v>
      </c>
      <c r="Q36" s="69">
        <f t="shared" si="10"/>
        <v>24.848874999999996</v>
      </c>
      <c r="R36" s="69">
        <f t="shared" si="11"/>
        <v>0</v>
      </c>
      <c r="S36" s="69">
        <f t="shared" si="11"/>
        <v>4.76655E-2</v>
      </c>
      <c r="T36" s="69">
        <f t="shared" si="11"/>
        <v>0</v>
      </c>
      <c r="U36" s="69">
        <f t="shared" si="11"/>
        <v>0</v>
      </c>
      <c r="AB36" s="51"/>
      <c r="AC36" s="51"/>
      <c r="AD36" s="51"/>
      <c r="AE36" s="51"/>
      <c r="AF36" s="51"/>
      <c r="AG36" s="51"/>
      <c r="AH36" s="51"/>
      <c r="AI36" s="51"/>
    </row>
    <row r="37" spans="1:35" s="64" customFormat="1" x14ac:dyDescent="0.25">
      <c r="A37" s="13">
        <f>I8</f>
        <v>6</v>
      </c>
      <c r="B37" s="15">
        <v>50</v>
      </c>
      <c r="C37" s="69">
        <f t="shared" si="6"/>
        <v>66.879500000000007</v>
      </c>
      <c r="D37" s="69">
        <f t="shared" si="7"/>
        <v>75.509985399999991</v>
      </c>
      <c r="E37" s="69">
        <f t="shared" si="8"/>
        <v>4.3723304500000004E-5</v>
      </c>
      <c r="F37" s="69">
        <f t="shared" si="9"/>
        <v>9.0056756999999994</v>
      </c>
      <c r="G37" s="69">
        <f t="shared" si="5"/>
        <v>7.2052499999999992E-2</v>
      </c>
      <c r="H37" s="69">
        <f t="shared" si="5"/>
        <v>1.5666799999999999</v>
      </c>
      <c r="I37" s="69">
        <f t="shared" si="5"/>
        <v>0.22317800738999999</v>
      </c>
      <c r="J37" s="69">
        <f t="shared" si="5"/>
        <v>1.6627499999999999E-3</v>
      </c>
      <c r="K37" s="69">
        <f t="shared" si="5"/>
        <v>1.0346000000000001E-3</v>
      </c>
      <c r="L37" s="69">
        <f t="shared" si="5"/>
        <v>9.4961503694999991E-2</v>
      </c>
      <c r="M37" s="69">
        <f t="shared" si="5"/>
        <v>7.7225499999999989E-2</v>
      </c>
      <c r="N37" s="69">
        <f t="shared" si="5"/>
        <v>491.435</v>
      </c>
      <c r="O37" s="69">
        <f t="shared" si="5"/>
        <v>17.366499999999998</v>
      </c>
      <c r="P37" s="69">
        <f t="shared" si="5"/>
        <v>0</v>
      </c>
      <c r="Q37" s="69">
        <f t="shared" si="10"/>
        <v>24.848874999999996</v>
      </c>
      <c r="R37" s="69">
        <f t="shared" si="11"/>
        <v>0</v>
      </c>
      <c r="S37" s="69">
        <f t="shared" si="11"/>
        <v>4.76655E-2</v>
      </c>
      <c r="T37" s="69">
        <f t="shared" si="11"/>
        <v>0</v>
      </c>
      <c r="U37" s="69">
        <f t="shared" si="11"/>
        <v>0</v>
      </c>
      <c r="AB37" s="51"/>
      <c r="AC37" s="51"/>
      <c r="AD37" s="51"/>
      <c r="AE37" s="51"/>
      <c r="AF37" s="51"/>
      <c r="AG37" s="51"/>
      <c r="AH37" s="51"/>
      <c r="AI37" s="51"/>
    </row>
    <row r="38" spans="1:35" s="64" customFormat="1" x14ac:dyDescent="0.25">
      <c r="A38" s="13">
        <f>J8</f>
        <v>7</v>
      </c>
      <c r="B38" s="15">
        <v>50</v>
      </c>
      <c r="C38" s="69">
        <f t="shared" si="6"/>
        <v>66.879500000000007</v>
      </c>
      <c r="D38" s="69">
        <f t="shared" si="7"/>
        <v>75.509985399999991</v>
      </c>
      <c r="E38" s="69">
        <f t="shared" si="8"/>
        <v>4.3723304500000004E-5</v>
      </c>
      <c r="F38" s="69">
        <f t="shared" si="9"/>
        <v>9.0056756999999994</v>
      </c>
      <c r="G38" s="69">
        <f t="shared" si="5"/>
        <v>7.2052499999999992E-2</v>
      </c>
      <c r="H38" s="69">
        <f t="shared" si="5"/>
        <v>1.5666799999999999</v>
      </c>
      <c r="I38" s="69">
        <f t="shared" si="5"/>
        <v>0.22317800738999999</v>
      </c>
      <c r="J38" s="69">
        <f t="shared" si="5"/>
        <v>1.6627499999999999E-3</v>
      </c>
      <c r="K38" s="69">
        <f t="shared" si="5"/>
        <v>1.0346000000000001E-3</v>
      </c>
      <c r="L38" s="69">
        <f t="shared" si="5"/>
        <v>9.4961503694999991E-2</v>
      </c>
      <c r="M38" s="69">
        <f t="shared" si="5"/>
        <v>7.7225499999999989E-2</v>
      </c>
      <c r="N38" s="69">
        <f t="shared" si="5"/>
        <v>491.435</v>
      </c>
      <c r="O38" s="69">
        <f t="shared" si="5"/>
        <v>17.366499999999998</v>
      </c>
      <c r="P38" s="69">
        <f t="shared" si="5"/>
        <v>0</v>
      </c>
      <c r="Q38" s="69">
        <f t="shared" si="10"/>
        <v>24.848874999999996</v>
      </c>
      <c r="R38" s="69">
        <f t="shared" si="11"/>
        <v>0</v>
      </c>
      <c r="S38" s="69">
        <f t="shared" si="11"/>
        <v>4.76655E-2</v>
      </c>
      <c r="T38" s="69">
        <f t="shared" si="11"/>
        <v>0</v>
      </c>
      <c r="U38" s="69">
        <f t="shared" si="11"/>
        <v>0</v>
      </c>
      <c r="AB38" s="51"/>
      <c r="AC38" s="51"/>
      <c r="AD38" s="51"/>
      <c r="AE38" s="51"/>
      <c r="AF38" s="51"/>
      <c r="AG38" s="51"/>
      <c r="AH38" s="51"/>
      <c r="AI38" s="51"/>
    </row>
    <row r="39" spans="1:35" s="64" customFormat="1" x14ac:dyDescent="0.25">
      <c r="A39" s="13">
        <f>K8</f>
        <v>9</v>
      </c>
      <c r="B39" s="15">
        <v>50</v>
      </c>
      <c r="C39" s="69">
        <f t="shared" si="6"/>
        <v>66.879500000000007</v>
      </c>
      <c r="D39" s="69">
        <f t="shared" si="7"/>
        <v>75.509985399999991</v>
      </c>
      <c r="E39" s="69">
        <f t="shared" si="8"/>
        <v>4.3723304500000004E-5</v>
      </c>
      <c r="F39" s="69">
        <f t="shared" si="9"/>
        <v>9.0056756999999994</v>
      </c>
      <c r="G39" s="69">
        <f t="shared" si="5"/>
        <v>7.2052499999999992E-2</v>
      </c>
      <c r="H39" s="69">
        <f t="shared" si="5"/>
        <v>1.5666799999999999</v>
      </c>
      <c r="I39" s="69">
        <f t="shared" si="5"/>
        <v>0.22317800738999999</v>
      </c>
      <c r="J39" s="69">
        <f t="shared" si="5"/>
        <v>1.6627499999999999E-3</v>
      </c>
      <c r="K39" s="69">
        <f t="shared" si="5"/>
        <v>1.0346000000000001E-3</v>
      </c>
      <c r="L39" s="69">
        <f t="shared" si="5"/>
        <v>9.4961503694999991E-2</v>
      </c>
      <c r="M39" s="69">
        <f t="shared" si="5"/>
        <v>7.7225499999999989E-2</v>
      </c>
      <c r="N39" s="69">
        <f t="shared" si="5"/>
        <v>491.435</v>
      </c>
      <c r="O39" s="69">
        <f t="shared" si="5"/>
        <v>17.366499999999998</v>
      </c>
      <c r="P39" s="69">
        <f t="shared" si="5"/>
        <v>0</v>
      </c>
      <c r="Q39" s="69">
        <f t="shared" si="10"/>
        <v>24.848874999999996</v>
      </c>
      <c r="R39" s="69">
        <f t="shared" si="11"/>
        <v>0</v>
      </c>
      <c r="S39" s="69">
        <f t="shared" si="11"/>
        <v>4.76655E-2</v>
      </c>
      <c r="T39" s="69">
        <f t="shared" si="11"/>
        <v>0</v>
      </c>
      <c r="U39" s="69">
        <f t="shared" si="11"/>
        <v>0</v>
      </c>
      <c r="AB39" s="51"/>
      <c r="AC39" s="51"/>
      <c r="AD39" s="51"/>
      <c r="AE39" s="51"/>
      <c r="AF39" s="51"/>
      <c r="AG39" s="51"/>
      <c r="AH39" s="51"/>
      <c r="AI39" s="51"/>
    </row>
    <row r="40" spans="1:35" s="64" customFormat="1" x14ac:dyDescent="0.25">
      <c r="A40" s="13">
        <f>L8</f>
        <v>10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11</v>
      </c>
      <c r="B41" s="15">
        <v>50</v>
      </c>
      <c r="C41" s="69">
        <f t="shared" si="6"/>
        <v>66.879500000000007</v>
      </c>
      <c r="D41" s="69">
        <f t="shared" si="7"/>
        <v>75.509985399999991</v>
      </c>
      <c r="E41" s="69">
        <f t="shared" si="8"/>
        <v>4.3723304500000004E-5</v>
      </c>
      <c r="F41" s="69">
        <f t="shared" si="9"/>
        <v>9.0056756999999994</v>
      </c>
      <c r="G41" s="69">
        <f t="shared" si="5"/>
        <v>7.2052499999999992E-2</v>
      </c>
      <c r="H41" s="69">
        <f t="shared" si="5"/>
        <v>1.5666799999999999</v>
      </c>
      <c r="I41" s="69">
        <f t="shared" si="5"/>
        <v>0.22317800738999999</v>
      </c>
      <c r="J41" s="69">
        <f t="shared" si="5"/>
        <v>1.6627499999999999E-3</v>
      </c>
      <c r="K41" s="69">
        <f t="shared" si="5"/>
        <v>1.0346000000000001E-3</v>
      </c>
      <c r="L41" s="69">
        <f t="shared" si="5"/>
        <v>9.4961503694999991E-2</v>
      </c>
      <c r="M41" s="69">
        <f t="shared" si="5"/>
        <v>7.7225499999999989E-2</v>
      </c>
      <c r="N41" s="69">
        <f t="shared" si="5"/>
        <v>491.435</v>
      </c>
      <c r="O41" s="69">
        <f t="shared" si="5"/>
        <v>17.366499999999998</v>
      </c>
      <c r="P41" s="69">
        <f t="shared" si="5"/>
        <v>0</v>
      </c>
      <c r="Q41" s="69">
        <f t="shared" si="10"/>
        <v>24.848874999999996</v>
      </c>
      <c r="R41" s="69">
        <f t="shared" si="11"/>
        <v>0</v>
      </c>
      <c r="S41" s="69">
        <f t="shared" si="11"/>
        <v>4.76655E-2</v>
      </c>
      <c r="T41" s="69">
        <f t="shared" si="11"/>
        <v>0</v>
      </c>
      <c r="U41" s="69">
        <f t="shared" si="11"/>
        <v>0</v>
      </c>
      <c r="AB41" s="51"/>
      <c r="AC41" s="51"/>
      <c r="AD41" s="51"/>
      <c r="AE41" s="51"/>
      <c r="AF41" s="51"/>
      <c r="AG41" s="51"/>
      <c r="AH41" s="51"/>
      <c r="AI41" s="51"/>
    </row>
    <row r="42" spans="1:35" s="64" customFormat="1" x14ac:dyDescent="0.25">
      <c r="A42" s="13">
        <f>N8</f>
        <v>12</v>
      </c>
      <c r="B42" s="15">
        <v>50</v>
      </c>
      <c r="C42" s="69">
        <f t="shared" si="6"/>
        <v>66.879500000000007</v>
      </c>
      <c r="D42" s="69">
        <f t="shared" si="7"/>
        <v>75.509985399999991</v>
      </c>
      <c r="E42" s="69">
        <f t="shared" si="8"/>
        <v>4.3723304500000004E-5</v>
      </c>
      <c r="F42" s="69">
        <f t="shared" si="9"/>
        <v>9.0056756999999994</v>
      </c>
      <c r="G42" s="69">
        <f t="shared" si="5"/>
        <v>7.2052499999999992E-2</v>
      </c>
      <c r="H42" s="69">
        <f t="shared" si="5"/>
        <v>1.5666799999999999</v>
      </c>
      <c r="I42" s="69">
        <f t="shared" si="5"/>
        <v>0.22317800738999999</v>
      </c>
      <c r="J42" s="69">
        <f t="shared" si="5"/>
        <v>1.6627499999999999E-3</v>
      </c>
      <c r="K42" s="69">
        <f t="shared" si="5"/>
        <v>1.0346000000000001E-3</v>
      </c>
      <c r="L42" s="69">
        <f t="shared" si="5"/>
        <v>9.4961503694999991E-2</v>
      </c>
      <c r="M42" s="69">
        <f t="shared" si="5"/>
        <v>7.7225499999999989E-2</v>
      </c>
      <c r="N42" s="69">
        <f t="shared" si="5"/>
        <v>491.435</v>
      </c>
      <c r="O42" s="69">
        <f t="shared" si="5"/>
        <v>17.366499999999998</v>
      </c>
      <c r="P42" s="69">
        <f t="shared" si="5"/>
        <v>0</v>
      </c>
      <c r="Q42" s="69">
        <f t="shared" si="10"/>
        <v>24.848874999999996</v>
      </c>
      <c r="R42" s="69">
        <f t="shared" si="11"/>
        <v>0</v>
      </c>
      <c r="S42" s="69">
        <f t="shared" si="11"/>
        <v>4.76655E-2</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"&amp;(VLOOKUP(C14,Table245[],6,FALSE))</f>
        <v>#N/A</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0" t="s">
        <v>130</v>
      </c>
      <c r="B59" s="68" t="e">
        <f>VLOOKUP(C$14,Table245[],5,FALSE)</f>
        <v>#N/A</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f>VLOOKUP(L$14,Table245[],5,FALSE)</f>
        <v>6.2</v>
      </c>
      <c r="L59" s="68">
        <f>VLOOKUP(M$14,Table245[],5,FALSE)</f>
        <v>6.2</v>
      </c>
      <c r="M59" s="68">
        <f>VLOOKUP(N$14,Table245[],5,FALSE)</f>
        <v>6.2</v>
      </c>
      <c r="N59" s="68" t="e">
        <f>VLOOKUP(O$14,Table245[],5,FALSE)</f>
        <v>#N/A</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50</v>
      </c>
      <c r="D62" s="69">
        <f>B33</f>
        <v>50</v>
      </c>
      <c r="E62" s="69">
        <f>B34</f>
        <v>50</v>
      </c>
      <c r="F62" s="69">
        <f>B35</f>
        <v>50</v>
      </c>
      <c r="G62" s="69">
        <f>B36</f>
        <v>50</v>
      </c>
      <c r="H62" s="69">
        <f>B37</f>
        <v>50</v>
      </c>
      <c r="I62" s="69">
        <f>B38</f>
        <v>50</v>
      </c>
      <c r="J62" s="69">
        <f>B39</f>
        <v>50</v>
      </c>
      <c r="K62" s="69">
        <f>B40</f>
        <v>0</v>
      </c>
      <c r="L62" s="69">
        <f>B41</f>
        <v>50</v>
      </c>
      <c r="M62" s="69">
        <f>B42</f>
        <v>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2" operator="equal">
      <formula>"DECREASE"</formula>
    </cfRule>
    <cfRule type="cellIs" dxfId="376" priority="33" operator="equal">
      <formula>"INCREASE"</formula>
    </cfRule>
  </conditionalFormatting>
  <conditionalFormatting sqref="B62:U66 B31:B50">
    <cfRule type="cellIs" dxfId="375" priority="31" operator="greaterThan">
      <formula>$B$51</formula>
    </cfRule>
  </conditionalFormatting>
  <conditionalFormatting sqref="C31:C50">
    <cfRule type="cellIs" dxfId="374" priority="30" operator="greaterThan">
      <formula>$C$51</formula>
    </cfRule>
  </conditionalFormatting>
  <conditionalFormatting sqref="C18:V18">
    <cfRule type="cellIs" dxfId="373" priority="29" operator="equal">
      <formula>0</formula>
    </cfRule>
  </conditionalFormatting>
  <conditionalFormatting sqref="C17:V17">
    <cfRule type="cellIs" dxfId="372" priority="28" operator="equal">
      <formula>0</formula>
    </cfRule>
  </conditionalFormatting>
  <conditionalFormatting sqref="C19:V19">
    <cfRule type="cellIs" dxfId="371" priority="27" operator="equal">
      <formula>0</formula>
    </cfRule>
  </conditionalFormatting>
  <conditionalFormatting sqref="G31:G50">
    <cfRule type="cellIs" dxfId="370" priority="26" operator="greaterThan">
      <formula>$G$51</formula>
    </cfRule>
  </conditionalFormatting>
  <conditionalFormatting sqref="H31:H50">
    <cfRule type="cellIs" dxfId="369" priority="25" operator="greaterThan">
      <formula>$H$51</formula>
    </cfRule>
  </conditionalFormatting>
  <conditionalFormatting sqref="I31:I50">
    <cfRule type="cellIs" dxfId="368" priority="24" operator="greaterThan">
      <formula>$I$51</formula>
    </cfRule>
  </conditionalFormatting>
  <conditionalFormatting sqref="K31:K50">
    <cfRule type="cellIs" dxfId="367" priority="23" operator="greaterThan">
      <formula>$K$51</formula>
    </cfRule>
  </conditionalFormatting>
  <conditionalFormatting sqref="L31:L50">
    <cfRule type="cellIs" dxfId="366" priority="22" operator="greaterThan">
      <formula>$L$51</formula>
    </cfRule>
  </conditionalFormatting>
  <conditionalFormatting sqref="M31:M50">
    <cfRule type="cellIs" dxfId="365" priority="21" operator="greaterThan">
      <formula>$M$51</formula>
    </cfRule>
  </conditionalFormatting>
  <conditionalFormatting sqref="P31:P50">
    <cfRule type="cellIs" dxfId="364" priority="20" operator="greaterThan">
      <formula>$P$51</formula>
    </cfRule>
  </conditionalFormatting>
  <conditionalFormatting sqref="R31:R50">
    <cfRule type="cellIs" dxfId="363" priority="19" operator="greaterThan">
      <formula>$R$51</formula>
    </cfRule>
  </conditionalFormatting>
  <conditionalFormatting sqref="S31:S50">
    <cfRule type="cellIs" dxfId="362" priority="18" operator="greaterThan">
      <formula>$S$51</formula>
    </cfRule>
  </conditionalFormatting>
  <conditionalFormatting sqref="T31:T50">
    <cfRule type="cellIs" dxfId="361" priority="17" operator="greaterThan">
      <formula>$T$51</formula>
    </cfRule>
  </conditionalFormatting>
  <conditionalFormatting sqref="U31:U50">
    <cfRule type="cellIs" dxfId="360" priority="16" operator="greaterThan">
      <formula>$U$51</formula>
    </cfRule>
  </conditionalFormatting>
  <conditionalFormatting sqref="C22:V22">
    <cfRule type="cellIs" dxfId="359" priority="15" operator="equal">
      <formula>0</formula>
    </cfRule>
  </conditionalFormatting>
  <conditionalFormatting sqref="C24:V24">
    <cfRule type="cellIs" dxfId="358" priority="13" operator="equal">
      <formula>"DECREASE"</formula>
    </cfRule>
    <cfRule type="cellIs" dxfId="357" priority="14" operator="equal">
      <formula>"INCREASE"</formula>
    </cfRule>
  </conditionalFormatting>
  <conditionalFormatting sqref="C23:V23">
    <cfRule type="cellIs" dxfId="356" priority="12" operator="equal">
      <formula>0</formula>
    </cfRule>
  </conditionalFormatting>
  <conditionalFormatting sqref="I1">
    <cfRule type="cellIs" dxfId="355" priority="11" operator="lessThan">
      <formula>5</formula>
    </cfRule>
  </conditionalFormatting>
  <conditionalFormatting sqref="C21:V21">
    <cfRule type="cellIs" dxfId="354" priority="8" operator="equal">
      <formula>0</formula>
    </cfRule>
  </conditionalFormatting>
  <conditionalFormatting sqref="B66:U66">
    <cfRule type="cellIs" dxfId="353" priority="6" operator="equal">
      <formula>"UNDER"</formula>
    </cfRule>
    <cfRule type="cellIs" dxfId="352" priority="7" operator="equal">
      <formula>"OVER"</formula>
    </cfRule>
  </conditionalFormatting>
  <conditionalFormatting sqref="I2">
    <cfRule type="cellIs" dxfId="351" priority="5" operator="greaterThan">
      <formula>5000.1</formula>
    </cfRule>
  </conditionalFormatting>
  <conditionalFormatting sqref="I3">
    <cfRule type="cellIs" dxfId="350" priority="4" operator="greaterThan">
      <formula>4.1</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7"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5.28</v>
      </c>
      <c r="J1" s="98" t="s">
        <v>150</v>
      </c>
      <c r="K1" s="98"/>
      <c r="L1" s="76">
        <v>25</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v>54</v>
      </c>
      <c r="J2" s="98" t="s">
        <v>151</v>
      </c>
      <c r="K2" s="98"/>
      <c r="L2" s="76">
        <v>200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12.5</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163</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20.504449999999999</v>
      </c>
      <c r="E18" s="16">
        <f>$D33</f>
        <v>20.504449999999999</v>
      </c>
      <c r="F18" s="16">
        <f>$D34</f>
        <v>20.504449999999999</v>
      </c>
      <c r="G18" s="16">
        <f>$D35</f>
        <v>20.504449999999999</v>
      </c>
      <c r="H18" s="16">
        <f>$D36</f>
        <v>20.504449999999999</v>
      </c>
      <c r="I18" s="16">
        <f>$D37</f>
        <v>20.504449999999999</v>
      </c>
      <c r="J18" s="16">
        <f>$D38</f>
        <v>20.504449999999999</v>
      </c>
      <c r="K18" s="16">
        <f>$D39</f>
        <v>20.504449999999999</v>
      </c>
      <c r="L18" s="16">
        <f>$D40</f>
        <v>20.504449999999999</v>
      </c>
      <c r="M18" s="16">
        <f>$D41</f>
        <v>20.504449999999999</v>
      </c>
      <c r="N18" s="16">
        <f>$D42</f>
        <v>20.504449999999999</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-55.995550000000001</v>
      </c>
      <c r="E19" s="16">
        <f t="shared" si="1"/>
        <v>-55.995550000000001</v>
      </c>
      <c r="F19" s="16">
        <f t="shared" si="1"/>
        <v>-55.995550000000001</v>
      </c>
      <c r="G19" s="16">
        <f t="shared" si="1"/>
        <v>-55.995550000000001</v>
      </c>
      <c r="H19" s="16">
        <f t="shared" si="1"/>
        <v>-55.995550000000001</v>
      </c>
      <c r="I19" s="16">
        <f t="shared" si="1"/>
        <v>-55.995550000000001</v>
      </c>
      <c r="J19" s="16">
        <f t="shared" si="1"/>
        <v>-55.995550000000001</v>
      </c>
      <c r="K19" s="16">
        <f t="shared" si="1"/>
        <v>-55.995550000000001</v>
      </c>
      <c r="L19" s="16">
        <f t="shared" si="1"/>
        <v>-55.995550000000001</v>
      </c>
      <c r="M19" s="16">
        <f t="shared" si="1"/>
        <v>-55.995550000000001</v>
      </c>
      <c r="N19" s="16">
        <f t="shared" si="1"/>
        <v>-55.995550000000001</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(VLOOKUP(D$14,$AI2:$AK24,3,FALSE))*D$15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3.0125000000000002</v>
      </c>
      <c r="E22" s="16">
        <f>$E33</f>
        <v>3.0125000000000002</v>
      </c>
      <c r="F22" s="16">
        <f>$E34</f>
        <v>3.0125000000000002</v>
      </c>
      <c r="G22" s="16">
        <f>$E35</f>
        <v>3.0125000000000002</v>
      </c>
      <c r="H22" s="16">
        <f>$E36</f>
        <v>3.0125000000000002</v>
      </c>
      <c r="I22" s="16">
        <f>$E37</f>
        <v>3.0125000000000002</v>
      </c>
      <c r="J22" s="16">
        <f>$E38</f>
        <v>3.0125000000000002</v>
      </c>
      <c r="K22" s="16">
        <f>$E39</f>
        <v>3.0125000000000002</v>
      </c>
      <c r="L22" s="16">
        <f>$E40</f>
        <v>3.0125000000000002</v>
      </c>
      <c r="M22" s="16">
        <f>$E41</f>
        <v>3.0125000000000002</v>
      </c>
      <c r="N22" s="16">
        <f>$E42</f>
        <v>3.0125000000000002</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-266.98750000000001</v>
      </c>
      <c r="E23" s="16">
        <f t="shared" si="3"/>
        <v>-266.98750000000001</v>
      </c>
      <c r="F23" s="16">
        <f t="shared" si="3"/>
        <v>-266.98750000000001</v>
      </c>
      <c r="G23" s="16">
        <f t="shared" si="3"/>
        <v>-266.98750000000001</v>
      </c>
      <c r="H23" s="16">
        <f t="shared" si="3"/>
        <v>-266.98750000000001</v>
      </c>
      <c r="I23" s="16">
        <f t="shared" si="3"/>
        <v>-266.98750000000001</v>
      </c>
      <c r="J23" s="16">
        <f t="shared" si="3"/>
        <v>-266.98750000000001</v>
      </c>
      <c r="K23" s="16">
        <f t="shared" si="3"/>
        <v>-266.98750000000001</v>
      </c>
      <c r="L23" s="16">
        <f t="shared" si="3"/>
        <v>-266.98750000000001</v>
      </c>
      <c r="M23" s="16">
        <f t="shared" si="3"/>
        <v>-266.98750000000001</v>
      </c>
      <c r="N23" s="16">
        <f t="shared" si="3"/>
        <v>-266.98750000000001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t="s">
        <v>54</v>
      </c>
      <c r="O27" s="86" t="s">
        <v>54</v>
      </c>
      <c r="P27" s="86"/>
      <c r="Q27" s="86" t="s">
        <v>54</v>
      </c>
      <c r="R27" s="86" t="s">
        <v>54</v>
      </c>
      <c r="S27" s="86" t="s">
        <v>54</v>
      </c>
      <c r="T27" s="86" t="s">
        <v>54</v>
      </c>
      <c r="U27" s="86" t="s">
        <v>54</v>
      </c>
    </row>
    <row r="28" spans="1:40" s="49" customFormat="1" x14ac:dyDescent="0.25">
      <c r="A28" s="87"/>
      <c r="B28" s="23">
        <v>2.73</v>
      </c>
      <c r="C28" s="15">
        <v>0.02</v>
      </c>
      <c r="D28" s="15">
        <v>35.799999999999997</v>
      </c>
      <c r="E28" s="15">
        <v>10</v>
      </c>
      <c r="F28" s="15">
        <v>10</v>
      </c>
      <c r="G28" s="15">
        <v>0.74</v>
      </c>
      <c r="H28" s="15">
        <v>3.37</v>
      </c>
      <c r="I28" s="15">
        <v>0.5</v>
      </c>
      <c r="J28" s="15">
        <v>1.6E-2</v>
      </c>
      <c r="K28" s="22">
        <v>0.05</v>
      </c>
      <c r="L28" s="15">
        <v>0.77200000000000002</v>
      </c>
      <c r="M28" s="15">
        <v>0.91500000000000004</v>
      </c>
      <c r="N28" s="15">
        <v>47</v>
      </c>
      <c r="O28" s="15">
        <v>10681</v>
      </c>
      <c r="P28" s="15">
        <v>10</v>
      </c>
      <c r="Q28" s="15">
        <v>82.6</v>
      </c>
      <c r="R28" s="15">
        <v>6.3E-2</v>
      </c>
      <c r="S28" s="15">
        <v>0.5</v>
      </c>
      <c r="T28" s="15">
        <v>5.6000000000000001E-2</v>
      </c>
      <c r="U28" s="15">
        <v>10</v>
      </c>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50</v>
      </c>
      <c r="D32" s="69">
        <f t="shared" ref="D32:D50" si="7">(IF(D$27="%w/w SAR",((D$28*10)*$B32),IF(D$27="%w/w DM",(((D$28*10)*($B$28/100))*$B32),IF(D$27="kg/t SAR",(D$28*$B32),IF(D$27="kg/t DM",((D$28*($B$28/100))*$B32),IF(D$27="mg/kg SAR",((D$28*0.001)*$B32),IF(D$27="mg/kg DM",(((D$28*0.001)*($B$28/100))*$B32),"0")))))))*2.291</f>
        <v>20.504449999999999</v>
      </c>
      <c r="E32" s="69">
        <f t="shared" ref="E32:E50" si="8">(IF(E$27="%w/w SAR",((E$28*10)*$B32),IF(E$27="%w/w DM",(((E$28*10)*($B$28/100))*$B32),IF(E$27="kg/t SAR",(E$28*$B32),IF(E$27="kg/t DM",((E$28*($B$28/100))*$B32),IF(E$27="mg/kg SAR",((E$28*0.001)*$B32),IF(E$27="mg/kg DM",(((E$28*0.001)*($B$28/100))*$B32),"0")))))))*1.205</f>
        <v>3.0125000000000002</v>
      </c>
      <c r="F32" s="69">
        <f t="shared" ref="F32:F50" si="9">(IF(F$27="%w/w SAR",((F$28*10)*$B32),IF(F$27="%w/w DM",(((F$28*10)*($B$28/100))*$B32),IF(F$27="kg/t SAR",(F$28*$B32),IF(F$27="kg/t DM",((F$28*($B$28/100))*$B32),IF(F$27="mg/kg SAR",((F$28*0.001)*$B32),IF(F$27="mg/kg DM",(((F$28*0.001)*($B$28/100))*$B32),"0")))))))*1.658</f>
        <v>4.1449999999999996</v>
      </c>
      <c r="G32" s="69">
        <f t="shared" si="5"/>
        <v>0.185</v>
      </c>
      <c r="H32" s="69">
        <f t="shared" si="5"/>
        <v>0.84250000000000003</v>
      </c>
      <c r="I32" s="69">
        <f t="shared" si="5"/>
        <v>0.125</v>
      </c>
      <c r="J32" s="69">
        <f t="shared" si="5"/>
        <v>4.0000000000000001E-3</v>
      </c>
      <c r="K32" s="69">
        <f t="shared" si="5"/>
        <v>1.2500000000000001E-2</v>
      </c>
      <c r="L32" s="69">
        <f t="shared" si="5"/>
        <v>0.193</v>
      </c>
      <c r="M32" s="69">
        <f t="shared" si="5"/>
        <v>0.22875000000000001</v>
      </c>
      <c r="N32" s="69">
        <f t="shared" si="5"/>
        <v>11.75</v>
      </c>
      <c r="O32" s="69">
        <f t="shared" si="5"/>
        <v>2670.2500000000005</v>
      </c>
      <c r="P32" s="69">
        <f t="shared" si="5"/>
        <v>0</v>
      </c>
      <c r="Q32" s="69">
        <f t="shared" ref="Q32:Q50" si="10">(IF(Q$27="%w/w SAR",((Q$28*10)*$B32),IF(Q$27="%w/w DM",(((Q$28*10)*($B$28/100))*$B32),IF(Q$27="kg/t SAR",(Q$28*$B32),IF(Q$27="kg/t DM",((Q$28*($B$28/100))*$B32),IF(Q$27="mg/kg SAR",((Q$28*0.001)*$B32),IF(Q$27="mg/kg DM",(((Q$28*0.001)*($B$28/100))*$B32),0)))))))*2.5</f>
        <v>51.625</v>
      </c>
      <c r="R32" s="69">
        <f t="shared" ref="R32:U50" si="11">IF(R$27="%w/w SAR",((R$28*10)*$B32),IF(R$27="%w/w DM",(((R$28*10)*($B$28/100))*$B32),IF(R$27="kg/t SAR",(R$28*$B32),IF(R$27="kg/t DM",((R$28*($B$28/100))*$B32),IF(R$27="mg/kg SAR",((R$28*0.001)*$B32),IF(R$27="mg/kg DM",(((R$28*0.001)*($B$28/100))*$B32),0))))))</f>
        <v>1.575E-2</v>
      </c>
      <c r="S32" s="69">
        <f t="shared" si="11"/>
        <v>0.125</v>
      </c>
      <c r="T32" s="69">
        <f t="shared" si="11"/>
        <v>1.4E-2</v>
      </c>
      <c r="U32" s="69">
        <f t="shared" si="11"/>
        <v>2.5</v>
      </c>
      <c r="AB32" s="51"/>
      <c r="AC32" s="51"/>
      <c r="AD32" s="51"/>
      <c r="AE32" s="51"/>
      <c r="AF32" s="51"/>
      <c r="AG32" s="51"/>
      <c r="AH32" s="51"/>
      <c r="AI32" s="51"/>
    </row>
    <row r="33" spans="1:35" s="64" customFormat="1" x14ac:dyDescent="0.25">
      <c r="A33" s="13">
        <f>E8</f>
        <v>3</v>
      </c>
      <c r="B33" s="15">
        <v>250</v>
      </c>
      <c r="C33" s="69">
        <f t="shared" si="6"/>
        <v>50</v>
      </c>
      <c r="D33" s="69">
        <f t="shared" si="7"/>
        <v>20.504449999999999</v>
      </c>
      <c r="E33" s="69">
        <f t="shared" si="8"/>
        <v>3.0125000000000002</v>
      </c>
      <c r="F33" s="69">
        <f t="shared" si="9"/>
        <v>4.1449999999999996</v>
      </c>
      <c r="G33" s="69">
        <f t="shared" si="5"/>
        <v>0.185</v>
      </c>
      <c r="H33" s="69">
        <f t="shared" si="5"/>
        <v>0.84250000000000003</v>
      </c>
      <c r="I33" s="69">
        <f t="shared" si="5"/>
        <v>0.125</v>
      </c>
      <c r="J33" s="69">
        <f t="shared" si="5"/>
        <v>4.0000000000000001E-3</v>
      </c>
      <c r="K33" s="69">
        <f t="shared" si="5"/>
        <v>1.2500000000000001E-2</v>
      </c>
      <c r="L33" s="69">
        <f t="shared" si="5"/>
        <v>0.193</v>
      </c>
      <c r="M33" s="69">
        <f t="shared" si="5"/>
        <v>0.22875000000000001</v>
      </c>
      <c r="N33" s="69">
        <f t="shared" si="5"/>
        <v>11.75</v>
      </c>
      <c r="O33" s="69">
        <f t="shared" si="5"/>
        <v>2670.2500000000005</v>
      </c>
      <c r="P33" s="69">
        <f t="shared" si="5"/>
        <v>0</v>
      </c>
      <c r="Q33" s="69">
        <f t="shared" si="10"/>
        <v>51.625</v>
      </c>
      <c r="R33" s="69">
        <f t="shared" si="11"/>
        <v>1.575E-2</v>
      </c>
      <c r="S33" s="69">
        <f t="shared" si="11"/>
        <v>0.125</v>
      </c>
      <c r="T33" s="69">
        <f t="shared" si="11"/>
        <v>1.4E-2</v>
      </c>
      <c r="U33" s="69">
        <f t="shared" si="11"/>
        <v>2.5</v>
      </c>
      <c r="AB33" s="51"/>
      <c r="AC33" s="51"/>
      <c r="AD33" s="51"/>
      <c r="AE33" s="51"/>
      <c r="AF33" s="51"/>
      <c r="AG33" s="51"/>
      <c r="AH33" s="51"/>
      <c r="AI33" s="51"/>
    </row>
    <row r="34" spans="1:35" s="64" customFormat="1" x14ac:dyDescent="0.25">
      <c r="A34" s="13">
        <f>F8</f>
        <v>4</v>
      </c>
      <c r="B34" s="15">
        <v>250</v>
      </c>
      <c r="C34" s="69">
        <f t="shared" si="6"/>
        <v>50</v>
      </c>
      <c r="D34" s="69">
        <f t="shared" si="7"/>
        <v>20.504449999999999</v>
      </c>
      <c r="E34" s="69">
        <f t="shared" si="8"/>
        <v>3.0125000000000002</v>
      </c>
      <c r="F34" s="69">
        <f t="shared" si="9"/>
        <v>4.1449999999999996</v>
      </c>
      <c r="G34" s="69">
        <f t="shared" si="5"/>
        <v>0.185</v>
      </c>
      <c r="H34" s="69">
        <f t="shared" si="5"/>
        <v>0.84250000000000003</v>
      </c>
      <c r="I34" s="69">
        <f t="shared" si="5"/>
        <v>0.125</v>
      </c>
      <c r="J34" s="69">
        <f t="shared" si="5"/>
        <v>4.0000000000000001E-3</v>
      </c>
      <c r="K34" s="69">
        <f t="shared" si="5"/>
        <v>1.2500000000000001E-2</v>
      </c>
      <c r="L34" s="69">
        <f t="shared" si="5"/>
        <v>0.193</v>
      </c>
      <c r="M34" s="69">
        <f t="shared" si="5"/>
        <v>0.22875000000000001</v>
      </c>
      <c r="N34" s="69">
        <f t="shared" si="5"/>
        <v>11.75</v>
      </c>
      <c r="O34" s="69">
        <f t="shared" si="5"/>
        <v>2670.2500000000005</v>
      </c>
      <c r="P34" s="69">
        <f t="shared" si="5"/>
        <v>0</v>
      </c>
      <c r="Q34" s="69">
        <f t="shared" si="10"/>
        <v>51.625</v>
      </c>
      <c r="R34" s="69">
        <f t="shared" si="11"/>
        <v>1.575E-2</v>
      </c>
      <c r="S34" s="69">
        <f t="shared" si="11"/>
        <v>0.125</v>
      </c>
      <c r="T34" s="69">
        <f t="shared" si="11"/>
        <v>1.4E-2</v>
      </c>
      <c r="U34" s="69">
        <f t="shared" si="11"/>
        <v>2.5</v>
      </c>
      <c r="AB34" s="51"/>
      <c r="AC34" s="51"/>
      <c r="AD34" s="51"/>
      <c r="AE34" s="51"/>
      <c r="AF34" s="51"/>
      <c r="AG34" s="51"/>
      <c r="AH34" s="51"/>
      <c r="AI34" s="51"/>
    </row>
    <row r="35" spans="1:35" s="64" customFormat="1" x14ac:dyDescent="0.25">
      <c r="A35" s="13" t="str">
        <f>G8</f>
        <v>5a</v>
      </c>
      <c r="B35" s="15">
        <v>250</v>
      </c>
      <c r="C35" s="69">
        <f t="shared" si="6"/>
        <v>50</v>
      </c>
      <c r="D35" s="69">
        <f t="shared" si="7"/>
        <v>20.504449999999999</v>
      </c>
      <c r="E35" s="69">
        <f t="shared" si="8"/>
        <v>3.0125000000000002</v>
      </c>
      <c r="F35" s="69">
        <f t="shared" si="9"/>
        <v>4.1449999999999996</v>
      </c>
      <c r="G35" s="69">
        <f t="shared" si="5"/>
        <v>0.185</v>
      </c>
      <c r="H35" s="69">
        <f t="shared" si="5"/>
        <v>0.84250000000000003</v>
      </c>
      <c r="I35" s="69">
        <f t="shared" si="5"/>
        <v>0.125</v>
      </c>
      <c r="J35" s="69">
        <f t="shared" si="5"/>
        <v>4.0000000000000001E-3</v>
      </c>
      <c r="K35" s="69">
        <f t="shared" si="5"/>
        <v>1.2500000000000001E-2</v>
      </c>
      <c r="L35" s="69">
        <f t="shared" si="5"/>
        <v>0.193</v>
      </c>
      <c r="M35" s="69">
        <f t="shared" si="5"/>
        <v>0.22875000000000001</v>
      </c>
      <c r="N35" s="69">
        <f t="shared" si="5"/>
        <v>11.75</v>
      </c>
      <c r="O35" s="69">
        <f t="shared" si="5"/>
        <v>2670.2500000000005</v>
      </c>
      <c r="P35" s="69">
        <f t="shared" si="5"/>
        <v>0</v>
      </c>
      <c r="Q35" s="69">
        <f t="shared" si="10"/>
        <v>51.625</v>
      </c>
      <c r="R35" s="69">
        <f t="shared" si="11"/>
        <v>1.575E-2</v>
      </c>
      <c r="S35" s="69">
        <f t="shared" si="11"/>
        <v>0.125</v>
      </c>
      <c r="T35" s="69">
        <f t="shared" si="11"/>
        <v>1.4E-2</v>
      </c>
      <c r="U35" s="69">
        <f t="shared" si="11"/>
        <v>2.5</v>
      </c>
      <c r="AB35" s="51"/>
      <c r="AC35" s="51"/>
      <c r="AD35" s="51"/>
      <c r="AE35" s="51"/>
      <c r="AF35" s="51"/>
      <c r="AG35" s="51"/>
      <c r="AH35" s="51"/>
      <c r="AI35" s="51"/>
    </row>
    <row r="36" spans="1:35" s="64" customFormat="1" x14ac:dyDescent="0.25">
      <c r="A36" s="13" t="str">
        <f>H8</f>
        <v>5b</v>
      </c>
      <c r="B36" s="15">
        <v>250</v>
      </c>
      <c r="C36" s="69">
        <f t="shared" si="6"/>
        <v>50</v>
      </c>
      <c r="D36" s="69">
        <f t="shared" si="7"/>
        <v>20.504449999999999</v>
      </c>
      <c r="E36" s="69">
        <f t="shared" si="8"/>
        <v>3.0125000000000002</v>
      </c>
      <c r="F36" s="69">
        <f t="shared" si="9"/>
        <v>4.1449999999999996</v>
      </c>
      <c r="G36" s="69">
        <f t="shared" si="5"/>
        <v>0.185</v>
      </c>
      <c r="H36" s="69">
        <f t="shared" si="5"/>
        <v>0.84250000000000003</v>
      </c>
      <c r="I36" s="69">
        <f t="shared" si="5"/>
        <v>0.125</v>
      </c>
      <c r="J36" s="69">
        <f t="shared" si="5"/>
        <v>4.0000000000000001E-3</v>
      </c>
      <c r="K36" s="69">
        <f t="shared" si="5"/>
        <v>1.2500000000000001E-2</v>
      </c>
      <c r="L36" s="69">
        <f t="shared" si="5"/>
        <v>0.193</v>
      </c>
      <c r="M36" s="69">
        <f t="shared" si="5"/>
        <v>0.22875000000000001</v>
      </c>
      <c r="N36" s="69">
        <f t="shared" si="5"/>
        <v>11.75</v>
      </c>
      <c r="O36" s="69">
        <f t="shared" si="5"/>
        <v>2670.2500000000005</v>
      </c>
      <c r="P36" s="69">
        <f t="shared" si="5"/>
        <v>0</v>
      </c>
      <c r="Q36" s="69">
        <f t="shared" si="10"/>
        <v>51.625</v>
      </c>
      <c r="R36" s="69">
        <f t="shared" si="11"/>
        <v>1.575E-2</v>
      </c>
      <c r="S36" s="69">
        <f t="shared" si="11"/>
        <v>0.125</v>
      </c>
      <c r="T36" s="69">
        <f t="shared" si="11"/>
        <v>1.4E-2</v>
      </c>
      <c r="U36" s="69">
        <f t="shared" si="11"/>
        <v>2.5</v>
      </c>
      <c r="AB36" s="51"/>
      <c r="AC36" s="51"/>
      <c r="AD36" s="51"/>
      <c r="AE36" s="51"/>
      <c r="AF36" s="51"/>
      <c r="AG36" s="51"/>
      <c r="AH36" s="51"/>
      <c r="AI36" s="51"/>
    </row>
    <row r="37" spans="1:35" s="64" customFormat="1" x14ac:dyDescent="0.25">
      <c r="A37" s="13">
        <f>I8</f>
        <v>6</v>
      </c>
      <c r="B37" s="15">
        <v>250</v>
      </c>
      <c r="C37" s="69">
        <f t="shared" si="6"/>
        <v>50</v>
      </c>
      <c r="D37" s="69">
        <f t="shared" si="7"/>
        <v>20.504449999999999</v>
      </c>
      <c r="E37" s="69">
        <f t="shared" si="8"/>
        <v>3.0125000000000002</v>
      </c>
      <c r="F37" s="69">
        <f t="shared" si="9"/>
        <v>4.1449999999999996</v>
      </c>
      <c r="G37" s="69">
        <f t="shared" si="5"/>
        <v>0.185</v>
      </c>
      <c r="H37" s="69">
        <f t="shared" si="5"/>
        <v>0.84250000000000003</v>
      </c>
      <c r="I37" s="69">
        <f t="shared" si="5"/>
        <v>0.125</v>
      </c>
      <c r="J37" s="69">
        <f t="shared" si="5"/>
        <v>4.0000000000000001E-3</v>
      </c>
      <c r="K37" s="69">
        <f t="shared" si="5"/>
        <v>1.2500000000000001E-2</v>
      </c>
      <c r="L37" s="69">
        <f t="shared" si="5"/>
        <v>0.193</v>
      </c>
      <c r="M37" s="69">
        <f t="shared" si="5"/>
        <v>0.22875000000000001</v>
      </c>
      <c r="N37" s="69">
        <f t="shared" si="5"/>
        <v>11.75</v>
      </c>
      <c r="O37" s="69">
        <f t="shared" si="5"/>
        <v>2670.2500000000005</v>
      </c>
      <c r="P37" s="69">
        <f t="shared" si="5"/>
        <v>0</v>
      </c>
      <c r="Q37" s="69">
        <f t="shared" si="10"/>
        <v>51.625</v>
      </c>
      <c r="R37" s="69">
        <f t="shared" si="11"/>
        <v>1.575E-2</v>
      </c>
      <c r="S37" s="69">
        <f t="shared" si="11"/>
        <v>0.125</v>
      </c>
      <c r="T37" s="69">
        <f t="shared" si="11"/>
        <v>1.4E-2</v>
      </c>
      <c r="U37" s="69">
        <f t="shared" si="11"/>
        <v>2.5</v>
      </c>
      <c r="AB37" s="51"/>
      <c r="AC37" s="51"/>
      <c r="AD37" s="51"/>
      <c r="AE37" s="51"/>
      <c r="AF37" s="51"/>
      <c r="AG37" s="51"/>
      <c r="AH37" s="51"/>
      <c r="AI37" s="51"/>
    </row>
    <row r="38" spans="1:35" s="64" customFormat="1" x14ac:dyDescent="0.25">
      <c r="A38" s="13">
        <f>J8</f>
        <v>7</v>
      </c>
      <c r="B38" s="15">
        <v>250</v>
      </c>
      <c r="C38" s="69">
        <f t="shared" si="6"/>
        <v>50</v>
      </c>
      <c r="D38" s="69">
        <f t="shared" si="7"/>
        <v>20.504449999999999</v>
      </c>
      <c r="E38" s="69">
        <f t="shared" si="8"/>
        <v>3.0125000000000002</v>
      </c>
      <c r="F38" s="69">
        <f t="shared" si="9"/>
        <v>4.1449999999999996</v>
      </c>
      <c r="G38" s="69">
        <f t="shared" si="5"/>
        <v>0.185</v>
      </c>
      <c r="H38" s="69">
        <f t="shared" si="5"/>
        <v>0.84250000000000003</v>
      </c>
      <c r="I38" s="69">
        <f t="shared" si="5"/>
        <v>0.125</v>
      </c>
      <c r="J38" s="69">
        <f t="shared" si="5"/>
        <v>4.0000000000000001E-3</v>
      </c>
      <c r="K38" s="69">
        <f t="shared" si="5"/>
        <v>1.2500000000000001E-2</v>
      </c>
      <c r="L38" s="69">
        <f t="shared" si="5"/>
        <v>0.193</v>
      </c>
      <c r="M38" s="69">
        <f t="shared" si="5"/>
        <v>0.22875000000000001</v>
      </c>
      <c r="N38" s="69">
        <f t="shared" si="5"/>
        <v>11.75</v>
      </c>
      <c r="O38" s="69">
        <f t="shared" si="5"/>
        <v>2670.2500000000005</v>
      </c>
      <c r="P38" s="69">
        <f t="shared" si="5"/>
        <v>0</v>
      </c>
      <c r="Q38" s="69">
        <f t="shared" si="10"/>
        <v>51.625</v>
      </c>
      <c r="R38" s="69">
        <f t="shared" si="11"/>
        <v>1.575E-2</v>
      </c>
      <c r="S38" s="69">
        <f t="shared" si="11"/>
        <v>0.125</v>
      </c>
      <c r="T38" s="69">
        <f t="shared" si="11"/>
        <v>1.4E-2</v>
      </c>
      <c r="U38" s="69">
        <f t="shared" si="11"/>
        <v>2.5</v>
      </c>
      <c r="AB38" s="51"/>
      <c r="AC38" s="51"/>
      <c r="AD38" s="51"/>
      <c r="AE38" s="51"/>
      <c r="AF38" s="51"/>
      <c r="AG38" s="51"/>
      <c r="AH38" s="51"/>
      <c r="AI38" s="51"/>
    </row>
    <row r="39" spans="1:35" s="64" customFormat="1" x14ac:dyDescent="0.25">
      <c r="A39" s="13">
        <f>K8</f>
        <v>9</v>
      </c>
      <c r="B39" s="15">
        <v>250</v>
      </c>
      <c r="C39" s="69">
        <f t="shared" si="6"/>
        <v>50</v>
      </c>
      <c r="D39" s="69">
        <f t="shared" si="7"/>
        <v>20.504449999999999</v>
      </c>
      <c r="E39" s="69">
        <f t="shared" si="8"/>
        <v>3.0125000000000002</v>
      </c>
      <c r="F39" s="69">
        <f t="shared" si="9"/>
        <v>4.1449999999999996</v>
      </c>
      <c r="G39" s="69">
        <f t="shared" si="5"/>
        <v>0.185</v>
      </c>
      <c r="H39" s="69">
        <f t="shared" si="5"/>
        <v>0.84250000000000003</v>
      </c>
      <c r="I39" s="69">
        <f t="shared" si="5"/>
        <v>0.125</v>
      </c>
      <c r="J39" s="69">
        <f t="shared" si="5"/>
        <v>4.0000000000000001E-3</v>
      </c>
      <c r="K39" s="69">
        <f t="shared" si="5"/>
        <v>1.2500000000000001E-2</v>
      </c>
      <c r="L39" s="69">
        <f t="shared" si="5"/>
        <v>0.193</v>
      </c>
      <c r="M39" s="69">
        <f t="shared" si="5"/>
        <v>0.22875000000000001</v>
      </c>
      <c r="N39" s="69">
        <f t="shared" si="5"/>
        <v>11.75</v>
      </c>
      <c r="O39" s="69">
        <f t="shared" si="5"/>
        <v>2670.2500000000005</v>
      </c>
      <c r="P39" s="69">
        <f t="shared" si="5"/>
        <v>0</v>
      </c>
      <c r="Q39" s="69">
        <f t="shared" si="10"/>
        <v>51.625</v>
      </c>
      <c r="R39" s="69">
        <f t="shared" si="11"/>
        <v>1.575E-2</v>
      </c>
      <c r="S39" s="69">
        <f t="shared" si="11"/>
        <v>0.125</v>
      </c>
      <c r="T39" s="69">
        <f t="shared" si="11"/>
        <v>1.4E-2</v>
      </c>
      <c r="U39" s="69">
        <f t="shared" si="11"/>
        <v>2.5</v>
      </c>
      <c r="AB39" s="51"/>
      <c r="AC39" s="51"/>
      <c r="AD39" s="51"/>
      <c r="AE39" s="51"/>
      <c r="AF39" s="51"/>
      <c r="AG39" s="51"/>
      <c r="AH39" s="51"/>
      <c r="AI39" s="51"/>
    </row>
    <row r="40" spans="1:35" s="64" customFormat="1" x14ac:dyDescent="0.25">
      <c r="A40" s="13">
        <f>L8</f>
        <v>10</v>
      </c>
      <c r="B40" s="15">
        <v>250</v>
      </c>
      <c r="C40" s="69">
        <f t="shared" si="6"/>
        <v>50</v>
      </c>
      <c r="D40" s="69">
        <f t="shared" si="7"/>
        <v>20.504449999999999</v>
      </c>
      <c r="E40" s="69">
        <f t="shared" si="8"/>
        <v>3.0125000000000002</v>
      </c>
      <c r="F40" s="69">
        <f t="shared" si="9"/>
        <v>4.1449999999999996</v>
      </c>
      <c r="G40" s="69">
        <f t="shared" si="5"/>
        <v>0.185</v>
      </c>
      <c r="H40" s="69">
        <f t="shared" si="5"/>
        <v>0.84250000000000003</v>
      </c>
      <c r="I40" s="69">
        <f t="shared" si="5"/>
        <v>0.125</v>
      </c>
      <c r="J40" s="69">
        <f t="shared" si="5"/>
        <v>4.0000000000000001E-3</v>
      </c>
      <c r="K40" s="69">
        <f t="shared" si="5"/>
        <v>1.2500000000000001E-2</v>
      </c>
      <c r="L40" s="69">
        <f t="shared" si="5"/>
        <v>0.193</v>
      </c>
      <c r="M40" s="69">
        <f t="shared" si="5"/>
        <v>0.22875000000000001</v>
      </c>
      <c r="N40" s="69">
        <f t="shared" si="5"/>
        <v>11.75</v>
      </c>
      <c r="O40" s="69">
        <f t="shared" si="5"/>
        <v>2670.2500000000005</v>
      </c>
      <c r="P40" s="69">
        <f t="shared" si="5"/>
        <v>0</v>
      </c>
      <c r="Q40" s="69">
        <f t="shared" si="10"/>
        <v>51.625</v>
      </c>
      <c r="R40" s="69">
        <f t="shared" si="11"/>
        <v>1.575E-2</v>
      </c>
      <c r="S40" s="69">
        <f t="shared" si="11"/>
        <v>0.125</v>
      </c>
      <c r="T40" s="69">
        <f t="shared" si="11"/>
        <v>1.4E-2</v>
      </c>
      <c r="U40" s="69">
        <f t="shared" si="11"/>
        <v>2.5</v>
      </c>
      <c r="AB40" s="51"/>
      <c r="AC40" s="51"/>
      <c r="AD40" s="51"/>
      <c r="AE40" s="51"/>
      <c r="AF40" s="51"/>
      <c r="AG40" s="51"/>
      <c r="AH40" s="51"/>
      <c r="AI40" s="51"/>
    </row>
    <row r="41" spans="1:35" s="64" customFormat="1" x14ac:dyDescent="0.25">
      <c r="A41" s="13">
        <f>M8</f>
        <v>11</v>
      </c>
      <c r="B41" s="15">
        <v>250</v>
      </c>
      <c r="C41" s="69">
        <f t="shared" si="6"/>
        <v>50</v>
      </c>
      <c r="D41" s="69">
        <f t="shared" si="7"/>
        <v>20.504449999999999</v>
      </c>
      <c r="E41" s="69">
        <f t="shared" si="8"/>
        <v>3.0125000000000002</v>
      </c>
      <c r="F41" s="69">
        <f t="shared" si="9"/>
        <v>4.1449999999999996</v>
      </c>
      <c r="G41" s="69">
        <f t="shared" si="5"/>
        <v>0.185</v>
      </c>
      <c r="H41" s="69">
        <f t="shared" si="5"/>
        <v>0.84250000000000003</v>
      </c>
      <c r="I41" s="69">
        <f t="shared" si="5"/>
        <v>0.125</v>
      </c>
      <c r="J41" s="69">
        <f t="shared" si="5"/>
        <v>4.0000000000000001E-3</v>
      </c>
      <c r="K41" s="69">
        <f t="shared" si="5"/>
        <v>1.2500000000000001E-2</v>
      </c>
      <c r="L41" s="69">
        <f t="shared" si="5"/>
        <v>0.193</v>
      </c>
      <c r="M41" s="69">
        <f t="shared" si="5"/>
        <v>0.22875000000000001</v>
      </c>
      <c r="N41" s="69">
        <f t="shared" si="5"/>
        <v>11.75</v>
      </c>
      <c r="O41" s="69">
        <f t="shared" si="5"/>
        <v>2670.2500000000005</v>
      </c>
      <c r="P41" s="69">
        <f t="shared" si="5"/>
        <v>0</v>
      </c>
      <c r="Q41" s="69">
        <f t="shared" si="10"/>
        <v>51.625</v>
      </c>
      <c r="R41" s="69">
        <f t="shared" si="11"/>
        <v>1.575E-2</v>
      </c>
      <c r="S41" s="69">
        <f t="shared" si="11"/>
        <v>0.125</v>
      </c>
      <c r="T41" s="69">
        <f t="shared" si="11"/>
        <v>1.4E-2</v>
      </c>
      <c r="U41" s="69">
        <f t="shared" si="11"/>
        <v>2.5</v>
      </c>
      <c r="AB41" s="51"/>
      <c r="AC41" s="51"/>
      <c r="AD41" s="51"/>
      <c r="AE41" s="51"/>
      <c r="AF41" s="51"/>
      <c r="AG41" s="51"/>
      <c r="AH41" s="51"/>
      <c r="AI41" s="51"/>
    </row>
    <row r="42" spans="1:35" s="64" customFormat="1" x14ac:dyDescent="0.25">
      <c r="A42" s="13">
        <f>N8</f>
        <v>12</v>
      </c>
      <c r="B42" s="15">
        <v>250</v>
      </c>
      <c r="C42" s="69">
        <f t="shared" si="6"/>
        <v>50</v>
      </c>
      <c r="D42" s="69">
        <f t="shared" si="7"/>
        <v>20.504449999999999</v>
      </c>
      <c r="E42" s="69">
        <f t="shared" si="8"/>
        <v>3.0125000000000002</v>
      </c>
      <c r="F42" s="69">
        <f t="shared" si="9"/>
        <v>4.1449999999999996</v>
      </c>
      <c r="G42" s="69">
        <f t="shared" si="5"/>
        <v>0.185</v>
      </c>
      <c r="H42" s="69">
        <f t="shared" si="5"/>
        <v>0.84250000000000003</v>
      </c>
      <c r="I42" s="69">
        <f t="shared" si="5"/>
        <v>0.125</v>
      </c>
      <c r="J42" s="69">
        <f t="shared" si="5"/>
        <v>4.0000000000000001E-3</v>
      </c>
      <c r="K42" s="69">
        <f t="shared" si="5"/>
        <v>1.2500000000000001E-2</v>
      </c>
      <c r="L42" s="69">
        <f t="shared" si="5"/>
        <v>0.193</v>
      </c>
      <c r="M42" s="69">
        <f t="shared" si="5"/>
        <v>0.22875000000000001</v>
      </c>
      <c r="N42" s="69">
        <f t="shared" si="5"/>
        <v>11.75</v>
      </c>
      <c r="O42" s="69">
        <f t="shared" si="5"/>
        <v>2670.2500000000005</v>
      </c>
      <c r="P42" s="69">
        <f t="shared" si="5"/>
        <v>0</v>
      </c>
      <c r="Q42" s="69">
        <f t="shared" si="10"/>
        <v>51.625</v>
      </c>
      <c r="R42" s="69">
        <f t="shared" si="11"/>
        <v>1.575E-2</v>
      </c>
      <c r="S42" s="69">
        <f t="shared" si="11"/>
        <v>0.125</v>
      </c>
      <c r="T42" s="69">
        <f t="shared" si="11"/>
        <v>1.4E-2</v>
      </c>
      <c r="U42" s="69">
        <f t="shared" si="11"/>
        <v>2.5</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"&amp;(VLOOKUP(C14,Table245811[],6,FALSE))</f>
        <v>#N/A</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0" t="s">
        <v>130</v>
      </c>
      <c r="B59" s="68" t="e">
        <f>VLOOKUP(C$14,Table245811[],5,FALSE)</f>
        <v>#N/A</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f>VLOOKUP(L$14,Table245811[],5,FALSE)</f>
        <v>6.2</v>
      </c>
      <c r="L59" s="68">
        <f>VLOOKUP(M$14,Table245811[],5,FALSE)</f>
        <v>6.2</v>
      </c>
      <c r="M59" s="68">
        <f>VLOOKUP(N$14,Table245811[],5,FALSE)</f>
        <v>6.2</v>
      </c>
      <c r="N59" s="68" t="e">
        <f>VLOOKUP(O$14,Table245811[],5,FALSE)</f>
        <v>#N/A</v>
      </c>
      <c r="O59" s="68" t="e">
        <f>VLOOKUP(P$14,Table245811[],5,FALSE)</f>
        <v>#N/A</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250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2" operator="equal">
      <formula>"DECREASE"</formula>
    </cfRule>
    <cfRule type="cellIs" dxfId="334" priority="33" operator="equal">
      <formula>"INCREASE"</formula>
    </cfRule>
  </conditionalFormatting>
  <conditionalFormatting sqref="B62:U66 B31:B50">
    <cfRule type="cellIs" dxfId="333" priority="31" operator="greaterThan">
      <formula>$B$51</formula>
    </cfRule>
  </conditionalFormatting>
  <conditionalFormatting sqref="C31:C50">
    <cfRule type="cellIs" dxfId="332" priority="30" operator="greaterThan">
      <formula>$C$51</formula>
    </cfRule>
  </conditionalFormatting>
  <conditionalFormatting sqref="C18:V18">
    <cfRule type="cellIs" dxfId="331" priority="29" operator="equal">
      <formula>0</formula>
    </cfRule>
  </conditionalFormatting>
  <conditionalFormatting sqref="C17:V17">
    <cfRule type="cellIs" dxfId="330" priority="28" operator="equal">
      <formula>0</formula>
    </cfRule>
  </conditionalFormatting>
  <conditionalFormatting sqref="C19:V19">
    <cfRule type="cellIs" dxfId="329" priority="27" operator="equal">
      <formula>0</formula>
    </cfRule>
  </conditionalFormatting>
  <conditionalFormatting sqref="G31:G50">
    <cfRule type="cellIs" dxfId="328" priority="26" operator="greaterThan">
      <formula>$G$51</formula>
    </cfRule>
  </conditionalFormatting>
  <conditionalFormatting sqref="H31:H50">
    <cfRule type="cellIs" dxfId="327" priority="25" operator="greaterThan">
      <formula>$H$51</formula>
    </cfRule>
  </conditionalFormatting>
  <conditionalFormatting sqref="I31:I50">
    <cfRule type="cellIs" dxfId="326" priority="24" operator="greaterThan">
      <formula>$I$51</formula>
    </cfRule>
  </conditionalFormatting>
  <conditionalFormatting sqref="K31:K50">
    <cfRule type="cellIs" dxfId="325" priority="23" operator="greaterThan">
      <formula>$K$51</formula>
    </cfRule>
  </conditionalFormatting>
  <conditionalFormatting sqref="L31:L50">
    <cfRule type="cellIs" dxfId="324" priority="22" operator="greaterThan">
      <formula>$L$51</formula>
    </cfRule>
  </conditionalFormatting>
  <conditionalFormatting sqref="M31:M50">
    <cfRule type="cellIs" dxfId="323" priority="21" operator="greaterThan">
      <formula>$M$51</formula>
    </cfRule>
  </conditionalFormatting>
  <conditionalFormatting sqref="P31:P50">
    <cfRule type="cellIs" dxfId="322" priority="20" operator="greaterThan">
      <formula>$P$51</formula>
    </cfRule>
  </conditionalFormatting>
  <conditionalFormatting sqref="R31:R50">
    <cfRule type="cellIs" dxfId="321" priority="19" operator="greaterThan">
      <formula>$R$51</formula>
    </cfRule>
  </conditionalFormatting>
  <conditionalFormatting sqref="S31:S50">
    <cfRule type="cellIs" dxfId="320" priority="18" operator="greaterThan">
      <formula>$S$51</formula>
    </cfRule>
  </conditionalFormatting>
  <conditionalFormatting sqref="T31:T50">
    <cfRule type="cellIs" dxfId="319" priority="17" operator="greaterThan">
      <formula>$T$51</formula>
    </cfRule>
  </conditionalFormatting>
  <conditionalFormatting sqref="U31:U50">
    <cfRule type="cellIs" dxfId="318" priority="16" operator="greaterThan">
      <formula>$U$51</formula>
    </cfRule>
  </conditionalFormatting>
  <conditionalFormatting sqref="C22:V22">
    <cfRule type="cellIs" dxfId="317" priority="15" operator="equal">
      <formula>0</formula>
    </cfRule>
  </conditionalFormatting>
  <conditionalFormatting sqref="C24:V24">
    <cfRule type="cellIs" dxfId="316" priority="13" operator="equal">
      <formula>"DECREASE"</formula>
    </cfRule>
    <cfRule type="cellIs" dxfId="315" priority="14" operator="equal">
      <formula>"INCREASE"</formula>
    </cfRule>
  </conditionalFormatting>
  <conditionalFormatting sqref="C23:V23">
    <cfRule type="cellIs" dxfId="314" priority="12" operator="equal">
      <formula>0</formula>
    </cfRule>
  </conditionalFormatting>
  <conditionalFormatting sqref="I1">
    <cfRule type="cellIs" dxfId="313" priority="11" operator="lessThan">
      <formula>5</formula>
    </cfRule>
  </conditionalFormatting>
  <conditionalFormatting sqref="C21:V21">
    <cfRule type="cellIs" dxfId="312" priority="8" operator="equal">
      <formula>0</formula>
    </cfRule>
  </conditionalFormatting>
  <conditionalFormatting sqref="B66:U66">
    <cfRule type="cellIs" dxfId="311" priority="6" operator="equal">
      <formula>"UNDER"</formula>
    </cfRule>
    <cfRule type="cellIs" dxfId="310" priority="7" operator="equal">
      <formula>"OVER"</formula>
    </cfRule>
  </conditionalFormatting>
  <conditionalFormatting sqref="I2">
    <cfRule type="cellIs" dxfId="309" priority="5" operator="greaterThan">
      <formula>5000.1</formula>
    </cfRule>
  </conditionalFormatting>
  <conditionalFormatting sqref="I3">
    <cfRule type="cellIs" dxfId="308" priority="4" operator="greaterThan">
      <formula>4.1</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6</v>
      </c>
      <c r="J1" s="98" t="s">
        <v>150</v>
      </c>
      <c r="K1" s="98"/>
      <c r="L1" s="76">
        <v>213</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4150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5.1325301204819276</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164</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24.247943999999997</v>
      </c>
      <c r="E18" s="16">
        <f>$D33</f>
        <v>24.247943999999997</v>
      </c>
      <c r="F18" s="16">
        <f>$D34</f>
        <v>24.247943999999997</v>
      </c>
      <c r="G18" s="16">
        <f>$D35</f>
        <v>24.247943999999997</v>
      </c>
      <c r="H18" s="16">
        <f>$D36</f>
        <v>24.247943999999997</v>
      </c>
      <c r="I18" s="16">
        <f>$D37</f>
        <v>24.247943999999997</v>
      </c>
      <c r="J18" s="16">
        <f>$D38</f>
        <v>24.247943999999997</v>
      </c>
      <c r="K18" s="16">
        <f>$D39</f>
        <v>24.247943999999997</v>
      </c>
      <c r="L18" s="16">
        <f>$D40</f>
        <v>24.247943999999997</v>
      </c>
      <c r="M18" s="16">
        <f>$D41</f>
        <v>24.247943999999997</v>
      </c>
      <c r="N18" s="16">
        <f>$D42</f>
        <v>24.247943999999997</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-52.252056000000003</v>
      </c>
      <c r="E19" s="16">
        <f t="shared" si="1"/>
        <v>-52.252056000000003</v>
      </c>
      <c r="F19" s="16">
        <f t="shared" si="1"/>
        <v>-52.252056000000003</v>
      </c>
      <c r="G19" s="16">
        <f t="shared" si="1"/>
        <v>-52.252056000000003</v>
      </c>
      <c r="H19" s="16">
        <f t="shared" si="1"/>
        <v>-52.252056000000003</v>
      </c>
      <c r="I19" s="16">
        <f t="shared" si="1"/>
        <v>-52.252056000000003</v>
      </c>
      <c r="J19" s="16">
        <f t="shared" si="1"/>
        <v>-52.252056000000003</v>
      </c>
      <c r="K19" s="16">
        <f t="shared" si="1"/>
        <v>-52.252056000000003</v>
      </c>
      <c r="L19" s="16">
        <f t="shared" si="1"/>
        <v>-52.252056000000003</v>
      </c>
      <c r="M19" s="16">
        <f t="shared" si="1"/>
        <v>-52.252056000000003</v>
      </c>
      <c r="N19" s="16">
        <f t="shared" si="1"/>
        <v>-52.252056000000003</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9.1965599999999998</v>
      </c>
      <c r="E22" s="16">
        <f>$E33</f>
        <v>9.1965599999999998</v>
      </c>
      <c r="F22" s="16">
        <f>$E34</f>
        <v>9.1965599999999998</v>
      </c>
      <c r="G22" s="16">
        <f>$E35</f>
        <v>9.1965599999999998</v>
      </c>
      <c r="H22" s="16">
        <f>$E36</f>
        <v>9.1965599999999998</v>
      </c>
      <c r="I22" s="16">
        <f>$E37</f>
        <v>9.1965599999999998</v>
      </c>
      <c r="J22" s="16">
        <f>$E38</f>
        <v>9.1965599999999998</v>
      </c>
      <c r="K22" s="16">
        <f>$E39</f>
        <v>9.1965599999999998</v>
      </c>
      <c r="L22" s="16">
        <f>$E40</f>
        <v>9.1965599999999998</v>
      </c>
      <c r="M22" s="16">
        <f>$E41</f>
        <v>9.1965599999999998</v>
      </c>
      <c r="N22" s="16">
        <f>$E42</f>
        <v>9.1965599999999998</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-260.80344000000002</v>
      </c>
      <c r="E23" s="16">
        <f t="shared" si="3"/>
        <v>-260.80344000000002</v>
      </c>
      <c r="F23" s="16">
        <f t="shared" si="3"/>
        <v>-260.80344000000002</v>
      </c>
      <c r="G23" s="16">
        <f t="shared" si="3"/>
        <v>-260.80344000000002</v>
      </c>
      <c r="H23" s="16">
        <f t="shared" si="3"/>
        <v>-260.80344000000002</v>
      </c>
      <c r="I23" s="16">
        <f t="shared" si="3"/>
        <v>-260.80344000000002</v>
      </c>
      <c r="J23" s="16">
        <f t="shared" si="3"/>
        <v>-260.80344000000002</v>
      </c>
      <c r="K23" s="16">
        <f t="shared" si="3"/>
        <v>-260.80344000000002</v>
      </c>
      <c r="L23" s="16">
        <f t="shared" si="3"/>
        <v>-260.80344000000002</v>
      </c>
      <c r="M23" s="16">
        <f t="shared" si="3"/>
        <v>-260.80344000000002</v>
      </c>
      <c r="N23" s="16">
        <f t="shared" si="3"/>
        <v>-260.80344000000002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2.88</v>
      </c>
      <c r="C28" s="15">
        <v>0.41499999999999998</v>
      </c>
      <c r="D28" s="15">
        <v>0.14699999999999999</v>
      </c>
      <c r="E28" s="15">
        <v>0.106</v>
      </c>
      <c r="F28" s="15">
        <v>1740</v>
      </c>
      <c r="G28" s="15">
        <v>48</v>
      </c>
      <c r="H28" s="15">
        <v>503</v>
      </c>
      <c r="I28" s="15">
        <v>217.7</v>
      </c>
      <c r="J28" s="15">
        <v>0.33</v>
      </c>
      <c r="K28" s="22">
        <v>0.7</v>
      </c>
      <c r="L28" s="15">
        <v>12</v>
      </c>
      <c r="M28" s="15">
        <v>12.7</v>
      </c>
      <c r="N28" s="15">
        <v>7680</v>
      </c>
      <c r="O28" s="15">
        <v>351000</v>
      </c>
      <c r="P28" s="15"/>
      <c r="Q28" s="15">
        <v>2830</v>
      </c>
      <c r="R28" s="15"/>
      <c r="S28" s="15">
        <v>15.9</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29.879999999999995</v>
      </c>
      <c r="D32" s="69">
        <f t="shared" ref="D32:D50" si="7">(IF(D$27="%w/w SAR",((D$28*10)*$B32),IF(D$27="%w/w DM",(((D$28*10)*($B$28/100))*$B32),IF(D$27="kg/t SAR",(D$28*$B32),IF(D$27="kg/t DM",((D$28*($B$28/100))*$B32),IF(D$27="mg/kg SAR",((D$28*0.001)*$B32),IF(D$27="mg/kg DM",(((D$28*0.001)*($B$28/100))*$B32),"0")))))))*2.291</f>
        <v>24.247943999999997</v>
      </c>
      <c r="E32" s="69">
        <f t="shared" ref="E32:E50" si="8">(IF(E$27="%w/w SAR",((E$28*10)*$B32),IF(E$27="%w/w DM",(((E$28*10)*($B$28/100))*$B32),IF(E$27="kg/t SAR",(E$28*$B32),IF(E$27="kg/t DM",((E$28*($B$28/100))*$B32),IF(E$27="mg/kg SAR",((E$28*0.001)*$B32),IF(E$27="mg/kg DM",(((E$28*0.001)*($B$28/100))*$B32),"0")))))))*1.205</f>
        <v>9.1965599999999998</v>
      </c>
      <c r="F32" s="69">
        <f t="shared" ref="F32:F50" si="9">(IF(F$27="%w/w SAR",((F$28*10)*$B32),IF(F$27="%w/w DM",(((F$28*10)*($B$28/100))*$B32),IF(F$27="kg/t SAR",(F$28*$B32),IF(F$27="kg/t DM",((F$28*($B$28/100))*$B32),IF(F$27="mg/kg SAR",((F$28*0.001)*$B32),IF(F$27="mg/kg DM",(((F$28*0.001)*($B$28/100))*$B32),"0")))))))*1.658</f>
        <v>20.771423999999996</v>
      </c>
      <c r="G32" s="69">
        <f t="shared" si="5"/>
        <v>0.34560000000000002</v>
      </c>
      <c r="H32" s="69">
        <f t="shared" si="5"/>
        <v>3.6215999999999999</v>
      </c>
      <c r="I32" s="69">
        <f t="shared" si="5"/>
        <v>1.5674399999999999</v>
      </c>
      <c r="J32" s="69">
        <f t="shared" si="5"/>
        <v>2.3759999999999996E-3</v>
      </c>
      <c r="K32" s="69">
        <f t="shared" si="5"/>
        <v>5.0400000000000002E-3</v>
      </c>
      <c r="L32" s="69">
        <f t="shared" si="5"/>
        <v>8.6400000000000005E-2</v>
      </c>
      <c r="M32" s="69">
        <f t="shared" si="5"/>
        <v>9.1439999999999994E-2</v>
      </c>
      <c r="N32" s="69">
        <f t="shared" si="5"/>
        <v>55.295999999999999</v>
      </c>
      <c r="O32" s="69">
        <f t="shared" si="5"/>
        <v>2527.2000000000003</v>
      </c>
      <c r="P32" s="69">
        <f t="shared" si="5"/>
        <v>0</v>
      </c>
      <c r="Q32" s="69">
        <f t="shared" ref="Q32:Q50" si="10">(IF(Q$27="%w/w SAR",((Q$28*10)*$B32),IF(Q$27="%w/w DM",(((Q$28*10)*($B$28/100))*$B32),IF(Q$27="kg/t SAR",(Q$28*$B32),IF(Q$27="kg/t DM",((Q$28*($B$28/100))*$B32),IF(Q$27="mg/kg SAR",((Q$28*0.001)*$B32),IF(Q$27="mg/kg DM",(((Q$28*0.001)*($B$28/100))*$B32),0)))))))*2.5</f>
        <v>50.94</v>
      </c>
      <c r="R32" s="69">
        <f t="shared" ref="R32:U50" si="11">IF(R$27="%w/w SAR",((R$28*10)*$B32),IF(R$27="%w/w DM",(((R$28*10)*($B$28/100))*$B32),IF(R$27="kg/t SAR",(R$28*$B32),IF(R$27="kg/t DM",((R$28*($B$28/100))*$B32),IF(R$27="mg/kg SAR",((R$28*0.001)*$B32),IF(R$27="mg/kg DM",(((R$28*0.001)*($B$28/100))*$B32),0))))))</f>
        <v>0</v>
      </c>
      <c r="S32" s="69">
        <f t="shared" si="11"/>
        <v>0.11448</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29.879999999999995</v>
      </c>
      <c r="D33" s="69">
        <f t="shared" si="7"/>
        <v>24.247943999999997</v>
      </c>
      <c r="E33" s="69">
        <f t="shared" si="8"/>
        <v>9.1965599999999998</v>
      </c>
      <c r="F33" s="69">
        <f t="shared" si="9"/>
        <v>20.771423999999996</v>
      </c>
      <c r="G33" s="69">
        <f t="shared" si="5"/>
        <v>0.34560000000000002</v>
      </c>
      <c r="H33" s="69">
        <f t="shared" si="5"/>
        <v>3.6215999999999999</v>
      </c>
      <c r="I33" s="69">
        <f t="shared" si="5"/>
        <v>1.5674399999999999</v>
      </c>
      <c r="J33" s="69">
        <f t="shared" si="5"/>
        <v>2.3759999999999996E-3</v>
      </c>
      <c r="K33" s="69">
        <f t="shared" si="5"/>
        <v>5.0400000000000002E-3</v>
      </c>
      <c r="L33" s="69">
        <f t="shared" si="5"/>
        <v>8.6400000000000005E-2</v>
      </c>
      <c r="M33" s="69">
        <f t="shared" si="5"/>
        <v>9.1439999999999994E-2</v>
      </c>
      <c r="N33" s="69">
        <f t="shared" si="5"/>
        <v>55.295999999999999</v>
      </c>
      <c r="O33" s="69">
        <f t="shared" si="5"/>
        <v>2527.2000000000003</v>
      </c>
      <c r="P33" s="69">
        <f t="shared" si="5"/>
        <v>0</v>
      </c>
      <c r="Q33" s="69">
        <f t="shared" si="10"/>
        <v>50.94</v>
      </c>
      <c r="R33" s="69">
        <f t="shared" si="11"/>
        <v>0</v>
      </c>
      <c r="S33" s="69">
        <f t="shared" si="11"/>
        <v>0.11448</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29.879999999999995</v>
      </c>
      <c r="D34" s="69">
        <f t="shared" si="7"/>
        <v>24.247943999999997</v>
      </c>
      <c r="E34" s="69">
        <f t="shared" si="8"/>
        <v>9.1965599999999998</v>
      </c>
      <c r="F34" s="69">
        <f t="shared" si="9"/>
        <v>20.771423999999996</v>
      </c>
      <c r="G34" s="69">
        <f t="shared" si="5"/>
        <v>0.34560000000000002</v>
      </c>
      <c r="H34" s="69">
        <f t="shared" si="5"/>
        <v>3.6215999999999999</v>
      </c>
      <c r="I34" s="69">
        <f t="shared" si="5"/>
        <v>1.5674399999999999</v>
      </c>
      <c r="J34" s="69">
        <f t="shared" si="5"/>
        <v>2.3759999999999996E-3</v>
      </c>
      <c r="K34" s="69">
        <f t="shared" si="5"/>
        <v>5.0400000000000002E-3</v>
      </c>
      <c r="L34" s="69">
        <f t="shared" si="5"/>
        <v>8.6400000000000005E-2</v>
      </c>
      <c r="M34" s="69">
        <f t="shared" si="5"/>
        <v>9.1439999999999994E-2</v>
      </c>
      <c r="N34" s="69">
        <f t="shared" si="5"/>
        <v>55.295999999999999</v>
      </c>
      <c r="O34" s="69">
        <f t="shared" si="5"/>
        <v>2527.2000000000003</v>
      </c>
      <c r="P34" s="69">
        <f t="shared" si="5"/>
        <v>0</v>
      </c>
      <c r="Q34" s="69">
        <f t="shared" si="10"/>
        <v>50.94</v>
      </c>
      <c r="R34" s="69">
        <f t="shared" si="11"/>
        <v>0</v>
      </c>
      <c r="S34" s="69">
        <f t="shared" si="11"/>
        <v>0.11448</v>
      </c>
      <c r="T34" s="69">
        <f t="shared" si="11"/>
        <v>0</v>
      </c>
      <c r="U34" s="69">
        <f t="shared" si="11"/>
        <v>0</v>
      </c>
      <c r="AB34" s="51"/>
      <c r="AC34" s="51"/>
      <c r="AD34" s="51"/>
      <c r="AE34" s="51"/>
      <c r="AF34" s="51"/>
      <c r="AG34" s="51"/>
      <c r="AH34" s="51"/>
      <c r="AI34" s="51"/>
    </row>
    <row r="35" spans="1:35" s="64" customFormat="1" x14ac:dyDescent="0.25">
      <c r="A35" s="13" t="str">
        <f>G8</f>
        <v>5a</v>
      </c>
      <c r="B35" s="15">
        <v>250</v>
      </c>
      <c r="C35" s="69">
        <f t="shared" si="6"/>
        <v>29.879999999999995</v>
      </c>
      <c r="D35" s="69">
        <f t="shared" si="7"/>
        <v>24.247943999999997</v>
      </c>
      <c r="E35" s="69">
        <f t="shared" si="8"/>
        <v>9.1965599999999998</v>
      </c>
      <c r="F35" s="69">
        <f t="shared" si="9"/>
        <v>20.771423999999996</v>
      </c>
      <c r="G35" s="69">
        <f t="shared" si="5"/>
        <v>0.34560000000000002</v>
      </c>
      <c r="H35" s="69">
        <f t="shared" si="5"/>
        <v>3.6215999999999999</v>
      </c>
      <c r="I35" s="69">
        <f t="shared" si="5"/>
        <v>1.5674399999999999</v>
      </c>
      <c r="J35" s="69">
        <f t="shared" si="5"/>
        <v>2.3759999999999996E-3</v>
      </c>
      <c r="K35" s="69">
        <f t="shared" si="5"/>
        <v>5.0400000000000002E-3</v>
      </c>
      <c r="L35" s="69">
        <f t="shared" si="5"/>
        <v>8.6400000000000005E-2</v>
      </c>
      <c r="M35" s="69">
        <f t="shared" si="5"/>
        <v>9.1439999999999994E-2</v>
      </c>
      <c r="N35" s="69">
        <f t="shared" si="5"/>
        <v>55.295999999999999</v>
      </c>
      <c r="O35" s="69">
        <f t="shared" si="5"/>
        <v>2527.2000000000003</v>
      </c>
      <c r="P35" s="69">
        <f t="shared" si="5"/>
        <v>0</v>
      </c>
      <c r="Q35" s="69">
        <f t="shared" si="10"/>
        <v>50.94</v>
      </c>
      <c r="R35" s="69">
        <f t="shared" si="11"/>
        <v>0</v>
      </c>
      <c r="S35" s="69">
        <f t="shared" si="11"/>
        <v>0.11448</v>
      </c>
      <c r="T35" s="69">
        <f t="shared" si="11"/>
        <v>0</v>
      </c>
      <c r="U35" s="69">
        <f t="shared" si="11"/>
        <v>0</v>
      </c>
      <c r="AB35" s="51"/>
      <c r="AC35" s="51"/>
      <c r="AD35" s="51"/>
      <c r="AE35" s="51"/>
      <c r="AF35" s="51"/>
      <c r="AG35" s="51"/>
      <c r="AH35" s="51"/>
      <c r="AI35" s="51"/>
    </row>
    <row r="36" spans="1:35" s="64" customFormat="1" x14ac:dyDescent="0.25">
      <c r="A36" s="13" t="str">
        <f>H8</f>
        <v>5b</v>
      </c>
      <c r="B36" s="15">
        <v>250</v>
      </c>
      <c r="C36" s="69">
        <f t="shared" si="6"/>
        <v>29.879999999999995</v>
      </c>
      <c r="D36" s="69">
        <f t="shared" si="7"/>
        <v>24.247943999999997</v>
      </c>
      <c r="E36" s="69">
        <f t="shared" si="8"/>
        <v>9.1965599999999998</v>
      </c>
      <c r="F36" s="69">
        <f t="shared" si="9"/>
        <v>20.771423999999996</v>
      </c>
      <c r="G36" s="69">
        <f t="shared" si="5"/>
        <v>0.34560000000000002</v>
      </c>
      <c r="H36" s="69">
        <f t="shared" si="5"/>
        <v>3.6215999999999999</v>
      </c>
      <c r="I36" s="69">
        <f t="shared" si="5"/>
        <v>1.5674399999999999</v>
      </c>
      <c r="J36" s="69">
        <f t="shared" si="5"/>
        <v>2.3759999999999996E-3</v>
      </c>
      <c r="K36" s="69">
        <f t="shared" si="5"/>
        <v>5.0400000000000002E-3</v>
      </c>
      <c r="L36" s="69">
        <f t="shared" si="5"/>
        <v>8.6400000000000005E-2</v>
      </c>
      <c r="M36" s="69">
        <f t="shared" si="5"/>
        <v>9.1439999999999994E-2</v>
      </c>
      <c r="N36" s="69">
        <f t="shared" si="5"/>
        <v>55.295999999999999</v>
      </c>
      <c r="O36" s="69">
        <f t="shared" si="5"/>
        <v>2527.2000000000003</v>
      </c>
      <c r="P36" s="69">
        <f t="shared" si="5"/>
        <v>0</v>
      </c>
      <c r="Q36" s="69">
        <f t="shared" si="10"/>
        <v>50.94</v>
      </c>
      <c r="R36" s="69">
        <f t="shared" si="11"/>
        <v>0</v>
      </c>
      <c r="S36" s="69">
        <f t="shared" si="11"/>
        <v>0.11448</v>
      </c>
      <c r="T36" s="69">
        <f t="shared" si="11"/>
        <v>0</v>
      </c>
      <c r="U36" s="69">
        <f t="shared" si="11"/>
        <v>0</v>
      </c>
      <c r="AB36" s="51"/>
      <c r="AC36" s="51"/>
      <c r="AD36" s="51"/>
      <c r="AE36" s="51"/>
      <c r="AF36" s="51"/>
      <c r="AG36" s="51"/>
      <c r="AH36" s="51"/>
      <c r="AI36" s="51"/>
    </row>
    <row r="37" spans="1:35" s="64" customFormat="1" x14ac:dyDescent="0.25">
      <c r="A37" s="13">
        <f>I8</f>
        <v>6</v>
      </c>
      <c r="B37" s="15">
        <v>250</v>
      </c>
      <c r="C37" s="69">
        <f t="shared" si="6"/>
        <v>29.879999999999995</v>
      </c>
      <c r="D37" s="69">
        <f t="shared" si="7"/>
        <v>24.247943999999997</v>
      </c>
      <c r="E37" s="69">
        <f t="shared" si="8"/>
        <v>9.1965599999999998</v>
      </c>
      <c r="F37" s="69">
        <f t="shared" si="9"/>
        <v>20.771423999999996</v>
      </c>
      <c r="G37" s="69">
        <f t="shared" si="5"/>
        <v>0.34560000000000002</v>
      </c>
      <c r="H37" s="69">
        <f t="shared" si="5"/>
        <v>3.6215999999999999</v>
      </c>
      <c r="I37" s="69">
        <f t="shared" si="5"/>
        <v>1.5674399999999999</v>
      </c>
      <c r="J37" s="69">
        <f t="shared" si="5"/>
        <v>2.3759999999999996E-3</v>
      </c>
      <c r="K37" s="69">
        <f t="shared" si="5"/>
        <v>5.0400000000000002E-3</v>
      </c>
      <c r="L37" s="69">
        <f t="shared" si="5"/>
        <v>8.6400000000000005E-2</v>
      </c>
      <c r="M37" s="69">
        <f t="shared" si="5"/>
        <v>9.1439999999999994E-2</v>
      </c>
      <c r="N37" s="69">
        <f t="shared" si="5"/>
        <v>55.295999999999999</v>
      </c>
      <c r="O37" s="69">
        <f t="shared" si="5"/>
        <v>2527.2000000000003</v>
      </c>
      <c r="P37" s="69">
        <f t="shared" si="5"/>
        <v>0</v>
      </c>
      <c r="Q37" s="69">
        <f t="shared" si="10"/>
        <v>50.94</v>
      </c>
      <c r="R37" s="69">
        <f t="shared" si="11"/>
        <v>0</v>
      </c>
      <c r="S37" s="69">
        <f t="shared" si="11"/>
        <v>0.11448</v>
      </c>
      <c r="T37" s="69">
        <f t="shared" si="11"/>
        <v>0</v>
      </c>
      <c r="U37" s="69">
        <f t="shared" si="11"/>
        <v>0</v>
      </c>
      <c r="AB37" s="51"/>
      <c r="AC37" s="51"/>
      <c r="AD37" s="51"/>
      <c r="AE37" s="51"/>
      <c r="AF37" s="51"/>
      <c r="AG37" s="51"/>
      <c r="AH37" s="51"/>
      <c r="AI37" s="51"/>
    </row>
    <row r="38" spans="1:35" s="64" customFormat="1" x14ac:dyDescent="0.25">
      <c r="A38" s="13">
        <f>J8</f>
        <v>7</v>
      </c>
      <c r="B38" s="15">
        <v>250</v>
      </c>
      <c r="C38" s="69">
        <f t="shared" si="6"/>
        <v>29.879999999999995</v>
      </c>
      <c r="D38" s="69">
        <f t="shared" si="7"/>
        <v>24.247943999999997</v>
      </c>
      <c r="E38" s="69">
        <f t="shared" si="8"/>
        <v>9.1965599999999998</v>
      </c>
      <c r="F38" s="69">
        <f t="shared" si="9"/>
        <v>20.771423999999996</v>
      </c>
      <c r="G38" s="69">
        <f t="shared" si="5"/>
        <v>0.34560000000000002</v>
      </c>
      <c r="H38" s="69">
        <f t="shared" si="5"/>
        <v>3.6215999999999999</v>
      </c>
      <c r="I38" s="69">
        <f t="shared" si="5"/>
        <v>1.5674399999999999</v>
      </c>
      <c r="J38" s="69">
        <f t="shared" si="5"/>
        <v>2.3759999999999996E-3</v>
      </c>
      <c r="K38" s="69">
        <f t="shared" si="5"/>
        <v>5.0400000000000002E-3</v>
      </c>
      <c r="L38" s="69">
        <f t="shared" si="5"/>
        <v>8.6400000000000005E-2</v>
      </c>
      <c r="M38" s="69">
        <f t="shared" si="5"/>
        <v>9.1439999999999994E-2</v>
      </c>
      <c r="N38" s="69">
        <f t="shared" si="5"/>
        <v>55.295999999999999</v>
      </c>
      <c r="O38" s="69">
        <f t="shared" si="5"/>
        <v>2527.2000000000003</v>
      </c>
      <c r="P38" s="69">
        <f t="shared" si="5"/>
        <v>0</v>
      </c>
      <c r="Q38" s="69">
        <f t="shared" si="10"/>
        <v>50.94</v>
      </c>
      <c r="R38" s="69">
        <f t="shared" si="11"/>
        <v>0</v>
      </c>
      <c r="S38" s="69">
        <f t="shared" si="11"/>
        <v>0.11448</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29.879999999999995</v>
      </c>
      <c r="D39" s="69">
        <f t="shared" si="7"/>
        <v>24.247943999999997</v>
      </c>
      <c r="E39" s="69">
        <f t="shared" si="8"/>
        <v>9.1965599999999998</v>
      </c>
      <c r="F39" s="69">
        <f t="shared" si="9"/>
        <v>20.771423999999996</v>
      </c>
      <c r="G39" s="69">
        <f t="shared" si="5"/>
        <v>0.34560000000000002</v>
      </c>
      <c r="H39" s="69">
        <f t="shared" si="5"/>
        <v>3.6215999999999999</v>
      </c>
      <c r="I39" s="69">
        <f t="shared" si="5"/>
        <v>1.5674399999999999</v>
      </c>
      <c r="J39" s="69">
        <f t="shared" si="5"/>
        <v>2.3759999999999996E-3</v>
      </c>
      <c r="K39" s="69">
        <f t="shared" si="5"/>
        <v>5.0400000000000002E-3</v>
      </c>
      <c r="L39" s="69">
        <f t="shared" si="5"/>
        <v>8.6400000000000005E-2</v>
      </c>
      <c r="M39" s="69">
        <f t="shared" si="5"/>
        <v>9.1439999999999994E-2</v>
      </c>
      <c r="N39" s="69">
        <f t="shared" si="5"/>
        <v>55.295999999999999</v>
      </c>
      <c r="O39" s="69">
        <f t="shared" si="5"/>
        <v>2527.2000000000003</v>
      </c>
      <c r="P39" s="69">
        <f t="shared" si="5"/>
        <v>0</v>
      </c>
      <c r="Q39" s="69">
        <f t="shared" si="10"/>
        <v>50.94</v>
      </c>
      <c r="R39" s="69">
        <f t="shared" si="11"/>
        <v>0</v>
      </c>
      <c r="S39" s="69">
        <f t="shared" si="11"/>
        <v>0.11448</v>
      </c>
      <c r="T39" s="69">
        <f t="shared" si="11"/>
        <v>0</v>
      </c>
      <c r="U39" s="69">
        <f t="shared" si="11"/>
        <v>0</v>
      </c>
      <c r="AB39" s="51"/>
      <c r="AC39" s="51"/>
      <c r="AD39" s="51"/>
      <c r="AE39" s="51"/>
      <c r="AF39" s="51"/>
      <c r="AG39" s="51"/>
      <c r="AH39" s="51"/>
      <c r="AI39" s="51"/>
    </row>
    <row r="40" spans="1:35" s="64" customFormat="1" x14ac:dyDescent="0.25">
      <c r="A40" s="13">
        <f>L8</f>
        <v>10</v>
      </c>
      <c r="B40" s="15">
        <v>250</v>
      </c>
      <c r="C40" s="69">
        <f t="shared" si="6"/>
        <v>29.879999999999995</v>
      </c>
      <c r="D40" s="69">
        <f t="shared" si="7"/>
        <v>24.247943999999997</v>
      </c>
      <c r="E40" s="69">
        <f t="shared" si="8"/>
        <v>9.1965599999999998</v>
      </c>
      <c r="F40" s="69">
        <f t="shared" si="9"/>
        <v>20.771423999999996</v>
      </c>
      <c r="G40" s="69">
        <f t="shared" si="5"/>
        <v>0.34560000000000002</v>
      </c>
      <c r="H40" s="69">
        <f t="shared" si="5"/>
        <v>3.6215999999999999</v>
      </c>
      <c r="I40" s="69">
        <f t="shared" si="5"/>
        <v>1.5674399999999999</v>
      </c>
      <c r="J40" s="69">
        <f t="shared" si="5"/>
        <v>2.3759999999999996E-3</v>
      </c>
      <c r="K40" s="69">
        <f t="shared" si="5"/>
        <v>5.0400000000000002E-3</v>
      </c>
      <c r="L40" s="69">
        <f t="shared" si="5"/>
        <v>8.6400000000000005E-2</v>
      </c>
      <c r="M40" s="69">
        <f t="shared" si="5"/>
        <v>9.1439999999999994E-2</v>
      </c>
      <c r="N40" s="69">
        <f t="shared" si="5"/>
        <v>55.295999999999999</v>
      </c>
      <c r="O40" s="69">
        <f t="shared" si="5"/>
        <v>2527.2000000000003</v>
      </c>
      <c r="P40" s="69">
        <f t="shared" si="5"/>
        <v>0</v>
      </c>
      <c r="Q40" s="69">
        <f t="shared" si="10"/>
        <v>50.94</v>
      </c>
      <c r="R40" s="69">
        <f t="shared" si="11"/>
        <v>0</v>
      </c>
      <c r="S40" s="69">
        <f t="shared" si="11"/>
        <v>0.11448</v>
      </c>
      <c r="T40" s="69">
        <f t="shared" si="11"/>
        <v>0</v>
      </c>
      <c r="U40" s="69">
        <f t="shared" si="11"/>
        <v>0</v>
      </c>
      <c r="AB40" s="51"/>
      <c r="AC40" s="51"/>
      <c r="AD40" s="51"/>
      <c r="AE40" s="51"/>
      <c r="AF40" s="51"/>
      <c r="AG40" s="51"/>
      <c r="AH40" s="51"/>
      <c r="AI40" s="51"/>
    </row>
    <row r="41" spans="1:35" s="64" customFormat="1" x14ac:dyDescent="0.25">
      <c r="A41" s="13">
        <f>M8</f>
        <v>11</v>
      </c>
      <c r="B41" s="15">
        <v>250</v>
      </c>
      <c r="C41" s="69">
        <f t="shared" si="6"/>
        <v>29.879999999999995</v>
      </c>
      <c r="D41" s="69">
        <f t="shared" si="7"/>
        <v>24.247943999999997</v>
      </c>
      <c r="E41" s="69">
        <f t="shared" si="8"/>
        <v>9.1965599999999998</v>
      </c>
      <c r="F41" s="69">
        <f t="shared" si="9"/>
        <v>20.771423999999996</v>
      </c>
      <c r="G41" s="69">
        <f t="shared" si="5"/>
        <v>0.34560000000000002</v>
      </c>
      <c r="H41" s="69">
        <f t="shared" si="5"/>
        <v>3.6215999999999999</v>
      </c>
      <c r="I41" s="69">
        <f t="shared" si="5"/>
        <v>1.5674399999999999</v>
      </c>
      <c r="J41" s="69">
        <f t="shared" si="5"/>
        <v>2.3759999999999996E-3</v>
      </c>
      <c r="K41" s="69">
        <f t="shared" si="5"/>
        <v>5.0400000000000002E-3</v>
      </c>
      <c r="L41" s="69">
        <f t="shared" si="5"/>
        <v>8.6400000000000005E-2</v>
      </c>
      <c r="M41" s="69">
        <f t="shared" si="5"/>
        <v>9.1439999999999994E-2</v>
      </c>
      <c r="N41" s="69">
        <f t="shared" si="5"/>
        <v>55.295999999999999</v>
      </c>
      <c r="O41" s="69">
        <f t="shared" si="5"/>
        <v>2527.2000000000003</v>
      </c>
      <c r="P41" s="69">
        <f t="shared" si="5"/>
        <v>0</v>
      </c>
      <c r="Q41" s="69">
        <f t="shared" si="10"/>
        <v>50.94</v>
      </c>
      <c r="R41" s="69">
        <f t="shared" si="11"/>
        <v>0</v>
      </c>
      <c r="S41" s="69">
        <f t="shared" si="11"/>
        <v>0.11448</v>
      </c>
      <c r="T41" s="69">
        <f t="shared" si="11"/>
        <v>0</v>
      </c>
      <c r="U41" s="69">
        <f t="shared" si="11"/>
        <v>0</v>
      </c>
      <c r="AB41" s="51"/>
      <c r="AC41" s="51"/>
      <c r="AD41" s="51"/>
      <c r="AE41" s="51"/>
      <c r="AF41" s="51"/>
      <c r="AG41" s="51"/>
      <c r="AH41" s="51"/>
      <c r="AI41" s="51"/>
    </row>
    <row r="42" spans="1:35" s="64" customFormat="1" x14ac:dyDescent="0.25">
      <c r="A42" s="13">
        <f>N8</f>
        <v>12</v>
      </c>
      <c r="B42" s="15">
        <v>250</v>
      </c>
      <c r="C42" s="69">
        <f t="shared" si="6"/>
        <v>29.879999999999995</v>
      </c>
      <c r="D42" s="69">
        <f t="shared" si="7"/>
        <v>24.247943999999997</v>
      </c>
      <c r="E42" s="69">
        <f t="shared" si="8"/>
        <v>9.1965599999999998</v>
      </c>
      <c r="F42" s="69">
        <f t="shared" si="9"/>
        <v>20.771423999999996</v>
      </c>
      <c r="G42" s="69">
        <f t="shared" si="5"/>
        <v>0.34560000000000002</v>
      </c>
      <c r="H42" s="69">
        <f t="shared" si="5"/>
        <v>3.6215999999999999</v>
      </c>
      <c r="I42" s="69">
        <f t="shared" si="5"/>
        <v>1.5674399999999999</v>
      </c>
      <c r="J42" s="69">
        <f t="shared" si="5"/>
        <v>2.3759999999999996E-3</v>
      </c>
      <c r="K42" s="69">
        <f t="shared" si="5"/>
        <v>5.0400000000000002E-3</v>
      </c>
      <c r="L42" s="69">
        <f t="shared" si="5"/>
        <v>8.6400000000000005E-2</v>
      </c>
      <c r="M42" s="69">
        <f t="shared" si="5"/>
        <v>9.1439999999999994E-2</v>
      </c>
      <c r="N42" s="69">
        <f t="shared" si="5"/>
        <v>55.295999999999999</v>
      </c>
      <c r="O42" s="69">
        <f t="shared" si="5"/>
        <v>2527.2000000000003</v>
      </c>
      <c r="P42" s="69">
        <f t="shared" si="5"/>
        <v>0</v>
      </c>
      <c r="Q42" s="69">
        <f t="shared" si="10"/>
        <v>50.94</v>
      </c>
      <c r="R42" s="69">
        <f t="shared" si="11"/>
        <v>0</v>
      </c>
      <c r="S42" s="69">
        <f t="shared" si="11"/>
        <v>0.11448</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"&amp;(VLOOKUP(C14,Table24581112[],6,FALSE))</f>
        <v>#N/A</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90" t="s">
        <v>130</v>
      </c>
      <c r="B59" s="68" t="e">
        <f>VLOOKUP(C$14,Table24581112[],5,FALSE)</f>
        <v>#N/A</v>
      </c>
      <c r="C59" s="68">
        <f>VLOOKUP(D$14,Table24581112[],5,FALSE)</f>
        <v>6.2</v>
      </c>
      <c r="D59" s="68">
        <f>VLOOKUP(E$14,Table24581112[],5,FALSE)</f>
        <v>6.2</v>
      </c>
      <c r="E59" s="68">
        <f>VLOOKUP(F$14,Table24581112[],5,FALSE)</f>
        <v>6.2</v>
      </c>
      <c r="F59" s="68">
        <f>VLOOKUP(G$14,Table24581112[],5,FALSE)</f>
        <v>6.2</v>
      </c>
      <c r="G59" s="68">
        <f>VLOOKUP(H$14,Table24581112[],5,FALSE)</f>
        <v>6.2</v>
      </c>
      <c r="H59" s="68">
        <f>VLOOKUP(I$14,Table24581112[],5,FALSE)</f>
        <v>6.2</v>
      </c>
      <c r="I59" s="68">
        <f>VLOOKUP(J$14,Table24581112[],5,FALSE)</f>
        <v>6.2</v>
      </c>
      <c r="J59" s="68">
        <f>VLOOKUP(K$14,Table24581112[],5,FALSE)</f>
        <v>6.2</v>
      </c>
      <c r="K59" s="68">
        <f>VLOOKUP(L$14,Table24581112[],5,FALSE)</f>
        <v>6.2</v>
      </c>
      <c r="L59" s="68">
        <f>VLOOKUP(M$14,Table24581112[],5,FALSE)</f>
        <v>6.2</v>
      </c>
      <c r="M59" s="68">
        <f>VLOOKUP(N$14,Table24581112[],5,FALSE)</f>
        <v>6.2</v>
      </c>
      <c r="N59" s="68" t="e">
        <f>VLOOKUP(O$14,Table24581112[],5,FALSE)</f>
        <v>#N/A</v>
      </c>
      <c r="O59" s="68" t="e">
        <f>VLOOKUP(P$14,Table24581112[],5,FALSE)</f>
        <v>#N/A</v>
      </c>
      <c r="P59" s="68" t="e">
        <f>VLOOKUP(Q$14,Table24581112[],5,FALSE)</f>
        <v>#N/A</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250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2" operator="equal">
      <formula>"DECREASE"</formula>
    </cfRule>
    <cfRule type="cellIs" dxfId="292" priority="33" operator="equal">
      <formula>"INCREASE"</formula>
    </cfRule>
  </conditionalFormatting>
  <conditionalFormatting sqref="B62:U66 B31:B50">
    <cfRule type="cellIs" dxfId="291" priority="31" operator="greaterThan">
      <formula>$B$51</formula>
    </cfRule>
  </conditionalFormatting>
  <conditionalFormatting sqref="C31:C50">
    <cfRule type="cellIs" dxfId="290" priority="30" operator="greaterThan">
      <formula>$C$51</formula>
    </cfRule>
  </conditionalFormatting>
  <conditionalFormatting sqref="C18:V18">
    <cfRule type="cellIs" dxfId="289" priority="29" operator="equal">
      <formula>0</formula>
    </cfRule>
  </conditionalFormatting>
  <conditionalFormatting sqref="C17:V17">
    <cfRule type="cellIs" dxfId="288" priority="28" operator="equal">
      <formula>0</formula>
    </cfRule>
  </conditionalFormatting>
  <conditionalFormatting sqref="C19:V19">
    <cfRule type="cellIs" dxfId="287" priority="27" operator="equal">
      <formula>0</formula>
    </cfRule>
  </conditionalFormatting>
  <conditionalFormatting sqref="G31:G50">
    <cfRule type="cellIs" dxfId="286" priority="26" operator="greaterThan">
      <formula>$G$51</formula>
    </cfRule>
  </conditionalFormatting>
  <conditionalFormatting sqref="H31:H50">
    <cfRule type="cellIs" dxfId="285" priority="25" operator="greaterThan">
      <formula>$H$51</formula>
    </cfRule>
  </conditionalFormatting>
  <conditionalFormatting sqref="I31:I50">
    <cfRule type="cellIs" dxfId="284" priority="24" operator="greaterThan">
      <formula>$I$51</formula>
    </cfRule>
  </conditionalFormatting>
  <conditionalFormatting sqref="K31:K50">
    <cfRule type="cellIs" dxfId="283" priority="23" operator="greaterThan">
      <formula>$K$51</formula>
    </cfRule>
  </conditionalFormatting>
  <conditionalFormatting sqref="L31:L50">
    <cfRule type="cellIs" dxfId="282" priority="22" operator="greaterThan">
      <formula>$L$51</formula>
    </cfRule>
  </conditionalFormatting>
  <conditionalFormatting sqref="M31:M50">
    <cfRule type="cellIs" dxfId="281" priority="21" operator="greaterThan">
      <formula>$M$51</formula>
    </cfRule>
  </conditionalFormatting>
  <conditionalFormatting sqref="P31:P50">
    <cfRule type="cellIs" dxfId="280" priority="20" operator="greaterThan">
      <formula>$P$51</formula>
    </cfRule>
  </conditionalFormatting>
  <conditionalFormatting sqref="R31:R50">
    <cfRule type="cellIs" dxfId="279" priority="19" operator="greaterThan">
      <formula>$R$51</formula>
    </cfRule>
  </conditionalFormatting>
  <conditionalFormatting sqref="S31:S50">
    <cfRule type="cellIs" dxfId="278" priority="18" operator="greaterThan">
      <formula>$S$51</formula>
    </cfRule>
  </conditionalFormatting>
  <conditionalFormatting sqref="T31:T50">
    <cfRule type="cellIs" dxfId="277" priority="17" operator="greaterThan">
      <formula>$T$51</formula>
    </cfRule>
  </conditionalFormatting>
  <conditionalFormatting sqref="U31:U50">
    <cfRule type="cellIs" dxfId="276" priority="16" operator="greaterThan">
      <formula>$U$51</formula>
    </cfRule>
  </conditionalFormatting>
  <conditionalFormatting sqref="C22:V22">
    <cfRule type="cellIs" dxfId="275" priority="15" operator="equal">
      <formula>0</formula>
    </cfRule>
  </conditionalFormatting>
  <conditionalFormatting sqref="C24:V24">
    <cfRule type="cellIs" dxfId="274" priority="13" operator="equal">
      <formula>"DECREASE"</formula>
    </cfRule>
    <cfRule type="cellIs" dxfId="273" priority="14" operator="equal">
      <formula>"INCREASE"</formula>
    </cfRule>
  </conditionalFormatting>
  <conditionalFormatting sqref="C23:V23">
    <cfRule type="cellIs" dxfId="272" priority="12" operator="equal">
      <formula>0</formula>
    </cfRule>
  </conditionalFormatting>
  <conditionalFormatting sqref="I1">
    <cfRule type="cellIs" dxfId="271" priority="11" operator="lessThan">
      <formula>5</formula>
    </cfRule>
  </conditionalFormatting>
  <conditionalFormatting sqref="C21:V21">
    <cfRule type="cellIs" dxfId="270" priority="8"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I2">
    <cfRule type="cellIs" dxfId="267" priority="5" operator="greaterThan">
      <formula>5000.1</formula>
    </cfRule>
  </conditionalFormatting>
  <conditionalFormatting sqref="I3">
    <cfRule type="cellIs" dxfId="266" priority="4" operator="greaterThan">
      <formula>4.1</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7"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6.2</v>
      </c>
      <c r="J1" s="98" t="s">
        <v>150</v>
      </c>
      <c r="K1" s="98"/>
      <c r="L1" s="76">
        <v>240</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9880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2.42914979757085</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165</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7.3463778749999991</v>
      </c>
      <c r="E18" s="16">
        <f>$D33</f>
        <v>7.3463778749999991</v>
      </c>
      <c r="F18" s="16">
        <f>$D34</f>
        <v>7.3463778749999991</v>
      </c>
      <c r="G18" s="16">
        <f>$D35</f>
        <v>7.3463778749999991</v>
      </c>
      <c r="H18" s="16">
        <f>$D36</f>
        <v>7.3463778749999991</v>
      </c>
      <c r="I18" s="16">
        <f>$D37</f>
        <v>7.3463778749999991</v>
      </c>
      <c r="J18" s="16">
        <f>$D38</f>
        <v>7.3463778749999991</v>
      </c>
      <c r="K18" s="16">
        <f>$D39</f>
        <v>7.3463778749999991</v>
      </c>
      <c r="L18" s="16">
        <f>$D40</f>
        <v>0</v>
      </c>
      <c r="M18" s="16">
        <f>$D41</f>
        <v>7.3463778749999991</v>
      </c>
      <c r="N18" s="16">
        <f>$D42</f>
        <v>7.3463778749999991</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-69.153622124999998</v>
      </c>
      <c r="E19" s="16">
        <f t="shared" si="1"/>
        <v>-69.153622124999998</v>
      </c>
      <c r="F19" s="16">
        <f t="shared" si="1"/>
        <v>-69.153622124999998</v>
      </c>
      <c r="G19" s="16">
        <f t="shared" si="1"/>
        <v>-69.153622124999998</v>
      </c>
      <c r="H19" s="16">
        <f t="shared" si="1"/>
        <v>-69.153622124999998</v>
      </c>
      <c r="I19" s="16">
        <f t="shared" si="1"/>
        <v>-69.153622124999998</v>
      </c>
      <c r="J19" s="16">
        <f t="shared" si="1"/>
        <v>-69.153622124999998</v>
      </c>
      <c r="K19" s="16">
        <f t="shared" si="1"/>
        <v>-69.153622124999998</v>
      </c>
      <c r="L19" s="16">
        <f t="shared" si="1"/>
        <v>-76.5</v>
      </c>
      <c r="M19" s="16">
        <f t="shared" si="1"/>
        <v>-69.153622124999998</v>
      </c>
      <c r="N19" s="16">
        <f t="shared" si="1"/>
        <v>-69.153622124999998</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5.2544025000000003</v>
      </c>
      <c r="E22" s="16">
        <f>$E33</f>
        <v>5.2544025000000003</v>
      </c>
      <c r="F22" s="16">
        <f>$E34</f>
        <v>5.2544025000000003</v>
      </c>
      <c r="G22" s="16">
        <f>$E35</f>
        <v>5.2544025000000003</v>
      </c>
      <c r="H22" s="16">
        <f>$E36</f>
        <v>5.2544025000000003</v>
      </c>
      <c r="I22" s="16">
        <f>$E37</f>
        <v>5.2544025000000003</v>
      </c>
      <c r="J22" s="16">
        <f>$E38</f>
        <v>5.2544025000000003</v>
      </c>
      <c r="K22" s="16">
        <f>$E39</f>
        <v>5.2544025000000003</v>
      </c>
      <c r="L22" s="16">
        <f>$E40</f>
        <v>0</v>
      </c>
      <c r="M22" s="16">
        <f>$E41</f>
        <v>5.2544025000000003</v>
      </c>
      <c r="N22" s="16">
        <f>$E42</f>
        <v>5.2544025000000003</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-264.74559749999997</v>
      </c>
      <c r="E23" s="16">
        <f t="shared" si="3"/>
        <v>-264.74559749999997</v>
      </c>
      <c r="F23" s="16">
        <f t="shared" si="3"/>
        <v>-264.74559749999997</v>
      </c>
      <c r="G23" s="16">
        <f t="shared" si="3"/>
        <v>-264.74559749999997</v>
      </c>
      <c r="H23" s="16">
        <f t="shared" si="3"/>
        <v>-264.74559749999997</v>
      </c>
      <c r="I23" s="16">
        <f t="shared" si="3"/>
        <v>-264.74559749999997</v>
      </c>
      <c r="J23" s="16">
        <f t="shared" si="3"/>
        <v>-264.74559749999997</v>
      </c>
      <c r="K23" s="16">
        <f t="shared" si="3"/>
        <v>-264.74559749999997</v>
      </c>
      <c r="L23" s="16">
        <f t="shared" si="3"/>
        <v>-270</v>
      </c>
      <c r="M23" s="16">
        <f t="shared" si="3"/>
        <v>-264.74559749999997</v>
      </c>
      <c r="N23" s="16">
        <f t="shared" si="3"/>
        <v>-264.74559749999997</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2.5499999999999998</v>
      </c>
      <c r="C28" s="15">
        <v>0.98799999999999999</v>
      </c>
      <c r="D28" s="15">
        <v>5.0299999999999997E-2</v>
      </c>
      <c r="E28" s="15">
        <v>6.8400000000000002E-2</v>
      </c>
      <c r="F28" s="15">
        <v>141</v>
      </c>
      <c r="G28" s="15">
        <v>31.2</v>
      </c>
      <c r="H28" s="15">
        <v>79.5</v>
      </c>
      <c r="I28" s="15">
        <v>5.08</v>
      </c>
      <c r="J28" s="15">
        <v>0.5</v>
      </c>
      <c r="K28" s="22">
        <v>0.79</v>
      </c>
      <c r="L28" s="15">
        <v>3.36</v>
      </c>
      <c r="M28" s="15">
        <v>2.66</v>
      </c>
      <c r="N28" s="15">
        <v>170000</v>
      </c>
      <c r="O28" s="15">
        <v>6660</v>
      </c>
      <c r="P28" s="15"/>
      <c r="Q28" s="15">
        <v>11600</v>
      </c>
      <c r="R28" s="15"/>
      <c r="S28" s="15">
        <v>56</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62.984999999999985</v>
      </c>
      <c r="D32" s="69">
        <f t="shared" ref="D32:D50" si="7">(IF(D$27="%w/w SAR",((D$28*10)*$B32),IF(D$27="%w/w DM",(((D$28*10)*($B$28/100))*$B32),IF(D$27="kg/t SAR",(D$28*$B32),IF(D$27="kg/t DM",((D$28*($B$28/100))*$B32),IF(D$27="mg/kg SAR",((D$28*0.001)*$B32),IF(D$27="mg/kg DM",(((D$28*0.001)*($B$28/100))*$B32),"0")))))))*2.291</f>
        <v>7.3463778749999991</v>
      </c>
      <c r="E32" s="69">
        <f t="shared" ref="E32:E50" si="8">(IF(E$27="%w/w SAR",((E$28*10)*$B32),IF(E$27="%w/w DM",(((E$28*10)*($B$28/100))*$B32),IF(E$27="kg/t SAR",(E$28*$B32),IF(E$27="kg/t DM",((E$28*($B$28/100))*$B32),IF(E$27="mg/kg SAR",((E$28*0.001)*$B32),IF(E$27="mg/kg DM",(((E$28*0.001)*($B$28/100))*$B32),"0")))))))*1.205</f>
        <v>5.2544025000000003</v>
      </c>
      <c r="F32" s="69">
        <f t="shared" ref="F32:F50" si="9">(IF(F$27="%w/w SAR",((F$28*10)*$B32),IF(F$27="%w/w DM",(((F$28*10)*($B$28/100))*$B32),IF(F$27="kg/t SAR",(F$28*$B32),IF(F$27="kg/t DM",((F$28*($B$28/100))*$B32),IF(F$27="mg/kg SAR",((F$28*0.001)*$B32),IF(F$27="mg/kg DM",(((F$28*0.001)*($B$28/100))*$B32),"0")))))))*1.658</f>
        <v>1.4903347500000002</v>
      </c>
      <c r="G32" s="69">
        <f t="shared" si="5"/>
        <v>0.19889999999999999</v>
      </c>
      <c r="H32" s="69">
        <f t="shared" si="5"/>
        <v>0.5068125</v>
      </c>
      <c r="I32" s="69">
        <f t="shared" si="5"/>
        <v>3.2385000000000004E-2</v>
      </c>
      <c r="J32" s="69">
        <f t="shared" si="5"/>
        <v>3.1874999999999998E-3</v>
      </c>
      <c r="K32" s="69">
        <f t="shared" si="5"/>
        <v>5.0362499999999991E-3</v>
      </c>
      <c r="L32" s="69">
        <f t="shared" si="5"/>
        <v>2.1419999999999998E-2</v>
      </c>
      <c r="M32" s="69">
        <f t="shared" si="5"/>
        <v>1.6957499999999997E-2</v>
      </c>
      <c r="N32" s="69">
        <f t="shared" si="5"/>
        <v>1083.75</v>
      </c>
      <c r="O32" s="69">
        <f t="shared" si="5"/>
        <v>42.457499999999996</v>
      </c>
      <c r="P32" s="69">
        <f t="shared" si="5"/>
        <v>0</v>
      </c>
      <c r="Q32" s="69">
        <f t="shared" ref="Q32:Q50" si="10">(IF(Q$27="%w/w SAR",((Q$28*10)*$B32),IF(Q$27="%w/w DM",(((Q$28*10)*($B$28/100))*$B32),IF(Q$27="kg/t SAR",(Q$28*$B32),IF(Q$27="kg/t DM",((Q$28*($B$28/100))*$B32),IF(Q$27="mg/kg SAR",((Q$28*0.001)*$B32),IF(Q$27="mg/kg DM",(((Q$28*0.001)*($B$28/100))*$B32),0)))))))*2.5</f>
        <v>184.87499999999997</v>
      </c>
      <c r="R32" s="69">
        <f t="shared" ref="R32:U50" si="11">IF(R$27="%w/w SAR",((R$28*10)*$B32),IF(R$27="%w/w DM",(((R$28*10)*($B$28/100))*$B32),IF(R$27="kg/t SAR",(R$28*$B32),IF(R$27="kg/t DM",((R$28*($B$28/100))*$B32),IF(R$27="mg/kg SAR",((R$28*0.001)*$B32),IF(R$27="mg/kg DM",(((R$28*0.001)*($B$28/100))*$B32),0))))))</f>
        <v>0</v>
      </c>
      <c r="S32" s="69">
        <f t="shared" si="11"/>
        <v>0.35699999999999998</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62.984999999999985</v>
      </c>
      <c r="D33" s="69">
        <f t="shared" si="7"/>
        <v>7.3463778749999991</v>
      </c>
      <c r="E33" s="69">
        <f t="shared" si="8"/>
        <v>5.2544025000000003</v>
      </c>
      <c r="F33" s="69">
        <f t="shared" si="9"/>
        <v>1.4903347500000002</v>
      </c>
      <c r="G33" s="69">
        <f t="shared" si="5"/>
        <v>0.19889999999999999</v>
      </c>
      <c r="H33" s="69">
        <f t="shared" si="5"/>
        <v>0.5068125</v>
      </c>
      <c r="I33" s="69">
        <f t="shared" si="5"/>
        <v>3.2385000000000004E-2</v>
      </c>
      <c r="J33" s="69">
        <f t="shared" si="5"/>
        <v>3.1874999999999998E-3</v>
      </c>
      <c r="K33" s="69">
        <f t="shared" si="5"/>
        <v>5.0362499999999991E-3</v>
      </c>
      <c r="L33" s="69">
        <f t="shared" si="5"/>
        <v>2.1419999999999998E-2</v>
      </c>
      <c r="M33" s="69">
        <f t="shared" si="5"/>
        <v>1.6957499999999997E-2</v>
      </c>
      <c r="N33" s="69">
        <f t="shared" si="5"/>
        <v>1083.75</v>
      </c>
      <c r="O33" s="69">
        <f t="shared" si="5"/>
        <v>42.457499999999996</v>
      </c>
      <c r="P33" s="69">
        <f t="shared" si="5"/>
        <v>0</v>
      </c>
      <c r="Q33" s="69">
        <f t="shared" si="10"/>
        <v>184.87499999999997</v>
      </c>
      <c r="R33" s="69">
        <f t="shared" si="11"/>
        <v>0</v>
      </c>
      <c r="S33" s="69">
        <f t="shared" si="11"/>
        <v>0.35699999999999998</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62.984999999999985</v>
      </c>
      <c r="D34" s="69">
        <f t="shared" si="7"/>
        <v>7.3463778749999991</v>
      </c>
      <c r="E34" s="69">
        <f t="shared" si="8"/>
        <v>5.2544025000000003</v>
      </c>
      <c r="F34" s="69">
        <f t="shared" si="9"/>
        <v>1.4903347500000002</v>
      </c>
      <c r="G34" s="69">
        <f t="shared" si="5"/>
        <v>0.19889999999999999</v>
      </c>
      <c r="H34" s="69">
        <f t="shared" si="5"/>
        <v>0.5068125</v>
      </c>
      <c r="I34" s="69">
        <f t="shared" si="5"/>
        <v>3.2385000000000004E-2</v>
      </c>
      <c r="J34" s="69">
        <f t="shared" si="5"/>
        <v>3.1874999999999998E-3</v>
      </c>
      <c r="K34" s="69">
        <f t="shared" si="5"/>
        <v>5.0362499999999991E-3</v>
      </c>
      <c r="L34" s="69">
        <f t="shared" si="5"/>
        <v>2.1419999999999998E-2</v>
      </c>
      <c r="M34" s="69">
        <f t="shared" si="5"/>
        <v>1.6957499999999997E-2</v>
      </c>
      <c r="N34" s="69">
        <f t="shared" si="5"/>
        <v>1083.75</v>
      </c>
      <c r="O34" s="69">
        <f t="shared" si="5"/>
        <v>42.457499999999996</v>
      </c>
      <c r="P34" s="69">
        <f t="shared" si="5"/>
        <v>0</v>
      </c>
      <c r="Q34" s="69">
        <f t="shared" si="10"/>
        <v>184.87499999999997</v>
      </c>
      <c r="R34" s="69">
        <f t="shared" si="11"/>
        <v>0</v>
      </c>
      <c r="S34" s="69">
        <f t="shared" si="11"/>
        <v>0.35699999999999998</v>
      </c>
      <c r="T34" s="69">
        <f t="shared" si="11"/>
        <v>0</v>
      </c>
      <c r="U34" s="69">
        <f t="shared" si="11"/>
        <v>0</v>
      </c>
      <c r="AB34" s="51"/>
      <c r="AC34" s="51"/>
      <c r="AD34" s="51"/>
      <c r="AE34" s="51"/>
      <c r="AF34" s="51"/>
      <c r="AG34" s="51"/>
      <c r="AH34" s="51"/>
      <c r="AI34" s="51"/>
    </row>
    <row r="35" spans="1:35" s="64" customFormat="1" x14ac:dyDescent="0.25">
      <c r="A35" s="13" t="str">
        <f>G8</f>
        <v>5a</v>
      </c>
      <c r="B35" s="15">
        <v>250</v>
      </c>
      <c r="C35" s="69">
        <f t="shared" si="6"/>
        <v>62.984999999999985</v>
      </c>
      <c r="D35" s="69">
        <f t="shared" si="7"/>
        <v>7.3463778749999991</v>
      </c>
      <c r="E35" s="69">
        <f t="shared" si="8"/>
        <v>5.2544025000000003</v>
      </c>
      <c r="F35" s="69">
        <f t="shared" si="9"/>
        <v>1.4903347500000002</v>
      </c>
      <c r="G35" s="69">
        <f t="shared" si="5"/>
        <v>0.19889999999999999</v>
      </c>
      <c r="H35" s="69">
        <f t="shared" si="5"/>
        <v>0.5068125</v>
      </c>
      <c r="I35" s="69">
        <f t="shared" si="5"/>
        <v>3.2385000000000004E-2</v>
      </c>
      <c r="J35" s="69">
        <f t="shared" si="5"/>
        <v>3.1874999999999998E-3</v>
      </c>
      <c r="K35" s="69">
        <f t="shared" si="5"/>
        <v>5.0362499999999991E-3</v>
      </c>
      <c r="L35" s="69">
        <f t="shared" si="5"/>
        <v>2.1419999999999998E-2</v>
      </c>
      <c r="M35" s="69">
        <f t="shared" si="5"/>
        <v>1.6957499999999997E-2</v>
      </c>
      <c r="N35" s="69">
        <f t="shared" si="5"/>
        <v>1083.75</v>
      </c>
      <c r="O35" s="69">
        <f t="shared" si="5"/>
        <v>42.457499999999996</v>
      </c>
      <c r="P35" s="69">
        <f t="shared" si="5"/>
        <v>0</v>
      </c>
      <c r="Q35" s="69">
        <f t="shared" si="10"/>
        <v>184.87499999999997</v>
      </c>
      <c r="R35" s="69">
        <f t="shared" si="11"/>
        <v>0</v>
      </c>
      <c r="S35" s="69">
        <f t="shared" si="11"/>
        <v>0.35699999999999998</v>
      </c>
      <c r="T35" s="69">
        <f t="shared" si="11"/>
        <v>0</v>
      </c>
      <c r="U35" s="69">
        <f t="shared" si="11"/>
        <v>0</v>
      </c>
      <c r="AB35" s="51"/>
      <c r="AC35" s="51"/>
      <c r="AD35" s="51"/>
      <c r="AE35" s="51"/>
      <c r="AF35" s="51"/>
      <c r="AG35" s="51"/>
      <c r="AH35" s="51"/>
      <c r="AI35" s="51"/>
    </row>
    <row r="36" spans="1:35" s="64" customFormat="1" x14ac:dyDescent="0.25">
      <c r="A36" s="13" t="str">
        <f>H8</f>
        <v>5b</v>
      </c>
      <c r="B36" s="15">
        <v>250</v>
      </c>
      <c r="C36" s="69">
        <f t="shared" si="6"/>
        <v>62.984999999999985</v>
      </c>
      <c r="D36" s="69">
        <f t="shared" si="7"/>
        <v>7.3463778749999991</v>
      </c>
      <c r="E36" s="69">
        <f t="shared" si="8"/>
        <v>5.2544025000000003</v>
      </c>
      <c r="F36" s="69">
        <f t="shared" si="9"/>
        <v>1.4903347500000002</v>
      </c>
      <c r="G36" s="69">
        <f t="shared" si="5"/>
        <v>0.19889999999999999</v>
      </c>
      <c r="H36" s="69">
        <f t="shared" si="5"/>
        <v>0.5068125</v>
      </c>
      <c r="I36" s="69">
        <f t="shared" si="5"/>
        <v>3.2385000000000004E-2</v>
      </c>
      <c r="J36" s="69">
        <f t="shared" si="5"/>
        <v>3.1874999999999998E-3</v>
      </c>
      <c r="K36" s="69">
        <f t="shared" si="5"/>
        <v>5.0362499999999991E-3</v>
      </c>
      <c r="L36" s="69">
        <f t="shared" si="5"/>
        <v>2.1419999999999998E-2</v>
      </c>
      <c r="M36" s="69">
        <f t="shared" si="5"/>
        <v>1.6957499999999997E-2</v>
      </c>
      <c r="N36" s="69">
        <f t="shared" si="5"/>
        <v>1083.75</v>
      </c>
      <c r="O36" s="69">
        <f t="shared" si="5"/>
        <v>42.457499999999996</v>
      </c>
      <c r="P36" s="69">
        <f t="shared" si="5"/>
        <v>0</v>
      </c>
      <c r="Q36" s="69">
        <f t="shared" si="10"/>
        <v>184.87499999999997</v>
      </c>
      <c r="R36" s="69">
        <f t="shared" si="11"/>
        <v>0</v>
      </c>
      <c r="S36" s="69">
        <f t="shared" si="11"/>
        <v>0.35699999999999998</v>
      </c>
      <c r="T36" s="69">
        <f t="shared" si="11"/>
        <v>0</v>
      </c>
      <c r="U36" s="69">
        <f t="shared" si="11"/>
        <v>0</v>
      </c>
      <c r="AB36" s="51"/>
      <c r="AC36" s="51"/>
      <c r="AD36" s="51"/>
      <c r="AE36" s="51"/>
      <c r="AF36" s="51"/>
      <c r="AG36" s="51"/>
      <c r="AH36" s="51"/>
      <c r="AI36" s="51"/>
    </row>
    <row r="37" spans="1:35" s="64" customFormat="1" x14ac:dyDescent="0.25">
      <c r="A37" s="13">
        <f>I8</f>
        <v>6</v>
      </c>
      <c r="B37" s="15">
        <v>250</v>
      </c>
      <c r="C37" s="69">
        <f t="shared" si="6"/>
        <v>62.984999999999985</v>
      </c>
      <c r="D37" s="69">
        <f t="shared" si="7"/>
        <v>7.3463778749999991</v>
      </c>
      <c r="E37" s="69">
        <f t="shared" si="8"/>
        <v>5.2544025000000003</v>
      </c>
      <c r="F37" s="69">
        <f t="shared" si="9"/>
        <v>1.4903347500000002</v>
      </c>
      <c r="G37" s="69">
        <f t="shared" si="5"/>
        <v>0.19889999999999999</v>
      </c>
      <c r="H37" s="69">
        <f t="shared" si="5"/>
        <v>0.5068125</v>
      </c>
      <c r="I37" s="69">
        <f t="shared" si="5"/>
        <v>3.2385000000000004E-2</v>
      </c>
      <c r="J37" s="69">
        <f t="shared" si="5"/>
        <v>3.1874999999999998E-3</v>
      </c>
      <c r="K37" s="69">
        <f t="shared" si="5"/>
        <v>5.0362499999999991E-3</v>
      </c>
      <c r="L37" s="69">
        <f t="shared" si="5"/>
        <v>2.1419999999999998E-2</v>
      </c>
      <c r="M37" s="69">
        <f t="shared" si="5"/>
        <v>1.6957499999999997E-2</v>
      </c>
      <c r="N37" s="69">
        <f t="shared" si="5"/>
        <v>1083.75</v>
      </c>
      <c r="O37" s="69">
        <f t="shared" si="5"/>
        <v>42.457499999999996</v>
      </c>
      <c r="P37" s="69">
        <f t="shared" si="5"/>
        <v>0</v>
      </c>
      <c r="Q37" s="69">
        <f t="shared" si="10"/>
        <v>184.87499999999997</v>
      </c>
      <c r="R37" s="69">
        <f t="shared" si="11"/>
        <v>0</v>
      </c>
      <c r="S37" s="69">
        <f t="shared" si="11"/>
        <v>0.35699999999999998</v>
      </c>
      <c r="T37" s="69">
        <f t="shared" si="11"/>
        <v>0</v>
      </c>
      <c r="U37" s="69">
        <f t="shared" si="11"/>
        <v>0</v>
      </c>
      <c r="AB37" s="51"/>
      <c r="AC37" s="51"/>
      <c r="AD37" s="51"/>
      <c r="AE37" s="51"/>
      <c r="AF37" s="51"/>
      <c r="AG37" s="51"/>
      <c r="AH37" s="51"/>
      <c r="AI37" s="51"/>
    </row>
    <row r="38" spans="1:35" s="64" customFormat="1" x14ac:dyDescent="0.25">
      <c r="A38" s="13">
        <f>J8</f>
        <v>7</v>
      </c>
      <c r="B38" s="15">
        <v>250</v>
      </c>
      <c r="C38" s="69">
        <f t="shared" si="6"/>
        <v>62.984999999999985</v>
      </c>
      <c r="D38" s="69">
        <f t="shared" si="7"/>
        <v>7.3463778749999991</v>
      </c>
      <c r="E38" s="69">
        <f t="shared" si="8"/>
        <v>5.2544025000000003</v>
      </c>
      <c r="F38" s="69">
        <f t="shared" si="9"/>
        <v>1.4903347500000002</v>
      </c>
      <c r="G38" s="69">
        <f t="shared" si="5"/>
        <v>0.19889999999999999</v>
      </c>
      <c r="H38" s="69">
        <f t="shared" si="5"/>
        <v>0.5068125</v>
      </c>
      <c r="I38" s="69">
        <f t="shared" si="5"/>
        <v>3.2385000000000004E-2</v>
      </c>
      <c r="J38" s="69">
        <f t="shared" si="5"/>
        <v>3.1874999999999998E-3</v>
      </c>
      <c r="K38" s="69">
        <f t="shared" si="5"/>
        <v>5.0362499999999991E-3</v>
      </c>
      <c r="L38" s="69">
        <f t="shared" si="5"/>
        <v>2.1419999999999998E-2</v>
      </c>
      <c r="M38" s="69">
        <f t="shared" si="5"/>
        <v>1.6957499999999997E-2</v>
      </c>
      <c r="N38" s="69">
        <f t="shared" si="5"/>
        <v>1083.75</v>
      </c>
      <c r="O38" s="69">
        <f t="shared" si="5"/>
        <v>42.457499999999996</v>
      </c>
      <c r="P38" s="69">
        <f t="shared" si="5"/>
        <v>0</v>
      </c>
      <c r="Q38" s="69">
        <f t="shared" si="10"/>
        <v>184.87499999999997</v>
      </c>
      <c r="R38" s="69">
        <f t="shared" si="11"/>
        <v>0</v>
      </c>
      <c r="S38" s="69">
        <f t="shared" si="11"/>
        <v>0.35699999999999998</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62.984999999999985</v>
      </c>
      <c r="D39" s="69">
        <f t="shared" si="7"/>
        <v>7.3463778749999991</v>
      </c>
      <c r="E39" s="69">
        <f t="shared" si="8"/>
        <v>5.2544025000000003</v>
      </c>
      <c r="F39" s="69">
        <f t="shared" si="9"/>
        <v>1.4903347500000002</v>
      </c>
      <c r="G39" s="69">
        <f t="shared" si="5"/>
        <v>0.19889999999999999</v>
      </c>
      <c r="H39" s="69">
        <f t="shared" si="5"/>
        <v>0.5068125</v>
      </c>
      <c r="I39" s="69">
        <f t="shared" si="5"/>
        <v>3.2385000000000004E-2</v>
      </c>
      <c r="J39" s="69">
        <f t="shared" si="5"/>
        <v>3.1874999999999998E-3</v>
      </c>
      <c r="K39" s="69">
        <f t="shared" si="5"/>
        <v>5.0362499999999991E-3</v>
      </c>
      <c r="L39" s="69">
        <f t="shared" si="5"/>
        <v>2.1419999999999998E-2</v>
      </c>
      <c r="M39" s="69">
        <f t="shared" si="5"/>
        <v>1.6957499999999997E-2</v>
      </c>
      <c r="N39" s="69">
        <f t="shared" si="5"/>
        <v>1083.75</v>
      </c>
      <c r="O39" s="69">
        <f t="shared" si="5"/>
        <v>42.457499999999996</v>
      </c>
      <c r="P39" s="69">
        <f t="shared" si="5"/>
        <v>0</v>
      </c>
      <c r="Q39" s="69">
        <f t="shared" si="10"/>
        <v>184.87499999999997</v>
      </c>
      <c r="R39" s="69">
        <f t="shared" si="11"/>
        <v>0</v>
      </c>
      <c r="S39" s="69">
        <f t="shared" si="11"/>
        <v>0.35699999999999998</v>
      </c>
      <c r="T39" s="69">
        <f t="shared" si="11"/>
        <v>0</v>
      </c>
      <c r="U39" s="69">
        <f t="shared" si="11"/>
        <v>0</v>
      </c>
      <c r="AB39" s="51"/>
      <c r="AC39" s="51"/>
      <c r="AD39" s="51"/>
      <c r="AE39" s="51"/>
      <c r="AF39" s="51"/>
      <c r="AG39" s="51"/>
      <c r="AH39" s="51"/>
      <c r="AI39" s="51"/>
    </row>
    <row r="40" spans="1:35" s="64" customFormat="1" x14ac:dyDescent="0.25">
      <c r="A40" s="13">
        <f>L8</f>
        <v>10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11</v>
      </c>
      <c r="B41" s="15">
        <v>250</v>
      </c>
      <c r="C41" s="69">
        <f t="shared" si="6"/>
        <v>62.984999999999985</v>
      </c>
      <c r="D41" s="69">
        <f t="shared" si="7"/>
        <v>7.3463778749999991</v>
      </c>
      <c r="E41" s="69">
        <f t="shared" si="8"/>
        <v>5.2544025000000003</v>
      </c>
      <c r="F41" s="69">
        <f t="shared" si="9"/>
        <v>1.4903347500000002</v>
      </c>
      <c r="G41" s="69">
        <f t="shared" si="5"/>
        <v>0.19889999999999999</v>
      </c>
      <c r="H41" s="69">
        <f t="shared" si="5"/>
        <v>0.5068125</v>
      </c>
      <c r="I41" s="69">
        <f t="shared" si="5"/>
        <v>3.2385000000000004E-2</v>
      </c>
      <c r="J41" s="69">
        <f t="shared" si="5"/>
        <v>3.1874999999999998E-3</v>
      </c>
      <c r="K41" s="69">
        <f t="shared" si="5"/>
        <v>5.0362499999999991E-3</v>
      </c>
      <c r="L41" s="69">
        <f t="shared" si="5"/>
        <v>2.1419999999999998E-2</v>
      </c>
      <c r="M41" s="69">
        <f t="shared" si="5"/>
        <v>1.6957499999999997E-2</v>
      </c>
      <c r="N41" s="69">
        <f t="shared" si="5"/>
        <v>1083.75</v>
      </c>
      <c r="O41" s="69">
        <f t="shared" si="5"/>
        <v>42.457499999999996</v>
      </c>
      <c r="P41" s="69">
        <f t="shared" si="5"/>
        <v>0</v>
      </c>
      <c r="Q41" s="69">
        <f t="shared" si="10"/>
        <v>184.87499999999997</v>
      </c>
      <c r="R41" s="69">
        <f t="shared" si="11"/>
        <v>0</v>
      </c>
      <c r="S41" s="69">
        <f t="shared" si="11"/>
        <v>0.35699999999999998</v>
      </c>
      <c r="T41" s="69">
        <f t="shared" si="11"/>
        <v>0</v>
      </c>
      <c r="U41" s="69">
        <f t="shared" si="11"/>
        <v>0</v>
      </c>
      <c r="AB41" s="51"/>
      <c r="AC41" s="51"/>
      <c r="AD41" s="51"/>
      <c r="AE41" s="51"/>
      <c r="AF41" s="51"/>
      <c r="AG41" s="51"/>
      <c r="AH41" s="51"/>
      <c r="AI41" s="51"/>
    </row>
    <row r="42" spans="1:35" s="64" customFormat="1" x14ac:dyDescent="0.25">
      <c r="A42" s="13">
        <f>N8</f>
        <v>12</v>
      </c>
      <c r="B42" s="15">
        <v>250</v>
      </c>
      <c r="C42" s="69">
        <f t="shared" si="6"/>
        <v>62.984999999999985</v>
      </c>
      <c r="D42" s="69">
        <f t="shared" si="7"/>
        <v>7.3463778749999991</v>
      </c>
      <c r="E42" s="69">
        <f t="shared" si="8"/>
        <v>5.2544025000000003</v>
      </c>
      <c r="F42" s="69">
        <f t="shared" si="9"/>
        <v>1.4903347500000002</v>
      </c>
      <c r="G42" s="69">
        <f t="shared" si="5"/>
        <v>0.19889999999999999</v>
      </c>
      <c r="H42" s="69">
        <f t="shared" si="5"/>
        <v>0.5068125</v>
      </c>
      <c r="I42" s="69">
        <f t="shared" si="5"/>
        <v>3.2385000000000004E-2</v>
      </c>
      <c r="J42" s="69">
        <f t="shared" si="5"/>
        <v>3.1874999999999998E-3</v>
      </c>
      <c r="K42" s="69">
        <f t="shared" si="5"/>
        <v>5.0362499999999991E-3</v>
      </c>
      <c r="L42" s="69">
        <f t="shared" si="5"/>
        <v>2.1419999999999998E-2</v>
      </c>
      <c r="M42" s="69">
        <f t="shared" si="5"/>
        <v>1.6957499999999997E-2</v>
      </c>
      <c r="N42" s="69">
        <f t="shared" si="5"/>
        <v>1083.75</v>
      </c>
      <c r="O42" s="69">
        <f t="shared" si="5"/>
        <v>42.457499999999996</v>
      </c>
      <c r="P42" s="69">
        <f t="shared" si="5"/>
        <v>0</v>
      </c>
      <c r="Q42" s="69">
        <f t="shared" si="10"/>
        <v>184.87499999999997</v>
      </c>
      <c r="R42" s="69">
        <f t="shared" si="11"/>
        <v>0</v>
      </c>
      <c r="S42" s="69">
        <f t="shared" si="11"/>
        <v>0.35699999999999998</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"&amp;(VLOOKUP(C14,Table24581114[],6,FALSE))</f>
        <v>#N/A</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90" t="s">
        <v>130</v>
      </c>
      <c r="B59" s="68" t="e">
        <f>VLOOKUP(C$14,Table24581114[],5,FALSE)</f>
        <v>#N/A</v>
      </c>
      <c r="C59" s="68">
        <f>VLOOKUP(D$14,Table24581114[],5,FALSE)</f>
        <v>6.2</v>
      </c>
      <c r="D59" s="68">
        <f>VLOOKUP(E$14,Table24581114[],5,FALSE)</f>
        <v>6.2</v>
      </c>
      <c r="E59" s="68">
        <f>VLOOKUP(F$14,Table24581114[],5,FALSE)</f>
        <v>6.2</v>
      </c>
      <c r="F59" s="68">
        <f>VLOOKUP(G$14,Table24581114[],5,FALSE)</f>
        <v>6.2</v>
      </c>
      <c r="G59" s="68">
        <f>VLOOKUP(H$14,Table24581114[],5,FALSE)</f>
        <v>6.2</v>
      </c>
      <c r="H59" s="68">
        <f>VLOOKUP(I$14,Table24581114[],5,FALSE)</f>
        <v>6.2</v>
      </c>
      <c r="I59" s="68">
        <f>VLOOKUP(J$14,Table24581114[],5,FALSE)</f>
        <v>6.2</v>
      </c>
      <c r="J59" s="68">
        <f>VLOOKUP(K$14,Table24581114[],5,FALSE)</f>
        <v>6.2</v>
      </c>
      <c r="K59" s="68">
        <f>VLOOKUP(L$14,Table24581114[],5,FALSE)</f>
        <v>6.2</v>
      </c>
      <c r="L59" s="68">
        <f>VLOOKUP(M$14,Table24581114[],5,FALSE)</f>
        <v>6.2</v>
      </c>
      <c r="M59" s="68">
        <f>VLOOKUP(N$14,Table24581114[],5,FALSE)</f>
        <v>6.2</v>
      </c>
      <c r="N59" s="68" t="e">
        <f>VLOOKUP(O$14,Table24581114[],5,FALSE)</f>
        <v>#N/A</v>
      </c>
      <c r="O59" s="68" t="e">
        <f>VLOOKUP(P$14,Table24581114[],5,FALSE)</f>
        <v>#N/A</v>
      </c>
      <c r="P59" s="68" t="e">
        <f>VLOOKUP(Q$14,Table24581114[],5,FALSE)</f>
        <v>#N/A</v>
      </c>
      <c r="Q59" s="68" t="e">
        <f>VLOOKUP(R$14,Table24581114[],5,FALSE)</f>
        <v>#N/A</v>
      </c>
      <c r="R59" s="68" t="e">
        <f>VLOOKUP(S$14,Table24581114[],5,FALSE)</f>
        <v>#N/A</v>
      </c>
      <c r="S59" s="68" t="e">
        <f>VLOOKUP(T$14,Table24581114[],5,FALSE)</f>
        <v>#N/A</v>
      </c>
      <c r="T59" s="68" t="e">
        <f>VLOOKUP(U$14,Table24581114[],5,FALSE)</f>
        <v>#N/A</v>
      </c>
      <c r="U59" s="68" t="e">
        <f>VLOOKUP(V$14,Table24581114[],5,FALSE)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2" operator="equal">
      <formula>"DECREASE"</formula>
    </cfRule>
    <cfRule type="cellIs" dxfId="250" priority="33" operator="equal">
      <formula>"INCREASE"</formula>
    </cfRule>
  </conditionalFormatting>
  <conditionalFormatting sqref="B62:U66 B31:B50">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5.8</v>
      </c>
      <c r="J1" s="98" t="s">
        <v>150</v>
      </c>
      <c r="K1" s="98"/>
      <c r="L1" s="76">
        <v>231</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7780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2.969151670951157</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166</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12.369968125000002</v>
      </c>
      <c r="E18" s="16">
        <f>$D33</f>
        <v>12.369968125000002</v>
      </c>
      <c r="F18" s="16">
        <f>$D34</f>
        <v>12.369968125000002</v>
      </c>
      <c r="G18" s="16">
        <f>$D35</f>
        <v>12.369968125000002</v>
      </c>
      <c r="H18" s="16">
        <f>$D36</f>
        <v>12.369968125000002</v>
      </c>
      <c r="I18" s="16">
        <f>$D37</f>
        <v>12.369968125000002</v>
      </c>
      <c r="J18" s="16">
        <f>$D38</f>
        <v>12.369968125000002</v>
      </c>
      <c r="K18" s="16">
        <f>$D39</f>
        <v>12.369968125000002</v>
      </c>
      <c r="L18" s="16">
        <f>$D40</f>
        <v>12.369968125000002</v>
      </c>
      <c r="M18" s="16">
        <f>$D41</f>
        <v>12.369968125000002</v>
      </c>
      <c r="N18" s="16">
        <f>$D42</f>
        <v>12.369968125000002</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-64.130031875</v>
      </c>
      <c r="E19" s="16">
        <f t="shared" si="1"/>
        <v>-64.130031875</v>
      </c>
      <c r="F19" s="16">
        <f t="shared" si="1"/>
        <v>-64.130031875</v>
      </c>
      <c r="G19" s="16">
        <f t="shared" si="1"/>
        <v>-64.130031875</v>
      </c>
      <c r="H19" s="16">
        <f t="shared" si="1"/>
        <v>-64.130031875</v>
      </c>
      <c r="I19" s="16">
        <f t="shared" si="1"/>
        <v>-64.130031875</v>
      </c>
      <c r="J19" s="16">
        <f t="shared" si="1"/>
        <v>-64.130031875</v>
      </c>
      <c r="K19" s="16">
        <f t="shared" si="1"/>
        <v>-64.130031875</v>
      </c>
      <c r="L19" s="16">
        <f t="shared" si="1"/>
        <v>-64.130031875</v>
      </c>
      <c r="M19" s="16">
        <f t="shared" si="1"/>
        <v>-64.130031875</v>
      </c>
      <c r="N19" s="16">
        <f t="shared" si="1"/>
        <v>-64.130031875</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5.8117150000000004</v>
      </c>
      <c r="E22" s="16">
        <f>$E33</f>
        <v>5.8117150000000004</v>
      </c>
      <c r="F22" s="16">
        <f>$E34</f>
        <v>5.8117150000000004</v>
      </c>
      <c r="G22" s="16">
        <f>$E35</f>
        <v>5.8117150000000004</v>
      </c>
      <c r="H22" s="16">
        <f>$E36</f>
        <v>5.8117150000000004</v>
      </c>
      <c r="I22" s="16">
        <f>$E37</f>
        <v>5.8117150000000004</v>
      </c>
      <c r="J22" s="16">
        <f>$E38</f>
        <v>5.8117150000000004</v>
      </c>
      <c r="K22" s="16">
        <f>$E39</f>
        <v>5.8117150000000004</v>
      </c>
      <c r="L22" s="16">
        <f>$E40</f>
        <v>5.8117150000000004</v>
      </c>
      <c r="M22" s="16">
        <f>$E41</f>
        <v>5.8117150000000004</v>
      </c>
      <c r="N22" s="16">
        <f>$E42</f>
        <v>5.8117150000000004</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-264.18828500000001</v>
      </c>
      <c r="E23" s="16">
        <f t="shared" si="3"/>
        <v>-264.18828500000001</v>
      </c>
      <c r="F23" s="16">
        <f t="shared" si="3"/>
        <v>-264.18828500000001</v>
      </c>
      <c r="G23" s="16">
        <f t="shared" si="3"/>
        <v>-264.18828500000001</v>
      </c>
      <c r="H23" s="16">
        <f t="shared" si="3"/>
        <v>-264.18828500000001</v>
      </c>
      <c r="I23" s="16">
        <f t="shared" si="3"/>
        <v>-264.18828500000001</v>
      </c>
      <c r="J23" s="16">
        <f t="shared" si="3"/>
        <v>-264.18828500000001</v>
      </c>
      <c r="K23" s="16">
        <f t="shared" si="3"/>
        <v>-264.18828500000001</v>
      </c>
      <c r="L23" s="16">
        <f t="shared" si="3"/>
        <v>-264.18828500000001</v>
      </c>
      <c r="M23" s="16">
        <f t="shared" si="3"/>
        <v>-264.18828500000001</v>
      </c>
      <c r="N23" s="16">
        <f t="shared" si="3"/>
        <v>-264.18828500000001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2.65</v>
      </c>
      <c r="C28" s="15">
        <v>0.77800000000000002</v>
      </c>
      <c r="D28" s="15">
        <v>8.1500000000000003E-2</v>
      </c>
      <c r="E28" s="15">
        <v>7.2800000000000004E-2</v>
      </c>
      <c r="F28" s="15">
        <v>477</v>
      </c>
      <c r="G28" s="15">
        <v>21.1</v>
      </c>
      <c r="H28" s="15">
        <v>146</v>
      </c>
      <c r="I28" s="15">
        <v>36.700000000000003</v>
      </c>
      <c r="J28" s="15">
        <v>0.59</v>
      </c>
      <c r="K28" s="22">
        <v>0.76</v>
      </c>
      <c r="L28" s="15">
        <v>13.1</v>
      </c>
      <c r="M28" s="15">
        <v>7.38</v>
      </c>
      <c r="N28" s="15">
        <v>3490</v>
      </c>
      <c r="O28" s="15">
        <v>389000</v>
      </c>
      <c r="P28" s="15"/>
      <c r="Q28" s="15">
        <v>4710</v>
      </c>
      <c r="R28" s="15"/>
      <c r="S28" s="15">
        <v>45.7</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51.542499999999997</v>
      </c>
      <c r="D32" s="69">
        <f t="shared" ref="D32:D50" si="7">(IF(D$27="%w/w SAR",((D$28*10)*$B32),IF(D$27="%w/w DM",(((D$28*10)*($B$28/100))*$B32),IF(D$27="kg/t SAR",(D$28*$B32),IF(D$27="kg/t DM",((D$28*($B$28/100))*$B32),IF(D$27="mg/kg SAR",((D$28*0.001)*$B32),IF(D$27="mg/kg DM",(((D$28*0.001)*($B$28/100))*$B32),"0")))))))*2.291</f>
        <v>12.369968125000002</v>
      </c>
      <c r="E32" s="69">
        <f t="shared" ref="E32:E50" si="8">(IF(E$27="%w/w SAR",((E$28*10)*$B32),IF(E$27="%w/w DM",(((E$28*10)*($B$28/100))*$B32),IF(E$27="kg/t SAR",(E$28*$B32),IF(E$27="kg/t DM",((E$28*($B$28/100))*$B32),IF(E$27="mg/kg SAR",((E$28*0.001)*$B32),IF(E$27="mg/kg DM",(((E$28*0.001)*($B$28/100))*$B32),"0")))))))*1.205</f>
        <v>5.8117150000000004</v>
      </c>
      <c r="F32" s="69">
        <f t="shared" ref="F32:F50" si="9">(IF(F$27="%w/w SAR",((F$28*10)*$B32),IF(F$27="%w/w DM",(((F$28*10)*($B$28/100))*$B32),IF(F$27="kg/t SAR",(F$28*$B32),IF(F$27="kg/t DM",((F$28*($B$28/100))*$B32),IF(F$27="mg/kg SAR",((F$28*0.001)*$B32),IF(F$27="mg/kg DM",(((F$28*0.001)*($B$28/100))*$B32),"0")))))))*1.658</f>
        <v>5.2394872499999998</v>
      </c>
      <c r="G32" s="69">
        <f t="shared" si="5"/>
        <v>0.13978750000000001</v>
      </c>
      <c r="H32" s="69">
        <f t="shared" si="5"/>
        <v>0.96724999999999994</v>
      </c>
      <c r="I32" s="69">
        <f t="shared" si="5"/>
        <v>0.24313750000000003</v>
      </c>
      <c r="J32" s="69">
        <f t="shared" si="5"/>
        <v>3.9087500000000008E-3</v>
      </c>
      <c r="K32" s="69">
        <f t="shared" si="5"/>
        <v>5.0350000000000004E-3</v>
      </c>
      <c r="L32" s="69">
        <f t="shared" si="5"/>
        <v>8.6787500000000004E-2</v>
      </c>
      <c r="M32" s="69">
        <f t="shared" si="5"/>
        <v>4.8892499999999998E-2</v>
      </c>
      <c r="N32" s="69">
        <f t="shared" si="5"/>
        <v>23.12125</v>
      </c>
      <c r="O32" s="69">
        <f t="shared" si="5"/>
        <v>2577.125</v>
      </c>
      <c r="P32" s="69">
        <f t="shared" si="5"/>
        <v>0</v>
      </c>
      <c r="Q32" s="69">
        <f t="shared" ref="Q32:Q50" si="10">(IF(Q$27="%w/w SAR",((Q$28*10)*$B32),IF(Q$27="%w/w DM",(((Q$28*10)*($B$28/100))*$B32),IF(Q$27="kg/t SAR",(Q$28*$B32),IF(Q$27="kg/t DM",((Q$28*($B$28/100))*$B32),IF(Q$27="mg/kg SAR",((Q$28*0.001)*$B32),IF(Q$27="mg/kg DM",(((Q$28*0.001)*($B$28/100))*$B32),0)))))))*2.5</f>
        <v>78.009375000000006</v>
      </c>
      <c r="R32" s="69">
        <f t="shared" ref="R32:U50" si="11">IF(R$27="%w/w SAR",((R$28*10)*$B32),IF(R$27="%w/w DM",(((R$28*10)*($B$28/100))*$B32),IF(R$27="kg/t SAR",(R$28*$B32),IF(R$27="kg/t DM",((R$28*($B$28/100))*$B32),IF(R$27="mg/kg SAR",((R$28*0.001)*$B32),IF(R$27="mg/kg DM",(((R$28*0.001)*($B$28/100))*$B32),0))))))</f>
        <v>0</v>
      </c>
      <c r="S32" s="69">
        <f t="shared" si="11"/>
        <v>0.30276250000000005</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51.542499999999997</v>
      </c>
      <c r="D33" s="69">
        <f t="shared" si="7"/>
        <v>12.369968125000002</v>
      </c>
      <c r="E33" s="69">
        <f t="shared" si="8"/>
        <v>5.8117150000000004</v>
      </c>
      <c r="F33" s="69">
        <f t="shared" si="9"/>
        <v>5.2394872499999998</v>
      </c>
      <c r="G33" s="69">
        <f t="shared" si="5"/>
        <v>0.13978750000000001</v>
      </c>
      <c r="H33" s="69">
        <f t="shared" si="5"/>
        <v>0.96724999999999994</v>
      </c>
      <c r="I33" s="69">
        <f t="shared" si="5"/>
        <v>0.24313750000000003</v>
      </c>
      <c r="J33" s="69">
        <f t="shared" si="5"/>
        <v>3.9087500000000008E-3</v>
      </c>
      <c r="K33" s="69">
        <f t="shared" si="5"/>
        <v>5.0350000000000004E-3</v>
      </c>
      <c r="L33" s="69">
        <f t="shared" si="5"/>
        <v>8.6787500000000004E-2</v>
      </c>
      <c r="M33" s="69">
        <f t="shared" si="5"/>
        <v>4.8892499999999998E-2</v>
      </c>
      <c r="N33" s="69">
        <f t="shared" si="5"/>
        <v>23.12125</v>
      </c>
      <c r="O33" s="69">
        <f t="shared" si="5"/>
        <v>2577.125</v>
      </c>
      <c r="P33" s="69">
        <f t="shared" si="5"/>
        <v>0</v>
      </c>
      <c r="Q33" s="69">
        <f t="shared" si="10"/>
        <v>78.009375000000006</v>
      </c>
      <c r="R33" s="69">
        <f t="shared" si="11"/>
        <v>0</v>
      </c>
      <c r="S33" s="69">
        <f t="shared" si="11"/>
        <v>0.30276250000000005</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51.542499999999997</v>
      </c>
      <c r="D34" s="69">
        <f t="shared" si="7"/>
        <v>12.369968125000002</v>
      </c>
      <c r="E34" s="69">
        <f t="shared" si="8"/>
        <v>5.8117150000000004</v>
      </c>
      <c r="F34" s="69">
        <f t="shared" si="9"/>
        <v>5.2394872499999998</v>
      </c>
      <c r="G34" s="69">
        <f t="shared" si="5"/>
        <v>0.13978750000000001</v>
      </c>
      <c r="H34" s="69">
        <f t="shared" si="5"/>
        <v>0.96724999999999994</v>
      </c>
      <c r="I34" s="69">
        <f t="shared" si="5"/>
        <v>0.24313750000000003</v>
      </c>
      <c r="J34" s="69">
        <f t="shared" si="5"/>
        <v>3.9087500000000008E-3</v>
      </c>
      <c r="K34" s="69">
        <f t="shared" si="5"/>
        <v>5.0350000000000004E-3</v>
      </c>
      <c r="L34" s="69">
        <f t="shared" si="5"/>
        <v>8.6787500000000004E-2</v>
      </c>
      <c r="M34" s="69">
        <f t="shared" si="5"/>
        <v>4.8892499999999998E-2</v>
      </c>
      <c r="N34" s="69">
        <f t="shared" si="5"/>
        <v>23.12125</v>
      </c>
      <c r="O34" s="69">
        <f t="shared" si="5"/>
        <v>2577.125</v>
      </c>
      <c r="P34" s="69">
        <f t="shared" si="5"/>
        <v>0</v>
      </c>
      <c r="Q34" s="69">
        <f t="shared" si="10"/>
        <v>78.009375000000006</v>
      </c>
      <c r="R34" s="69">
        <f t="shared" si="11"/>
        <v>0</v>
      </c>
      <c r="S34" s="69">
        <f t="shared" si="11"/>
        <v>0.30276250000000005</v>
      </c>
      <c r="T34" s="69">
        <f t="shared" si="11"/>
        <v>0</v>
      </c>
      <c r="U34" s="69">
        <f t="shared" si="11"/>
        <v>0</v>
      </c>
      <c r="AB34" s="51"/>
      <c r="AC34" s="51"/>
      <c r="AD34" s="51"/>
      <c r="AE34" s="51"/>
      <c r="AF34" s="51"/>
      <c r="AG34" s="51"/>
      <c r="AH34" s="51"/>
      <c r="AI34" s="51"/>
    </row>
    <row r="35" spans="1:35" s="64" customFormat="1" x14ac:dyDescent="0.25">
      <c r="A35" s="13" t="str">
        <f>G8</f>
        <v>5a</v>
      </c>
      <c r="B35" s="15">
        <v>250</v>
      </c>
      <c r="C35" s="69">
        <f t="shared" si="6"/>
        <v>51.542499999999997</v>
      </c>
      <c r="D35" s="69">
        <f t="shared" si="7"/>
        <v>12.369968125000002</v>
      </c>
      <c r="E35" s="69">
        <f t="shared" si="8"/>
        <v>5.8117150000000004</v>
      </c>
      <c r="F35" s="69">
        <f t="shared" si="9"/>
        <v>5.2394872499999998</v>
      </c>
      <c r="G35" s="69">
        <f t="shared" si="5"/>
        <v>0.13978750000000001</v>
      </c>
      <c r="H35" s="69">
        <f t="shared" si="5"/>
        <v>0.96724999999999994</v>
      </c>
      <c r="I35" s="69">
        <f t="shared" si="5"/>
        <v>0.24313750000000003</v>
      </c>
      <c r="J35" s="69">
        <f t="shared" si="5"/>
        <v>3.9087500000000008E-3</v>
      </c>
      <c r="K35" s="69">
        <f t="shared" si="5"/>
        <v>5.0350000000000004E-3</v>
      </c>
      <c r="L35" s="69">
        <f t="shared" si="5"/>
        <v>8.6787500000000004E-2</v>
      </c>
      <c r="M35" s="69">
        <f t="shared" si="5"/>
        <v>4.8892499999999998E-2</v>
      </c>
      <c r="N35" s="69">
        <f t="shared" si="5"/>
        <v>23.12125</v>
      </c>
      <c r="O35" s="69">
        <f t="shared" si="5"/>
        <v>2577.125</v>
      </c>
      <c r="P35" s="69">
        <f t="shared" si="5"/>
        <v>0</v>
      </c>
      <c r="Q35" s="69">
        <f t="shared" si="10"/>
        <v>78.009375000000006</v>
      </c>
      <c r="R35" s="69">
        <f t="shared" si="11"/>
        <v>0</v>
      </c>
      <c r="S35" s="69">
        <f t="shared" si="11"/>
        <v>0.30276250000000005</v>
      </c>
      <c r="T35" s="69">
        <f t="shared" si="11"/>
        <v>0</v>
      </c>
      <c r="U35" s="69">
        <f t="shared" si="11"/>
        <v>0</v>
      </c>
      <c r="AB35" s="51"/>
      <c r="AC35" s="51"/>
      <c r="AD35" s="51"/>
      <c r="AE35" s="51"/>
      <c r="AF35" s="51"/>
      <c r="AG35" s="51"/>
      <c r="AH35" s="51"/>
      <c r="AI35" s="51"/>
    </row>
    <row r="36" spans="1:35" s="64" customFormat="1" x14ac:dyDescent="0.25">
      <c r="A36" s="13" t="str">
        <f>H8</f>
        <v>5b</v>
      </c>
      <c r="B36" s="15">
        <v>250</v>
      </c>
      <c r="C36" s="69">
        <f t="shared" si="6"/>
        <v>51.542499999999997</v>
      </c>
      <c r="D36" s="69">
        <f t="shared" si="7"/>
        <v>12.369968125000002</v>
      </c>
      <c r="E36" s="69">
        <f t="shared" si="8"/>
        <v>5.8117150000000004</v>
      </c>
      <c r="F36" s="69">
        <f t="shared" si="9"/>
        <v>5.2394872499999998</v>
      </c>
      <c r="G36" s="69">
        <f t="shared" si="5"/>
        <v>0.13978750000000001</v>
      </c>
      <c r="H36" s="69">
        <f t="shared" si="5"/>
        <v>0.96724999999999994</v>
      </c>
      <c r="I36" s="69">
        <f t="shared" si="5"/>
        <v>0.24313750000000003</v>
      </c>
      <c r="J36" s="69">
        <f t="shared" si="5"/>
        <v>3.9087500000000008E-3</v>
      </c>
      <c r="K36" s="69">
        <f t="shared" si="5"/>
        <v>5.0350000000000004E-3</v>
      </c>
      <c r="L36" s="69">
        <f t="shared" si="5"/>
        <v>8.6787500000000004E-2</v>
      </c>
      <c r="M36" s="69">
        <f t="shared" si="5"/>
        <v>4.8892499999999998E-2</v>
      </c>
      <c r="N36" s="69">
        <f t="shared" si="5"/>
        <v>23.12125</v>
      </c>
      <c r="O36" s="69">
        <f t="shared" si="5"/>
        <v>2577.125</v>
      </c>
      <c r="P36" s="69">
        <f t="shared" si="5"/>
        <v>0</v>
      </c>
      <c r="Q36" s="69">
        <f t="shared" si="10"/>
        <v>78.009375000000006</v>
      </c>
      <c r="R36" s="69">
        <f t="shared" si="11"/>
        <v>0</v>
      </c>
      <c r="S36" s="69">
        <f t="shared" si="11"/>
        <v>0.30276250000000005</v>
      </c>
      <c r="T36" s="69">
        <f t="shared" si="11"/>
        <v>0</v>
      </c>
      <c r="U36" s="69">
        <f t="shared" si="11"/>
        <v>0</v>
      </c>
      <c r="AB36" s="51"/>
      <c r="AC36" s="51"/>
      <c r="AD36" s="51"/>
      <c r="AE36" s="51"/>
      <c r="AF36" s="51"/>
      <c r="AG36" s="51"/>
      <c r="AH36" s="51"/>
      <c r="AI36" s="51"/>
    </row>
    <row r="37" spans="1:35" s="64" customFormat="1" x14ac:dyDescent="0.25">
      <c r="A37" s="13">
        <f>I8</f>
        <v>6</v>
      </c>
      <c r="B37" s="15">
        <v>250</v>
      </c>
      <c r="C37" s="69">
        <f t="shared" si="6"/>
        <v>51.542499999999997</v>
      </c>
      <c r="D37" s="69">
        <f t="shared" si="7"/>
        <v>12.369968125000002</v>
      </c>
      <c r="E37" s="69">
        <f t="shared" si="8"/>
        <v>5.8117150000000004</v>
      </c>
      <c r="F37" s="69">
        <f t="shared" si="9"/>
        <v>5.2394872499999998</v>
      </c>
      <c r="G37" s="69">
        <f t="shared" si="5"/>
        <v>0.13978750000000001</v>
      </c>
      <c r="H37" s="69">
        <f t="shared" si="5"/>
        <v>0.96724999999999994</v>
      </c>
      <c r="I37" s="69">
        <f t="shared" si="5"/>
        <v>0.24313750000000003</v>
      </c>
      <c r="J37" s="69">
        <f t="shared" si="5"/>
        <v>3.9087500000000008E-3</v>
      </c>
      <c r="K37" s="69">
        <f t="shared" si="5"/>
        <v>5.0350000000000004E-3</v>
      </c>
      <c r="L37" s="69">
        <f t="shared" si="5"/>
        <v>8.6787500000000004E-2</v>
      </c>
      <c r="M37" s="69">
        <f t="shared" si="5"/>
        <v>4.8892499999999998E-2</v>
      </c>
      <c r="N37" s="69">
        <f t="shared" si="5"/>
        <v>23.12125</v>
      </c>
      <c r="O37" s="69">
        <f t="shared" si="5"/>
        <v>2577.125</v>
      </c>
      <c r="P37" s="69">
        <f t="shared" si="5"/>
        <v>0</v>
      </c>
      <c r="Q37" s="69">
        <f t="shared" si="10"/>
        <v>78.009375000000006</v>
      </c>
      <c r="R37" s="69">
        <f t="shared" si="11"/>
        <v>0</v>
      </c>
      <c r="S37" s="69">
        <f t="shared" si="11"/>
        <v>0.30276250000000005</v>
      </c>
      <c r="T37" s="69">
        <f t="shared" si="11"/>
        <v>0</v>
      </c>
      <c r="U37" s="69">
        <f t="shared" si="11"/>
        <v>0</v>
      </c>
      <c r="AB37" s="51"/>
      <c r="AC37" s="51"/>
      <c r="AD37" s="51"/>
      <c r="AE37" s="51"/>
      <c r="AF37" s="51"/>
      <c r="AG37" s="51"/>
      <c r="AH37" s="51"/>
      <c r="AI37" s="51"/>
    </row>
    <row r="38" spans="1:35" s="64" customFormat="1" x14ac:dyDescent="0.25">
      <c r="A38" s="13">
        <f>J8</f>
        <v>7</v>
      </c>
      <c r="B38" s="15">
        <v>250</v>
      </c>
      <c r="C38" s="69">
        <f t="shared" si="6"/>
        <v>51.542499999999997</v>
      </c>
      <c r="D38" s="69">
        <f t="shared" si="7"/>
        <v>12.369968125000002</v>
      </c>
      <c r="E38" s="69">
        <f t="shared" si="8"/>
        <v>5.8117150000000004</v>
      </c>
      <c r="F38" s="69">
        <f t="shared" si="9"/>
        <v>5.2394872499999998</v>
      </c>
      <c r="G38" s="69">
        <f t="shared" si="5"/>
        <v>0.13978750000000001</v>
      </c>
      <c r="H38" s="69">
        <f t="shared" si="5"/>
        <v>0.96724999999999994</v>
      </c>
      <c r="I38" s="69">
        <f t="shared" si="5"/>
        <v>0.24313750000000003</v>
      </c>
      <c r="J38" s="69">
        <f t="shared" si="5"/>
        <v>3.9087500000000008E-3</v>
      </c>
      <c r="K38" s="69">
        <f t="shared" si="5"/>
        <v>5.0350000000000004E-3</v>
      </c>
      <c r="L38" s="69">
        <f t="shared" si="5"/>
        <v>8.6787500000000004E-2</v>
      </c>
      <c r="M38" s="69">
        <f t="shared" si="5"/>
        <v>4.8892499999999998E-2</v>
      </c>
      <c r="N38" s="69">
        <f t="shared" si="5"/>
        <v>23.12125</v>
      </c>
      <c r="O38" s="69">
        <f t="shared" si="5"/>
        <v>2577.125</v>
      </c>
      <c r="P38" s="69">
        <f t="shared" si="5"/>
        <v>0</v>
      </c>
      <c r="Q38" s="69">
        <f t="shared" si="10"/>
        <v>78.009375000000006</v>
      </c>
      <c r="R38" s="69">
        <f t="shared" si="11"/>
        <v>0</v>
      </c>
      <c r="S38" s="69">
        <f t="shared" si="11"/>
        <v>0.30276250000000005</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51.542499999999997</v>
      </c>
      <c r="D39" s="69">
        <f t="shared" si="7"/>
        <v>12.369968125000002</v>
      </c>
      <c r="E39" s="69">
        <f t="shared" si="8"/>
        <v>5.8117150000000004</v>
      </c>
      <c r="F39" s="69">
        <f t="shared" si="9"/>
        <v>5.2394872499999998</v>
      </c>
      <c r="G39" s="69">
        <f t="shared" si="5"/>
        <v>0.13978750000000001</v>
      </c>
      <c r="H39" s="69">
        <f t="shared" si="5"/>
        <v>0.96724999999999994</v>
      </c>
      <c r="I39" s="69">
        <f t="shared" si="5"/>
        <v>0.24313750000000003</v>
      </c>
      <c r="J39" s="69">
        <f t="shared" si="5"/>
        <v>3.9087500000000008E-3</v>
      </c>
      <c r="K39" s="69">
        <f t="shared" si="5"/>
        <v>5.0350000000000004E-3</v>
      </c>
      <c r="L39" s="69">
        <f t="shared" si="5"/>
        <v>8.6787500000000004E-2</v>
      </c>
      <c r="M39" s="69">
        <f t="shared" si="5"/>
        <v>4.8892499999999998E-2</v>
      </c>
      <c r="N39" s="69">
        <f t="shared" si="5"/>
        <v>23.12125</v>
      </c>
      <c r="O39" s="69">
        <f t="shared" si="5"/>
        <v>2577.125</v>
      </c>
      <c r="P39" s="69">
        <f t="shared" si="5"/>
        <v>0</v>
      </c>
      <c r="Q39" s="69">
        <f t="shared" si="10"/>
        <v>78.009375000000006</v>
      </c>
      <c r="R39" s="69">
        <f t="shared" si="11"/>
        <v>0</v>
      </c>
      <c r="S39" s="69">
        <f t="shared" si="11"/>
        <v>0.30276250000000005</v>
      </c>
      <c r="T39" s="69">
        <f t="shared" si="11"/>
        <v>0</v>
      </c>
      <c r="U39" s="69">
        <f t="shared" si="11"/>
        <v>0</v>
      </c>
      <c r="AB39" s="51"/>
      <c r="AC39" s="51"/>
      <c r="AD39" s="51"/>
      <c r="AE39" s="51"/>
      <c r="AF39" s="51"/>
      <c r="AG39" s="51"/>
      <c r="AH39" s="51"/>
      <c r="AI39" s="51"/>
    </row>
    <row r="40" spans="1:35" s="64" customFormat="1" x14ac:dyDescent="0.25">
      <c r="A40" s="13">
        <f>L8</f>
        <v>10</v>
      </c>
      <c r="B40" s="15">
        <v>250</v>
      </c>
      <c r="C40" s="69">
        <f t="shared" si="6"/>
        <v>51.542499999999997</v>
      </c>
      <c r="D40" s="69">
        <f t="shared" si="7"/>
        <v>12.369968125000002</v>
      </c>
      <c r="E40" s="69">
        <f t="shared" si="8"/>
        <v>5.8117150000000004</v>
      </c>
      <c r="F40" s="69">
        <f t="shared" si="9"/>
        <v>5.2394872499999998</v>
      </c>
      <c r="G40" s="69">
        <f t="shared" si="5"/>
        <v>0.13978750000000001</v>
      </c>
      <c r="H40" s="69">
        <f t="shared" si="5"/>
        <v>0.96724999999999994</v>
      </c>
      <c r="I40" s="69">
        <f t="shared" si="5"/>
        <v>0.24313750000000003</v>
      </c>
      <c r="J40" s="69">
        <f t="shared" si="5"/>
        <v>3.9087500000000008E-3</v>
      </c>
      <c r="K40" s="69">
        <f t="shared" si="5"/>
        <v>5.0350000000000004E-3</v>
      </c>
      <c r="L40" s="69">
        <f t="shared" si="5"/>
        <v>8.6787500000000004E-2</v>
      </c>
      <c r="M40" s="69">
        <f t="shared" si="5"/>
        <v>4.8892499999999998E-2</v>
      </c>
      <c r="N40" s="69">
        <f t="shared" si="5"/>
        <v>23.12125</v>
      </c>
      <c r="O40" s="69">
        <f t="shared" si="5"/>
        <v>2577.125</v>
      </c>
      <c r="P40" s="69">
        <f t="shared" si="5"/>
        <v>0</v>
      </c>
      <c r="Q40" s="69">
        <f t="shared" si="10"/>
        <v>78.009375000000006</v>
      </c>
      <c r="R40" s="69">
        <f t="shared" si="11"/>
        <v>0</v>
      </c>
      <c r="S40" s="69">
        <f t="shared" si="11"/>
        <v>0.30276250000000005</v>
      </c>
      <c r="T40" s="69">
        <f t="shared" si="11"/>
        <v>0</v>
      </c>
      <c r="U40" s="69">
        <f t="shared" si="11"/>
        <v>0</v>
      </c>
      <c r="AB40" s="51"/>
      <c r="AC40" s="51"/>
      <c r="AD40" s="51"/>
      <c r="AE40" s="51"/>
      <c r="AF40" s="51"/>
      <c r="AG40" s="51"/>
      <c r="AH40" s="51"/>
      <c r="AI40" s="51"/>
    </row>
    <row r="41" spans="1:35" s="64" customFormat="1" x14ac:dyDescent="0.25">
      <c r="A41" s="13">
        <f>M8</f>
        <v>11</v>
      </c>
      <c r="B41" s="15">
        <v>250</v>
      </c>
      <c r="C41" s="69">
        <f t="shared" si="6"/>
        <v>51.542499999999997</v>
      </c>
      <c r="D41" s="69">
        <f t="shared" si="7"/>
        <v>12.369968125000002</v>
      </c>
      <c r="E41" s="69">
        <f t="shared" si="8"/>
        <v>5.8117150000000004</v>
      </c>
      <c r="F41" s="69">
        <f t="shared" si="9"/>
        <v>5.2394872499999998</v>
      </c>
      <c r="G41" s="69">
        <f t="shared" si="5"/>
        <v>0.13978750000000001</v>
      </c>
      <c r="H41" s="69">
        <f t="shared" si="5"/>
        <v>0.96724999999999994</v>
      </c>
      <c r="I41" s="69">
        <f t="shared" si="5"/>
        <v>0.24313750000000003</v>
      </c>
      <c r="J41" s="69">
        <f t="shared" si="5"/>
        <v>3.9087500000000008E-3</v>
      </c>
      <c r="K41" s="69">
        <f t="shared" si="5"/>
        <v>5.0350000000000004E-3</v>
      </c>
      <c r="L41" s="69">
        <f t="shared" si="5"/>
        <v>8.6787500000000004E-2</v>
      </c>
      <c r="M41" s="69">
        <f t="shared" si="5"/>
        <v>4.8892499999999998E-2</v>
      </c>
      <c r="N41" s="69">
        <f t="shared" si="5"/>
        <v>23.12125</v>
      </c>
      <c r="O41" s="69">
        <f t="shared" si="5"/>
        <v>2577.125</v>
      </c>
      <c r="P41" s="69">
        <f t="shared" si="5"/>
        <v>0</v>
      </c>
      <c r="Q41" s="69">
        <f t="shared" si="10"/>
        <v>78.009375000000006</v>
      </c>
      <c r="R41" s="69">
        <f t="shared" si="11"/>
        <v>0</v>
      </c>
      <c r="S41" s="69">
        <f t="shared" si="11"/>
        <v>0.30276250000000005</v>
      </c>
      <c r="T41" s="69">
        <f t="shared" si="11"/>
        <v>0</v>
      </c>
      <c r="U41" s="69">
        <f t="shared" si="11"/>
        <v>0</v>
      </c>
      <c r="AB41" s="51"/>
      <c r="AC41" s="51"/>
      <c r="AD41" s="51"/>
      <c r="AE41" s="51"/>
      <c r="AF41" s="51"/>
      <c r="AG41" s="51"/>
      <c r="AH41" s="51"/>
      <c r="AI41" s="51"/>
    </row>
    <row r="42" spans="1:35" s="64" customFormat="1" x14ac:dyDescent="0.25">
      <c r="A42" s="13">
        <f>N8</f>
        <v>12</v>
      </c>
      <c r="B42" s="15">
        <v>250</v>
      </c>
      <c r="C42" s="69">
        <f t="shared" si="6"/>
        <v>51.542499999999997</v>
      </c>
      <c r="D42" s="69">
        <f t="shared" si="7"/>
        <v>12.369968125000002</v>
      </c>
      <c r="E42" s="69">
        <f t="shared" si="8"/>
        <v>5.8117150000000004</v>
      </c>
      <c r="F42" s="69">
        <f t="shared" si="9"/>
        <v>5.2394872499999998</v>
      </c>
      <c r="G42" s="69">
        <f t="shared" si="5"/>
        <v>0.13978750000000001</v>
      </c>
      <c r="H42" s="69">
        <f t="shared" si="5"/>
        <v>0.96724999999999994</v>
      </c>
      <c r="I42" s="69">
        <f t="shared" si="5"/>
        <v>0.24313750000000003</v>
      </c>
      <c r="J42" s="69">
        <f t="shared" si="5"/>
        <v>3.9087500000000008E-3</v>
      </c>
      <c r="K42" s="69">
        <f t="shared" si="5"/>
        <v>5.0350000000000004E-3</v>
      </c>
      <c r="L42" s="69">
        <f t="shared" si="5"/>
        <v>8.6787500000000004E-2</v>
      </c>
      <c r="M42" s="69">
        <f t="shared" si="5"/>
        <v>4.8892499999999998E-2</v>
      </c>
      <c r="N42" s="69">
        <f t="shared" si="5"/>
        <v>23.12125</v>
      </c>
      <c r="O42" s="69">
        <f t="shared" si="5"/>
        <v>2577.125</v>
      </c>
      <c r="P42" s="69">
        <f t="shared" si="5"/>
        <v>0</v>
      </c>
      <c r="Q42" s="69">
        <f t="shared" si="10"/>
        <v>78.009375000000006</v>
      </c>
      <c r="R42" s="69">
        <f t="shared" si="11"/>
        <v>0</v>
      </c>
      <c r="S42" s="69">
        <f t="shared" si="11"/>
        <v>0.30276250000000005</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"&amp;(VLOOKUP(C14,Table245810[],6,FALSE))</f>
        <v>#N/A</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90" t="s">
        <v>130</v>
      </c>
      <c r="B59" s="68" t="e">
        <f>VLOOKUP(C$14,Table245810[],5,FALSE)</f>
        <v>#N/A</v>
      </c>
      <c r="C59" s="68">
        <f>VLOOKUP(D$14,Table245810[],5,FALSE)</f>
        <v>6.2</v>
      </c>
      <c r="D59" s="68">
        <f>VLOOKUP(E$14,Table245810[],5,FALSE)</f>
        <v>6.2</v>
      </c>
      <c r="E59" s="68">
        <f>VLOOKUP(F$14,Table245810[],5,FALSE)</f>
        <v>6.2</v>
      </c>
      <c r="F59" s="68">
        <f>VLOOKUP(G$14,Table245810[],5,FALSE)</f>
        <v>6.2</v>
      </c>
      <c r="G59" s="68">
        <f>VLOOKUP(H$14,Table245810[],5,FALSE)</f>
        <v>6.2</v>
      </c>
      <c r="H59" s="68">
        <f>VLOOKUP(I$14,Table245810[],5,FALSE)</f>
        <v>6.2</v>
      </c>
      <c r="I59" s="68">
        <f>VLOOKUP(J$14,Table245810[],5,FALSE)</f>
        <v>6.2</v>
      </c>
      <c r="J59" s="68">
        <f>VLOOKUP(K$14,Table245810[],5,FALSE)</f>
        <v>6.2</v>
      </c>
      <c r="K59" s="68">
        <f>VLOOKUP(L$14,Table245810[],5,FALSE)</f>
        <v>6.2</v>
      </c>
      <c r="L59" s="68">
        <f>VLOOKUP(M$14,Table245810[],5,FALSE)</f>
        <v>6.2</v>
      </c>
      <c r="M59" s="68">
        <f>VLOOKUP(N$14,Table245810[],5,FALSE)</f>
        <v>6.2</v>
      </c>
      <c r="N59" s="68" t="e">
        <f>VLOOKUP(O$14,Table245810[],5,FALSE)</f>
        <v>#N/A</v>
      </c>
      <c r="O59" s="68" t="e">
        <f>VLOOKUP(P$14,Table245810[],5,FALSE)</f>
        <v>#N/A</v>
      </c>
      <c r="P59" s="68" t="e">
        <f>VLOOKUP(Q$14,Table245810[],5,FALSE)</f>
        <v>#N/A</v>
      </c>
      <c r="Q59" s="68" t="e">
        <f>VLOOKUP(R$14,Table245810[],5,FALSE)</f>
        <v>#N/A</v>
      </c>
      <c r="R59" s="68" t="e">
        <f>VLOOKUP(S$14,Table245810[],5,FALSE)</f>
        <v>#N/A</v>
      </c>
      <c r="S59" s="68" t="e">
        <f>VLOOKUP(T$14,Table245810[],5,FALSE)</f>
        <v>#N/A</v>
      </c>
      <c r="T59" s="68" t="e">
        <f>VLOOKUP(U$14,Table245810[],5,FALSE)</f>
        <v>#N/A</v>
      </c>
      <c r="U59" s="68" t="e">
        <f>VLOOKUP(V$14,Table245810[],5,FALSE)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250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2" operator="equal">
      <formula>"DECREASE"</formula>
    </cfRule>
    <cfRule type="cellIs" dxfId="208" priority="33" operator="equal">
      <formula>"INCREASE"</formula>
    </cfRule>
  </conditionalFormatting>
  <conditionalFormatting sqref="B62:U66 B31:B50">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7"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6.6</v>
      </c>
      <c r="J1" s="98" t="s">
        <v>150</v>
      </c>
      <c r="K1" s="98"/>
      <c r="L1" s="76">
        <v>244</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8600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2.8372093023255816</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167</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10.6105374</v>
      </c>
      <c r="E18" s="16">
        <f>$D33</f>
        <v>10.6105374</v>
      </c>
      <c r="F18" s="16">
        <f>$D34</f>
        <v>10.6105374</v>
      </c>
      <c r="G18" s="16">
        <f>$D35</f>
        <v>10.6105374</v>
      </c>
      <c r="H18" s="16">
        <f>$D36</f>
        <v>10.6105374</v>
      </c>
      <c r="I18" s="16">
        <f>$D37</f>
        <v>10.6105374</v>
      </c>
      <c r="J18" s="16">
        <f>$D38</f>
        <v>10.6105374</v>
      </c>
      <c r="K18" s="16">
        <f>$D39</f>
        <v>10.6105374</v>
      </c>
      <c r="L18" s="16">
        <f>$D40</f>
        <v>10.6105374</v>
      </c>
      <c r="M18" s="16">
        <f>$D41</f>
        <v>10.6105374</v>
      </c>
      <c r="N18" s="16">
        <f>$D42</f>
        <v>10.6105374</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-65.889462600000002</v>
      </c>
      <c r="E19" s="16">
        <f t="shared" si="1"/>
        <v>-65.889462600000002</v>
      </c>
      <c r="F19" s="16">
        <f t="shared" si="1"/>
        <v>-65.889462600000002</v>
      </c>
      <c r="G19" s="16">
        <f t="shared" si="1"/>
        <v>-65.889462600000002</v>
      </c>
      <c r="H19" s="16">
        <f t="shared" si="1"/>
        <v>-65.889462600000002</v>
      </c>
      <c r="I19" s="16">
        <f t="shared" si="1"/>
        <v>-65.889462600000002</v>
      </c>
      <c r="J19" s="16">
        <f t="shared" si="1"/>
        <v>-65.889462600000002</v>
      </c>
      <c r="K19" s="16">
        <f t="shared" si="1"/>
        <v>-65.889462600000002</v>
      </c>
      <c r="L19" s="16">
        <f t="shared" si="1"/>
        <v>-65.889462600000002</v>
      </c>
      <c r="M19" s="16">
        <f t="shared" si="1"/>
        <v>-65.889462600000002</v>
      </c>
      <c r="N19" s="16">
        <f t="shared" si="1"/>
        <v>-65.889462600000002</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2.3103465000000001</v>
      </c>
      <c r="E22" s="16">
        <f>$E33</f>
        <v>2.3103465000000001</v>
      </c>
      <c r="F22" s="16">
        <f>$E34</f>
        <v>2.3103465000000001</v>
      </c>
      <c r="G22" s="16">
        <f>$E35</f>
        <v>2.3103465000000001</v>
      </c>
      <c r="H22" s="16">
        <f>$E36</f>
        <v>2.3103465000000001</v>
      </c>
      <c r="I22" s="16">
        <f>$E37</f>
        <v>2.3103465000000001</v>
      </c>
      <c r="J22" s="16">
        <f>$E38</f>
        <v>2.3103465000000001</v>
      </c>
      <c r="K22" s="16">
        <f>$E39</f>
        <v>2.3103465000000001</v>
      </c>
      <c r="L22" s="16">
        <f>$E40</f>
        <v>2.3103465000000001</v>
      </c>
      <c r="M22" s="16">
        <f>$E41</f>
        <v>2.3103465000000001</v>
      </c>
      <c r="N22" s="16">
        <f>$E42</f>
        <v>2.3103465000000001</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-267.68965350000002</v>
      </c>
      <c r="E23" s="16">
        <f t="shared" si="3"/>
        <v>-267.68965350000002</v>
      </c>
      <c r="F23" s="16">
        <f t="shared" si="3"/>
        <v>-267.68965350000002</v>
      </c>
      <c r="G23" s="16">
        <f t="shared" si="3"/>
        <v>-267.68965350000002</v>
      </c>
      <c r="H23" s="16">
        <f t="shared" si="3"/>
        <v>-267.68965350000002</v>
      </c>
      <c r="I23" s="16">
        <f t="shared" si="3"/>
        <v>-267.68965350000002</v>
      </c>
      <c r="J23" s="16">
        <f t="shared" si="3"/>
        <v>-267.68965350000002</v>
      </c>
      <c r="K23" s="16">
        <f t="shared" si="3"/>
        <v>-267.68965350000002</v>
      </c>
      <c r="L23" s="16">
        <f t="shared" si="3"/>
        <v>-267.68965350000002</v>
      </c>
      <c r="M23" s="16">
        <f t="shared" si="3"/>
        <v>-267.68965350000002</v>
      </c>
      <c r="N23" s="16">
        <f t="shared" si="3"/>
        <v>-267.68965350000002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2.4900000000000002</v>
      </c>
      <c r="C28" s="15">
        <v>0.86</v>
      </c>
      <c r="D28" s="15">
        <v>7.4399999999999994E-2</v>
      </c>
      <c r="E28" s="15">
        <v>3.0800000000000001E-2</v>
      </c>
      <c r="F28" s="15">
        <v>622</v>
      </c>
      <c r="G28" s="15">
        <v>40.700000000000003</v>
      </c>
      <c r="H28" s="15">
        <v>222</v>
      </c>
      <c r="I28" s="15">
        <v>24.5</v>
      </c>
      <c r="J28" s="15">
        <v>0.87</v>
      </c>
      <c r="K28" s="22">
        <v>0.8</v>
      </c>
      <c r="L28" s="15">
        <v>14.6</v>
      </c>
      <c r="M28" s="15">
        <v>15.1</v>
      </c>
      <c r="N28" s="15">
        <v>2200</v>
      </c>
      <c r="O28" s="15">
        <v>379000</v>
      </c>
      <c r="P28" s="15"/>
      <c r="Q28" s="15">
        <v>5870</v>
      </c>
      <c r="R28" s="15"/>
      <c r="S28" s="15">
        <v>40.6</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53.534999999999997</v>
      </c>
      <c r="D32" s="69">
        <f t="shared" ref="D32:D50" si="7">(IF(D$27="%w/w SAR",((D$28*10)*$B32),IF(D$27="%w/w DM",(((D$28*10)*($B$28/100))*$B32),IF(D$27="kg/t SAR",(D$28*$B32),IF(D$27="kg/t DM",((D$28*($B$28/100))*$B32),IF(D$27="mg/kg SAR",((D$28*0.001)*$B32),IF(D$27="mg/kg DM",(((D$28*0.001)*($B$28/100))*$B32),"0")))))))*2.291</f>
        <v>10.6105374</v>
      </c>
      <c r="E32" s="69">
        <f t="shared" ref="E32:E50" si="8">(IF(E$27="%w/w SAR",((E$28*10)*$B32),IF(E$27="%w/w DM",(((E$28*10)*($B$28/100))*$B32),IF(E$27="kg/t SAR",(E$28*$B32),IF(E$27="kg/t DM",((E$28*($B$28/100))*$B32),IF(E$27="mg/kg SAR",((E$28*0.001)*$B32),IF(E$27="mg/kg DM",(((E$28*0.001)*($B$28/100))*$B32),"0")))))))*1.205</f>
        <v>2.3103465000000001</v>
      </c>
      <c r="F32" s="69">
        <f t="shared" ref="F32:F50" si="9">(IF(F$27="%w/w SAR",((F$28*10)*$B32),IF(F$27="%w/w DM",(((F$28*10)*($B$28/100))*$B32),IF(F$27="kg/t SAR",(F$28*$B32),IF(F$27="kg/t DM",((F$28*($B$28/100))*$B32),IF(F$27="mg/kg SAR",((F$28*0.001)*$B32),IF(F$27="mg/kg DM",(((F$28*0.001)*($B$28/100))*$B32),"0")))))))*1.658</f>
        <v>6.4196931000000008</v>
      </c>
      <c r="G32" s="69">
        <f t="shared" si="5"/>
        <v>0.25335750000000007</v>
      </c>
      <c r="H32" s="69">
        <f t="shared" si="5"/>
        <v>1.38195</v>
      </c>
      <c r="I32" s="69">
        <f t="shared" si="5"/>
        <v>0.15251250000000002</v>
      </c>
      <c r="J32" s="69">
        <f t="shared" si="5"/>
        <v>5.4157500000000004E-3</v>
      </c>
      <c r="K32" s="69">
        <f t="shared" si="5"/>
        <v>4.9800000000000009E-3</v>
      </c>
      <c r="L32" s="69">
        <f t="shared" si="5"/>
        <v>9.0885000000000007E-2</v>
      </c>
      <c r="M32" s="69">
        <f t="shared" si="5"/>
        <v>9.3997500000000012E-2</v>
      </c>
      <c r="N32" s="69">
        <f t="shared" si="5"/>
        <v>13.695000000000002</v>
      </c>
      <c r="O32" s="69">
        <f t="shared" si="5"/>
        <v>2359.2750000000001</v>
      </c>
      <c r="P32" s="69">
        <f t="shared" si="5"/>
        <v>0</v>
      </c>
      <c r="Q32" s="69">
        <f t="shared" ref="Q32:Q50" si="10">(IF(Q$27="%w/w SAR",((Q$28*10)*$B32),IF(Q$27="%w/w DM",(((Q$28*10)*($B$28/100))*$B32),IF(Q$27="kg/t SAR",(Q$28*$B32),IF(Q$27="kg/t DM",((Q$28*($B$28/100))*$B32),IF(Q$27="mg/kg SAR",((Q$28*0.001)*$B32),IF(Q$27="mg/kg DM",(((Q$28*0.001)*($B$28/100))*$B32),0)))))))*2.5</f>
        <v>91.351875000000007</v>
      </c>
      <c r="R32" s="69">
        <f t="shared" ref="R32:U50" si="11">IF(R$27="%w/w SAR",((R$28*10)*$B32),IF(R$27="%w/w DM",(((R$28*10)*($B$28/100))*$B32),IF(R$27="kg/t SAR",(R$28*$B32),IF(R$27="kg/t DM",((R$28*($B$28/100))*$B32),IF(R$27="mg/kg SAR",((R$28*0.001)*$B32),IF(R$27="mg/kg DM",(((R$28*0.001)*($B$28/100))*$B32),0))))))</f>
        <v>0</v>
      </c>
      <c r="S32" s="69">
        <f t="shared" si="11"/>
        <v>0.25273500000000004</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53.534999999999997</v>
      </c>
      <c r="D33" s="69">
        <f t="shared" si="7"/>
        <v>10.6105374</v>
      </c>
      <c r="E33" s="69">
        <f t="shared" si="8"/>
        <v>2.3103465000000001</v>
      </c>
      <c r="F33" s="69">
        <f t="shared" si="9"/>
        <v>6.4196931000000008</v>
      </c>
      <c r="G33" s="69">
        <f t="shared" si="5"/>
        <v>0.25335750000000007</v>
      </c>
      <c r="H33" s="69">
        <f t="shared" si="5"/>
        <v>1.38195</v>
      </c>
      <c r="I33" s="69">
        <f t="shared" si="5"/>
        <v>0.15251250000000002</v>
      </c>
      <c r="J33" s="69">
        <f t="shared" si="5"/>
        <v>5.4157500000000004E-3</v>
      </c>
      <c r="K33" s="69">
        <f t="shared" si="5"/>
        <v>4.9800000000000009E-3</v>
      </c>
      <c r="L33" s="69">
        <f t="shared" si="5"/>
        <v>9.0885000000000007E-2</v>
      </c>
      <c r="M33" s="69">
        <f t="shared" si="5"/>
        <v>9.3997500000000012E-2</v>
      </c>
      <c r="N33" s="69">
        <f t="shared" si="5"/>
        <v>13.695000000000002</v>
      </c>
      <c r="O33" s="69">
        <f t="shared" si="5"/>
        <v>2359.2750000000001</v>
      </c>
      <c r="P33" s="69">
        <f t="shared" si="5"/>
        <v>0</v>
      </c>
      <c r="Q33" s="69">
        <f t="shared" si="10"/>
        <v>91.351875000000007</v>
      </c>
      <c r="R33" s="69">
        <f t="shared" si="11"/>
        <v>0</v>
      </c>
      <c r="S33" s="69">
        <f t="shared" si="11"/>
        <v>0.25273500000000004</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53.534999999999997</v>
      </c>
      <c r="D34" s="69">
        <f t="shared" si="7"/>
        <v>10.6105374</v>
      </c>
      <c r="E34" s="69">
        <f t="shared" si="8"/>
        <v>2.3103465000000001</v>
      </c>
      <c r="F34" s="69">
        <f t="shared" si="9"/>
        <v>6.4196931000000008</v>
      </c>
      <c r="G34" s="69">
        <f t="shared" si="5"/>
        <v>0.25335750000000007</v>
      </c>
      <c r="H34" s="69">
        <f t="shared" si="5"/>
        <v>1.38195</v>
      </c>
      <c r="I34" s="69">
        <f t="shared" si="5"/>
        <v>0.15251250000000002</v>
      </c>
      <c r="J34" s="69">
        <f t="shared" si="5"/>
        <v>5.4157500000000004E-3</v>
      </c>
      <c r="K34" s="69">
        <f t="shared" si="5"/>
        <v>4.9800000000000009E-3</v>
      </c>
      <c r="L34" s="69">
        <f t="shared" si="5"/>
        <v>9.0885000000000007E-2</v>
      </c>
      <c r="M34" s="69">
        <f t="shared" si="5"/>
        <v>9.3997500000000012E-2</v>
      </c>
      <c r="N34" s="69">
        <f t="shared" si="5"/>
        <v>13.695000000000002</v>
      </c>
      <c r="O34" s="69">
        <f t="shared" si="5"/>
        <v>2359.2750000000001</v>
      </c>
      <c r="P34" s="69">
        <f t="shared" si="5"/>
        <v>0</v>
      </c>
      <c r="Q34" s="69">
        <f t="shared" si="10"/>
        <v>91.351875000000007</v>
      </c>
      <c r="R34" s="69">
        <f t="shared" si="11"/>
        <v>0</v>
      </c>
      <c r="S34" s="69">
        <f t="shared" si="11"/>
        <v>0.25273500000000004</v>
      </c>
      <c r="T34" s="69">
        <f t="shared" si="11"/>
        <v>0</v>
      </c>
      <c r="U34" s="69">
        <f t="shared" si="11"/>
        <v>0</v>
      </c>
      <c r="AB34" s="51"/>
      <c r="AC34" s="51"/>
      <c r="AD34" s="51"/>
      <c r="AE34" s="51"/>
      <c r="AF34" s="51"/>
      <c r="AG34" s="51"/>
      <c r="AH34" s="51"/>
      <c r="AI34" s="51"/>
    </row>
    <row r="35" spans="1:35" s="64" customFormat="1" x14ac:dyDescent="0.25">
      <c r="A35" s="13" t="str">
        <f>G8</f>
        <v>5a</v>
      </c>
      <c r="B35" s="15">
        <v>250</v>
      </c>
      <c r="C35" s="69">
        <f t="shared" si="6"/>
        <v>53.534999999999997</v>
      </c>
      <c r="D35" s="69">
        <f t="shared" si="7"/>
        <v>10.6105374</v>
      </c>
      <c r="E35" s="69">
        <f t="shared" si="8"/>
        <v>2.3103465000000001</v>
      </c>
      <c r="F35" s="69">
        <f t="shared" si="9"/>
        <v>6.4196931000000008</v>
      </c>
      <c r="G35" s="69">
        <f t="shared" si="5"/>
        <v>0.25335750000000007</v>
      </c>
      <c r="H35" s="69">
        <f t="shared" si="5"/>
        <v>1.38195</v>
      </c>
      <c r="I35" s="69">
        <f t="shared" si="5"/>
        <v>0.15251250000000002</v>
      </c>
      <c r="J35" s="69">
        <f t="shared" si="5"/>
        <v>5.4157500000000004E-3</v>
      </c>
      <c r="K35" s="69">
        <f t="shared" si="5"/>
        <v>4.9800000000000009E-3</v>
      </c>
      <c r="L35" s="69">
        <f t="shared" si="5"/>
        <v>9.0885000000000007E-2</v>
      </c>
      <c r="M35" s="69">
        <f t="shared" si="5"/>
        <v>9.3997500000000012E-2</v>
      </c>
      <c r="N35" s="69">
        <f t="shared" si="5"/>
        <v>13.695000000000002</v>
      </c>
      <c r="O35" s="69">
        <f t="shared" si="5"/>
        <v>2359.2750000000001</v>
      </c>
      <c r="P35" s="69">
        <f t="shared" si="5"/>
        <v>0</v>
      </c>
      <c r="Q35" s="69">
        <f t="shared" si="10"/>
        <v>91.351875000000007</v>
      </c>
      <c r="R35" s="69">
        <f t="shared" si="11"/>
        <v>0</v>
      </c>
      <c r="S35" s="69">
        <f t="shared" si="11"/>
        <v>0.25273500000000004</v>
      </c>
      <c r="T35" s="69">
        <f t="shared" si="11"/>
        <v>0</v>
      </c>
      <c r="U35" s="69">
        <f t="shared" si="11"/>
        <v>0</v>
      </c>
      <c r="AB35" s="51"/>
      <c r="AC35" s="51"/>
      <c r="AD35" s="51"/>
      <c r="AE35" s="51"/>
      <c r="AF35" s="51"/>
      <c r="AG35" s="51"/>
      <c r="AH35" s="51"/>
      <c r="AI35" s="51"/>
    </row>
    <row r="36" spans="1:35" s="64" customFormat="1" x14ac:dyDescent="0.25">
      <c r="A36" s="13" t="str">
        <f>H8</f>
        <v>5b</v>
      </c>
      <c r="B36" s="15">
        <v>250</v>
      </c>
      <c r="C36" s="69">
        <f t="shared" si="6"/>
        <v>53.534999999999997</v>
      </c>
      <c r="D36" s="69">
        <f t="shared" si="7"/>
        <v>10.6105374</v>
      </c>
      <c r="E36" s="69">
        <f t="shared" si="8"/>
        <v>2.3103465000000001</v>
      </c>
      <c r="F36" s="69">
        <f t="shared" si="9"/>
        <v>6.4196931000000008</v>
      </c>
      <c r="G36" s="69">
        <f t="shared" si="5"/>
        <v>0.25335750000000007</v>
      </c>
      <c r="H36" s="69">
        <f t="shared" si="5"/>
        <v>1.38195</v>
      </c>
      <c r="I36" s="69">
        <f t="shared" si="5"/>
        <v>0.15251250000000002</v>
      </c>
      <c r="J36" s="69">
        <f t="shared" si="5"/>
        <v>5.4157500000000004E-3</v>
      </c>
      <c r="K36" s="69">
        <f t="shared" si="5"/>
        <v>4.9800000000000009E-3</v>
      </c>
      <c r="L36" s="69">
        <f t="shared" si="5"/>
        <v>9.0885000000000007E-2</v>
      </c>
      <c r="M36" s="69">
        <f t="shared" si="5"/>
        <v>9.3997500000000012E-2</v>
      </c>
      <c r="N36" s="69">
        <f t="shared" si="5"/>
        <v>13.695000000000002</v>
      </c>
      <c r="O36" s="69">
        <f t="shared" si="5"/>
        <v>2359.2750000000001</v>
      </c>
      <c r="P36" s="69">
        <f t="shared" si="5"/>
        <v>0</v>
      </c>
      <c r="Q36" s="69">
        <f t="shared" si="10"/>
        <v>91.351875000000007</v>
      </c>
      <c r="R36" s="69">
        <f t="shared" si="11"/>
        <v>0</v>
      </c>
      <c r="S36" s="69">
        <f t="shared" si="11"/>
        <v>0.25273500000000004</v>
      </c>
      <c r="T36" s="69">
        <f t="shared" si="11"/>
        <v>0</v>
      </c>
      <c r="U36" s="69">
        <f t="shared" si="11"/>
        <v>0</v>
      </c>
      <c r="AB36" s="51"/>
      <c r="AC36" s="51"/>
      <c r="AD36" s="51"/>
      <c r="AE36" s="51"/>
      <c r="AF36" s="51"/>
      <c r="AG36" s="51"/>
      <c r="AH36" s="51"/>
      <c r="AI36" s="51"/>
    </row>
    <row r="37" spans="1:35" s="64" customFormat="1" x14ac:dyDescent="0.25">
      <c r="A37" s="13">
        <f>I8</f>
        <v>6</v>
      </c>
      <c r="B37" s="15">
        <v>250</v>
      </c>
      <c r="C37" s="69">
        <f t="shared" si="6"/>
        <v>53.534999999999997</v>
      </c>
      <c r="D37" s="69">
        <f t="shared" si="7"/>
        <v>10.6105374</v>
      </c>
      <c r="E37" s="69">
        <f t="shared" si="8"/>
        <v>2.3103465000000001</v>
      </c>
      <c r="F37" s="69">
        <f t="shared" si="9"/>
        <v>6.4196931000000008</v>
      </c>
      <c r="G37" s="69">
        <f t="shared" si="5"/>
        <v>0.25335750000000007</v>
      </c>
      <c r="H37" s="69">
        <f t="shared" si="5"/>
        <v>1.38195</v>
      </c>
      <c r="I37" s="69">
        <f t="shared" si="5"/>
        <v>0.15251250000000002</v>
      </c>
      <c r="J37" s="69">
        <f t="shared" si="5"/>
        <v>5.4157500000000004E-3</v>
      </c>
      <c r="K37" s="69">
        <f t="shared" si="5"/>
        <v>4.9800000000000009E-3</v>
      </c>
      <c r="L37" s="69">
        <f t="shared" si="5"/>
        <v>9.0885000000000007E-2</v>
      </c>
      <c r="M37" s="69">
        <f t="shared" si="5"/>
        <v>9.3997500000000012E-2</v>
      </c>
      <c r="N37" s="69">
        <f t="shared" si="5"/>
        <v>13.695000000000002</v>
      </c>
      <c r="O37" s="69">
        <f t="shared" si="5"/>
        <v>2359.2750000000001</v>
      </c>
      <c r="P37" s="69">
        <f t="shared" si="5"/>
        <v>0</v>
      </c>
      <c r="Q37" s="69">
        <f t="shared" si="10"/>
        <v>91.351875000000007</v>
      </c>
      <c r="R37" s="69">
        <f t="shared" si="11"/>
        <v>0</v>
      </c>
      <c r="S37" s="69">
        <f t="shared" si="11"/>
        <v>0.25273500000000004</v>
      </c>
      <c r="T37" s="69">
        <f t="shared" si="11"/>
        <v>0</v>
      </c>
      <c r="U37" s="69">
        <f t="shared" si="11"/>
        <v>0</v>
      </c>
      <c r="AB37" s="51"/>
      <c r="AC37" s="51"/>
      <c r="AD37" s="51"/>
      <c r="AE37" s="51"/>
      <c r="AF37" s="51"/>
      <c r="AG37" s="51"/>
      <c r="AH37" s="51"/>
      <c r="AI37" s="51"/>
    </row>
    <row r="38" spans="1:35" s="64" customFormat="1" x14ac:dyDescent="0.25">
      <c r="A38" s="13">
        <f>J8</f>
        <v>7</v>
      </c>
      <c r="B38" s="15">
        <v>250</v>
      </c>
      <c r="C38" s="69">
        <f t="shared" si="6"/>
        <v>53.534999999999997</v>
      </c>
      <c r="D38" s="69">
        <f t="shared" si="7"/>
        <v>10.6105374</v>
      </c>
      <c r="E38" s="69">
        <f t="shared" si="8"/>
        <v>2.3103465000000001</v>
      </c>
      <c r="F38" s="69">
        <f t="shared" si="9"/>
        <v>6.4196931000000008</v>
      </c>
      <c r="G38" s="69">
        <f t="shared" si="5"/>
        <v>0.25335750000000007</v>
      </c>
      <c r="H38" s="69">
        <f t="shared" si="5"/>
        <v>1.38195</v>
      </c>
      <c r="I38" s="69">
        <f t="shared" si="5"/>
        <v>0.15251250000000002</v>
      </c>
      <c r="J38" s="69">
        <f t="shared" si="5"/>
        <v>5.4157500000000004E-3</v>
      </c>
      <c r="K38" s="69">
        <f t="shared" si="5"/>
        <v>4.9800000000000009E-3</v>
      </c>
      <c r="L38" s="69">
        <f t="shared" si="5"/>
        <v>9.0885000000000007E-2</v>
      </c>
      <c r="M38" s="69">
        <f t="shared" si="5"/>
        <v>9.3997500000000012E-2</v>
      </c>
      <c r="N38" s="69">
        <f t="shared" si="5"/>
        <v>13.695000000000002</v>
      </c>
      <c r="O38" s="69">
        <f t="shared" si="5"/>
        <v>2359.2750000000001</v>
      </c>
      <c r="P38" s="69">
        <f t="shared" si="5"/>
        <v>0</v>
      </c>
      <c r="Q38" s="69">
        <f t="shared" si="10"/>
        <v>91.351875000000007</v>
      </c>
      <c r="R38" s="69">
        <f t="shared" si="11"/>
        <v>0</v>
      </c>
      <c r="S38" s="69">
        <f t="shared" si="11"/>
        <v>0.25273500000000004</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53.534999999999997</v>
      </c>
      <c r="D39" s="69">
        <f t="shared" si="7"/>
        <v>10.6105374</v>
      </c>
      <c r="E39" s="69">
        <f t="shared" si="8"/>
        <v>2.3103465000000001</v>
      </c>
      <c r="F39" s="69">
        <f t="shared" si="9"/>
        <v>6.4196931000000008</v>
      </c>
      <c r="G39" s="69">
        <f t="shared" si="5"/>
        <v>0.25335750000000007</v>
      </c>
      <c r="H39" s="69">
        <f t="shared" si="5"/>
        <v>1.38195</v>
      </c>
      <c r="I39" s="69">
        <f t="shared" si="5"/>
        <v>0.15251250000000002</v>
      </c>
      <c r="J39" s="69">
        <f t="shared" si="5"/>
        <v>5.4157500000000004E-3</v>
      </c>
      <c r="K39" s="69">
        <f t="shared" si="5"/>
        <v>4.9800000000000009E-3</v>
      </c>
      <c r="L39" s="69">
        <f t="shared" si="5"/>
        <v>9.0885000000000007E-2</v>
      </c>
      <c r="M39" s="69">
        <f t="shared" si="5"/>
        <v>9.3997500000000012E-2</v>
      </c>
      <c r="N39" s="69">
        <f t="shared" si="5"/>
        <v>13.695000000000002</v>
      </c>
      <c r="O39" s="69">
        <f t="shared" si="5"/>
        <v>2359.2750000000001</v>
      </c>
      <c r="P39" s="69">
        <f t="shared" si="5"/>
        <v>0</v>
      </c>
      <c r="Q39" s="69">
        <f t="shared" si="10"/>
        <v>91.351875000000007</v>
      </c>
      <c r="R39" s="69">
        <f t="shared" si="11"/>
        <v>0</v>
      </c>
      <c r="S39" s="69">
        <f t="shared" si="11"/>
        <v>0.25273500000000004</v>
      </c>
      <c r="T39" s="69">
        <f t="shared" si="11"/>
        <v>0</v>
      </c>
      <c r="U39" s="69">
        <f t="shared" si="11"/>
        <v>0</v>
      </c>
      <c r="AB39" s="51"/>
      <c r="AC39" s="51"/>
      <c r="AD39" s="51"/>
      <c r="AE39" s="51"/>
      <c r="AF39" s="51"/>
      <c r="AG39" s="51"/>
      <c r="AH39" s="51"/>
      <c r="AI39" s="51"/>
    </row>
    <row r="40" spans="1:35" s="64" customFormat="1" x14ac:dyDescent="0.25">
      <c r="A40" s="13">
        <f>L8</f>
        <v>10</v>
      </c>
      <c r="B40" s="15">
        <v>250</v>
      </c>
      <c r="C40" s="69">
        <f t="shared" si="6"/>
        <v>53.534999999999997</v>
      </c>
      <c r="D40" s="69">
        <f t="shared" si="7"/>
        <v>10.6105374</v>
      </c>
      <c r="E40" s="69">
        <f t="shared" si="8"/>
        <v>2.3103465000000001</v>
      </c>
      <c r="F40" s="69">
        <f t="shared" si="9"/>
        <v>6.4196931000000008</v>
      </c>
      <c r="G40" s="69">
        <f t="shared" si="5"/>
        <v>0.25335750000000007</v>
      </c>
      <c r="H40" s="69">
        <f t="shared" si="5"/>
        <v>1.38195</v>
      </c>
      <c r="I40" s="69">
        <f t="shared" si="5"/>
        <v>0.15251250000000002</v>
      </c>
      <c r="J40" s="69">
        <f t="shared" si="5"/>
        <v>5.4157500000000004E-3</v>
      </c>
      <c r="K40" s="69">
        <f t="shared" si="5"/>
        <v>4.9800000000000009E-3</v>
      </c>
      <c r="L40" s="69">
        <f t="shared" si="5"/>
        <v>9.0885000000000007E-2</v>
      </c>
      <c r="M40" s="69">
        <f t="shared" si="5"/>
        <v>9.3997500000000012E-2</v>
      </c>
      <c r="N40" s="69">
        <f t="shared" si="5"/>
        <v>13.695000000000002</v>
      </c>
      <c r="O40" s="69">
        <f t="shared" si="5"/>
        <v>2359.2750000000001</v>
      </c>
      <c r="P40" s="69">
        <f t="shared" si="5"/>
        <v>0</v>
      </c>
      <c r="Q40" s="69">
        <f t="shared" si="10"/>
        <v>91.351875000000007</v>
      </c>
      <c r="R40" s="69">
        <f t="shared" si="11"/>
        <v>0</v>
      </c>
      <c r="S40" s="69">
        <f t="shared" si="11"/>
        <v>0.25273500000000004</v>
      </c>
      <c r="T40" s="69">
        <f t="shared" si="11"/>
        <v>0</v>
      </c>
      <c r="U40" s="69">
        <f t="shared" si="11"/>
        <v>0</v>
      </c>
      <c r="AB40" s="51"/>
      <c r="AC40" s="51"/>
      <c r="AD40" s="51"/>
      <c r="AE40" s="51"/>
      <c r="AF40" s="51"/>
      <c r="AG40" s="51"/>
      <c r="AH40" s="51"/>
      <c r="AI40" s="51"/>
    </row>
    <row r="41" spans="1:35" s="64" customFormat="1" x14ac:dyDescent="0.25">
      <c r="A41" s="13">
        <f>M8</f>
        <v>11</v>
      </c>
      <c r="B41" s="15">
        <v>250</v>
      </c>
      <c r="C41" s="69">
        <f t="shared" si="6"/>
        <v>53.534999999999997</v>
      </c>
      <c r="D41" s="69">
        <f t="shared" si="7"/>
        <v>10.6105374</v>
      </c>
      <c r="E41" s="69">
        <f t="shared" si="8"/>
        <v>2.3103465000000001</v>
      </c>
      <c r="F41" s="69">
        <f t="shared" si="9"/>
        <v>6.4196931000000008</v>
      </c>
      <c r="G41" s="69">
        <f t="shared" si="5"/>
        <v>0.25335750000000007</v>
      </c>
      <c r="H41" s="69">
        <f t="shared" si="5"/>
        <v>1.38195</v>
      </c>
      <c r="I41" s="69">
        <f t="shared" si="5"/>
        <v>0.15251250000000002</v>
      </c>
      <c r="J41" s="69">
        <f t="shared" si="5"/>
        <v>5.4157500000000004E-3</v>
      </c>
      <c r="K41" s="69">
        <f t="shared" si="5"/>
        <v>4.9800000000000009E-3</v>
      </c>
      <c r="L41" s="69">
        <f t="shared" si="5"/>
        <v>9.0885000000000007E-2</v>
      </c>
      <c r="M41" s="69">
        <f t="shared" si="5"/>
        <v>9.3997500000000012E-2</v>
      </c>
      <c r="N41" s="69">
        <f t="shared" si="5"/>
        <v>13.695000000000002</v>
      </c>
      <c r="O41" s="69">
        <f t="shared" si="5"/>
        <v>2359.2750000000001</v>
      </c>
      <c r="P41" s="69">
        <f t="shared" si="5"/>
        <v>0</v>
      </c>
      <c r="Q41" s="69">
        <f t="shared" si="10"/>
        <v>91.351875000000007</v>
      </c>
      <c r="R41" s="69">
        <f t="shared" si="11"/>
        <v>0</v>
      </c>
      <c r="S41" s="69">
        <f t="shared" si="11"/>
        <v>0.25273500000000004</v>
      </c>
      <c r="T41" s="69">
        <f t="shared" si="11"/>
        <v>0</v>
      </c>
      <c r="U41" s="69">
        <f t="shared" si="11"/>
        <v>0</v>
      </c>
      <c r="AB41" s="51"/>
      <c r="AC41" s="51"/>
      <c r="AD41" s="51"/>
      <c r="AE41" s="51"/>
      <c r="AF41" s="51"/>
      <c r="AG41" s="51"/>
      <c r="AH41" s="51"/>
      <c r="AI41" s="51"/>
    </row>
    <row r="42" spans="1:35" s="64" customFormat="1" x14ac:dyDescent="0.25">
      <c r="A42" s="13">
        <f>N8</f>
        <v>12</v>
      </c>
      <c r="B42" s="15">
        <v>250</v>
      </c>
      <c r="C42" s="69">
        <f t="shared" si="6"/>
        <v>53.534999999999997</v>
      </c>
      <c r="D42" s="69">
        <f t="shared" si="7"/>
        <v>10.6105374</v>
      </c>
      <c r="E42" s="69">
        <f t="shared" si="8"/>
        <v>2.3103465000000001</v>
      </c>
      <c r="F42" s="69">
        <f t="shared" si="9"/>
        <v>6.4196931000000008</v>
      </c>
      <c r="G42" s="69">
        <f t="shared" si="5"/>
        <v>0.25335750000000007</v>
      </c>
      <c r="H42" s="69">
        <f t="shared" si="5"/>
        <v>1.38195</v>
      </c>
      <c r="I42" s="69">
        <f t="shared" si="5"/>
        <v>0.15251250000000002</v>
      </c>
      <c r="J42" s="69">
        <f t="shared" si="5"/>
        <v>5.4157500000000004E-3</v>
      </c>
      <c r="K42" s="69">
        <f t="shared" si="5"/>
        <v>4.9800000000000009E-3</v>
      </c>
      <c r="L42" s="69">
        <f t="shared" si="5"/>
        <v>9.0885000000000007E-2</v>
      </c>
      <c r="M42" s="69">
        <f t="shared" si="5"/>
        <v>9.3997500000000012E-2</v>
      </c>
      <c r="N42" s="69">
        <f t="shared" si="5"/>
        <v>13.695000000000002</v>
      </c>
      <c r="O42" s="69">
        <f t="shared" si="5"/>
        <v>2359.2750000000001</v>
      </c>
      <c r="P42" s="69">
        <f t="shared" si="5"/>
        <v>0</v>
      </c>
      <c r="Q42" s="69">
        <f t="shared" si="10"/>
        <v>91.351875000000007</v>
      </c>
      <c r="R42" s="69">
        <f t="shared" si="11"/>
        <v>0</v>
      </c>
      <c r="S42" s="69">
        <f t="shared" si="11"/>
        <v>0.25273500000000004</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"&amp;(VLOOKUP(C14,Table2458[],6,FALSE))</f>
        <v>#N/A</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90" t="s">
        <v>130</v>
      </c>
      <c r="B59" s="68" t="e">
        <f>VLOOKUP(C$14,Table2458[],5,FALSE)</f>
        <v>#N/A</v>
      </c>
      <c r="C59" s="68">
        <f>VLOOKUP(D$14,Table2458[],5,FALSE)</f>
        <v>6.2</v>
      </c>
      <c r="D59" s="68">
        <f>VLOOKUP(E$14,Table2458[],5,FALSE)</f>
        <v>6.2</v>
      </c>
      <c r="E59" s="68">
        <f>VLOOKUP(F$14,Table2458[],5,FALSE)</f>
        <v>6.2</v>
      </c>
      <c r="F59" s="68">
        <f>VLOOKUP(G$14,Table2458[],5,FALSE)</f>
        <v>6.2</v>
      </c>
      <c r="G59" s="68">
        <f>VLOOKUP(H$14,Table2458[],5,FALSE)</f>
        <v>6.2</v>
      </c>
      <c r="H59" s="68">
        <f>VLOOKUP(I$14,Table2458[],5,FALSE)</f>
        <v>6.2</v>
      </c>
      <c r="I59" s="68">
        <f>VLOOKUP(J$14,Table2458[],5,FALSE)</f>
        <v>6.2</v>
      </c>
      <c r="J59" s="68">
        <f>VLOOKUP(K$14,Table2458[],5,FALSE)</f>
        <v>6.2</v>
      </c>
      <c r="K59" s="68">
        <f>VLOOKUP(L$14,Table2458[],5,FALSE)</f>
        <v>6.2</v>
      </c>
      <c r="L59" s="68">
        <f>VLOOKUP(M$14,Table2458[],5,FALSE)</f>
        <v>6.2</v>
      </c>
      <c r="M59" s="68">
        <f>VLOOKUP(N$14,Table2458[],5,FALSE)</f>
        <v>6.2</v>
      </c>
      <c r="N59" s="68" t="e">
        <f>VLOOKUP(O$14,Table2458[],5,FALSE)</f>
        <v>#N/A</v>
      </c>
      <c r="O59" s="68" t="e">
        <f>VLOOKUP(P$14,Table2458[],5,FALSE)</f>
        <v>#N/A</v>
      </c>
      <c r="P59" s="68" t="e">
        <f>VLOOKUP(Q$14,Table2458[],5,FALSE)</f>
        <v>#N/A</v>
      </c>
      <c r="Q59" s="68" t="e">
        <f>VLOOKUP(R$14,Table2458[],5,FALSE)</f>
        <v>#N/A</v>
      </c>
      <c r="R59" s="68" t="e">
        <f>VLOOKUP(S$14,Table2458[],5,FALSE)</f>
        <v>#N/A</v>
      </c>
      <c r="S59" s="68" t="e">
        <f>VLOOKUP(T$14,Table2458[],5,FALSE)</f>
        <v>#N/A</v>
      </c>
      <c r="T59" s="68" t="e">
        <f>VLOOKUP(U$14,Table2458[],5,FALSE)</f>
        <v>#N/A</v>
      </c>
      <c r="U59" s="68" t="e">
        <f>VLOOKUP(V$14,Table2458[],5,FALSE)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250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2" operator="equal">
      <formula>"DECREASE"</formula>
    </cfRule>
    <cfRule type="cellIs" dxfId="166" priority="33" operator="equal">
      <formula>"INCREASE"</formula>
    </cfRule>
  </conditionalFormatting>
  <conditionalFormatting sqref="B62:U66 B31:B50">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C8" sqref="C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7</v>
      </c>
      <c r="J1" s="98" t="s">
        <v>150</v>
      </c>
      <c r="K1" s="98"/>
      <c r="L1" s="76">
        <v>27.4</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7590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0.36100131752305664</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168</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74.717070300000003</v>
      </c>
      <c r="E18" s="16">
        <f>$D33</f>
        <v>74.717070300000003</v>
      </c>
      <c r="F18" s="16">
        <f>$D34</f>
        <v>74.717070300000003</v>
      </c>
      <c r="G18" s="16">
        <f>$D35</f>
        <v>74.717070300000003</v>
      </c>
      <c r="H18" s="16">
        <f>$D36</f>
        <v>74.717070300000003</v>
      </c>
      <c r="I18" s="16">
        <f>$D37</f>
        <v>74.717070300000003</v>
      </c>
      <c r="J18" s="16">
        <f>$D38</f>
        <v>74.717070300000003</v>
      </c>
      <c r="K18" s="16">
        <f>$D39</f>
        <v>74.717070300000003</v>
      </c>
      <c r="L18" s="16">
        <f>$D40</f>
        <v>74.717070300000003</v>
      </c>
      <c r="M18" s="16">
        <f>$D41</f>
        <v>74.717070300000003</v>
      </c>
      <c r="N18" s="16">
        <f>$D42</f>
        <v>74.717070300000003</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-1.7829296999999968</v>
      </c>
      <c r="E19" s="16">
        <f t="shared" si="1"/>
        <v>-1.7829296999999968</v>
      </c>
      <c r="F19" s="16">
        <f t="shared" si="1"/>
        <v>-1.7829296999999968</v>
      </c>
      <c r="G19" s="16">
        <f t="shared" si="1"/>
        <v>-1.7829296999999968</v>
      </c>
      <c r="H19" s="16">
        <f t="shared" si="1"/>
        <v>-1.7829296999999968</v>
      </c>
      <c r="I19" s="16">
        <f t="shared" si="1"/>
        <v>-1.7829296999999968</v>
      </c>
      <c r="J19" s="16">
        <f t="shared" si="1"/>
        <v>-1.7829296999999968</v>
      </c>
      <c r="K19" s="16">
        <f t="shared" si="1"/>
        <v>-1.7829296999999968</v>
      </c>
      <c r="L19" s="16">
        <f t="shared" si="1"/>
        <v>-1.7829296999999968</v>
      </c>
      <c r="M19" s="16">
        <f t="shared" si="1"/>
        <v>-1.7829296999999968</v>
      </c>
      <c r="N19" s="16">
        <f t="shared" si="1"/>
        <v>-1.7829296999999968</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14.555195000000001</v>
      </c>
      <c r="E22" s="16">
        <f>$E33</f>
        <v>14.555195000000001</v>
      </c>
      <c r="F22" s="16">
        <f>$E34</f>
        <v>14.555195000000001</v>
      </c>
      <c r="G22" s="16">
        <f>$E35</f>
        <v>14.555195000000001</v>
      </c>
      <c r="H22" s="16">
        <f>$E36</f>
        <v>14.555195000000001</v>
      </c>
      <c r="I22" s="16">
        <f>$E37</f>
        <v>14.555195000000001</v>
      </c>
      <c r="J22" s="16">
        <f>$E38</f>
        <v>14.555195000000001</v>
      </c>
      <c r="K22" s="16">
        <f>$E39</f>
        <v>14.555195000000001</v>
      </c>
      <c r="L22" s="16">
        <f>$E40</f>
        <v>14.555195000000001</v>
      </c>
      <c r="M22" s="16">
        <f>$E41</f>
        <v>14.555195000000001</v>
      </c>
      <c r="N22" s="16">
        <f>$E42</f>
        <v>14.555195000000001</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-255.444805</v>
      </c>
      <c r="E23" s="16">
        <f t="shared" si="3"/>
        <v>-255.444805</v>
      </c>
      <c r="F23" s="16">
        <f t="shared" si="3"/>
        <v>-255.444805</v>
      </c>
      <c r="G23" s="16">
        <f t="shared" si="3"/>
        <v>-255.444805</v>
      </c>
      <c r="H23" s="16">
        <f t="shared" si="3"/>
        <v>-255.444805</v>
      </c>
      <c r="I23" s="16">
        <f t="shared" si="3"/>
        <v>-255.444805</v>
      </c>
      <c r="J23" s="16">
        <f t="shared" si="3"/>
        <v>-255.444805</v>
      </c>
      <c r="K23" s="16">
        <f t="shared" si="3"/>
        <v>-255.444805</v>
      </c>
      <c r="L23" s="16">
        <f t="shared" si="3"/>
        <v>-255.444805</v>
      </c>
      <c r="M23" s="16">
        <f t="shared" si="3"/>
        <v>-255.444805</v>
      </c>
      <c r="N23" s="16">
        <f t="shared" si="3"/>
        <v>-255.444805</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t="s">
        <v>55</v>
      </c>
      <c r="Q27" s="86" t="s">
        <v>55</v>
      </c>
      <c r="R27" s="86" t="s">
        <v>55</v>
      </c>
      <c r="S27" s="86" t="s">
        <v>55</v>
      </c>
      <c r="T27" s="86" t="s">
        <v>55</v>
      </c>
      <c r="U27" s="86" t="s">
        <v>55</v>
      </c>
    </row>
    <row r="28" spans="1:40" s="49" customFormat="1" x14ac:dyDescent="0.25">
      <c r="A28" s="87"/>
      <c r="B28" s="23">
        <v>25.7</v>
      </c>
      <c r="C28" s="15">
        <v>0.75900000000000001</v>
      </c>
      <c r="D28" s="15">
        <v>0.27</v>
      </c>
      <c r="E28" s="15">
        <v>0.1</v>
      </c>
      <c r="F28" s="15">
        <v>2910</v>
      </c>
      <c r="G28" s="15">
        <v>37.6</v>
      </c>
      <c r="H28" s="15"/>
      <c r="I28" s="15">
        <v>47.5</v>
      </c>
      <c r="J28" s="15">
        <v>0.34</v>
      </c>
      <c r="K28" s="22">
        <v>0.2</v>
      </c>
      <c r="L28" s="15">
        <v>25</v>
      </c>
      <c r="M28" s="15">
        <v>21.9</v>
      </c>
      <c r="N28" s="15">
        <v>12300</v>
      </c>
      <c r="O28" s="15">
        <v>298000</v>
      </c>
      <c r="P28" s="15"/>
      <c r="Q28" s="15">
        <v>2240</v>
      </c>
      <c r="R28" s="15"/>
      <c r="S28" s="15">
        <v>20.6</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47</v>
      </c>
      <c r="C32" s="69">
        <f t="shared" ref="C32:C50" si="6">IF(C$27="%w/w SAR",((C$28*10)*$B32),IF(C$27="%w/w DM",(((C$28*10)*($B$28/100))*$B32),IF(C$27="kg/t SAR",(C$28*$B32),IF(C$27="kg/t DM",((C$28*($B$28/100))*$B32),IF(C$27="mg/kg SAR",((C$28*0.001)*$B32),IF(C$27="mg/kg DM",(((C$28*0.001)*($B$28/100))*$B32),0))))))</f>
        <v>91.679610000000011</v>
      </c>
      <c r="D32" s="69">
        <f t="shared" ref="D32:D50" si="7">(IF(D$27="%w/w SAR",((D$28*10)*$B32),IF(D$27="%w/w DM",(((D$28*10)*($B$28/100))*$B32),IF(D$27="kg/t SAR",(D$28*$B32),IF(D$27="kg/t DM",((D$28*($B$28/100))*$B32),IF(D$27="mg/kg SAR",((D$28*0.001)*$B32),IF(D$27="mg/kg DM",(((D$28*0.001)*($B$28/100))*$B32),"0")))))))*2.291</f>
        <v>74.717070300000003</v>
      </c>
      <c r="E32" s="69">
        <f t="shared" ref="E32:E50" si="8">(IF(E$27="%w/w SAR",((E$28*10)*$B32),IF(E$27="%w/w DM",(((E$28*10)*($B$28/100))*$B32),IF(E$27="kg/t SAR",(E$28*$B32),IF(E$27="kg/t DM",((E$28*($B$28/100))*$B32),IF(E$27="mg/kg SAR",((E$28*0.001)*$B32),IF(E$27="mg/kg DM",(((E$28*0.001)*($B$28/100))*$B32),"0")))))))*1.205</f>
        <v>14.555195000000001</v>
      </c>
      <c r="F32" s="69">
        <f t="shared" ref="F32:F50" si="9">(IF(F$27="%w/w SAR",((F$28*10)*$B32),IF(F$27="%w/w DM",(((F$28*10)*($B$28/100))*$B32),IF(F$27="kg/t SAR",(F$28*$B32),IF(F$27="kg/t DM",((F$28*($B$28/100))*$B32),IF(F$27="mg/kg SAR",((F$28*0.001)*$B32),IF(F$27="mg/kg DM",(((F$28*0.001)*($B$28/100))*$B32),"0")))))))*1.658</f>
        <v>58.278517619999995</v>
      </c>
      <c r="G32" s="69">
        <f t="shared" si="5"/>
        <v>0.45417040000000003</v>
      </c>
      <c r="H32" s="69">
        <f t="shared" si="5"/>
        <v>0</v>
      </c>
      <c r="I32" s="69">
        <f t="shared" si="5"/>
        <v>0.5737525</v>
      </c>
      <c r="J32" s="69">
        <f t="shared" si="5"/>
        <v>4.1068600000000004E-3</v>
      </c>
      <c r="K32" s="69">
        <f t="shared" si="5"/>
        <v>2.4158000000000001E-3</v>
      </c>
      <c r="L32" s="69">
        <f t="shared" si="5"/>
        <v>0.30197499999999999</v>
      </c>
      <c r="M32" s="69">
        <f t="shared" si="5"/>
        <v>0.26453009999999999</v>
      </c>
      <c r="N32" s="69">
        <f t="shared" si="5"/>
        <v>148.57170000000002</v>
      </c>
      <c r="O32" s="69">
        <f t="shared" si="5"/>
        <v>3599.5419999999999</v>
      </c>
      <c r="P32" s="69">
        <f t="shared" si="5"/>
        <v>0</v>
      </c>
      <c r="Q32" s="69">
        <f t="shared" ref="Q32:Q50" si="10">(IF(Q$27="%w/w SAR",((Q$28*10)*$B32),IF(Q$27="%w/w DM",(((Q$28*10)*($B$28/100))*$B32),IF(Q$27="kg/t SAR",(Q$28*$B32),IF(Q$27="kg/t DM",((Q$28*($B$28/100))*$B32),IF(Q$27="mg/kg SAR",((Q$28*0.001)*$B32),IF(Q$27="mg/kg DM",(((Q$28*0.001)*($B$28/100))*$B32),0)))))))*2.5</f>
        <v>67.642400000000009</v>
      </c>
      <c r="R32" s="69">
        <f t="shared" ref="R32:U50" si="11">IF(R$27="%w/w SAR",((R$28*10)*$B32),IF(R$27="%w/w DM",(((R$28*10)*($B$28/100))*$B32),IF(R$27="kg/t SAR",(R$28*$B32),IF(R$27="kg/t DM",((R$28*($B$28/100))*$B32),IF(R$27="mg/kg SAR",((R$28*0.001)*$B32),IF(R$27="mg/kg DM",(((R$28*0.001)*($B$28/100))*$B32),0))))))</f>
        <v>0</v>
      </c>
      <c r="S32" s="69">
        <f t="shared" si="11"/>
        <v>0.24882739999999998</v>
      </c>
      <c r="T32" s="69">
        <f t="shared" si="11"/>
        <v>0</v>
      </c>
      <c r="U32" s="69">
        <f t="shared" si="11"/>
        <v>0</v>
      </c>
      <c r="AB32" s="51"/>
      <c r="AC32" s="51"/>
      <c r="AD32" s="51"/>
      <c r="AE32" s="51"/>
      <c r="AF32" s="51"/>
      <c r="AG32" s="51"/>
      <c r="AH32" s="51"/>
      <c r="AI32" s="51"/>
    </row>
    <row r="33" spans="1:35" s="64" customFormat="1" x14ac:dyDescent="0.25">
      <c r="A33" s="13">
        <f>E8</f>
        <v>3</v>
      </c>
      <c r="B33" s="15">
        <v>47</v>
      </c>
      <c r="C33" s="69">
        <f t="shared" si="6"/>
        <v>91.679610000000011</v>
      </c>
      <c r="D33" s="69">
        <f t="shared" si="7"/>
        <v>74.717070300000003</v>
      </c>
      <c r="E33" s="69">
        <f t="shared" si="8"/>
        <v>14.555195000000001</v>
      </c>
      <c r="F33" s="69">
        <f t="shared" si="9"/>
        <v>58.278517619999995</v>
      </c>
      <c r="G33" s="69">
        <f t="shared" si="5"/>
        <v>0.45417040000000003</v>
      </c>
      <c r="H33" s="69">
        <f t="shared" si="5"/>
        <v>0</v>
      </c>
      <c r="I33" s="69">
        <f t="shared" si="5"/>
        <v>0.5737525</v>
      </c>
      <c r="J33" s="69">
        <f t="shared" si="5"/>
        <v>4.1068600000000004E-3</v>
      </c>
      <c r="K33" s="69">
        <f t="shared" si="5"/>
        <v>2.4158000000000001E-3</v>
      </c>
      <c r="L33" s="69">
        <f t="shared" si="5"/>
        <v>0.30197499999999999</v>
      </c>
      <c r="M33" s="69">
        <f t="shared" si="5"/>
        <v>0.26453009999999999</v>
      </c>
      <c r="N33" s="69">
        <f t="shared" si="5"/>
        <v>148.57170000000002</v>
      </c>
      <c r="O33" s="69">
        <f t="shared" si="5"/>
        <v>3599.5419999999999</v>
      </c>
      <c r="P33" s="69">
        <f t="shared" si="5"/>
        <v>0</v>
      </c>
      <c r="Q33" s="69">
        <f t="shared" si="10"/>
        <v>67.642400000000009</v>
      </c>
      <c r="R33" s="69">
        <f t="shared" si="11"/>
        <v>0</v>
      </c>
      <c r="S33" s="69">
        <f t="shared" si="11"/>
        <v>0.24882739999999998</v>
      </c>
      <c r="T33" s="69">
        <f t="shared" si="11"/>
        <v>0</v>
      </c>
      <c r="U33" s="69">
        <f t="shared" si="11"/>
        <v>0</v>
      </c>
      <c r="AB33" s="51"/>
      <c r="AC33" s="51"/>
      <c r="AD33" s="51"/>
      <c r="AE33" s="51"/>
      <c r="AF33" s="51"/>
      <c r="AG33" s="51"/>
      <c r="AH33" s="51"/>
      <c r="AI33" s="51"/>
    </row>
    <row r="34" spans="1:35" s="64" customFormat="1" x14ac:dyDescent="0.25">
      <c r="A34" s="13">
        <f>F8</f>
        <v>4</v>
      </c>
      <c r="B34" s="15">
        <v>47</v>
      </c>
      <c r="C34" s="69">
        <f t="shared" si="6"/>
        <v>91.679610000000011</v>
      </c>
      <c r="D34" s="69">
        <f t="shared" si="7"/>
        <v>74.717070300000003</v>
      </c>
      <c r="E34" s="69">
        <f t="shared" si="8"/>
        <v>14.555195000000001</v>
      </c>
      <c r="F34" s="69">
        <f t="shared" si="9"/>
        <v>58.278517619999995</v>
      </c>
      <c r="G34" s="69">
        <f t="shared" si="5"/>
        <v>0.45417040000000003</v>
      </c>
      <c r="H34" s="69">
        <f t="shared" si="5"/>
        <v>0</v>
      </c>
      <c r="I34" s="69">
        <f t="shared" si="5"/>
        <v>0.5737525</v>
      </c>
      <c r="J34" s="69">
        <f t="shared" si="5"/>
        <v>4.1068600000000004E-3</v>
      </c>
      <c r="K34" s="69">
        <f t="shared" si="5"/>
        <v>2.4158000000000001E-3</v>
      </c>
      <c r="L34" s="69">
        <f t="shared" si="5"/>
        <v>0.30197499999999999</v>
      </c>
      <c r="M34" s="69">
        <f t="shared" si="5"/>
        <v>0.26453009999999999</v>
      </c>
      <c r="N34" s="69">
        <f t="shared" si="5"/>
        <v>148.57170000000002</v>
      </c>
      <c r="O34" s="69">
        <f t="shared" si="5"/>
        <v>3599.5419999999999</v>
      </c>
      <c r="P34" s="69">
        <f t="shared" si="5"/>
        <v>0</v>
      </c>
      <c r="Q34" s="69">
        <f t="shared" si="10"/>
        <v>67.642400000000009</v>
      </c>
      <c r="R34" s="69">
        <f t="shared" si="11"/>
        <v>0</v>
      </c>
      <c r="S34" s="69">
        <f t="shared" si="11"/>
        <v>0.24882739999999998</v>
      </c>
      <c r="T34" s="69">
        <f t="shared" si="11"/>
        <v>0</v>
      </c>
      <c r="U34" s="69">
        <f t="shared" si="11"/>
        <v>0</v>
      </c>
      <c r="AB34" s="51"/>
      <c r="AC34" s="51"/>
      <c r="AD34" s="51"/>
      <c r="AE34" s="51"/>
      <c r="AF34" s="51"/>
      <c r="AG34" s="51"/>
      <c r="AH34" s="51"/>
      <c r="AI34" s="51"/>
    </row>
    <row r="35" spans="1:35" s="64" customFormat="1" x14ac:dyDescent="0.25">
      <c r="A35" s="13" t="str">
        <f>G8</f>
        <v>5a</v>
      </c>
      <c r="B35" s="15">
        <v>47</v>
      </c>
      <c r="C35" s="69">
        <f t="shared" si="6"/>
        <v>91.679610000000011</v>
      </c>
      <c r="D35" s="69">
        <f t="shared" si="7"/>
        <v>74.717070300000003</v>
      </c>
      <c r="E35" s="69">
        <f t="shared" si="8"/>
        <v>14.555195000000001</v>
      </c>
      <c r="F35" s="69">
        <f t="shared" si="9"/>
        <v>58.278517619999995</v>
      </c>
      <c r="G35" s="69">
        <f t="shared" si="5"/>
        <v>0.45417040000000003</v>
      </c>
      <c r="H35" s="69">
        <f t="shared" si="5"/>
        <v>0</v>
      </c>
      <c r="I35" s="69">
        <f t="shared" si="5"/>
        <v>0.5737525</v>
      </c>
      <c r="J35" s="69">
        <f t="shared" si="5"/>
        <v>4.1068600000000004E-3</v>
      </c>
      <c r="K35" s="69">
        <f t="shared" si="5"/>
        <v>2.4158000000000001E-3</v>
      </c>
      <c r="L35" s="69">
        <f t="shared" si="5"/>
        <v>0.30197499999999999</v>
      </c>
      <c r="M35" s="69">
        <f t="shared" si="5"/>
        <v>0.26453009999999999</v>
      </c>
      <c r="N35" s="69">
        <f t="shared" si="5"/>
        <v>148.57170000000002</v>
      </c>
      <c r="O35" s="69">
        <f t="shared" si="5"/>
        <v>3599.5419999999999</v>
      </c>
      <c r="P35" s="69">
        <f t="shared" si="5"/>
        <v>0</v>
      </c>
      <c r="Q35" s="69">
        <f t="shared" si="10"/>
        <v>67.642400000000009</v>
      </c>
      <c r="R35" s="69">
        <f t="shared" si="11"/>
        <v>0</v>
      </c>
      <c r="S35" s="69">
        <f t="shared" si="11"/>
        <v>0.24882739999999998</v>
      </c>
      <c r="T35" s="69">
        <f t="shared" si="11"/>
        <v>0</v>
      </c>
      <c r="U35" s="69">
        <f t="shared" si="11"/>
        <v>0</v>
      </c>
      <c r="AB35" s="51"/>
      <c r="AC35" s="51"/>
      <c r="AD35" s="51"/>
      <c r="AE35" s="51"/>
      <c r="AF35" s="51"/>
      <c r="AG35" s="51"/>
      <c r="AH35" s="51"/>
      <c r="AI35" s="51"/>
    </row>
    <row r="36" spans="1:35" s="64" customFormat="1" x14ac:dyDescent="0.25">
      <c r="A36" s="13" t="str">
        <f>H8</f>
        <v>5b</v>
      </c>
      <c r="B36" s="15">
        <v>47</v>
      </c>
      <c r="C36" s="69">
        <f t="shared" si="6"/>
        <v>91.679610000000011</v>
      </c>
      <c r="D36" s="69">
        <f t="shared" si="7"/>
        <v>74.717070300000003</v>
      </c>
      <c r="E36" s="69">
        <f t="shared" si="8"/>
        <v>14.555195000000001</v>
      </c>
      <c r="F36" s="69">
        <f t="shared" si="9"/>
        <v>58.278517619999995</v>
      </c>
      <c r="G36" s="69">
        <f t="shared" si="5"/>
        <v>0.45417040000000003</v>
      </c>
      <c r="H36" s="69">
        <f t="shared" si="5"/>
        <v>0</v>
      </c>
      <c r="I36" s="69">
        <f t="shared" si="5"/>
        <v>0.5737525</v>
      </c>
      <c r="J36" s="69">
        <f t="shared" si="5"/>
        <v>4.1068600000000004E-3</v>
      </c>
      <c r="K36" s="69">
        <f t="shared" si="5"/>
        <v>2.4158000000000001E-3</v>
      </c>
      <c r="L36" s="69">
        <f t="shared" si="5"/>
        <v>0.30197499999999999</v>
      </c>
      <c r="M36" s="69">
        <f t="shared" si="5"/>
        <v>0.26453009999999999</v>
      </c>
      <c r="N36" s="69">
        <f t="shared" si="5"/>
        <v>148.57170000000002</v>
      </c>
      <c r="O36" s="69">
        <f t="shared" si="5"/>
        <v>3599.5419999999999</v>
      </c>
      <c r="P36" s="69">
        <f t="shared" si="5"/>
        <v>0</v>
      </c>
      <c r="Q36" s="69">
        <f t="shared" si="10"/>
        <v>67.642400000000009</v>
      </c>
      <c r="R36" s="69">
        <f t="shared" si="11"/>
        <v>0</v>
      </c>
      <c r="S36" s="69">
        <f t="shared" si="11"/>
        <v>0.24882739999999998</v>
      </c>
      <c r="T36" s="69">
        <f t="shared" si="11"/>
        <v>0</v>
      </c>
      <c r="U36" s="69">
        <f t="shared" si="11"/>
        <v>0</v>
      </c>
      <c r="AB36" s="51"/>
      <c r="AC36" s="51"/>
      <c r="AD36" s="51"/>
      <c r="AE36" s="51"/>
      <c r="AF36" s="51"/>
      <c r="AG36" s="51"/>
      <c r="AH36" s="51"/>
      <c r="AI36" s="51"/>
    </row>
    <row r="37" spans="1:35" s="64" customFormat="1" x14ac:dyDescent="0.25">
      <c r="A37" s="13">
        <f>I8</f>
        <v>6</v>
      </c>
      <c r="B37" s="15">
        <v>47</v>
      </c>
      <c r="C37" s="69">
        <f t="shared" si="6"/>
        <v>91.679610000000011</v>
      </c>
      <c r="D37" s="69">
        <f t="shared" si="7"/>
        <v>74.717070300000003</v>
      </c>
      <c r="E37" s="69">
        <f t="shared" si="8"/>
        <v>14.555195000000001</v>
      </c>
      <c r="F37" s="69">
        <f t="shared" si="9"/>
        <v>58.278517619999995</v>
      </c>
      <c r="G37" s="69">
        <f t="shared" si="5"/>
        <v>0.45417040000000003</v>
      </c>
      <c r="H37" s="69">
        <f t="shared" si="5"/>
        <v>0</v>
      </c>
      <c r="I37" s="69">
        <f t="shared" si="5"/>
        <v>0.5737525</v>
      </c>
      <c r="J37" s="69">
        <f t="shared" si="5"/>
        <v>4.1068600000000004E-3</v>
      </c>
      <c r="K37" s="69">
        <f t="shared" si="5"/>
        <v>2.4158000000000001E-3</v>
      </c>
      <c r="L37" s="69">
        <f t="shared" si="5"/>
        <v>0.30197499999999999</v>
      </c>
      <c r="M37" s="69">
        <f t="shared" si="5"/>
        <v>0.26453009999999999</v>
      </c>
      <c r="N37" s="69">
        <f t="shared" si="5"/>
        <v>148.57170000000002</v>
      </c>
      <c r="O37" s="69">
        <f t="shared" si="5"/>
        <v>3599.5419999999999</v>
      </c>
      <c r="P37" s="69">
        <f t="shared" si="5"/>
        <v>0</v>
      </c>
      <c r="Q37" s="69">
        <f t="shared" si="10"/>
        <v>67.642400000000009</v>
      </c>
      <c r="R37" s="69">
        <f t="shared" si="11"/>
        <v>0</v>
      </c>
      <c r="S37" s="69">
        <f t="shared" si="11"/>
        <v>0.24882739999999998</v>
      </c>
      <c r="T37" s="69">
        <f t="shared" si="11"/>
        <v>0</v>
      </c>
      <c r="U37" s="69">
        <f t="shared" si="11"/>
        <v>0</v>
      </c>
      <c r="AB37" s="51"/>
      <c r="AC37" s="51"/>
      <c r="AD37" s="51"/>
      <c r="AE37" s="51"/>
      <c r="AF37" s="51"/>
      <c r="AG37" s="51"/>
      <c r="AH37" s="51"/>
      <c r="AI37" s="51"/>
    </row>
    <row r="38" spans="1:35" s="64" customFormat="1" x14ac:dyDescent="0.25">
      <c r="A38" s="13">
        <f>J8</f>
        <v>7</v>
      </c>
      <c r="B38" s="15">
        <v>47</v>
      </c>
      <c r="C38" s="69">
        <f t="shared" si="6"/>
        <v>91.679610000000011</v>
      </c>
      <c r="D38" s="69">
        <f t="shared" si="7"/>
        <v>74.717070300000003</v>
      </c>
      <c r="E38" s="69">
        <f t="shared" si="8"/>
        <v>14.555195000000001</v>
      </c>
      <c r="F38" s="69">
        <f t="shared" si="9"/>
        <v>58.278517619999995</v>
      </c>
      <c r="G38" s="69">
        <f t="shared" si="5"/>
        <v>0.45417040000000003</v>
      </c>
      <c r="H38" s="69">
        <f t="shared" si="5"/>
        <v>0</v>
      </c>
      <c r="I38" s="69">
        <f t="shared" si="5"/>
        <v>0.5737525</v>
      </c>
      <c r="J38" s="69">
        <f t="shared" si="5"/>
        <v>4.1068600000000004E-3</v>
      </c>
      <c r="K38" s="69">
        <f t="shared" si="5"/>
        <v>2.4158000000000001E-3</v>
      </c>
      <c r="L38" s="69">
        <f t="shared" si="5"/>
        <v>0.30197499999999999</v>
      </c>
      <c r="M38" s="69">
        <f t="shared" si="5"/>
        <v>0.26453009999999999</v>
      </c>
      <c r="N38" s="69">
        <f t="shared" si="5"/>
        <v>148.57170000000002</v>
      </c>
      <c r="O38" s="69">
        <f t="shared" si="5"/>
        <v>3599.5419999999999</v>
      </c>
      <c r="P38" s="69">
        <f t="shared" si="5"/>
        <v>0</v>
      </c>
      <c r="Q38" s="69">
        <f t="shared" si="10"/>
        <v>67.642400000000009</v>
      </c>
      <c r="R38" s="69">
        <f t="shared" si="11"/>
        <v>0</v>
      </c>
      <c r="S38" s="69">
        <f t="shared" si="11"/>
        <v>0.24882739999999998</v>
      </c>
      <c r="T38" s="69">
        <f t="shared" si="11"/>
        <v>0</v>
      </c>
      <c r="U38" s="69">
        <f t="shared" si="11"/>
        <v>0</v>
      </c>
      <c r="AB38" s="51"/>
      <c r="AC38" s="51"/>
      <c r="AD38" s="51"/>
      <c r="AE38" s="51"/>
      <c r="AF38" s="51"/>
      <c r="AG38" s="51"/>
      <c r="AH38" s="51"/>
      <c r="AI38" s="51"/>
    </row>
    <row r="39" spans="1:35" s="64" customFormat="1" x14ac:dyDescent="0.25">
      <c r="A39" s="13">
        <f>K8</f>
        <v>9</v>
      </c>
      <c r="B39" s="15">
        <v>47</v>
      </c>
      <c r="C39" s="69">
        <f t="shared" si="6"/>
        <v>91.679610000000011</v>
      </c>
      <c r="D39" s="69">
        <f t="shared" si="7"/>
        <v>74.717070300000003</v>
      </c>
      <c r="E39" s="69">
        <f t="shared" si="8"/>
        <v>14.555195000000001</v>
      </c>
      <c r="F39" s="69">
        <f t="shared" si="9"/>
        <v>58.278517619999995</v>
      </c>
      <c r="G39" s="69">
        <f t="shared" si="5"/>
        <v>0.45417040000000003</v>
      </c>
      <c r="H39" s="69">
        <f t="shared" si="5"/>
        <v>0</v>
      </c>
      <c r="I39" s="69">
        <f t="shared" si="5"/>
        <v>0.5737525</v>
      </c>
      <c r="J39" s="69">
        <f t="shared" si="5"/>
        <v>4.1068600000000004E-3</v>
      </c>
      <c r="K39" s="69">
        <f t="shared" si="5"/>
        <v>2.4158000000000001E-3</v>
      </c>
      <c r="L39" s="69">
        <f t="shared" si="5"/>
        <v>0.30197499999999999</v>
      </c>
      <c r="M39" s="69">
        <f t="shared" si="5"/>
        <v>0.26453009999999999</v>
      </c>
      <c r="N39" s="69">
        <f t="shared" si="5"/>
        <v>148.57170000000002</v>
      </c>
      <c r="O39" s="69">
        <f t="shared" si="5"/>
        <v>3599.5419999999999</v>
      </c>
      <c r="P39" s="69">
        <f t="shared" si="5"/>
        <v>0</v>
      </c>
      <c r="Q39" s="69">
        <f t="shared" si="10"/>
        <v>67.642400000000009</v>
      </c>
      <c r="R39" s="69">
        <f t="shared" si="11"/>
        <v>0</v>
      </c>
      <c r="S39" s="69">
        <f t="shared" si="11"/>
        <v>0.24882739999999998</v>
      </c>
      <c r="T39" s="69">
        <f t="shared" si="11"/>
        <v>0</v>
      </c>
      <c r="U39" s="69">
        <f t="shared" si="11"/>
        <v>0</v>
      </c>
      <c r="AB39" s="51"/>
      <c r="AC39" s="51"/>
      <c r="AD39" s="51"/>
      <c r="AE39" s="51"/>
      <c r="AF39" s="51"/>
      <c r="AG39" s="51"/>
      <c r="AH39" s="51"/>
      <c r="AI39" s="51"/>
    </row>
    <row r="40" spans="1:35" s="64" customFormat="1" x14ac:dyDescent="0.25">
      <c r="A40" s="13">
        <f>L8</f>
        <v>10</v>
      </c>
      <c r="B40" s="15">
        <v>47</v>
      </c>
      <c r="C40" s="69">
        <f t="shared" si="6"/>
        <v>91.679610000000011</v>
      </c>
      <c r="D40" s="69">
        <f t="shared" si="7"/>
        <v>74.717070300000003</v>
      </c>
      <c r="E40" s="69">
        <f t="shared" si="8"/>
        <v>14.555195000000001</v>
      </c>
      <c r="F40" s="69">
        <f t="shared" si="9"/>
        <v>58.278517619999995</v>
      </c>
      <c r="G40" s="69">
        <f t="shared" si="5"/>
        <v>0.45417040000000003</v>
      </c>
      <c r="H40" s="69">
        <f t="shared" si="5"/>
        <v>0</v>
      </c>
      <c r="I40" s="69">
        <f t="shared" si="5"/>
        <v>0.5737525</v>
      </c>
      <c r="J40" s="69">
        <f t="shared" si="5"/>
        <v>4.1068600000000004E-3</v>
      </c>
      <c r="K40" s="69">
        <f t="shared" si="5"/>
        <v>2.4158000000000001E-3</v>
      </c>
      <c r="L40" s="69">
        <f t="shared" si="5"/>
        <v>0.30197499999999999</v>
      </c>
      <c r="M40" s="69">
        <f t="shared" si="5"/>
        <v>0.26453009999999999</v>
      </c>
      <c r="N40" s="69">
        <f t="shared" si="5"/>
        <v>148.57170000000002</v>
      </c>
      <c r="O40" s="69">
        <f t="shared" si="5"/>
        <v>3599.5419999999999</v>
      </c>
      <c r="P40" s="69">
        <f t="shared" si="5"/>
        <v>0</v>
      </c>
      <c r="Q40" s="69">
        <f t="shared" si="10"/>
        <v>67.642400000000009</v>
      </c>
      <c r="R40" s="69">
        <f t="shared" si="11"/>
        <v>0</v>
      </c>
      <c r="S40" s="69">
        <f t="shared" si="11"/>
        <v>0.24882739999999998</v>
      </c>
      <c r="T40" s="69">
        <f t="shared" si="11"/>
        <v>0</v>
      </c>
      <c r="U40" s="69">
        <f t="shared" si="11"/>
        <v>0</v>
      </c>
      <c r="AB40" s="51"/>
      <c r="AC40" s="51"/>
      <c r="AD40" s="51"/>
      <c r="AE40" s="51"/>
      <c r="AF40" s="51"/>
      <c r="AG40" s="51"/>
      <c r="AH40" s="51"/>
      <c r="AI40" s="51"/>
    </row>
    <row r="41" spans="1:35" s="64" customFormat="1" x14ac:dyDescent="0.25">
      <c r="A41" s="13">
        <f>M8</f>
        <v>11</v>
      </c>
      <c r="B41" s="15">
        <v>47</v>
      </c>
      <c r="C41" s="69">
        <f t="shared" si="6"/>
        <v>91.679610000000011</v>
      </c>
      <c r="D41" s="69">
        <f t="shared" si="7"/>
        <v>74.717070300000003</v>
      </c>
      <c r="E41" s="69">
        <f t="shared" si="8"/>
        <v>14.555195000000001</v>
      </c>
      <c r="F41" s="69">
        <f t="shared" si="9"/>
        <v>58.278517619999995</v>
      </c>
      <c r="G41" s="69">
        <f t="shared" si="5"/>
        <v>0.45417040000000003</v>
      </c>
      <c r="H41" s="69">
        <f t="shared" si="5"/>
        <v>0</v>
      </c>
      <c r="I41" s="69">
        <f t="shared" si="5"/>
        <v>0.5737525</v>
      </c>
      <c r="J41" s="69">
        <f t="shared" si="5"/>
        <v>4.1068600000000004E-3</v>
      </c>
      <c r="K41" s="69">
        <f t="shared" si="5"/>
        <v>2.4158000000000001E-3</v>
      </c>
      <c r="L41" s="69">
        <f t="shared" si="5"/>
        <v>0.30197499999999999</v>
      </c>
      <c r="M41" s="69">
        <f t="shared" si="5"/>
        <v>0.26453009999999999</v>
      </c>
      <c r="N41" s="69">
        <f t="shared" si="5"/>
        <v>148.57170000000002</v>
      </c>
      <c r="O41" s="69">
        <f t="shared" si="5"/>
        <v>3599.5419999999999</v>
      </c>
      <c r="P41" s="69">
        <f t="shared" si="5"/>
        <v>0</v>
      </c>
      <c r="Q41" s="69">
        <f t="shared" si="10"/>
        <v>67.642400000000009</v>
      </c>
      <c r="R41" s="69">
        <f t="shared" si="11"/>
        <v>0</v>
      </c>
      <c r="S41" s="69">
        <f t="shared" si="11"/>
        <v>0.24882739999999998</v>
      </c>
      <c r="T41" s="69">
        <f t="shared" si="11"/>
        <v>0</v>
      </c>
      <c r="U41" s="69">
        <f t="shared" si="11"/>
        <v>0</v>
      </c>
      <c r="AB41" s="51"/>
      <c r="AC41" s="51"/>
      <c r="AD41" s="51"/>
      <c r="AE41" s="51"/>
      <c r="AF41" s="51"/>
      <c r="AG41" s="51"/>
      <c r="AH41" s="51"/>
      <c r="AI41" s="51"/>
    </row>
    <row r="42" spans="1:35" s="64" customFormat="1" x14ac:dyDescent="0.25">
      <c r="A42" s="13">
        <f>N8</f>
        <v>12</v>
      </c>
      <c r="B42" s="15">
        <v>47</v>
      </c>
      <c r="C42" s="69">
        <f t="shared" si="6"/>
        <v>91.679610000000011</v>
      </c>
      <c r="D42" s="69">
        <f t="shared" si="7"/>
        <v>74.717070300000003</v>
      </c>
      <c r="E42" s="69">
        <f t="shared" si="8"/>
        <v>14.555195000000001</v>
      </c>
      <c r="F42" s="69">
        <f t="shared" si="9"/>
        <v>58.278517619999995</v>
      </c>
      <c r="G42" s="69">
        <f t="shared" si="5"/>
        <v>0.45417040000000003</v>
      </c>
      <c r="H42" s="69">
        <f t="shared" si="5"/>
        <v>0</v>
      </c>
      <c r="I42" s="69">
        <f t="shared" si="5"/>
        <v>0.5737525</v>
      </c>
      <c r="J42" s="69">
        <f t="shared" si="5"/>
        <v>4.1068600000000004E-3</v>
      </c>
      <c r="K42" s="69">
        <f t="shared" si="5"/>
        <v>2.4158000000000001E-3</v>
      </c>
      <c r="L42" s="69">
        <f t="shared" si="5"/>
        <v>0.30197499999999999</v>
      </c>
      <c r="M42" s="69">
        <f t="shared" si="5"/>
        <v>0.26453009999999999</v>
      </c>
      <c r="N42" s="69">
        <f t="shared" si="5"/>
        <v>148.57170000000002</v>
      </c>
      <c r="O42" s="69">
        <f t="shared" si="5"/>
        <v>3599.5419999999999</v>
      </c>
      <c r="P42" s="69">
        <f t="shared" si="5"/>
        <v>0</v>
      </c>
      <c r="Q42" s="69">
        <f t="shared" si="10"/>
        <v>67.642400000000009</v>
      </c>
      <c r="R42" s="69">
        <f t="shared" si="11"/>
        <v>0</v>
      </c>
      <c r="S42" s="69">
        <f t="shared" si="11"/>
        <v>0.24882739999999998</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"&amp;(VLOOKUP(C14,Table24581113[],6,FALSE))</f>
        <v>#N/A</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90" t="s">
        <v>130</v>
      </c>
      <c r="B59" s="68" t="e">
        <f>VLOOKUP(C$14,Table24581113[],5,FALSE)</f>
        <v>#N/A</v>
      </c>
      <c r="C59" s="68">
        <f>VLOOKUP(D$14,Table24581113[],5,FALSE)</f>
        <v>6.2</v>
      </c>
      <c r="D59" s="68">
        <f>VLOOKUP(E$14,Table24581113[],5,FALSE)</f>
        <v>6.2</v>
      </c>
      <c r="E59" s="68">
        <f>VLOOKUP(F$14,Table24581113[],5,FALSE)</f>
        <v>6.2</v>
      </c>
      <c r="F59" s="68">
        <f>VLOOKUP(G$14,Table24581113[],5,FALSE)</f>
        <v>6.2</v>
      </c>
      <c r="G59" s="68">
        <f>VLOOKUP(H$14,Table24581113[],5,FALSE)</f>
        <v>6.2</v>
      </c>
      <c r="H59" s="68">
        <f>VLOOKUP(I$14,Table24581113[],5,FALSE)</f>
        <v>6.2</v>
      </c>
      <c r="I59" s="68">
        <f>VLOOKUP(J$14,Table24581113[],5,FALSE)</f>
        <v>6.2</v>
      </c>
      <c r="J59" s="68">
        <f>VLOOKUP(K$14,Table24581113[],5,FALSE)</f>
        <v>6.2</v>
      </c>
      <c r="K59" s="68">
        <f>VLOOKUP(L$14,Table24581113[],5,FALSE)</f>
        <v>6.2</v>
      </c>
      <c r="L59" s="68">
        <f>VLOOKUP(M$14,Table24581113[],5,FALSE)</f>
        <v>6.2</v>
      </c>
      <c r="M59" s="68">
        <f>VLOOKUP(N$14,Table24581113[],5,FALSE)</f>
        <v>6.2</v>
      </c>
      <c r="N59" s="68" t="e">
        <f>VLOOKUP(O$14,Table24581113[],5,FALSE)</f>
        <v>#N/A</v>
      </c>
      <c r="O59" s="68" t="e">
        <f>VLOOKUP(P$14,Table24581113[],5,FALSE)</f>
        <v>#N/A</v>
      </c>
      <c r="P59" s="68" t="e">
        <f>VLOOKUP(Q$14,Table24581113[],5,FALSE)</f>
        <v>#N/A</v>
      </c>
      <c r="Q59" s="68" t="e">
        <f>VLOOKUP(R$14,Table24581113[],5,FALSE)</f>
        <v>#N/A</v>
      </c>
      <c r="R59" s="68" t="e">
        <f>VLOOKUP(S$14,Table24581113[],5,FALSE)</f>
        <v>#N/A</v>
      </c>
      <c r="S59" s="68" t="e">
        <f>VLOOKUP(T$14,Table24581113[],5,FALSE)</f>
        <v>#N/A</v>
      </c>
      <c r="T59" s="68" t="e">
        <f>VLOOKUP(U$14,Table24581113[],5,FALSE)</f>
        <v>#N/A</v>
      </c>
      <c r="U59" s="68" t="e">
        <f>VLOOKUP(V$14,Table24581113[],5,FALSE)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47</v>
      </c>
      <c r="D62" s="69">
        <f>B33</f>
        <v>47</v>
      </c>
      <c r="E62" s="69">
        <f>B34</f>
        <v>47</v>
      </c>
      <c r="F62" s="69">
        <f>B35</f>
        <v>47</v>
      </c>
      <c r="G62" s="69">
        <f>B36</f>
        <v>47</v>
      </c>
      <c r="H62" s="69">
        <f>B37</f>
        <v>47</v>
      </c>
      <c r="I62" s="69">
        <f>B38</f>
        <v>47</v>
      </c>
      <c r="J62" s="69">
        <f>B39</f>
        <v>47</v>
      </c>
      <c r="K62" s="69">
        <f>B40</f>
        <v>47</v>
      </c>
      <c r="L62" s="69">
        <f>B41</f>
        <v>47</v>
      </c>
      <c r="M62" s="69">
        <f>B42</f>
        <v>47</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2" operator="equal">
      <formula>"DECREASE"</formula>
    </cfRule>
    <cfRule type="cellIs" dxfId="124" priority="33" operator="equal">
      <formula>"INCREASE"</formula>
    </cfRule>
  </conditionalFormatting>
  <conditionalFormatting sqref="B62:U66 B31:B50">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6.7</v>
      </c>
      <c r="J1" s="98" t="s">
        <v>150</v>
      </c>
      <c r="K1" s="98"/>
      <c r="L1" s="76">
        <v>354</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c r="J2" s="98" t="s">
        <v>151</v>
      </c>
      <c r="K2" s="98"/>
      <c r="L2" s="76">
        <v>13900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2.5467625899280573</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169</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46.867559749999984</v>
      </c>
      <c r="E18" s="16">
        <f>$D33</f>
        <v>46.867559749999984</v>
      </c>
      <c r="F18" s="16">
        <f>$D34</f>
        <v>46.867559749999984</v>
      </c>
      <c r="G18" s="16">
        <f>$D35</f>
        <v>46.867559749999984</v>
      </c>
      <c r="H18" s="16">
        <f>$D36</f>
        <v>46.867559749999984</v>
      </c>
      <c r="I18" s="16">
        <f>$D37</f>
        <v>46.867559749999984</v>
      </c>
      <c r="J18" s="16">
        <f>$D38</f>
        <v>46.867559749999984</v>
      </c>
      <c r="K18" s="16">
        <f>$D39</f>
        <v>46.867559749999984</v>
      </c>
      <c r="L18" s="16">
        <f>$D40</f>
        <v>0</v>
      </c>
      <c r="M18" s="16">
        <f>$D41</f>
        <v>46.867559749999984</v>
      </c>
      <c r="N18" s="16">
        <f>$D42</f>
        <v>46.867559749999984</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-29.632440250000016</v>
      </c>
      <c r="E19" s="16">
        <f t="shared" si="1"/>
        <v>-29.632440250000016</v>
      </c>
      <c r="F19" s="16">
        <f t="shared" si="1"/>
        <v>-29.632440250000016</v>
      </c>
      <c r="G19" s="16">
        <f t="shared" si="1"/>
        <v>-29.632440250000016</v>
      </c>
      <c r="H19" s="16">
        <f t="shared" si="1"/>
        <v>-29.632440250000016</v>
      </c>
      <c r="I19" s="16">
        <f t="shared" si="1"/>
        <v>-29.632440250000016</v>
      </c>
      <c r="J19" s="16">
        <f t="shared" si="1"/>
        <v>-29.632440250000016</v>
      </c>
      <c r="K19" s="16">
        <f t="shared" si="1"/>
        <v>-29.632440250000016</v>
      </c>
      <c r="L19" s="16">
        <f t="shared" si="1"/>
        <v>-76.5</v>
      </c>
      <c r="M19" s="16">
        <f t="shared" si="1"/>
        <v>-29.632440250000016</v>
      </c>
      <c r="N19" s="16">
        <f t="shared" si="1"/>
        <v>-29.632440250000016</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4.9458321249999999</v>
      </c>
      <c r="E22" s="16">
        <f>$E33</f>
        <v>4.9458321249999999</v>
      </c>
      <c r="F22" s="16">
        <f>$E34</f>
        <v>4.9458321249999999</v>
      </c>
      <c r="G22" s="16">
        <f>$E35</f>
        <v>4.9458321249999999</v>
      </c>
      <c r="H22" s="16">
        <f>$E36</f>
        <v>4.9458321249999999</v>
      </c>
      <c r="I22" s="16">
        <f>$E37</f>
        <v>4.9458321249999999</v>
      </c>
      <c r="J22" s="16">
        <f>$E38</f>
        <v>4.9458321249999999</v>
      </c>
      <c r="K22" s="16">
        <f>$E39</f>
        <v>4.9458321249999999</v>
      </c>
      <c r="L22" s="16">
        <f>$E40</f>
        <v>0</v>
      </c>
      <c r="M22" s="16">
        <f>$E41</f>
        <v>4.9458321249999999</v>
      </c>
      <c r="N22" s="16">
        <f>$E42</f>
        <v>4.9458321249999999</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-265.05416787500002</v>
      </c>
      <c r="E23" s="16">
        <f t="shared" si="3"/>
        <v>-265.05416787500002</v>
      </c>
      <c r="F23" s="16">
        <f t="shared" si="3"/>
        <v>-265.05416787500002</v>
      </c>
      <c r="G23" s="16">
        <f t="shared" si="3"/>
        <v>-265.05416787500002</v>
      </c>
      <c r="H23" s="16">
        <f t="shared" si="3"/>
        <v>-265.05416787500002</v>
      </c>
      <c r="I23" s="16">
        <f t="shared" si="3"/>
        <v>-265.05416787500002</v>
      </c>
      <c r="J23" s="16">
        <f t="shared" si="3"/>
        <v>-265.05416787500002</v>
      </c>
      <c r="K23" s="16">
        <f t="shared" si="3"/>
        <v>-265.05416787500002</v>
      </c>
      <c r="L23" s="16">
        <f t="shared" si="3"/>
        <v>-270</v>
      </c>
      <c r="M23" s="16">
        <f t="shared" si="3"/>
        <v>-265.05416787500002</v>
      </c>
      <c r="N23" s="16">
        <f t="shared" si="3"/>
        <v>-265.05416787500002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t="s">
        <v>55</v>
      </c>
      <c r="Q27" s="86" t="s">
        <v>55</v>
      </c>
      <c r="R27" s="86" t="s">
        <v>55</v>
      </c>
      <c r="S27" s="86" t="s">
        <v>55</v>
      </c>
      <c r="T27" s="86" t="s">
        <v>55</v>
      </c>
      <c r="U27" s="86" t="s">
        <v>55</v>
      </c>
    </row>
    <row r="28" spans="1:40" s="49" customFormat="1" x14ac:dyDescent="0.25">
      <c r="A28" s="87"/>
      <c r="B28" s="23">
        <v>1.73</v>
      </c>
      <c r="C28" s="15">
        <v>1.39</v>
      </c>
      <c r="D28" s="15">
        <v>0.47299999999999998</v>
      </c>
      <c r="E28" s="15">
        <v>9.4899999999999998E-2</v>
      </c>
      <c r="F28" s="15">
        <v>570</v>
      </c>
      <c r="G28" s="15">
        <v>29.1</v>
      </c>
      <c r="H28" s="15">
        <v>225</v>
      </c>
      <c r="I28" s="15">
        <v>7.49</v>
      </c>
      <c r="J28" s="15">
        <v>0.98</v>
      </c>
      <c r="K28" s="22">
        <v>1.1599999999999999</v>
      </c>
      <c r="L28" s="15">
        <v>13.9</v>
      </c>
      <c r="M28" s="15">
        <v>3.92</v>
      </c>
      <c r="N28" s="15">
        <v>173000</v>
      </c>
      <c r="O28" s="15">
        <v>13900</v>
      </c>
      <c r="P28" s="15"/>
      <c r="Q28" s="15">
        <v>11800</v>
      </c>
      <c r="R28" s="15"/>
      <c r="S28" s="15">
        <v>17.3</v>
      </c>
      <c r="T28" s="15"/>
      <c r="U28" s="15"/>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60.117499999999993</v>
      </c>
      <c r="D32" s="69">
        <f t="shared" ref="D32:D50" si="7">(IF(D$27="%w/w SAR",((D$28*10)*$B32),IF(D$27="%w/w DM",(((D$28*10)*($B$28/100))*$B32),IF(D$27="kg/t SAR",(D$28*$B32),IF(D$27="kg/t DM",((D$28*($B$28/100))*$B32),IF(D$27="mg/kg SAR",((D$28*0.001)*$B32),IF(D$27="mg/kg DM",(((D$28*0.001)*($B$28/100))*$B32),"0")))))))*2.291</f>
        <v>46.867559749999984</v>
      </c>
      <c r="E32" s="69">
        <f t="shared" ref="E32:E50" si="8">(IF(E$27="%w/w SAR",((E$28*10)*$B32),IF(E$27="%w/w DM",(((E$28*10)*($B$28/100))*$B32),IF(E$27="kg/t SAR",(E$28*$B32),IF(E$27="kg/t DM",((E$28*($B$28/100))*$B32),IF(E$27="mg/kg SAR",((E$28*0.001)*$B32),IF(E$27="mg/kg DM",(((E$28*0.001)*($B$28/100))*$B32),"0")))))))*1.205</f>
        <v>4.9458321249999999</v>
      </c>
      <c r="F32" s="69">
        <f t="shared" ref="F32:F50" si="9">(IF(F$27="%w/w SAR",((F$28*10)*$B32),IF(F$27="%w/w DM",(((F$28*10)*($B$28/100))*$B32),IF(F$27="kg/t SAR",(F$28*$B32),IF(F$27="kg/t DM",((F$28*($B$28/100))*$B32),IF(F$27="mg/kg SAR",((F$28*0.001)*$B32),IF(F$27="mg/kg DM",(((F$28*0.001)*($B$28/100))*$B32),"0")))))))*1.658</f>
        <v>4.0873844999999998</v>
      </c>
      <c r="G32" s="69">
        <f t="shared" si="5"/>
        <v>0.12585750000000001</v>
      </c>
      <c r="H32" s="69">
        <f t="shared" si="5"/>
        <v>0.97312500000000002</v>
      </c>
      <c r="I32" s="69">
        <f t="shared" si="5"/>
        <v>3.2394249999999999E-2</v>
      </c>
      <c r="J32" s="69">
        <f t="shared" si="5"/>
        <v>4.2384999999999992E-3</v>
      </c>
      <c r="K32" s="69">
        <f t="shared" si="5"/>
        <v>5.0169999999999998E-3</v>
      </c>
      <c r="L32" s="69">
        <f t="shared" si="5"/>
        <v>6.0117500000000004E-2</v>
      </c>
      <c r="M32" s="69">
        <f t="shared" si="5"/>
        <v>1.6953999999999997E-2</v>
      </c>
      <c r="N32" s="69">
        <f t="shared" si="5"/>
        <v>748.22500000000002</v>
      </c>
      <c r="O32" s="69">
        <f t="shared" si="5"/>
        <v>60.1175</v>
      </c>
      <c r="P32" s="69">
        <f t="shared" si="5"/>
        <v>0</v>
      </c>
      <c r="Q32" s="69">
        <f t="shared" ref="Q32:Q50" si="10">(IF(Q$27="%w/w SAR",((Q$28*10)*$B32),IF(Q$27="%w/w DM",(((Q$28*10)*($B$28/100))*$B32),IF(Q$27="kg/t SAR",(Q$28*$B32),IF(Q$27="kg/t DM",((Q$28*($B$28/100))*$B32),IF(Q$27="mg/kg SAR",((Q$28*0.001)*$B32),IF(Q$27="mg/kg DM",(((Q$28*0.001)*($B$28/100))*$B32),0)))))))*2.5</f>
        <v>127.58750000000001</v>
      </c>
      <c r="R32" s="69">
        <f t="shared" ref="R32:U50" si="11">IF(R$27="%w/w SAR",((R$28*10)*$B32),IF(R$27="%w/w DM",(((R$28*10)*($B$28/100))*$B32),IF(R$27="kg/t SAR",(R$28*$B32),IF(R$27="kg/t DM",((R$28*($B$28/100))*$B32),IF(R$27="mg/kg SAR",((R$28*0.001)*$B32),IF(R$27="mg/kg DM",(((R$28*0.001)*($B$28/100))*$B32),0))))))</f>
        <v>0</v>
      </c>
      <c r="S32" s="69">
        <f t="shared" si="11"/>
        <v>7.4822499999999986E-2</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60.117499999999993</v>
      </c>
      <c r="D33" s="69">
        <f t="shared" si="7"/>
        <v>46.867559749999984</v>
      </c>
      <c r="E33" s="69">
        <f t="shared" si="8"/>
        <v>4.9458321249999999</v>
      </c>
      <c r="F33" s="69">
        <f t="shared" si="9"/>
        <v>4.0873844999999998</v>
      </c>
      <c r="G33" s="69">
        <f t="shared" si="5"/>
        <v>0.12585750000000001</v>
      </c>
      <c r="H33" s="69">
        <f t="shared" si="5"/>
        <v>0.97312500000000002</v>
      </c>
      <c r="I33" s="69">
        <f t="shared" si="5"/>
        <v>3.2394249999999999E-2</v>
      </c>
      <c r="J33" s="69">
        <f t="shared" si="5"/>
        <v>4.2384999999999992E-3</v>
      </c>
      <c r="K33" s="69">
        <f t="shared" si="5"/>
        <v>5.0169999999999998E-3</v>
      </c>
      <c r="L33" s="69">
        <f t="shared" si="5"/>
        <v>6.0117500000000004E-2</v>
      </c>
      <c r="M33" s="69">
        <f t="shared" si="5"/>
        <v>1.6953999999999997E-2</v>
      </c>
      <c r="N33" s="69">
        <f t="shared" si="5"/>
        <v>748.22500000000002</v>
      </c>
      <c r="O33" s="69">
        <f t="shared" si="5"/>
        <v>60.1175</v>
      </c>
      <c r="P33" s="69">
        <f t="shared" si="5"/>
        <v>0</v>
      </c>
      <c r="Q33" s="69">
        <f t="shared" si="10"/>
        <v>127.58750000000001</v>
      </c>
      <c r="R33" s="69">
        <f t="shared" si="11"/>
        <v>0</v>
      </c>
      <c r="S33" s="69">
        <f t="shared" si="11"/>
        <v>7.4822499999999986E-2</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60.117499999999993</v>
      </c>
      <c r="D34" s="69">
        <f t="shared" si="7"/>
        <v>46.867559749999984</v>
      </c>
      <c r="E34" s="69">
        <f t="shared" si="8"/>
        <v>4.9458321249999999</v>
      </c>
      <c r="F34" s="69">
        <f t="shared" si="9"/>
        <v>4.0873844999999998</v>
      </c>
      <c r="G34" s="69">
        <f t="shared" si="5"/>
        <v>0.12585750000000001</v>
      </c>
      <c r="H34" s="69">
        <f t="shared" si="5"/>
        <v>0.97312500000000002</v>
      </c>
      <c r="I34" s="69">
        <f t="shared" si="5"/>
        <v>3.2394249999999999E-2</v>
      </c>
      <c r="J34" s="69">
        <f t="shared" si="5"/>
        <v>4.2384999999999992E-3</v>
      </c>
      <c r="K34" s="69">
        <f t="shared" si="5"/>
        <v>5.0169999999999998E-3</v>
      </c>
      <c r="L34" s="69">
        <f t="shared" si="5"/>
        <v>6.0117500000000004E-2</v>
      </c>
      <c r="M34" s="69">
        <f t="shared" si="5"/>
        <v>1.6953999999999997E-2</v>
      </c>
      <c r="N34" s="69">
        <f t="shared" si="5"/>
        <v>748.22500000000002</v>
      </c>
      <c r="O34" s="69">
        <f t="shared" si="5"/>
        <v>60.1175</v>
      </c>
      <c r="P34" s="69">
        <f t="shared" si="5"/>
        <v>0</v>
      </c>
      <c r="Q34" s="69">
        <f t="shared" si="10"/>
        <v>127.58750000000001</v>
      </c>
      <c r="R34" s="69">
        <f t="shared" si="11"/>
        <v>0</v>
      </c>
      <c r="S34" s="69">
        <f t="shared" si="11"/>
        <v>7.4822499999999986E-2</v>
      </c>
      <c r="T34" s="69">
        <f t="shared" si="11"/>
        <v>0</v>
      </c>
      <c r="U34" s="69">
        <f t="shared" si="11"/>
        <v>0</v>
      </c>
      <c r="AB34" s="51"/>
      <c r="AC34" s="51"/>
      <c r="AD34" s="51"/>
      <c r="AE34" s="51"/>
      <c r="AF34" s="51"/>
      <c r="AG34" s="51"/>
      <c r="AH34" s="51"/>
      <c r="AI34" s="51"/>
    </row>
    <row r="35" spans="1:35" s="64" customFormat="1" x14ac:dyDescent="0.25">
      <c r="A35" s="13" t="str">
        <f>G8</f>
        <v>5a</v>
      </c>
      <c r="B35" s="15">
        <v>250</v>
      </c>
      <c r="C35" s="69">
        <f t="shared" si="6"/>
        <v>60.117499999999993</v>
      </c>
      <c r="D35" s="69">
        <f t="shared" si="7"/>
        <v>46.867559749999984</v>
      </c>
      <c r="E35" s="69">
        <f t="shared" si="8"/>
        <v>4.9458321249999999</v>
      </c>
      <c r="F35" s="69">
        <f t="shared" si="9"/>
        <v>4.0873844999999998</v>
      </c>
      <c r="G35" s="69">
        <f t="shared" si="5"/>
        <v>0.12585750000000001</v>
      </c>
      <c r="H35" s="69">
        <f t="shared" si="5"/>
        <v>0.97312500000000002</v>
      </c>
      <c r="I35" s="69">
        <f t="shared" si="5"/>
        <v>3.2394249999999999E-2</v>
      </c>
      <c r="J35" s="69">
        <f t="shared" si="5"/>
        <v>4.2384999999999992E-3</v>
      </c>
      <c r="K35" s="69">
        <f t="shared" si="5"/>
        <v>5.0169999999999998E-3</v>
      </c>
      <c r="L35" s="69">
        <f t="shared" si="5"/>
        <v>6.0117500000000004E-2</v>
      </c>
      <c r="M35" s="69">
        <f t="shared" si="5"/>
        <v>1.6953999999999997E-2</v>
      </c>
      <c r="N35" s="69">
        <f t="shared" si="5"/>
        <v>748.22500000000002</v>
      </c>
      <c r="O35" s="69">
        <f t="shared" si="5"/>
        <v>60.1175</v>
      </c>
      <c r="P35" s="69">
        <f t="shared" si="5"/>
        <v>0</v>
      </c>
      <c r="Q35" s="69">
        <f t="shared" si="10"/>
        <v>127.58750000000001</v>
      </c>
      <c r="R35" s="69">
        <f t="shared" si="11"/>
        <v>0</v>
      </c>
      <c r="S35" s="69">
        <f t="shared" si="11"/>
        <v>7.4822499999999986E-2</v>
      </c>
      <c r="T35" s="69">
        <f t="shared" si="11"/>
        <v>0</v>
      </c>
      <c r="U35" s="69">
        <f t="shared" si="11"/>
        <v>0</v>
      </c>
      <c r="AB35" s="51"/>
      <c r="AC35" s="51"/>
      <c r="AD35" s="51"/>
      <c r="AE35" s="51"/>
      <c r="AF35" s="51"/>
      <c r="AG35" s="51"/>
      <c r="AH35" s="51"/>
      <c r="AI35" s="51"/>
    </row>
    <row r="36" spans="1:35" s="64" customFormat="1" x14ac:dyDescent="0.25">
      <c r="A36" s="13" t="str">
        <f>H8</f>
        <v>5b</v>
      </c>
      <c r="B36" s="15">
        <v>250</v>
      </c>
      <c r="C36" s="69">
        <f t="shared" si="6"/>
        <v>60.117499999999993</v>
      </c>
      <c r="D36" s="69">
        <f t="shared" si="7"/>
        <v>46.867559749999984</v>
      </c>
      <c r="E36" s="69">
        <f t="shared" si="8"/>
        <v>4.9458321249999999</v>
      </c>
      <c r="F36" s="69">
        <f t="shared" si="9"/>
        <v>4.0873844999999998</v>
      </c>
      <c r="G36" s="69">
        <f t="shared" si="5"/>
        <v>0.12585750000000001</v>
      </c>
      <c r="H36" s="69">
        <f t="shared" si="5"/>
        <v>0.97312500000000002</v>
      </c>
      <c r="I36" s="69">
        <f t="shared" si="5"/>
        <v>3.2394249999999999E-2</v>
      </c>
      <c r="J36" s="69">
        <f t="shared" si="5"/>
        <v>4.2384999999999992E-3</v>
      </c>
      <c r="K36" s="69">
        <f t="shared" si="5"/>
        <v>5.0169999999999998E-3</v>
      </c>
      <c r="L36" s="69">
        <f t="shared" si="5"/>
        <v>6.0117500000000004E-2</v>
      </c>
      <c r="M36" s="69">
        <f t="shared" si="5"/>
        <v>1.6953999999999997E-2</v>
      </c>
      <c r="N36" s="69">
        <f t="shared" si="5"/>
        <v>748.22500000000002</v>
      </c>
      <c r="O36" s="69">
        <f t="shared" si="5"/>
        <v>60.1175</v>
      </c>
      <c r="P36" s="69">
        <f t="shared" si="5"/>
        <v>0</v>
      </c>
      <c r="Q36" s="69">
        <f t="shared" si="10"/>
        <v>127.58750000000001</v>
      </c>
      <c r="R36" s="69">
        <f t="shared" si="11"/>
        <v>0</v>
      </c>
      <c r="S36" s="69">
        <f t="shared" si="11"/>
        <v>7.4822499999999986E-2</v>
      </c>
      <c r="T36" s="69">
        <f t="shared" si="11"/>
        <v>0</v>
      </c>
      <c r="U36" s="69">
        <f t="shared" si="11"/>
        <v>0</v>
      </c>
      <c r="AB36" s="51"/>
      <c r="AC36" s="51"/>
      <c r="AD36" s="51"/>
      <c r="AE36" s="51"/>
      <c r="AF36" s="51"/>
      <c r="AG36" s="51"/>
      <c r="AH36" s="51"/>
      <c r="AI36" s="51"/>
    </row>
    <row r="37" spans="1:35" s="64" customFormat="1" x14ac:dyDescent="0.25">
      <c r="A37" s="13">
        <f>I8</f>
        <v>6</v>
      </c>
      <c r="B37" s="15">
        <v>250</v>
      </c>
      <c r="C37" s="69">
        <f t="shared" si="6"/>
        <v>60.117499999999993</v>
      </c>
      <c r="D37" s="69">
        <f t="shared" si="7"/>
        <v>46.867559749999984</v>
      </c>
      <c r="E37" s="69">
        <f t="shared" si="8"/>
        <v>4.9458321249999999</v>
      </c>
      <c r="F37" s="69">
        <f t="shared" si="9"/>
        <v>4.0873844999999998</v>
      </c>
      <c r="G37" s="69">
        <f t="shared" si="5"/>
        <v>0.12585750000000001</v>
      </c>
      <c r="H37" s="69">
        <f t="shared" si="5"/>
        <v>0.97312500000000002</v>
      </c>
      <c r="I37" s="69">
        <f t="shared" si="5"/>
        <v>3.2394249999999999E-2</v>
      </c>
      <c r="J37" s="69">
        <f t="shared" si="5"/>
        <v>4.2384999999999992E-3</v>
      </c>
      <c r="K37" s="69">
        <f t="shared" si="5"/>
        <v>5.0169999999999998E-3</v>
      </c>
      <c r="L37" s="69">
        <f t="shared" si="5"/>
        <v>6.0117500000000004E-2</v>
      </c>
      <c r="M37" s="69">
        <f t="shared" si="5"/>
        <v>1.6953999999999997E-2</v>
      </c>
      <c r="N37" s="69">
        <f t="shared" si="5"/>
        <v>748.22500000000002</v>
      </c>
      <c r="O37" s="69">
        <f t="shared" si="5"/>
        <v>60.1175</v>
      </c>
      <c r="P37" s="69">
        <f t="shared" si="5"/>
        <v>0</v>
      </c>
      <c r="Q37" s="69">
        <f t="shared" si="10"/>
        <v>127.58750000000001</v>
      </c>
      <c r="R37" s="69">
        <f t="shared" si="11"/>
        <v>0</v>
      </c>
      <c r="S37" s="69">
        <f t="shared" si="11"/>
        <v>7.4822499999999986E-2</v>
      </c>
      <c r="T37" s="69">
        <f t="shared" si="11"/>
        <v>0</v>
      </c>
      <c r="U37" s="69">
        <f t="shared" si="11"/>
        <v>0</v>
      </c>
      <c r="AB37" s="51"/>
      <c r="AC37" s="51"/>
      <c r="AD37" s="51"/>
      <c r="AE37" s="51"/>
      <c r="AF37" s="51"/>
      <c r="AG37" s="51"/>
      <c r="AH37" s="51"/>
      <c r="AI37" s="51"/>
    </row>
    <row r="38" spans="1:35" s="64" customFormat="1" x14ac:dyDescent="0.25">
      <c r="A38" s="13">
        <f>J8</f>
        <v>7</v>
      </c>
      <c r="B38" s="15">
        <v>250</v>
      </c>
      <c r="C38" s="69">
        <f t="shared" si="6"/>
        <v>60.117499999999993</v>
      </c>
      <c r="D38" s="69">
        <f t="shared" si="7"/>
        <v>46.867559749999984</v>
      </c>
      <c r="E38" s="69">
        <f t="shared" si="8"/>
        <v>4.9458321249999999</v>
      </c>
      <c r="F38" s="69">
        <f t="shared" si="9"/>
        <v>4.0873844999999998</v>
      </c>
      <c r="G38" s="69">
        <f t="shared" si="5"/>
        <v>0.12585750000000001</v>
      </c>
      <c r="H38" s="69">
        <f t="shared" si="5"/>
        <v>0.97312500000000002</v>
      </c>
      <c r="I38" s="69">
        <f t="shared" si="5"/>
        <v>3.2394249999999999E-2</v>
      </c>
      <c r="J38" s="69">
        <f t="shared" si="5"/>
        <v>4.2384999999999992E-3</v>
      </c>
      <c r="K38" s="69">
        <f t="shared" si="5"/>
        <v>5.0169999999999998E-3</v>
      </c>
      <c r="L38" s="69">
        <f t="shared" si="5"/>
        <v>6.0117500000000004E-2</v>
      </c>
      <c r="M38" s="69">
        <f t="shared" si="5"/>
        <v>1.6953999999999997E-2</v>
      </c>
      <c r="N38" s="69">
        <f t="shared" si="5"/>
        <v>748.22500000000002</v>
      </c>
      <c r="O38" s="69">
        <f t="shared" si="5"/>
        <v>60.1175</v>
      </c>
      <c r="P38" s="69">
        <f t="shared" si="5"/>
        <v>0</v>
      </c>
      <c r="Q38" s="69">
        <f t="shared" si="10"/>
        <v>127.58750000000001</v>
      </c>
      <c r="R38" s="69">
        <f t="shared" si="11"/>
        <v>0</v>
      </c>
      <c r="S38" s="69">
        <f t="shared" si="11"/>
        <v>7.4822499999999986E-2</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60.117499999999993</v>
      </c>
      <c r="D39" s="69">
        <f t="shared" si="7"/>
        <v>46.867559749999984</v>
      </c>
      <c r="E39" s="69">
        <f t="shared" si="8"/>
        <v>4.9458321249999999</v>
      </c>
      <c r="F39" s="69">
        <f t="shared" si="9"/>
        <v>4.0873844999999998</v>
      </c>
      <c r="G39" s="69">
        <f t="shared" si="5"/>
        <v>0.12585750000000001</v>
      </c>
      <c r="H39" s="69">
        <f t="shared" si="5"/>
        <v>0.97312500000000002</v>
      </c>
      <c r="I39" s="69">
        <f t="shared" si="5"/>
        <v>3.2394249999999999E-2</v>
      </c>
      <c r="J39" s="69">
        <f t="shared" si="5"/>
        <v>4.2384999999999992E-3</v>
      </c>
      <c r="K39" s="69">
        <f t="shared" si="5"/>
        <v>5.0169999999999998E-3</v>
      </c>
      <c r="L39" s="69">
        <f t="shared" si="5"/>
        <v>6.0117500000000004E-2</v>
      </c>
      <c r="M39" s="69">
        <f t="shared" si="5"/>
        <v>1.6953999999999997E-2</v>
      </c>
      <c r="N39" s="69">
        <f t="shared" si="5"/>
        <v>748.22500000000002</v>
      </c>
      <c r="O39" s="69">
        <f t="shared" si="5"/>
        <v>60.1175</v>
      </c>
      <c r="P39" s="69">
        <f t="shared" si="5"/>
        <v>0</v>
      </c>
      <c r="Q39" s="69">
        <f t="shared" si="10"/>
        <v>127.58750000000001</v>
      </c>
      <c r="R39" s="69">
        <f t="shared" si="11"/>
        <v>0</v>
      </c>
      <c r="S39" s="69">
        <f t="shared" si="11"/>
        <v>7.4822499999999986E-2</v>
      </c>
      <c r="T39" s="69">
        <f t="shared" si="11"/>
        <v>0</v>
      </c>
      <c r="U39" s="69">
        <f t="shared" si="11"/>
        <v>0</v>
      </c>
      <c r="AB39" s="51"/>
      <c r="AC39" s="51"/>
      <c r="AD39" s="51"/>
      <c r="AE39" s="51"/>
      <c r="AF39" s="51"/>
      <c r="AG39" s="51"/>
      <c r="AH39" s="51"/>
      <c r="AI39" s="51"/>
    </row>
    <row r="40" spans="1:35" s="64" customFormat="1" x14ac:dyDescent="0.25">
      <c r="A40" s="13">
        <f>L8</f>
        <v>10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11</v>
      </c>
      <c r="B41" s="15">
        <v>250</v>
      </c>
      <c r="C41" s="69">
        <f t="shared" si="6"/>
        <v>60.117499999999993</v>
      </c>
      <c r="D41" s="69">
        <f t="shared" si="7"/>
        <v>46.867559749999984</v>
      </c>
      <c r="E41" s="69">
        <f t="shared" si="8"/>
        <v>4.9458321249999999</v>
      </c>
      <c r="F41" s="69">
        <f t="shared" si="9"/>
        <v>4.0873844999999998</v>
      </c>
      <c r="G41" s="69">
        <f t="shared" si="5"/>
        <v>0.12585750000000001</v>
      </c>
      <c r="H41" s="69">
        <f t="shared" si="5"/>
        <v>0.97312500000000002</v>
      </c>
      <c r="I41" s="69">
        <f t="shared" si="5"/>
        <v>3.2394249999999999E-2</v>
      </c>
      <c r="J41" s="69">
        <f t="shared" si="5"/>
        <v>4.2384999999999992E-3</v>
      </c>
      <c r="K41" s="69">
        <f t="shared" si="5"/>
        <v>5.0169999999999998E-3</v>
      </c>
      <c r="L41" s="69">
        <f t="shared" si="5"/>
        <v>6.0117500000000004E-2</v>
      </c>
      <c r="M41" s="69">
        <f t="shared" si="5"/>
        <v>1.6953999999999997E-2</v>
      </c>
      <c r="N41" s="69">
        <f t="shared" si="5"/>
        <v>748.22500000000002</v>
      </c>
      <c r="O41" s="69">
        <f t="shared" si="5"/>
        <v>60.1175</v>
      </c>
      <c r="P41" s="69">
        <f t="shared" si="5"/>
        <v>0</v>
      </c>
      <c r="Q41" s="69">
        <f t="shared" si="10"/>
        <v>127.58750000000001</v>
      </c>
      <c r="R41" s="69">
        <f t="shared" si="11"/>
        <v>0</v>
      </c>
      <c r="S41" s="69">
        <f t="shared" si="11"/>
        <v>7.4822499999999986E-2</v>
      </c>
      <c r="T41" s="69">
        <f t="shared" si="11"/>
        <v>0</v>
      </c>
      <c r="U41" s="69">
        <f t="shared" si="11"/>
        <v>0</v>
      </c>
      <c r="AB41" s="51"/>
      <c r="AC41" s="51"/>
      <c r="AD41" s="51"/>
      <c r="AE41" s="51"/>
      <c r="AF41" s="51"/>
      <c r="AG41" s="51"/>
      <c r="AH41" s="51"/>
      <c r="AI41" s="51"/>
    </row>
    <row r="42" spans="1:35" s="64" customFormat="1" x14ac:dyDescent="0.25">
      <c r="A42" s="13">
        <f>N8</f>
        <v>12</v>
      </c>
      <c r="B42" s="15">
        <v>250</v>
      </c>
      <c r="C42" s="69">
        <f t="shared" si="6"/>
        <v>60.117499999999993</v>
      </c>
      <c r="D42" s="69">
        <f t="shared" si="7"/>
        <v>46.867559749999984</v>
      </c>
      <c r="E42" s="69">
        <f t="shared" si="8"/>
        <v>4.9458321249999999</v>
      </c>
      <c r="F42" s="69">
        <f t="shared" si="9"/>
        <v>4.0873844999999998</v>
      </c>
      <c r="G42" s="69">
        <f t="shared" si="5"/>
        <v>0.12585750000000001</v>
      </c>
      <c r="H42" s="69">
        <f t="shared" si="5"/>
        <v>0.97312500000000002</v>
      </c>
      <c r="I42" s="69">
        <f t="shared" si="5"/>
        <v>3.2394249999999999E-2</v>
      </c>
      <c r="J42" s="69">
        <f t="shared" si="5"/>
        <v>4.2384999999999992E-3</v>
      </c>
      <c r="K42" s="69">
        <f t="shared" si="5"/>
        <v>5.0169999999999998E-3</v>
      </c>
      <c r="L42" s="69">
        <f t="shared" si="5"/>
        <v>6.0117500000000004E-2</v>
      </c>
      <c r="M42" s="69">
        <f t="shared" si="5"/>
        <v>1.6953999999999997E-2</v>
      </c>
      <c r="N42" s="69">
        <f t="shared" si="5"/>
        <v>748.22500000000002</v>
      </c>
      <c r="O42" s="69">
        <f t="shared" si="5"/>
        <v>60.1175</v>
      </c>
      <c r="P42" s="69">
        <f t="shared" si="5"/>
        <v>0</v>
      </c>
      <c r="Q42" s="69">
        <f t="shared" si="10"/>
        <v>127.58750000000001</v>
      </c>
      <c r="R42" s="69">
        <f t="shared" si="11"/>
        <v>0</v>
      </c>
      <c r="S42" s="69">
        <f t="shared" si="11"/>
        <v>7.4822499999999986E-2</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"&amp;(VLOOKUP(C14,Table24567[],6,FALSE))</f>
        <v>#N/A</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90" t="s">
        <v>130</v>
      </c>
      <c r="B59" s="68" t="e">
        <f>VLOOKUP(C$14,Table24567[],5,FALSE)</f>
        <v>#N/A</v>
      </c>
      <c r="C59" s="68">
        <f>VLOOKUP(D$14,Table24567[],5,FALSE)</f>
        <v>6.2</v>
      </c>
      <c r="D59" s="68">
        <f>VLOOKUP(E$14,Table24567[],5,FALSE)</f>
        <v>6.2</v>
      </c>
      <c r="E59" s="68">
        <f>VLOOKUP(F$14,Table24567[],5,FALSE)</f>
        <v>6.2</v>
      </c>
      <c r="F59" s="68">
        <f>VLOOKUP(G$14,Table24567[],5,FALSE)</f>
        <v>6.2</v>
      </c>
      <c r="G59" s="68">
        <f>VLOOKUP(H$14,Table24567[],5,FALSE)</f>
        <v>6.2</v>
      </c>
      <c r="H59" s="68">
        <f>VLOOKUP(I$14,Table24567[],5,FALSE)</f>
        <v>6.2</v>
      </c>
      <c r="I59" s="68">
        <f>VLOOKUP(J$14,Table24567[],5,FALSE)</f>
        <v>6.2</v>
      </c>
      <c r="J59" s="68">
        <f>VLOOKUP(K$14,Table24567[],5,FALSE)</f>
        <v>6.2</v>
      </c>
      <c r="K59" s="68">
        <f>VLOOKUP(L$14,Table24567[],5,FALSE)</f>
        <v>6.2</v>
      </c>
      <c r="L59" s="68">
        <f>VLOOKUP(M$14,Table24567[],5,FALSE)</f>
        <v>6.2</v>
      </c>
      <c r="M59" s="68">
        <f>VLOOKUP(N$14,Table24567[],5,FALSE)</f>
        <v>6.2</v>
      </c>
      <c r="N59" s="68" t="e">
        <f>VLOOKUP(O$14,Table24567[],5,FALSE)</f>
        <v>#N/A</v>
      </c>
      <c r="O59" s="68" t="e">
        <f>VLOOKUP(P$14,Table24567[],5,FALSE)</f>
        <v>#N/A</v>
      </c>
      <c r="P59" s="68" t="e">
        <f>VLOOKUP(Q$14,Table24567[],5,FALSE)</f>
        <v>#N/A</v>
      </c>
      <c r="Q59" s="68" t="e">
        <f>VLOOKUP(R$14,Table24567[],5,FALSE)</f>
        <v>#N/A</v>
      </c>
      <c r="R59" s="68" t="e">
        <f>VLOOKUP(S$14,Table24567[],5,FALSE)</f>
        <v>#N/A</v>
      </c>
      <c r="S59" s="68" t="e">
        <f>VLOOKUP(T$14,Table24567[],5,FALSE)</f>
        <v>#N/A</v>
      </c>
      <c r="T59" s="68" t="e">
        <f>VLOOKUP(U$14,Table24567[],5,FALSE)</f>
        <v>#N/A</v>
      </c>
      <c r="U59" s="68" t="e">
        <f>VLOOKUP(V$14,Table24567[],5,FALSE)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2" operator="equal">
      <formula>"DECREASE"</formula>
    </cfRule>
    <cfRule type="cellIs" dxfId="82" priority="33" operator="equal">
      <formula>"INCREASE"</formula>
    </cfRule>
  </conditionalFormatting>
  <conditionalFormatting sqref="B62:U66 B31:B50">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A7"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8" t="s">
        <v>41</v>
      </c>
      <c r="B1" s="98"/>
      <c r="C1" s="119" t="str">
        <f>'DCWW Bolton Hill'!C1:D1</f>
        <v>PAN-015166</v>
      </c>
      <c r="D1" s="120"/>
      <c r="E1" s="73" t="s">
        <v>45</v>
      </c>
      <c r="F1" s="31">
        <f>'DCWW Bolton Hill'!F1</f>
        <v>39.799999999999997</v>
      </c>
      <c r="G1" s="99" t="s">
        <v>43</v>
      </c>
      <c r="H1" s="100"/>
      <c r="I1" s="76">
        <v>5.81</v>
      </c>
      <c r="J1" s="98" t="s">
        <v>150</v>
      </c>
      <c r="K1" s="98"/>
      <c r="L1" s="76">
        <v>25</v>
      </c>
      <c r="AB1" s="18"/>
      <c r="AC1" s="18"/>
      <c r="AD1" s="29" t="s">
        <v>124</v>
      </c>
      <c r="AE1" s="17"/>
      <c r="AF1" s="17"/>
      <c r="AG1" s="18"/>
      <c r="AH1" s="18"/>
      <c r="AI1" s="32" t="s">
        <v>79</v>
      </c>
      <c r="AJ1" s="33" t="s">
        <v>91</v>
      </c>
      <c r="AK1" s="34" t="s">
        <v>92</v>
      </c>
      <c r="AL1" s="35" t="s">
        <v>123</v>
      </c>
      <c r="AM1" s="35" t="s">
        <v>129</v>
      </c>
      <c r="AN1" s="35" t="s">
        <v>109</v>
      </c>
    </row>
    <row r="2" spans="1:41" x14ac:dyDescent="0.2">
      <c r="A2" s="98" t="s">
        <v>84</v>
      </c>
      <c r="B2" s="98"/>
      <c r="C2" s="121" t="str">
        <f>'DCWW Bolton Hill'!C2:D2</f>
        <v>EPR-GP3792SK</v>
      </c>
      <c r="D2" s="122"/>
      <c r="E2" s="73" t="s">
        <v>106</v>
      </c>
      <c r="F2" s="76">
        <v>190902</v>
      </c>
      <c r="G2" s="117" t="s">
        <v>107</v>
      </c>
      <c r="H2" s="118"/>
      <c r="I2" s="76">
        <v>25</v>
      </c>
      <c r="J2" s="98" t="s">
        <v>151</v>
      </c>
      <c r="K2" s="98"/>
      <c r="L2" s="76">
        <v>300</v>
      </c>
      <c r="AB2" s="29" t="s">
        <v>56</v>
      </c>
      <c r="AC2" s="17"/>
      <c r="AD2" s="29" t="s">
        <v>70</v>
      </c>
      <c r="AE2" s="17"/>
      <c r="AF2" s="17"/>
      <c r="AG2" s="36" t="s">
        <v>76</v>
      </c>
      <c r="AH2" s="18"/>
      <c r="AI2" s="37" t="s">
        <v>124</v>
      </c>
      <c r="AJ2" s="38">
        <v>0</v>
      </c>
      <c r="AK2" s="39">
        <v>0</v>
      </c>
      <c r="AL2" s="10">
        <v>0</v>
      </c>
      <c r="AM2" s="11">
        <v>0</v>
      </c>
      <c r="AN2" s="11">
        <v>0</v>
      </c>
    </row>
    <row r="3" spans="1:41" x14ac:dyDescent="0.2">
      <c r="A3" s="99" t="s">
        <v>42</v>
      </c>
      <c r="B3" s="100"/>
      <c r="C3" s="121" t="str">
        <f>'DCWW Bolton Hill'!C3:D3</f>
        <v>ByProduct Recovery Ltd</v>
      </c>
      <c r="D3" s="122"/>
      <c r="E3" s="73" t="s">
        <v>105</v>
      </c>
      <c r="F3" s="30" t="s">
        <v>78</v>
      </c>
      <c r="G3" s="99" t="s">
        <v>108</v>
      </c>
      <c r="H3" s="100"/>
      <c r="I3" s="76"/>
      <c r="J3" s="99" t="s">
        <v>152</v>
      </c>
      <c r="K3" s="100"/>
      <c r="L3" s="76">
        <f>(L1/L2)*100</f>
        <v>8.3333333333333321</v>
      </c>
      <c r="AB3" s="29" t="s">
        <v>57</v>
      </c>
      <c r="AC3" s="17"/>
      <c r="AD3" s="29" t="s">
        <v>71</v>
      </c>
      <c r="AE3" s="17"/>
      <c r="AF3" s="17"/>
      <c r="AG3" s="36" t="s">
        <v>77</v>
      </c>
      <c r="AH3" s="18"/>
      <c r="AI3" s="40" t="s">
        <v>111</v>
      </c>
      <c r="AJ3" s="41">
        <v>1.7</v>
      </c>
      <c r="AK3" s="42">
        <v>6</v>
      </c>
      <c r="AL3" s="43">
        <v>1</v>
      </c>
      <c r="AM3" s="11">
        <v>6.2</v>
      </c>
      <c r="AN3" s="11" t="s">
        <v>110</v>
      </c>
    </row>
    <row r="4" spans="1:41" x14ac:dyDescent="0.2">
      <c r="A4" s="98" t="s">
        <v>0</v>
      </c>
      <c r="B4" s="98"/>
      <c r="C4" s="119" t="str">
        <f>'DCWW Bolton Hill'!C4:D4</f>
        <v>Tyncwym, Llansawel, Llandeilo, Carmarthenshire, SA19 7PQ</v>
      </c>
      <c r="D4" s="120"/>
      <c r="E4" s="74" t="s">
        <v>1</v>
      </c>
      <c r="F4" s="76" t="s">
        <v>170</v>
      </c>
      <c r="G4" s="99"/>
      <c r="H4" s="100"/>
      <c r="I4" s="31"/>
      <c r="J4" s="99"/>
      <c r="K4" s="100"/>
      <c r="L4" s="76"/>
      <c r="AB4" s="29" t="s">
        <v>52</v>
      </c>
      <c r="AC4" s="17"/>
      <c r="AD4" s="44" t="s">
        <v>72</v>
      </c>
      <c r="AE4" s="17"/>
      <c r="AF4" s="17"/>
      <c r="AG4" s="36" t="s">
        <v>78</v>
      </c>
      <c r="AH4" s="18"/>
      <c r="AI4" s="45" t="s">
        <v>122</v>
      </c>
      <c r="AJ4" s="46">
        <v>7</v>
      </c>
      <c r="AK4" s="47">
        <v>10.5</v>
      </c>
      <c r="AL4" s="11">
        <v>2</v>
      </c>
      <c r="AM4" s="11">
        <v>6.7</v>
      </c>
      <c r="AN4" s="11" t="s">
        <v>133</v>
      </c>
    </row>
    <row r="5" spans="1:41" x14ac:dyDescent="0.2">
      <c r="A5" s="98" t="s">
        <v>47</v>
      </c>
      <c r="B5" s="98"/>
      <c r="C5" s="119" t="str">
        <f>'DCWW Bolton Hill'!C5:D5</f>
        <v>Louise Bailey</v>
      </c>
      <c r="D5" s="120"/>
      <c r="E5" s="73"/>
      <c r="F5" s="31"/>
      <c r="G5" s="99"/>
      <c r="H5" s="100"/>
      <c r="I5" s="31"/>
      <c r="J5" s="99"/>
      <c r="K5" s="100"/>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4" t="s">
        <v>63</v>
      </c>
      <c r="B7" s="10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98" t="s">
        <v>2</v>
      </c>
      <c r="B8" s="98"/>
      <c r="C8" s="52">
        <f>'DCWW Bolton Hill'!C8</f>
        <v>0</v>
      </c>
      <c r="D8" s="52">
        <f>'DCWW Bolton Hill'!D8</f>
        <v>2</v>
      </c>
      <c r="E8" s="52">
        <f>'DCWW Bolton Hill'!E8</f>
        <v>3</v>
      </c>
      <c r="F8" s="52">
        <f>'DCWW Bolton Hill'!F8</f>
        <v>4</v>
      </c>
      <c r="G8" s="52" t="str">
        <f>'DCWW Bolton Hill'!G8</f>
        <v>5a</v>
      </c>
      <c r="H8" s="52" t="str">
        <f>'DCWW Bolton Hill'!H8</f>
        <v>5b</v>
      </c>
      <c r="I8" s="52">
        <f>'DCWW Bolton Hill'!I8</f>
        <v>6</v>
      </c>
      <c r="J8" s="52">
        <f>'DCWW Bolton Hill'!J8</f>
        <v>7</v>
      </c>
      <c r="K8" s="52">
        <f>'DCWW Bolton Hill'!K8</f>
        <v>9</v>
      </c>
      <c r="L8" s="52">
        <f>'DCWW Bolton Hill'!L8</f>
        <v>10</v>
      </c>
      <c r="M8" s="52">
        <f>'DCWW Bolton Hill'!M8</f>
        <v>11</v>
      </c>
      <c r="N8" s="52">
        <f>'DCWW Bolton Hill'!N8</f>
        <v>12</v>
      </c>
      <c r="O8" s="52">
        <f>'DCWW Bolton Hill'!O8</f>
        <v>0</v>
      </c>
      <c r="P8" s="52">
        <f>'DCWW Bolton Hill'!P8</f>
        <v>0</v>
      </c>
      <c r="Q8" s="52">
        <f>'DCWW Bolton Hill'!Q8</f>
        <v>0</v>
      </c>
      <c r="R8" s="52">
        <f>'DCWW Bolton Hill'!R8</f>
        <v>0</v>
      </c>
      <c r="S8" s="52">
        <f>'DCWW Bolton Hill'!S8</f>
        <v>0</v>
      </c>
      <c r="T8" s="52">
        <f>'DCWW Bolton Hill'!T8</f>
        <v>0</v>
      </c>
      <c r="U8" s="52">
        <f>'DCWW Bolton Hill'!U8</f>
        <v>0</v>
      </c>
      <c r="V8" s="52">
        <f>'DCWW Bolton Hill'!V8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98" t="s">
        <v>3</v>
      </c>
      <c r="B9" s="98"/>
      <c r="C9" s="52">
        <f>'DCWW Bolton Hill'!C9</f>
        <v>0</v>
      </c>
      <c r="D9" s="52" t="str">
        <f>'DCWW Bolton Hill'!D9</f>
        <v>Mod</v>
      </c>
      <c r="E9" s="52" t="str">
        <f>'DCWW Bolton Hill'!E9</f>
        <v>Mod</v>
      </c>
      <c r="F9" s="52" t="str">
        <f>'DCWW Bolton Hill'!F9</f>
        <v>Mod</v>
      </c>
      <c r="G9" s="52" t="str">
        <f>'DCWW Bolton Hill'!G9</f>
        <v>Mod</v>
      </c>
      <c r="H9" s="52" t="str">
        <f>'DCWW Bolton Hill'!H9</f>
        <v>Mod</v>
      </c>
      <c r="I9" s="52" t="str">
        <f>'DCWW Bolton Hill'!I9</f>
        <v>Mod</v>
      </c>
      <c r="J9" s="52" t="str">
        <f>'DCWW Bolton Hill'!J9</f>
        <v>Mod</v>
      </c>
      <c r="K9" s="52" t="str">
        <f>'DCWW Bolton Hill'!K9</f>
        <v>Mod</v>
      </c>
      <c r="L9" s="52" t="str">
        <f>'DCWW Bolton Hill'!L9</f>
        <v>Mod</v>
      </c>
      <c r="M9" s="52" t="str">
        <f>'DCWW Bolton Hill'!M9</f>
        <v>Mod</v>
      </c>
      <c r="N9" s="52" t="str">
        <f>'DCWW Bolton Hill'!N9</f>
        <v>Mod</v>
      </c>
      <c r="O9" s="52">
        <f>'DCWW Bolton Hill'!O9</f>
        <v>0</v>
      </c>
      <c r="P9" s="52">
        <f>'DCWW Bolton Hill'!P9</f>
        <v>0</v>
      </c>
      <c r="Q9" s="52">
        <f>'DCWW Bolton Hill'!Q9</f>
        <v>0</v>
      </c>
      <c r="R9" s="52">
        <f>'DCWW Bolton Hill'!R9</f>
        <v>0</v>
      </c>
      <c r="S9" s="52">
        <f>'DCWW Bolton Hill'!S9</f>
        <v>0</v>
      </c>
      <c r="T9" s="52">
        <f>'DCWW Bolton Hill'!T9</f>
        <v>0</v>
      </c>
      <c r="U9" s="52">
        <f>'DCWW Bolton Hill'!U9</f>
        <v>0</v>
      </c>
      <c r="V9" s="52">
        <f>'DCWW Bolton Hill'!V9</f>
        <v>0</v>
      </c>
      <c r="AB9" s="17"/>
      <c r="AC9" s="17"/>
      <c r="AD9" s="29" t="s">
        <v>135</v>
      </c>
      <c r="AE9" s="29">
        <v>4.5</v>
      </c>
      <c r="AF9" s="17"/>
      <c r="AG9" s="18"/>
      <c r="AH9" s="18"/>
      <c r="AI9" s="55" t="s">
        <v>100</v>
      </c>
      <c r="AJ9" s="56">
        <v>0.7</v>
      </c>
      <c r="AK9" s="57">
        <v>4</v>
      </c>
      <c r="AL9" s="28">
        <v>7</v>
      </c>
      <c r="AM9" s="11">
        <v>6.7</v>
      </c>
      <c r="AN9" s="11" t="s">
        <v>133</v>
      </c>
      <c r="AO9" s="78"/>
    </row>
    <row r="10" spans="1:41" x14ac:dyDescent="0.2">
      <c r="A10" s="98" t="s">
        <v>4</v>
      </c>
      <c r="B10" s="98"/>
      <c r="C10" s="52">
        <f>'DCWW Bolton Hill'!C10</f>
        <v>0</v>
      </c>
      <c r="D10" s="52">
        <f>'DCWW Bolton Hill'!D10</f>
        <v>6.8</v>
      </c>
      <c r="E10" s="52">
        <f>'DCWW Bolton Hill'!E10</f>
        <v>6.8</v>
      </c>
      <c r="F10" s="52">
        <f>'DCWW Bolton Hill'!F10</f>
        <v>7</v>
      </c>
      <c r="G10" s="52" t="str">
        <f>'DCWW Bolton Hill'!G10</f>
        <v>6..9</v>
      </c>
      <c r="H10" s="52">
        <f>'DCWW Bolton Hill'!H10</f>
        <v>6.7</v>
      </c>
      <c r="I10" s="52">
        <f>'DCWW Bolton Hill'!I10</f>
        <v>6.9</v>
      </c>
      <c r="J10" s="52">
        <f>'DCWW Bolton Hill'!J10</f>
        <v>6.9</v>
      </c>
      <c r="K10" s="52">
        <f>'DCWW Bolton Hill'!K10</f>
        <v>6.7</v>
      </c>
      <c r="L10" s="52">
        <f>'DCWW Bolton Hill'!L10</f>
        <v>5.5</v>
      </c>
      <c r="M10" s="52">
        <f>'DCWW Bolton Hill'!M10</f>
        <v>6</v>
      </c>
      <c r="N10" s="52">
        <f>'DCWW Bolton Hill'!N10</f>
        <v>6</v>
      </c>
      <c r="O10" s="52">
        <f>'DCWW Bolton Hill'!O10</f>
        <v>0</v>
      </c>
      <c r="P10" s="52">
        <f>'DCWW Bolton Hill'!P10</f>
        <v>0</v>
      </c>
      <c r="Q10" s="52">
        <f>'DCWW Bolton Hill'!Q10</f>
        <v>0</v>
      </c>
      <c r="R10" s="52">
        <f>'DCWW Bolton Hill'!R10</f>
        <v>0</v>
      </c>
      <c r="S10" s="52">
        <f>'DCWW Bolton Hill'!S10</f>
        <v>0</v>
      </c>
      <c r="T10" s="52">
        <f>'DCWW Bolton Hill'!T10</f>
        <v>0</v>
      </c>
      <c r="U10" s="52">
        <f>'DCWW Bolton Hill'!U10</f>
        <v>0</v>
      </c>
      <c r="V10" s="52">
        <f>'DCWW Bolton Hill'!V10</f>
        <v>0</v>
      </c>
      <c r="AB10" s="17"/>
      <c r="AC10" s="17"/>
      <c r="AD10" s="29" t="s">
        <v>138</v>
      </c>
      <c r="AE10" s="29">
        <v>5</v>
      </c>
      <c r="AF10" s="17"/>
      <c r="AG10" s="18"/>
      <c r="AH10" s="18"/>
      <c r="AI10" s="45" t="s">
        <v>94</v>
      </c>
      <c r="AJ10" s="46">
        <v>9</v>
      </c>
      <c r="AK10" s="47">
        <v>16.5</v>
      </c>
      <c r="AL10" s="11">
        <v>8</v>
      </c>
      <c r="AM10" s="11">
        <v>6.7</v>
      </c>
      <c r="AN10" s="11" t="s">
        <v>133</v>
      </c>
    </row>
    <row r="11" spans="1:41" x14ac:dyDescent="0.2">
      <c r="A11" s="98" t="s">
        <v>5</v>
      </c>
      <c r="B11" s="98"/>
      <c r="C11" s="52">
        <f>'DCWW Bolton Hill'!C11</f>
        <v>0</v>
      </c>
      <c r="D11" s="52">
        <f>'DCWW Bolton Hill'!D11</f>
        <v>3</v>
      </c>
      <c r="E11" s="52">
        <f>'DCWW Bolton Hill'!E11</f>
        <v>2</v>
      </c>
      <c r="F11" s="52">
        <f>'DCWW Bolton Hill'!F11</f>
        <v>3</v>
      </c>
      <c r="G11" s="52">
        <f>'DCWW Bolton Hill'!G11</f>
        <v>2</v>
      </c>
      <c r="H11" s="52">
        <f>'DCWW Bolton Hill'!H11</f>
        <v>3</v>
      </c>
      <c r="I11" s="52">
        <f>'DCWW Bolton Hill'!I11</f>
        <v>3</v>
      </c>
      <c r="J11" s="52">
        <f>'DCWW Bolton Hill'!J11</f>
        <v>2</v>
      </c>
      <c r="K11" s="52">
        <f>'DCWW Bolton Hill'!K11</f>
        <v>1</v>
      </c>
      <c r="L11" s="52">
        <f>'DCWW Bolton Hill'!L11</f>
        <v>2</v>
      </c>
      <c r="M11" s="52">
        <f>'DCWW Bolton Hill'!M11</f>
        <v>1</v>
      </c>
      <c r="N11" s="52">
        <f>'DCWW Bolton Hill'!N11</f>
        <v>2</v>
      </c>
      <c r="O11" s="52">
        <f>'DCWW Bolton Hill'!O11</f>
        <v>0</v>
      </c>
      <c r="P11" s="52">
        <f>'DCWW Bolton Hill'!P11</f>
        <v>0</v>
      </c>
      <c r="Q11" s="52">
        <f>'DCWW Bolton Hill'!Q11</f>
        <v>0</v>
      </c>
      <c r="R11" s="52">
        <f>'DCWW Bolton Hill'!R11</f>
        <v>0</v>
      </c>
      <c r="S11" s="52">
        <f>'DCWW Bolton Hill'!S11</f>
        <v>0</v>
      </c>
      <c r="T11" s="52">
        <f>'DCWW Bolton Hill'!T11</f>
        <v>0</v>
      </c>
      <c r="U11" s="52">
        <f>'DCWW Bolton Hill'!U11</f>
        <v>0</v>
      </c>
      <c r="V11" s="52">
        <f>'DCWW Bolton Hill'!V11</f>
        <v>0</v>
      </c>
      <c r="AB11" s="17"/>
      <c r="AC11" s="17"/>
      <c r="AD11" s="44" t="s">
        <v>139</v>
      </c>
      <c r="AE11" s="29">
        <v>6</v>
      </c>
      <c r="AF11" s="17"/>
      <c r="AG11" s="18"/>
      <c r="AH11" s="18"/>
      <c r="AI11" s="45" t="s">
        <v>120</v>
      </c>
      <c r="AJ11" s="46">
        <v>15</v>
      </c>
      <c r="AK11" s="47">
        <v>17.5</v>
      </c>
      <c r="AL11" s="11">
        <v>9</v>
      </c>
      <c r="AM11" s="11">
        <v>7</v>
      </c>
      <c r="AN11" s="11" t="s">
        <v>133</v>
      </c>
    </row>
    <row r="12" spans="1:41" x14ac:dyDescent="0.2">
      <c r="A12" s="98" t="s">
        <v>6</v>
      </c>
      <c r="B12" s="98"/>
      <c r="C12" s="52">
        <f>'DCWW Bolton Hill'!C12</f>
        <v>0</v>
      </c>
      <c r="D12" s="52">
        <f>'DCWW Bolton Hill'!D12</f>
        <v>2</v>
      </c>
      <c r="E12" s="52">
        <f>'DCWW Bolton Hill'!E12</f>
        <v>0</v>
      </c>
      <c r="F12" s="52">
        <f>'DCWW Bolton Hill'!F12</f>
        <v>3</v>
      </c>
      <c r="G12" s="52">
        <f>'DCWW Bolton Hill'!G12</f>
        <v>0</v>
      </c>
      <c r="H12" s="52">
        <f>'DCWW Bolton Hill'!H12</f>
        <v>0</v>
      </c>
      <c r="I12" s="52">
        <f>'DCWW Bolton Hill'!I12</f>
        <v>1</v>
      </c>
      <c r="J12" s="52">
        <f>'DCWW Bolton Hill'!J12</f>
        <v>1</v>
      </c>
      <c r="K12" s="52">
        <f>'DCWW Bolton Hill'!K12</f>
        <v>1</v>
      </c>
      <c r="L12" s="52">
        <f>'DCWW Bolton Hill'!L12</f>
        <v>0</v>
      </c>
      <c r="M12" s="52">
        <f>'DCWW Bolton Hill'!M12</f>
        <v>1</v>
      </c>
      <c r="N12" s="52">
        <f>'DCWW Bolton Hill'!N12</f>
        <v>3</v>
      </c>
      <c r="O12" s="52">
        <f>'DCWW Bolton Hill'!O12</f>
        <v>0</v>
      </c>
      <c r="P12" s="52">
        <f>'DCWW Bolton Hill'!P12</f>
        <v>0</v>
      </c>
      <c r="Q12" s="52">
        <f>'DCWW Bolton Hill'!Q12</f>
        <v>0</v>
      </c>
      <c r="R12" s="52">
        <f>'DCWW Bolton Hill'!R12</f>
        <v>0</v>
      </c>
      <c r="S12" s="52">
        <f>'DCWW Bolton Hill'!S12</f>
        <v>0</v>
      </c>
      <c r="T12" s="52">
        <f>'DCWW Bolton Hill'!T12</f>
        <v>0</v>
      </c>
      <c r="U12" s="52">
        <f>'DCWW Bolton Hill'!U12</f>
        <v>0</v>
      </c>
      <c r="V12" s="52">
        <f>'DCWW Bolton Hill'!V12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98" t="s">
        <v>7</v>
      </c>
      <c r="B13" s="98"/>
      <c r="C13" s="52">
        <f>'DCWW Bolton Hill'!C13</f>
        <v>0</v>
      </c>
      <c r="D13" s="52">
        <f>'DCWW Bolton Hill'!D13</f>
        <v>2</v>
      </c>
      <c r="E13" s="52">
        <f>'DCWW Bolton Hill'!E13</f>
        <v>5</v>
      </c>
      <c r="F13" s="52">
        <f>'DCWW Bolton Hill'!F13</f>
        <v>3</v>
      </c>
      <c r="G13" s="52">
        <f>'DCWW Bolton Hill'!G13</f>
        <v>2</v>
      </c>
      <c r="H13" s="52">
        <f>'DCWW Bolton Hill'!H13</f>
        <v>2</v>
      </c>
      <c r="I13" s="52">
        <f>'DCWW Bolton Hill'!I13</f>
        <v>3</v>
      </c>
      <c r="J13" s="52">
        <f>'DCWW Bolton Hill'!J13</f>
        <v>2</v>
      </c>
      <c r="K13" s="52">
        <f>'DCWW Bolton Hill'!K13</f>
        <v>2</v>
      </c>
      <c r="L13" s="52">
        <f>'DCWW Bolton Hill'!L13</f>
        <v>0</v>
      </c>
      <c r="M13" s="52">
        <f>'DCWW Bolton Hill'!M13</f>
        <v>2</v>
      </c>
      <c r="N13" s="52">
        <f>'DCWW Bolton Hill'!N13</f>
        <v>3</v>
      </c>
      <c r="O13" s="52">
        <f>'DCWW Bolton Hill'!O13</f>
        <v>0</v>
      </c>
      <c r="P13" s="52">
        <f>'DCWW Bolton Hill'!P13</f>
        <v>0</v>
      </c>
      <c r="Q13" s="52">
        <f>'DCWW Bolton Hill'!Q13</f>
        <v>0</v>
      </c>
      <c r="R13" s="52">
        <f>'DCWW Bolton Hill'!R13</f>
        <v>0</v>
      </c>
      <c r="S13" s="52">
        <f>'DCWW Bolton Hill'!S13</f>
        <v>0</v>
      </c>
      <c r="T13" s="52">
        <f>'DCWW Bolton Hill'!T13</f>
        <v>0</v>
      </c>
      <c r="U13" s="52">
        <f>'DCWW Bolton Hill'!U13</f>
        <v>0</v>
      </c>
      <c r="V13" s="52">
        <f>'DCWW Bolton Hill'!V13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0" t="s">
        <v>8</v>
      </c>
      <c r="B14" s="110"/>
      <c r="C14" s="81">
        <f>'DCWW Bolton Hill'!C14</f>
        <v>0</v>
      </c>
      <c r="D14" s="81" t="str">
        <f>'DCWW Bolton Hill'!D14</f>
        <v xml:space="preserve">Grass Silage (25% DM) </v>
      </c>
      <c r="E14" s="81" t="str">
        <f>'DCWW Bolton Hill'!E14</f>
        <v xml:space="preserve">Grass Silage (25% DM) </v>
      </c>
      <c r="F14" s="81" t="str">
        <f>'DCWW Bolton Hill'!F14</f>
        <v xml:space="preserve">Grass Silage (25% DM) </v>
      </c>
      <c r="G14" s="81" t="str">
        <f>'DCWW Bolton Hill'!G14</f>
        <v xml:space="preserve">Grass Silage (25% DM) </v>
      </c>
      <c r="H14" s="81" t="str">
        <f>'DCWW Bolton Hill'!H14</f>
        <v xml:space="preserve">Grass Silage (25% DM) </v>
      </c>
      <c r="I14" s="81" t="str">
        <f>'DCWW Bolton Hill'!I14</f>
        <v xml:space="preserve">Grass Silage (25% DM) </v>
      </c>
      <c r="J14" s="81" t="str">
        <f>'DCWW Bolton Hill'!J14</f>
        <v xml:space="preserve">Grass Silage (25% DM) </v>
      </c>
      <c r="K14" s="81" t="str">
        <f>'DCWW Bolton Hill'!K14</f>
        <v xml:space="preserve">Grass Silage (25% DM) </v>
      </c>
      <c r="L14" s="81" t="str">
        <f>'DCWW Bolton Hill'!L14</f>
        <v xml:space="preserve">Grass Silage (25% DM) </v>
      </c>
      <c r="M14" s="81" t="str">
        <f>'DCWW Bolton Hill'!M14</f>
        <v xml:space="preserve">Grass Silage (25% DM) </v>
      </c>
      <c r="N14" s="81" t="str">
        <f>'DCWW Bolton Hill'!N14</f>
        <v xml:space="preserve">Grass Silage (25% DM) </v>
      </c>
      <c r="O14" s="81">
        <f>'DCWW Bolton Hill'!O14</f>
        <v>0</v>
      </c>
      <c r="P14" s="81">
        <f>'DCWW Bolton Hill'!P14</f>
        <v>0</v>
      </c>
      <c r="Q14" s="81">
        <f>'DCWW Bolton Hill'!Q14</f>
        <v>0</v>
      </c>
      <c r="R14" s="81">
        <f>'DCWW Bolton Hill'!R14</f>
        <v>0</v>
      </c>
      <c r="S14" s="81">
        <f>'DCWW Bolton Hill'!S14</f>
        <v>0</v>
      </c>
      <c r="T14" s="81">
        <f>'DCWW Bolton Hill'!T14</f>
        <v>0</v>
      </c>
      <c r="U14" s="81">
        <f>'DCWW Bolton Hill'!U14</f>
        <v>0</v>
      </c>
      <c r="V14" s="81">
        <f>'DCWW Bolton Hill'!V14</f>
        <v>0</v>
      </c>
      <c r="AD14" s="29" t="s">
        <v>136</v>
      </c>
      <c r="AE14" s="29">
        <v>6</v>
      </c>
      <c r="AI14" s="45" t="s">
        <v>117</v>
      </c>
      <c r="AJ14" s="46">
        <v>0.8</v>
      </c>
      <c r="AK14" s="47">
        <v>1.7</v>
      </c>
      <c r="AL14" s="11">
        <v>12</v>
      </c>
      <c r="AM14" s="11">
        <v>6.7</v>
      </c>
      <c r="AN14" s="11" t="s">
        <v>133</v>
      </c>
    </row>
    <row r="15" spans="1:41" x14ac:dyDescent="0.2">
      <c r="A15" s="109" t="s">
        <v>9</v>
      </c>
      <c r="B15" s="109"/>
      <c r="C15" s="52">
        <f>'DCWW Bolton Hill'!C15</f>
        <v>0</v>
      </c>
      <c r="D15" s="52">
        <f>'DCWW Bolton Hill'!D15</f>
        <v>45</v>
      </c>
      <c r="E15" s="52">
        <f>'DCWW Bolton Hill'!E15</f>
        <v>45</v>
      </c>
      <c r="F15" s="52">
        <f>'DCWW Bolton Hill'!F15</f>
        <v>45</v>
      </c>
      <c r="G15" s="52">
        <f>'DCWW Bolton Hill'!G15</f>
        <v>45</v>
      </c>
      <c r="H15" s="52">
        <f>'DCWW Bolton Hill'!H15</f>
        <v>45</v>
      </c>
      <c r="I15" s="52">
        <f>'DCWW Bolton Hill'!I15</f>
        <v>45</v>
      </c>
      <c r="J15" s="52">
        <f>'DCWW Bolton Hill'!J15</f>
        <v>45</v>
      </c>
      <c r="K15" s="52">
        <f>'DCWW Bolton Hill'!K15</f>
        <v>45</v>
      </c>
      <c r="L15" s="52">
        <f>'DCWW Bolton Hill'!L15</f>
        <v>45</v>
      </c>
      <c r="M15" s="52">
        <f>'DCWW Bolton Hill'!M15</f>
        <v>45</v>
      </c>
      <c r="N15" s="52">
        <f>'DCWW Bolton Hill'!N15</f>
        <v>45</v>
      </c>
      <c r="O15" s="52">
        <f>'DCWW Bolton Hill'!O15</f>
        <v>0</v>
      </c>
      <c r="P15" s="52">
        <f>'DCWW Bolton Hill'!P15</f>
        <v>0</v>
      </c>
      <c r="Q15" s="52">
        <f>'DCWW Bolton Hill'!Q15</f>
        <v>0</v>
      </c>
      <c r="R15" s="52">
        <f>'DCWW Bolton Hill'!R15</f>
        <v>0</v>
      </c>
      <c r="S15" s="52">
        <f>'DCWW Bolton Hill'!S15</f>
        <v>0</v>
      </c>
      <c r="T15" s="52">
        <f>'DCWW Bolton Hill'!T15</f>
        <v>0</v>
      </c>
      <c r="U15" s="52">
        <f>'DCWW Bolton Hill'!U15</f>
        <v>0</v>
      </c>
      <c r="V15" s="52">
        <f>'DCWW Bolton Hill'!V15</f>
        <v>0</v>
      </c>
      <c r="AD15" s="29" t="s">
        <v>142</v>
      </c>
      <c r="AE15" s="29">
        <v>7</v>
      </c>
      <c r="AI15" s="45" t="s">
        <v>98</v>
      </c>
      <c r="AJ15" s="54">
        <v>1.8</v>
      </c>
      <c r="AK15" s="47">
        <v>5.4</v>
      </c>
      <c r="AL15" s="11">
        <v>13</v>
      </c>
      <c r="AM15" s="11">
        <v>6.7</v>
      </c>
      <c r="AN15" s="11" t="s">
        <v>133</v>
      </c>
    </row>
    <row r="16" spans="1:41" ht="13.5" thickBot="1" x14ac:dyDescent="0.25">
      <c r="A16" s="111" t="s">
        <v>44</v>
      </c>
      <c r="B16" s="111"/>
      <c r="C16" s="82">
        <f>'DCWW Bolton Hill'!C16</f>
        <v>0</v>
      </c>
      <c r="D16" s="82" t="str">
        <f>'DCWW Bolton Hill'!D16</f>
        <v>Medium/Clay</v>
      </c>
      <c r="E16" s="82" t="str">
        <f>'DCWW Bolton Hill'!E16</f>
        <v>Medium/Clay</v>
      </c>
      <c r="F16" s="82" t="str">
        <f>'DCWW Bolton Hill'!F16</f>
        <v>Medium/Clay</v>
      </c>
      <c r="G16" s="82" t="str">
        <f>'DCWW Bolton Hill'!G16</f>
        <v>Medium/Clay</v>
      </c>
      <c r="H16" s="82" t="str">
        <f>'DCWW Bolton Hill'!H16</f>
        <v>Medium/Clay</v>
      </c>
      <c r="I16" s="82" t="str">
        <f>'DCWW Bolton Hill'!I16</f>
        <v>Medium/Clay</v>
      </c>
      <c r="J16" s="82" t="str">
        <f>'DCWW Bolton Hill'!J16</f>
        <v>Medium/Clay</v>
      </c>
      <c r="K16" s="82" t="str">
        <f>'DCWW Bolton Hill'!K16</f>
        <v>Medium/Clay</v>
      </c>
      <c r="L16" s="82" t="str">
        <f>'DCWW Bolton Hill'!L16</f>
        <v>Medium/Clay</v>
      </c>
      <c r="M16" s="82" t="str">
        <f>'DCWW Bolton Hill'!M16</f>
        <v>Medium/Clay</v>
      </c>
      <c r="N16" s="82" t="str">
        <f>'DCWW Bolton Hill'!N16</f>
        <v>Medium/Clay</v>
      </c>
      <c r="O16" s="82">
        <f>'DCWW Bolton Hill'!O16</f>
        <v>0</v>
      </c>
      <c r="P16" s="82">
        <f>'DCWW Bolton Hill'!P16</f>
        <v>0</v>
      </c>
      <c r="Q16" s="82">
        <f>'DCWW Bolton Hill'!Q16</f>
        <v>0</v>
      </c>
      <c r="R16" s="82">
        <f>'DCWW Bolton Hill'!R16</f>
        <v>0</v>
      </c>
      <c r="S16" s="82">
        <f>'DCWW Bolton Hill'!S16</f>
        <v>0</v>
      </c>
      <c r="T16" s="82">
        <f>'DCWW Bolton Hill'!T16</f>
        <v>0</v>
      </c>
      <c r="U16" s="82">
        <f>'DCWW Bolton Hill'!U16</f>
        <v>0</v>
      </c>
      <c r="V16" s="82">
        <f>'DCWW Bolton Hill'!V16</f>
        <v>0</v>
      </c>
      <c r="AD16" s="44" t="s">
        <v>143</v>
      </c>
      <c r="AE16" s="29">
        <v>8</v>
      </c>
      <c r="AI16" s="45" t="s">
        <v>116</v>
      </c>
      <c r="AJ16" s="46">
        <v>8</v>
      </c>
      <c r="AK16" s="47">
        <v>5.5</v>
      </c>
      <c r="AL16" s="12">
        <v>14</v>
      </c>
      <c r="AM16" s="11">
        <v>6.7</v>
      </c>
      <c r="AN16" s="11" t="s">
        <v>133</v>
      </c>
    </row>
    <row r="17" spans="1:40" x14ac:dyDescent="0.2">
      <c r="A17" s="101" t="s">
        <v>69</v>
      </c>
      <c r="B17" s="102"/>
      <c r="C17" s="27" t="e">
        <f>(VLOOKUP(C$14,$AI2:$AK26,2,FALSE))*C$15</f>
        <v>#N/A</v>
      </c>
      <c r="D17" s="27">
        <f t="shared" ref="D17:V17" si="0">(VLOOKUP(D$14,$AI2:$AK26,2,FALSE))*D$15</f>
        <v>76.5</v>
      </c>
      <c r="E17" s="27">
        <f t="shared" si="0"/>
        <v>76.5</v>
      </c>
      <c r="F17" s="27">
        <f t="shared" si="0"/>
        <v>76.5</v>
      </c>
      <c r="G17" s="27">
        <f t="shared" si="0"/>
        <v>76.5</v>
      </c>
      <c r="H17" s="27">
        <f t="shared" si="0"/>
        <v>76.5</v>
      </c>
      <c r="I17" s="27">
        <f t="shared" si="0"/>
        <v>76.5</v>
      </c>
      <c r="J17" s="27">
        <f t="shared" si="0"/>
        <v>76.5</v>
      </c>
      <c r="K17" s="27">
        <f t="shared" si="0"/>
        <v>76.5</v>
      </c>
      <c r="L17" s="27">
        <f t="shared" si="0"/>
        <v>76.5</v>
      </c>
      <c r="M17" s="27">
        <f t="shared" si="0"/>
        <v>76.5</v>
      </c>
      <c r="N17" s="27">
        <f t="shared" si="0"/>
        <v>76.5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3" t="s">
        <v>23</v>
      </c>
      <c r="B18" s="104"/>
      <c r="C18" s="16">
        <f>$D31</f>
        <v>0</v>
      </c>
      <c r="D18" s="16">
        <f>$D32</f>
        <v>27.434724999999997</v>
      </c>
      <c r="E18" s="16">
        <f>$D33</f>
        <v>27.434724999999997</v>
      </c>
      <c r="F18" s="16">
        <f>$D34</f>
        <v>27.434724999999997</v>
      </c>
      <c r="G18" s="16">
        <f>$D35</f>
        <v>27.434724999999997</v>
      </c>
      <c r="H18" s="16">
        <f>$D36</f>
        <v>27.434724999999997</v>
      </c>
      <c r="I18" s="16">
        <f>$D37</f>
        <v>27.434724999999997</v>
      </c>
      <c r="J18" s="16">
        <f>$D38</f>
        <v>27.434724999999997</v>
      </c>
      <c r="K18" s="16">
        <f>$D39</f>
        <v>27.434724999999997</v>
      </c>
      <c r="L18" s="16">
        <f>$D40</f>
        <v>0</v>
      </c>
      <c r="M18" s="16">
        <f>$D41</f>
        <v>27.434724999999997</v>
      </c>
      <c r="N18" s="16">
        <f>$D42</f>
        <v>27.434724999999997</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3" t="s">
        <v>87</v>
      </c>
      <c r="B19" s="104"/>
      <c r="C19" s="16" t="e">
        <f>C18-C17</f>
        <v>#N/A</v>
      </c>
      <c r="D19" s="16">
        <f t="shared" ref="D19:V19" si="1">D18-D17</f>
        <v>-49.065275</v>
      </c>
      <c r="E19" s="16">
        <f t="shared" si="1"/>
        <v>-49.065275</v>
      </c>
      <c r="F19" s="16">
        <f t="shared" si="1"/>
        <v>-49.065275</v>
      </c>
      <c r="G19" s="16">
        <f t="shared" si="1"/>
        <v>-49.065275</v>
      </c>
      <c r="H19" s="16">
        <f t="shared" si="1"/>
        <v>-49.065275</v>
      </c>
      <c r="I19" s="16">
        <f t="shared" si="1"/>
        <v>-49.065275</v>
      </c>
      <c r="J19" s="16">
        <f t="shared" si="1"/>
        <v>-49.065275</v>
      </c>
      <c r="K19" s="16">
        <f t="shared" si="1"/>
        <v>-49.065275</v>
      </c>
      <c r="L19" s="16">
        <f t="shared" si="1"/>
        <v>-76.5</v>
      </c>
      <c r="M19" s="16">
        <f t="shared" si="1"/>
        <v>-49.065275</v>
      </c>
      <c r="N19" s="16">
        <f t="shared" si="1"/>
        <v>-49.065275</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5" t="s">
        <v>88</v>
      </c>
      <c r="B20" s="106"/>
      <c r="C20" s="25" t="str">
        <f>IF($B31="","",IF(C$19&gt;=0,"INCREASE","DECREASE"))</f>
        <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1" t="s">
        <v>85</v>
      </c>
      <c r="B21" s="102"/>
      <c r="C21" s="27" t="e">
        <f>(VLOOKUP(C$14,$AI2:$AK26,3,FALSE))*C$15</f>
        <v>#N/A</v>
      </c>
      <c r="D21" s="27">
        <f t="shared" ref="D21:V21" si="2">(VLOOKUP(D$14,$AI2:$AK26,3,FALSE))*D$15</f>
        <v>270</v>
      </c>
      <c r="E21" s="27">
        <f t="shared" si="2"/>
        <v>270</v>
      </c>
      <c r="F21" s="27">
        <f t="shared" si="2"/>
        <v>270</v>
      </c>
      <c r="G21" s="27">
        <f t="shared" si="2"/>
        <v>270</v>
      </c>
      <c r="H21" s="27">
        <f t="shared" si="2"/>
        <v>270</v>
      </c>
      <c r="I21" s="27">
        <f t="shared" si="2"/>
        <v>270</v>
      </c>
      <c r="J21" s="27">
        <f t="shared" si="2"/>
        <v>270</v>
      </c>
      <c r="K21" s="27">
        <f t="shared" si="2"/>
        <v>270</v>
      </c>
      <c r="L21" s="27">
        <f t="shared" si="2"/>
        <v>270</v>
      </c>
      <c r="M21" s="27">
        <f t="shared" si="2"/>
        <v>270</v>
      </c>
      <c r="N21" s="27">
        <f t="shared" si="2"/>
        <v>270</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3" t="s">
        <v>86</v>
      </c>
      <c r="B22" s="104"/>
      <c r="C22" s="16">
        <f>$E31</f>
        <v>0</v>
      </c>
      <c r="D22" s="16">
        <f>$E32</f>
        <v>3.0125000000000002</v>
      </c>
      <c r="E22" s="16">
        <f>$E33</f>
        <v>3.0125000000000002</v>
      </c>
      <c r="F22" s="16">
        <f>$E34</f>
        <v>3.0125000000000002</v>
      </c>
      <c r="G22" s="16">
        <f>$E35</f>
        <v>3.0125000000000002</v>
      </c>
      <c r="H22" s="16">
        <f>$E36</f>
        <v>3.0125000000000002</v>
      </c>
      <c r="I22" s="16">
        <f>$E37</f>
        <v>3.0125000000000002</v>
      </c>
      <c r="J22" s="16">
        <f>$E38</f>
        <v>3.0125000000000002</v>
      </c>
      <c r="K22" s="16">
        <f>$E39</f>
        <v>3.0125000000000002</v>
      </c>
      <c r="L22" s="16">
        <f>$E40</f>
        <v>0</v>
      </c>
      <c r="M22" s="16">
        <f>$E41</f>
        <v>3.0125000000000002</v>
      </c>
      <c r="N22" s="16">
        <f>$E42</f>
        <v>3.0125000000000002</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3" t="s">
        <v>89</v>
      </c>
      <c r="B23" s="104"/>
      <c r="C23" s="16" t="e">
        <f>C22-C21</f>
        <v>#N/A</v>
      </c>
      <c r="D23" s="16">
        <f t="shared" ref="D23:V23" si="3">D22-D21</f>
        <v>-266.98750000000001</v>
      </c>
      <c r="E23" s="16">
        <f t="shared" si="3"/>
        <v>-266.98750000000001</v>
      </c>
      <c r="F23" s="16">
        <f t="shared" si="3"/>
        <v>-266.98750000000001</v>
      </c>
      <c r="G23" s="16">
        <f t="shared" si="3"/>
        <v>-266.98750000000001</v>
      </c>
      <c r="H23" s="16">
        <f t="shared" si="3"/>
        <v>-266.98750000000001</v>
      </c>
      <c r="I23" s="16">
        <f t="shared" si="3"/>
        <v>-266.98750000000001</v>
      </c>
      <c r="J23" s="16">
        <f t="shared" si="3"/>
        <v>-266.98750000000001</v>
      </c>
      <c r="K23" s="16">
        <f t="shared" si="3"/>
        <v>-266.98750000000001</v>
      </c>
      <c r="L23" s="16">
        <f t="shared" si="3"/>
        <v>-270</v>
      </c>
      <c r="M23" s="16">
        <f t="shared" si="3"/>
        <v>-266.98750000000001</v>
      </c>
      <c r="N23" s="16">
        <f t="shared" si="3"/>
        <v>-266.98750000000001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5" t="s">
        <v>90</v>
      </c>
      <c r="B24" s="106"/>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t="s">
        <v>54</v>
      </c>
      <c r="O27" s="86" t="s">
        <v>54</v>
      </c>
      <c r="P27" s="86" t="s">
        <v>54</v>
      </c>
      <c r="Q27" s="86" t="s">
        <v>54</v>
      </c>
      <c r="R27" s="86" t="s">
        <v>54</v>
      </c>
      <c r="S27" s="86" t="s">
        <v>54</v>
      </c>
      <c r="T27" s="86" t="s">
        <v>54</v>
      </c>
      <c r="U27" s="86" t="s">
        <v>54</v>
      </c>
    </row>
    <row r="28" spans="1:40" s="49" customFormat="1" x14ac:dyDescent="0.25">
      <c r="A28" s="87"/>
      <c r="B28" s="23">
        <v>1.58</v>
      </c>
      <c r="C28" s="15">
        <v>0.03</v>
      </c>
      <c r="D28" s="15">
        <v>47.9</v>
      </c>
      <c r="E28" s="15">
        <v>10</v>
      </c>
      <c r="F28" s="15">
        <v>10</v>
      </c>
      <c r="G28" s="15">
        <v>0.38</v>
      </c>
      <c r="H28" s="15">
        <v>1.57</v>
      </c>
      <c r="I28" s="15">
        <v>0.68</v>
      </c>
      <c r="J28" s="15">
        <v>0.01</v>
      </c>
      <c r="K28" s="22">
        <v>0.05</v>
      </c>
      <c r="L28" s="15">
        <v>0.2</v>
      </c>
      <c r="M28" s="15">
        <v>0.28000000000000003</v>
      </c>
      <c r="N28" s="15">
        <v>2534</v>
      </c>
      <c r="O28" s="15">
        <v>291</v>
      </c>
      <c r="P28" s="15">
        <v>21.4</v>
      </c>
      <c r="Q28" s="15">
        <v>106</v>
      </c>
      <c r="R28" s="15">
        <v>0.06</v>
      </c>
      <c r="S28" s="15">
        <v>0.5</v>
      </c>
      <c r="T28" s="15">
        <v>0.05</v>
      </c>
      <c r="U28" s="15">
        <v>12.7</v>
      </c>
    </row>
    <row r="29" spans="1:40" s="7" customFormat="1" ht="27" x14ac:dyDescent="0.25">
      <c r="A29" s="10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0</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75</v>
      </c>
      <c r="D32" s="69">
        <f t="shared" ref="D32:D50" si="7">(IF(D$27="%w/w SAR",((D$28*10)*$B32),IF(D$27="%w/w DM",(((D$28*10)*($B$28/100))*$B32),IF(D$27="kg/t SAR",(D$28*$B32),IF(D$27="kg/t DM",((D$28*($B$28/100))*$B32),IF(D$27="mg/kg SAR",((D$28*0.001)*$B32),IF(D$27="mg/kg DM",(((D$28*0.001)*($B$28/100))*$B32),"0")))))))*2.291</f>
        <v>27.434724999999997</v>
      </c>
      <c r="E32" s="69">
        <f t="shared" ref="E32:E50" si="8">(IF(E$27="%w/w SAR",((E$28*10)*$B32),IF(E$27="%w/w DM",(((E$28*10)*($B$28/100))*$B32),IF(E$27="kg/t SAR",(E$28*$B32),IF(E$27="kg/t DM",((E$28*($B$28/100))*$B32),IF(E$27="mg/kg SAR",((E$28*0.001)*$B32),IF(E$27="mg/kg DM",(((E$28*0.001)*($B$28/100))*$B32),"0")))))))*1.205</f>
        <v>3.0125000000000002</v>
      </c>
      <c r="F32" s="69">
        <f t="shared" ref="F32:F50" si="9">(IF(F$27="%w/w SAR",((F$28*10)*$B32),IF(F$27="%w/w DM",(((F$28*10)*($B$28/100))*$B32),IF(F$27="kg/t SAR",(F$28*$B32),IF(F$27="kg/t DM",((F$28*($B$28/100))*$B32),IF(F$27="mg/kg SAR",((F$28*0.001)*$B32),IF(F$27="mg/kg DM",(((F$28*0.001)*($B$28/100))*$B32),"0")))))))*1.658</f>
        <v>4.1449999999999996</v>
      </c>
      <c r="G32" s="69">
        <f t="shared" si="5"/>
        <v>9.5000000000000001E-2</v>
      </c>
      <c r="H32" s="69">
        <f t="shared" si="5"/>
        <v>0.39250000000000002</v>
      </c>
      <c r="I32" s="69">
        <f t="shared" si="5"/>
        <v>0.17</v>
      </c>
      <c r="J32" s="69">
        <f t="shared" si="5"/>
        <v>2.5000000000000001E-3</v>
      </c>
      <c r="K32" s="69">
        <f t="shared" si="5"/>
        <v>1.2500000000000001E-2</v>
      </c>
      <c r="L32" s="69">
        <f t="shared" si="5"/>
        <v>0.05</v>
      </c>
      <c r="M32" s="69">
        <f t="shared" si="5"/>
        <v>7.0000000000000007E-2</v>
      </c>
      <c r="N32" s="69">
        <f t="shared" si="5"/>
        <v>633.50000000000011</v>
      </c>
      <c r="O32" s="69">
        <f t="shared" si="5"/>
        <v>72.75</v>
      </c>
      <c r="P32" s="69">
        <f t="shared" si="5"/>
        <v>5.35</v>
      </c>
      <c r="Q32" s="69">
        <f t="shared" ref="Q32:Q50" si="10">(IF(Q$27="%w/w SAR",((Q$28*10)*$B32),IF(Q$27="%w/w DM",(((Q$28*10)*($B$28/100))*$B32),IF(Q$27="kg/t SAR",(Q$28*$B32),IF(Q$27="kg/t DM",((Q$28*($B$28/100))*$B32),IF(Q$27="mg/kg SAR",((Q$28*0.001)*$B32),IF(Q$27="mg/kg DM",(((Q$28*0.001)*($B$28/100))*$B32),0)))))))*2.5</f>
        <v>66.25</v>
      </c>
      <c r="R32" s="69">
        <f t="shared" ref="R32:U50" si="11">IF(R$27="%w/w SAR",((R$28*10)*$B32),IF(R$27="%w/w DM",(((R$28*10)*($B$28/100))*$B32),IF(R$27="kg/t SAR",(R$28*$B32),IF(R$27="kg/t DM",((R$28*($B$28/100))*$B32),IF(R$27="mg/kg SAR",((R$28*0.001)*$B32),IF(R$27="mg/kg DM",(((R$28*0.001)*($B$28/100))*$B32),0))))))</f>
        <v>1.5000000000000001E-2</v>
      </c>
      <c r="S32" s="69">
        <f t="shared" si="11"/>
        <v>0.125</v>
      </c>
      <c r="T32" s="69">
        <f t="shared" si="11"/>
        <v>1.2500000000000001E-2</v>
      </c>
      <c r="U32" s="69">
        <f t="shared" si="11"/>
        <v>3.1749999999999998</v>
      </c>
      <c r="AB32" s="51"/>
      <c r="AC32" s="51"/>
      <c r="AD32" s="51"/>
      <c r="AE32" s="51"/>
      <c r="AF32" s="51"/>
      <c r="AG32" s="51"/>
      <c r="AH32" s="51"/>
      <c r="AI32" s="51"/>
    </row>
    <row r="33" spans="1:35" s="64" customFormat="1" x14ac:dyDescent="0.25">
      <c r="A33" s="13">
        <f>E8</f>
        <v>3</v>
      </c>
      <c r="B33" s="15">
        <v>250</v>
      </c>
      <c r="C33" s="69">
        <f t="shared" si="6"/>
        <v>75</v>
      </c>
      <c r="D33" s="69">
        <f t="shared" si="7"/>
        <v>27.434724999999997</v>
      </c>
      <c r="E33" s="69">
        <f t="shared" si="8"/>
        <v>3.0125000000000002</v>
      </c>
      <c r="F33" s="69">
        <f t="shared" si="9"/>
        <v>4.1449999999999996</v>
      </c>
      <c r="G33" s="69">
        <f t="shared" si="5"/>
        <v>9.5000000000000001E-2</v>
      </c>
      <c r="H33" s="69">
        <f t="shared" si="5"/>
        <v>0.39250000000000002</v>
      </c>
      <c r="I33" s="69">
        <f t="shared" si="5"/>
        <v>0.17</v>
      </c>
      <c r="J33" s="69">
        <f t="shared" si="5"/>
        <v>2.5000000000000001E-3</v>
      </c>
      <c r="K33" s="69">
        <f t="shared" si="5"/>
        <v>1.2500000000000001E-2</v>
      </c>
      <c r="L33" s="69">
        <f t="shared" si="5"/>
        <v>0.05</v>
      </c>
      <c r="M33" s="69">
        <f t="shared" si="5"/>
        <v>7.0000000000000007E-2</v>
      </c>
      <c r="N33" s="69">
        <f t="shared" si="5"/>
        <v>633.50000000000011</v>
      </c>
      <c r="O33" s="69">
        <f t="shared" si="5"/>
        <v>72.75</v>
      </c>
      <c r="P33" s="69">
        <f t="shared" si="5"/>
        <v>5.35</v>
      </c>
      <c r="Q33" s="69">
        <f t="shared" si="10"/>
        <v>66.25</v>
      </c>
      <c r="R33" s="69">
        <f t="shared" si="11"/>
        <v>1.5000000000000001E-2</v>
      </c>
      <c r="S33" s="69">
        <f t="shared" si="11"/>
        <v>0.125</v>
      </c>
      <c r="T33" s="69">
        <f t="shared" si="11"/>
        <v>1.2500000000000001E-2</v>
      </c>
      <c r="U33" s="69">
        <f t="shared" si="11"/>
        <v>3.1749999999999998</v>
      </c>
      <c r="AB33" s="51"/>
      <c r="AC33" s="51"/>
      <c r="AD33" s="51"/>
      <c r="AE33" s="51"/>
      <c r="AF33" s="51"/>
      <c r="AG33" s="51"/>
      <c r="AH33" s="51"/>
      <c r="AI33" s="51"/>
    </row>
    <row r="34" spans="1:35" s="64" customFormat="1" x14ac:dyDescent="0.25">
      <c r="A34" s="13">
        <f>F8</f>
        <v>4</v>
      </c>
      <c r="B34" s="15">
        <v>250</v>
      </c>
      <c r="C34" s="69">
        <f t="shared" si="6"/>
        <v>75</v>
      </c>
      <c r="D34" s="69">
        <f t="shared" si="7"/>
        <v>27.434724999999997</v>
      </c>
      <c r="E34" s="69">
        <f t="shared" si="8"/>
        <v>3.0125000000000002</v>
      </c>
      <c r="F34" s="69">
        <f t="shared" si="9"/>
        <v>4.1449999999999996</v>
      </c>
      <c r="G34" s="69">
        <f t="shared" si="5"/>
        <v>9.5000000000000001E-2</v>
      </c>
      <c r="H34" s="69">
        <f t="shared" si="5"/>
        <v>0.39250000000000002</v>
      </c>
      <c r="I34" s="69">
        <f t="shared" si="5"/>
        <v>0.17</v>
      </c>
      <c r="J34" s="69">
        <f t="shared" si="5"/>
        <v>2.5000000000000001E-3</v>
      </c>
      <c r="K34" s="69">
        <f t="shared" si="5"/>
        <v>1.2500000000000001E-2</v>
      </c>
      <c r="L34" s="69">
        <f t="shared" si="5"/>
        <v>0.05</v>
      </c>
      <c r="M34" s="69">
        <f t="shared" si="5"/>
        <v>7.0000000000000007E-2</v>
      </c>
      <c r="N34" s="69">
        <f t="shared" si="5"/>
        <v>633.50000000000011</v>
      </c>
      <c r="O34" s="69">
        <f t="shared" si="5"/>
        <v>72.75</v>
      </c>
      <c r="P34" s="69">
        <f t="shared" si="5"/>
        <v>5.35</v>
      </c>
      <c r="Q34" s="69">
        <f t="shared" si="10"/>
        <v>66.25</v>
      </c>
      <c r="R34" s="69">
        <f t="shared" si="11"/>
        <v>1.5000000000000001E-2</v>
      </c>
      <c r="S34" s="69">
        <f t="shared" si="11"/>
        <v>0.125</v>
      </c>
      <c r="T34" s="69">
        <f t="shared" si="11"/>
        <v>1.2500000000000001E-2</v>
      </c>
      <c r="U34" s="69">
        <f t="shared" si="11"/>
        <v>3.1749999999999998</v>
      </c>
      <c r="AB34" s="51"/>
      <c r="AC34" s="51"/>
      <c r="AD34" s="51"/>
      <c r="AE34" s="51"/>
      <c r="AF34" s="51"/>
      <c r="AG34" s="51"/>
      <c r="AH34" s="51"/>
      <c r="AI34" s="51"/>
    </row>
    <row r="35" spans="1:35" s="64" customFormat="1" x14ac:dyDescent="0.25">
      <c r="A35" s="13" t="str">
        <f>G8</f>
        <v>5a</v>
      </c>
      <c r="B35" s="15">
        <v>250</v>
      </c>
      <c r="C35" s="69">
        <f t="shared" si="6"/>
        <v>75</v>
      </c>
      <c r="D35" s="69">
        <f t="shared" si="7"/>
        <v>27.434724999999997</v>
      </c>
      <c r="E35" s="69">
        <f t="shared" si="8"/>
        <v>3.0125000000000002</v>
      </c>
      <c r="F35" s="69">
        <f t="shared" si="9"/>
        <v>4.1449999999999996</v>
      </c>
      <c r="G35" s="69">
        <f t="shared" si="5"/>
        <v>9.5000000000000001E-2</v>
      </c>
      <c r="H35" s="69">
        <f t="shared" si="5"/>
        <v>0.39250000000000002</v>
      </c>
      <c r="I35" s="69">
        <f t="shared" si="5"/>
        <v>0.17</v>
      </c>
      <c r="J35" s="69">
        <f t="shared" si="5"/>
        <v>2.5000000000000001E-3</v>
      </c>
      <c r="K35" s="69">
        <f t="shared" si="5"/>
        <v>1.2500000000000001E-2</v>
      </c>
      <c r="L35" s="69">
        <f t="shared" si="5"/>
        <v>0.05</v>
      </c>
      <c r="M35" s="69">
        <f t="shared" si="5"/>
        <v>7.0000000000000007E-2</v>
      </c>
      <c r="N35" s="69">
        <f t="shared" si="5"/>
        <v>633.50000000000011</v>
      </c>
      <c r="O35" s="69">
        <f t="shared" si="5"/>
        <v>72.75</v>
      </c>
      <c r="P35" s="69">
        <f t="shared" si="5"/>
        <v>5.35</v>
      </c>
      <c r="Q35" s="69">
        <f t="shared" si="10"/>
        <v>66.25</v>
      </c>
      <c r="R35" s="69">
        <f t="shared" si="11"/>
        <v>1.5000000000000001E-2</v>
      </c>
      <c r="S35" s="69">
        <f t="shared" si="11"/>
        <v>0.125</v>
      </c>
      <c r="T35" s="69">
        <f t="shared" si="11"/>
        <v>1.2500000000000001E-2</v>
      </c>
      <c r="U35" s="69">
        <f t="shared" si="11"/>
        <v>3.1749999999999998</v>
      </c>
      <c r="AB35" s="51"/>
      <c r="AC35" s="51"/>
      <c r="AD35" s="51"/>
      <c r="AE35" s="51"/>
      <c r="AF35" s="51"/>
      <c r="AG35" s="51"/>
      <c r="AH35" s="51"/>
      <c r="AI35" s="51"/>
    </row>
    <row r="36" spans="1:35" s="64" customFormat="1" x14ac:dyDescent="0.25">
      <c r="A36" s="13" t="str">
        <f>H8</f>
        <v>5b</v>
      </c>
      <c r="B36" s="15">
        <v>250</v>
      </c>
      <c r="C36" s="69">
        <f t="shared" si="6"/>
        <v>75</v>
      </c>
      <c r="D36" s="69">
        <f t="shared" si="7"/>
        <v>27.434724999999997</v>
      </c>
      <c r="E36" s="69">
        <f t="shared" si="8"/>
        <v>3.0125000000000002</v>
      </c>
      <c r="F36" s="69">
        <f t="shared" si="9"/>
        <v>4.1449999999999996</v>
      </c>
      <c r="G36" s="69">
        <f t="shared" si="5"/>
        <v>9.5000000000000001E-2</v>
      </c>
      <c r="H36" s="69">
        <f t="shared" si="5"/>
        <v>0.39250000000000002</v>
      </c>
      <c r="I36" s="69">
        <f t="shared" si="5"/>
        <v>0.17</v>
      </c>
      <c r="J36" s="69">
        <f t="shared" si="5"/>
        <v>2.5000000000000001E-3</v>
      </c>
      <c r="K36" s="69">
        <f t="shared" si="5"/>
        <v>1.2500000000000001E-2</v>
      </c>
      <c r="L36" s="69">
        <f t="shared" si="5"/>
        <v>0.05</v>
      </c>
      <c r="M36" s="69">
        <f t="shared" si="5"/>
        <v>7.0000000000000007E-2</v>
      </c>
      <c r="N36" s="69">
        <f t="shared" si="5"/>
        <v>633.50000000000011</v>
      </c>
      <c r="O36" s="69">
        <f t="shared" si="5"/>
        <v>72.75</v>
      </c>
      <c r="P36" s="69">
        <f t="shared" si="5"/>
        <v>5.35</v>
      </c>
      <c r="Q36" s="69">
        <f t="shared" si="10"/>
        <v>66.25</v>
      </c>
      <c r="R36" s="69">
        <f t="shared" si="11"/>
        <v>1.5000000000000001E-2</v>
      </c>
      <c r="S36" s="69">
        <f t="shared" si="11"/>
        <v>0.125</v>
      </c>
      <c r="T36" s="69">
        <f t="shared" si="11"/>
        <v>1.2500000000000001E-2</v>
      </c>
      <c r="U36" s="69">
        <f t="shared" si="11"/>
        <v>3.1749999999999998</v>
      </c>
      <c r="AB36" s="51"/>
      <c r="AC36" s="51"/>
      <c r="AD36" s="51"/>
      <c r="AE36" s="51"/>
      <c r="AF36" s="51"/>
      <c r="AG36" s="51"/>
      <c r="AH36" s="51"/>
      <c r="AI36" s="51"/>
    </row>
    <row r="37" spans="1:35" s="64" customFormat="1" x14ac:dyDescent="0.25">
      <c r="A37" s="13">
        <f>I8</f>
        <v>6</v>
      </c>
      <c r="B37" s="15">
        <v>250</v>
      </c>
      <c r="C37" s="69">
        <f t="shared" si="6"/>
        <v>75</v>
      </c>
      <c r="D37" s="69">
        <f t="shared" si="7"/>
        <v>27.434724999999997</v>
      </c>
      <c r="E37" s="69">
        <f t="shared" si="8"/>
        <v>3.0125000000000002</v>
      </c>
      <c r="F37" s="69">
        <f t="shared" si="9"/>
        <v>4.1449999999999996</v>
      </c>
      <c r="G37" s="69">
        <f t="shared" si="5"/>
        <v>9.5000000000000001E-2</v>
      </c>
      <c r="H37" s="69">
        <f t="shared" si="5"/>
        <v>0.39250000000000002</v>
      </c>
      <c r="I37" s="69">
        <f t="shared" si="5"/>
        <v>0.17</v>
      </c>
      <c r="J37" s="69">
        <f t="shared" si="5"/>
        <v>2.5000000000000001E-3</v>
      </c>
      <c r="K37" s="69">
        <f t="shared" si="5"/>
        <v>1.2500000000000001E-2</v>
      </c>
      <c r="L37" s="69">
        <f t="shared" si="5"/>
        <v>0.05</v>
      </c>
      <c r="M37" s="69">
        <f t="shared" si="5"/>
        <v>7.0000000000000007E-2</v>
      </c>
      <c r="N37" s="69">
        <f t="shared" si="5"/>
        <v>633.50000000000011</v>
      </c>
      <c r="O37" s="69">
        <f t="shared" si="5"/>
        <v>72.75</v>
      </c>
      <c r="P37" s="69">
        <f t="shared" si="5"/>
        <v>5.35</v>
      </c>
      <c r="Q37" s="69">
        <f t="shared" si="10"/>
        <v>66.25</v>
      </c>
      <c r="R37" s="69">
        <f t="shared" si="11"/>
        <v>1.5000000000000001E-2</v>
      </c>
      <c r="S37" s="69">
        <f t="shared" si="11"/>
        <v>0.125</v>
      </c>
      <c r="T37" s="69">
        <f t="shared" si="11"/>
        <v>1.2500000000000001E-2</v>
      </c>
      <c r="U37" s="69">
        <f t="shared" si="11"/>
        <v>3.1749999999999998</v>
      </c>
      <c r="AB37" s="51"/>
      <c r="AC37" s="51"/>
      <c r="AD37" s="51"/>
      <c r="AE37" s="51"/>
      <c r="AF37" s="51"/>
      <c r="AG37" s="51"/>
      <c r="AH37" s="51"/>
      <c r="AI37" s="51"/>
    </row>
    <row r="38" spans="1:35" s="64" customFormat="1" x14ac:dyDescent="0.25">
      <c r="A38" s="13">
        <f>J8</f>
        <v>7</v>
      </c>
      <c r="B38" s="15">
        <v>250</v>
      </c>
      <c r="C38" s="69">
        <f t="shared" si="6"/>
        <v>75</v>
      </c>
      <c r="D38" s="69">
        <f t="shared" si="7"/>
        <v>27.434724999999997</v>
      </c>
      <c r="E38" s="69">
        <f t="shared" si="8"/>
        <v>3.0125000000000002</v>
      </c>
      <c r="F38" s="69">
        <f t="shared" si="9"/>
        <v>4.1449999999999996</v>
      </c>
      <c r="G38" s="69">
        <f t="shared" si="5"/>
        <v>9.5000000000000001E-2</v>
      </c>
      <c r="H38" s="69">
        <f t="shared" si="5"/>
        <v>0.39250000000000002</v>
      </c>
      <c r="I38" s="69">
        <f t="shared" si="5"/>
        <v>0.17</v>
      </c>
      <c r="J38" s="69">
        <f t="shared" si="5"/>
        <v>2.5000000000000001E-3</v>
      </c>
      <c r="K38" s="69">
        <f t="shared" si="5"/>
        <v>1.2500000000000001E-2</v>
      </c>
      <c r="L38" s="69">
        <f t="shared" si="5"/>
        <v>0.05</v>
      </c>
      <c r="M38" s="69">
        <f t="shared" si="5"/>
        <v>7.0000000000000007E-2</v>
      </c>
      <c r="N38" s="69">
        <f t="shared" si="5"/>
        <v>633.50000000000011</v>
      </c>
      <c r="O38" s="69">
        <f t="shared" si="5"/>
        <v>72.75</v>
      </c>
      <c r="P38" s="69">
        <f t="shared" si="5"/>
        <v>5.35</v>
      </c>
      <c r="Q38" s="69">
        <f t="shared" si="10"/>
        <v>66.25</v>
      </c>
      <c r="R38" s="69">
        <f t="shared" si="11"/>
        <v>1.5000000000000001E-2</v>
      </c>
      <c r="S38" s="69">
        <f t="shared" si="11"/>
        <v>0.125</v>
      </c>
      <c r="T38" s="69">
        <f t="shared" si="11"/>
        <v>1.2500000000000001E-2</v>
      </c>
      <c r="U38" s="69">
        <f t="shared" si="11"/>
        <v>3.1749999999999998</v>
      </c>
      <c r="AB38" s="51"/>
      <c r="AC38" s="51"/>
      <c r="AD38" s="51"/>
      <c r="AE38" s="51"/>
      <c r="AF38" s="51"/>
      <c r="AG38" s="51"/>
      <c r="AH38" s="51"/>
      <c r="AI38" s="51"/>
    </row>
    <row r="39" spans="1:35" s="64" customFormat="1" x14ac:dyDescent="0.25">
      <c r="A39" s="13">
        <f>K8</f>
        <v>9</v>
      </c>
      <c r="B39" s="15">
        <v>250</v>
      </c>
      <c r="C39" s="69">
        <f t="shared" si="6"/>
        <v>75</v>
      </c>
      <c r="D39" s="69">
        <f t="shared" si="7"/>
        <v>27.434724999999997</v>
      </c>
      <c r="E39" s="69">
        <f t="shared" si="8"/>
        <v>3.0125000000000002</v>
      </c>
      <c r="F39" s="69">
        <f t="shared" si="9"/>
        <v>4.1449999999999996</v>
      </c>
      <c r="G39" s="69">
        <f t="shared" si="5"/>
        <v>9.5000000000000001E-2</v>
      </c>
      <c r="H39" s="69">
        <f t="shared" si="5"/>
        <v>0.39250000000000002</v>
      </c>
      <c r="I39" s="69">
        <f t="shared" si="5"/>
        <v>0.17</v>
      </c>
      <c r="J39" s="69">
        <f t="shared" si="5"/>
        <v>2.5000000000000001E-3</v>
      </c>
      <c r="K39" s="69">
        <f t="shared" si="5"/>
        <v>1.2500000000000001E-2</v>
      </c>
      <c r="L39" s="69">
        <f t="shared" si="5"/>
        <v>0.05</v>
      </c>
      <c r="M39" s="69">
        <f t="shared" si="5"/>
        <v>7.0000000000000007E-2</v>
      </c>
      <c r="N39" s="69">
        <f t="shared" si="5"/>
        <v>633.50000000000011</v>
      </c>
      <c r="O39" s="69">
        <f t="shared" si="5"/>
        <v>72.75</v>
      </c>
      <c r="P39" s="69">
        <f t="shared" si="5"/>
        <v>5.35</v>
      </c>
      <c r="Q39" s="69">
        <f t="shared" si="10"/>
        <v>66.25</v>
      </c>
      <c r="R39" s="69">
        <f t="shared" si="11"/>
        <v>1.5000000000000001E-2</v>
      </c>
      <c r="S39" s="69">
        <f t="shared" si="11"/>
        <v>0.125</v>
      </c>
      <c r="T39" s="69">
        <f t="shared" si="11"/>
        <v>1.2500000000000001E-2</v>
      </c>
      <c r="U39" s="69">
        <f t="shared" si="11"/>
        <v>3.1749999999999998</v>
      </c>
      <c r="AB39" s="51"/>
      <c r="AC39" s="51"/>
      <c r="AD39" s="51"/>
      <c r="AE39" s="51"/>
      <c r="AF39" s="51"/>
      <c r="AG39" s="51"/>
      <c r="AH39" s="51"/>
      <c r="AI39" s="51"/>
    </row>
    <row r="40" spans="1:35" s="64" customFormat="1" x14ac:dyDescent="0.25">
      <c r="A40" s="13">
        <f>L8</f>
        <v>10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11</v>
      </c>
      <c r="B41" s="15">
        <v>250</v>
      </c>
      <c r="C41" s="69">
        <f t="shared" si="6"/>
        <v>75</v>
      </c>
      <c r="D41" s="69">
        <f t="shared" si="7"/>
        <v>27.434724999999997</v>
      </c>
      <c r="E41" s="69">
        <f t="shared" si="8"/>
        <v>3.0125000000000002</v>
      </c>
      <c r="F41" s="69">
        <f t="shared" si="9"/>
        <v>4.1449999999999996</v>
      </c>
      <c r="G41" s="69">
        <f t="shared" si="5"/>
        <v>9.5000000000000001E-2</v>
      </c>
      <c r="H41" s="69">
        <f t="shared" si="5"/>
        <v>0.39250000000000002</v>
      </c>
      <c r="I41" s="69">
        <f t="shared" si="5"/>
        <v>0.17</v>
      </c>
      <c r="J41" s="69">
        <f t="shared" si="5"/>
        <v>2.5000000000000001E-3</v>
      </c>
      <c r="K41" s="69">
        <f t="shared" si="5"/>
        <v>1.2500000000000001E-2</v>
      </c>
      <c r="L41" s="69">
        <f t="shared" si="5"/>
        <v>0.05</v>
      </c>
      <c r="M41" s="69">
        <f t="shared" si="5"/>
        <v>7.0000000000000007E-2</v>
      </c>
      <c r="N41" s="69">
        <f t="shared" si="5"/>
        <v>633.50000000000011</v>
      </c>
      <c r="O41" s="69">
        <f t="shared" si="5"/>
        <v>72.75</v>
      </c>
      <c r="P41" s="69">
        <f t="shared" si="5"/>
        <v>5.35</v>
      </c>
      <c r="Q41" s="69">
        <f t="shared" si="10"/>
        <v>66.25</v>
      </c>
      <c r="R41" s="69">
        <f t="shared" si="11"/>
        <v>1.5000000000000001E-2</v>
      </c>
      <c r="S41" s="69">
        <f t="shared" si="11"/>
        <v>0.125</v>
      </c>
      <c r="T41" s="69">
        <f t="shared" si="11"/>
        <v>1.2500000000000001E-2</v>
      </c>
      <c r="U41" s="69">
        <f t="shared" si="11"/>
        <v>3.1749999999999998</v>
      </c>
      <c r="AB41" s="51"/>
      <c r="AC41" s="51"/>
      <c r="AD41" s="51"/>
      <c r="AE41" s="51"/>
      <c r="AF41" s="51"/>
      <c r="AG41" s="51"/>
      <c r="AH41" s="51"/>
      <c r="AI41" s="51"/>
    </row>
    <row r="42" spans="1:35" s="64" customFormat="1" x14ac:dyDescent="0.25">
      <c r="A42" s="13">
        <f>N8</f>
        <v>12</v>
      </c>
      <c r="B42" s="15">
        <v>250</v>
      </c>
      <c r="C42" s="69">
        <f t="shared" si="6"/>
        <v>75</v>
      </c>
      <c r="D42" s="69">
        <f t="shared" si="7"/>
        <v>27.434724999999997</v>
      </c>
      <c r="E42" s="69">
        <f t="shared" si="8"/>
        <v>3.0125000000000002</v>
      </c>
      <c r="F42" s="69">
        <f t="shared" si="9"/>
        <v>4.1449999999999996</v>
      </c>
      <c r="G42" s="69">
        <f t="shared" si="5"/>
        <v>9.5000000000000001E-2</v>
      </c>
      <c r="H42" s="69">
        <f t="shared" si="5"/>
        <v>0.39250000000000002</v>
      </c>
      <c r="I42" s="69">
        <f t="shared" si="5"/>
        <v>0.17</v>
      </c>
      <c r="J42" s="69">
        <f t="shared" si="5"/>
        <v>2.5000000000000001E-3</v>
      </c>
      <c r="K42" s="69">
        <f t="shared" si="5"/>
        <v>1.2500000000000001E-2</v>
      </c>
      <c r="L42" s="69">
        <f t="shared" si="5"/>
        <v>0.05</v>
      </c>
      <c r="M42" s="69">
        <f t="shared" si="5"/>
        <v>7.0000000000000007E-2</v>
      </c>
      <c r="N42" s="69">
        <f t="shared" si="5"/>
        <v>633.50000000000011</v>
      </c>
      <c r="O42" s="69">
        <f t="shared" si="5"/>
        <v>72.75</v>
      </c>
      <c r="P42" s="69">
        <f t="shared" si="5"/>
        <v>5.35</v>
      </c>
      <c r="Q42" s="69">
        <f t="shared" si="10"/>
        <v>66.25</v>
      </c>
      <c r="R42" s="69">
        <f t="shared" si="11"/>
        <v>1.5000000000000001E-2</v>
      </c>
      <c r="S42" s="69">
        <f t="shared" si="11"/>
        <v>0.125</v>
      </c>
      <c r="T42" s="69">
        <f t="shared" si="11"/>
        <v>1.2500000000000001E-2</v>
      </c>
      <c r="U42" s="69">
        <f t="shared" si="11"/>
        <v>3.1749999999999998</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0</v>
      </c>
      <c r="C57" s="8">
        <f t="shared" ref="C57:U57" si="13">D8</f>
        <v>2</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e">
        <f>C16&amp;" I "&amp;(VLOOKUP(C14,Table2456[],6,FALSE))</f>
        <v>#N/A</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90" t="s">
        <v>130</v>
      </c>
      <c r="B59" s="68" t="e">
        <f>VLOOKUP(C$14,Table2456[],5,FALSE)</f>
        <v>#N/A</v>
      </c>
      <c r="C59" s="68">
        <f>VLOOKUP(D$14,Table2456[],5,FALSE)</f>
        <v>6.2</v>
      </c>
      <c r="D59" s="68">
        <f>VLOOKUP(E$14,Table2456[],5,FALSE)</f>
        <v>6.2</v>
      </c>
      <c r="E59" s="68">
        <f>VLOOKUP(F$14,Table2456[],5,FALSE)</f>
        <v>6.2</v>
      </c>
      <c r="F59" s="68">
        <f>VLOOKUP(G$14,Table2456[],5,FALSE)</f>
        <v>6.2</v>
      </c>
      <c r="G59" s="68">
        <f>VLOOKUP(H$14,Table2456[],5,FALSE)</f>
        <v>6.2</v>
      </c>
      <c r="H59" s="68">
        <f>VLOOKUP(I$14,Table2456[],5,FALSE)</f>
        <v>6.2</v>
      </c>
      <c r="I59" s="68">
        <f>VLOOKUP(J$14,Table2456[],5,FALSE)</f>
        <v>6.2</v>
      </c>
      <c r="J59" s="68">
        <f>VLOOKUP(K$14,Table2456[],5,FALSE)</f>
        <v>6.2</v>
      </c>
      <c r="K59" s="68">
        <f>VLOOKUP(L$14,Table2456[],5,FALSE)</f>
        <v>6.2</v>
      </c>
      <c r="L59" s="68">
        <f>VLOOKUP(M$14,Table2456[],5,FALSE)</f>
        <v>6.2</v>
      </c>
      <c r="M59" s="68">
        <f>VLOOKUP(N$14,Table2456[],5,FALSE)</f>
        <v>6.2</v>
      </c>
      <c r="N59" s="68" t="e">
        <f>VLOOKUP(O$14,Table2456[],5,FALSE)</f>
        <v>#N/A</v>
      </c>
      <c r="O59" s="68" t="e">
        <f>VLOOKUP(P$14,Table2456[],5,FALSE)</f>
        <v>#N/A</v>
      </c>
      <c r="P59" s="68" t="e">
        <f>VLOOKUP(Q$14,Table2456[],5,FALSE)</f>
        <v>#N/A</v>
      </c>
      <c r="Q59" s="68" t="e">
        <f>VLOOKUP(R$14,Table2456[],5,FALSE)</f>
        <v>#N/A</v>
      </c>
      <c r="R59" s="68" t="e">
        <f>VLOOKUP(S$14,Table2456[],5,FALSE)</f>
        <v>#N/A</v>
      </c>
      <c r="S59" s="68" t="e">
        <f>VLOOKUP(T$14,Table2456[],5,FALSE)</f>
        <v>#N/A</v>
      </c>
      <c r="T59" s="68" t="e">
        <f>VLOOKUP(U$14,Table2456[],5,FALSE)</f>
        <v>#N/A</v>
      </c>
      <c r="U59" s="68" t="e">
        <f>VLOOKUP(V$14,Table2456[],5,FALSE)</f>
        <v>#N/A</v>
      </c>
    </row>
    <row r="60" spans="1:35" s="19" customFormat="1" x14ac:dyDescent="0.2">
      <c r="A60" s="90" t="s">
        <v>4</v>
      </c>
      <c r="B60" s="68">
        <f>C10</f>
        <v>0</v>
      </c>
      <c r="C60" s="68">
        <f t="shared" ref="C60:U60" si="14">D10</f>
        <v>6.8</v>
      </c>
      <c r="D60" s="68">
        <f t="shared" si="14"/>
        <v>6.8</v>
      </c>
      <c r="E60" s="68">
        <f t="shared" si="14"/>
        <v>7</v>
      </c>
      <c r="F60" s="68" t="str">
        <f t="shared" si="14"/>
        <v>6..9</v>
      </c>
      <c r="G60" s="68">
        <f t="shared" si="14"/>
        <v>6.7</v>
      </c>
      <c r="H60" s="68">
        <f t="shared" si="14"/>
        <v>6.9</v>
      </c>
      <c r="I60" s="68">
        <f t="shared" si="14"/>
        <v>6.9</v>
      </c>
      <c r="J60" s="68">
        <f t="shared" si="14"/>
        <v>6.7</v>
      </c>
      <c r="K60" s="68">
        <f t="shared" si="14"/>
        <v>5.5</v>
      </c>
      <c r="L60" s="68">
        <f t="shared" si="14"/>
        <v>6</v>
      </c>
      <c r="M60" s="68">
        <f t="shared" si="14"/>
        <v>6</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t="e">
        <f t="shared" ref="B61:U61" si="15">VLOOKUP(B58,$AD9:$AE18,2,FALSE)</f>
        <v>#N/A</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0</v>
      </c>
      <c r="C62" s="69">
        <f>B32</f>
        <v>250</v>
      </c>
      <c r="D62" s="69">
        <f>B33</f>
        <v>250</v>
      </c>
      <c r="E62" s="69">
        <f>B34</f>
        <v>250</v>
      </c>
      <c r="F62" s="69">
        <f>B35</f>
        <v>250</v>
      </c>
      <c r="G62" s="69">
        <f>B36</f>
        <v>250</v>
      </c>
      <c r="H62" s="69">
        <f>B37</f>
        <v>250</v>
      </c>
      <c r="I62" s="69">
        <f>B38</f>
        <v>250</v>
      </c>
      <c r="J62" s="69">
        <f>B39</f>
        <v>250</v>
      </c>
      <c r="K62" s="69">
        <f>B40</f>
        <v>0</v>
      </c>
      <c r="L62" s="69">
        <f>B41</f>
        <v>250</v>
      </c>
      <c r="M62" s="69">
        <f>B42</f>
        <v>250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t="e">
        <f>(B59-B60)*B61</f>
        <v>#N/A</v>
      </c>
      <c r="C64" s="69">
        <f t="shared" ref="C64:U64" si="17">(C59-C60)*C61</f>
        <v>-3.5999999999999979</v>
      </c>
      <c r="D64" s="69">
        <f t="shared" si="17"/>
        <v>-3.5999999999999979</v>
      </c>
      <c r="E64" s="69">
        <f t="shared" si="17"/>
        <v>-4.7999999999999989</v>
      </c>
      <c r="F64" s="69" t="e">
        <f t="shared" si="17"/>
        <v>#VALUE!</v>
      </c>
      <c r="G64" s="69">
        <f t="shared" si="17"/>
        <v>-3</v>
      </c>
      <c r="H64" s="69">
        <f t="shared" si="17"/>
        <v>-4.2000000000000011</v>
      </c>
      <c r="I64" s="69">
        <f t="shared" si="17"/>
        <v>-4.2000000000000011</v>
      </c>
      <c r="J64" s="69">
        <f t="shared" si="17"/>
        <v>-3</v>
      </c>
      <c r="K64" s="69">
        <f t="shared" si="17"/>
        <v>4.2000000000000011</v>
      </c>
      <c r="L64" s="69">
        <f t="shared" si="17"/>
        <v>1.2000000000000011</v>
      </c>
      <c r="M64" s="69">
        <f t="shared" si="17"/>
        <v>1.2000000000000011</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t="e">
        <f>B63-B64</f>
        <v>#N/A</v>
      </c>
      <c r="C65" s="69">
        <f t="shared" ref="C65:U65" si="18">C63-C64</f>
        <v>3.5999999999999979</v>
      </c>
      <c r="D65" s="69">
        <f t="shared" si="18"/>
        <v>3.5999999999999979</v>
      </c>
      <c r="E65" s="69">
        <f t="shared" si="18"/>
        <v>4.7999999999999989</v>
      </c>
      <c r="F65" s="69" t="e">
        <f t="shared" si="18"/>
        <v>#VALUE!</v>
      </c>
      <c r="G65" s="69">
        <f t="shared" si="18"/>
        <v>3</v>
      </c>
      <c r="H65" s="69">
        <f t="shared" si="18"/>
        <v>4.2000000000000011</v>
      </c>
      <c r="I65" s="69">
        <f t="shared" si="18"/>
        <v>4.2000000000000011</v>
      </c>
      <c r="J65" s="69">
        <f t="shared" si="18"/>
        <v>3</v>
      </c>
      <c r="K65" s="69">
        <f t="shared" si="18"/>
        <v>-4.2000000000000011</v>
      </c>
      <c r="L65" s="69">
        <f t="shared" si="18"/>
        <v>-1.2000000000000011</v>
      </c>
      <c r="M65" s="69">
        <f t="shared" si="18"/>
        <v>-1.2000000000000011</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e">
        <f>IF(B64&lt;=B63,"OVER","UNDER")</f>
        <v>#N/A</v>
      </c>
      <c r="C66" s="70" t="str">
        <f t="shared" ref="C66:U66" si="19">IF(C64&lt;=C63,"OVER","UNDER")</f>
        <v>OVER</v>
      </c>
      <c r="D66" s="70" t="str">
        <f t="shared" si="19"/>
        <v>OVER</v>
      </c>
      <c r="E66" s="70" t="str">
        <f t="shared" si="19"/>
        <v>OVER</v>
      </c>
      <c r="F66" s="70" t="e">
        <f t="shared" si="19"/>
        <v>#VALUE!</v>
      </c>
      <c r="G66" s="70" t="str">
        <f t="shared" si="19"/>
        <v>OVER</v>
      </c>
      <c r="H66" s="70" t="str">
        <f t="shared" si="19"/>
        <v>OVER</v>
      </c>
      <c r="I66" s="70" t="str">
        <f t="shared" si="19"/>
        <v>OVER</v>
      </c>
      <c r="J66" s="70" t="str">
        <f t="shared" si="19"/>
        <v>OVER</v>
      </c>
      <c r="K66" s="70" t="str">
        <f t="shared" si="19"/>
        <v>UNDER</v>
      </c>
      <c r="L66" s="70" t="str">
        <f t="shared" si="19"/>
        <v>UNDER</v>
      </c>
      <c r="M66" s="70" t="str">
        <f t="shared" si="19"/>
        <v>UNDER</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2" operator="equal">
      <formula>"DECREASE"</formula>
    </cfRule>
    <cfRule type="cellIs" dxfId="40" priority="33" operator="equal">
      <formula>"INCREASE"</formula>
    </cfRule>
  </conditionalFormatting>
  <conditionalFormatting sqref="B62:U66 B31:B50">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REGU-415-1629230</_dlc_DocId>
    <_dlc_DocIdUrl xmlns="9be56660-2c31-41ef-bc00-23e72f632f2a">
      <Url>https://cyfoethnaturiolcymru.sharepoint.com/teams/Regulatory/Permitting/_layouts/15/DocIdRedir.aspx?ID=REGU-415-1629230</Url>
      <Description>REGU-415-1629230</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2021-10-17T23:00:00+00:00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868545BF-4BBD-4329-9A84-9359356C88B4}"/>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3CF346CC-15DB-45A4-88F9-C7B8749B32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DCWW Bolton Hill</vt:lpstr>
      <vt:lpstr>DCWW Bontgoch</vt:lpstr>
      <vt:lpstr>DCWW Bryngwyn</vt:lpstr>
      <vt:lpstr>DCWW Capel Dewi</vt:lpstr>
      <vt:lpstr>DCWW Cefn Dryscoed</vt:lpstr>
      <vt:lpstr>DCWW Crai</vt:lpstr>
      <vt:lpstr>DCWW Hirwaun</vt:lpstr>
      <vt:lpstr>DCWW Llechryd</vt:lpstr>
      <vt:lpstr>DCWW Preseli</vt:lpstr>
      <vt:lpstr>DCWW Strata Florida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dcterms:created xsi:type="dcterms:W3CDTF">2016-09-26T10:07:59Z</dcterms:created>
  <dcterms:modified xsi:type="dcterms:W3CDTF">2021-10-18T14:27:51Z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2063f67a-7e4c-4f50-a803-2c7903e37ae3</vt:lpwstr>
  </property>
</Properties>
</file>