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444/"/>
    </mc:Choice>
  </mc:AlternateContent>
  <xr:revisionPtr revIDLastSave="0" documentId="13_ncr:1_{FFDD8F68-E3D3-458B-A26F-60393372BCC3}" xr6:coauthVersionLast="45" xr6:coauthVersionMax="45" xr10:uidLastSave="{00000000-0000-0000-0000-000000000000}"/>
  <bookViews>
    <workbookView xWindow="-120" yWindow="-120" windowWidth="29040" windowHeight="15840" tabRatio="870" activeTab="2" xr2:uid="{00000000-000D-0000-FFFF-FFFF00000000}"/>
  </bookViews>
  <sheets>
    <sheet name="Field data and Waste 1 (sludge)" sheetId="1" r:id="rId1"/>
    <sheet name="Waste 2 (effluent)" sheetId="21" r:id="rId2"/>
    <sheet name="Waste 3 (BPD)"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8"/>
  <c r="L3" i="30"/>
  <c r="L3" i="26"/>
  <c r="L3" i="24"/>
  <c r="L3" i="29"/>
  <c r="L3" i="23"/>
  <c r="L3" i="22"/>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M20" i="21"/>
  <c r="L20" i="21"/>
  <c r="K20" i="21"/>
  <c r="J20" i="21"/>
  <c r="H20" i="21"/>
  <c r="F20" i="21"/>
  <c r="D20"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23" i="29" s="1"/>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19" i="28" s="1"/>
  <c r="M21" i="28"/>
  <c r="M23" i="28" s="1"/>
  <c r="T59" i="28"/>
  <c r="U17" i="28"/>
  <c r="U21" i="28"/>
  <c r="U23" i="28" s="1"/>
  <c r="I4" i="20"/>
  <c r="J4" i="19"/>
  <c r="J18" i="19" s="1"/>
  <c r="I59" i="21"/>
  <c r="J17" i="21"/>
  <c r="J19" i="21" s="1"/>
  <c r="J21" i="21"/>
  <c r="J23" i="21" s="1"/>
  <c r="J24" i="21" s="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23" i="21" s="1"/>
  <c r="R24" i="21" s="1"/>
  <c r="R17" i="21"/>
  <c r="K59" i="22"/>
  <c r="L21" i="22"/>
  <c r="L17" i="22"/>
  <c r="L19" i="22" s="1"/>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17" i="22"/>
  <c r="E19" i="22" s="1"/>
  <c r="L59" i="22"/>
  <c r="M21" i="22"/>
  <c r="M23" i="22" s="1"/>
  <c r="M17" i="22"/>
  <c r="M19" i="22" s="1"/>
  <c r="T59" i="22"/>
  <c r="U21" i="22"/>
  <c r="U23" i="22" s="1"/>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1" i="21"/>
  <c r="I59" i="22"/>
  <c r="J17" i="22"/>
  <c r="J19" i="22" s="1"/>
  <c r="J21" i="22"/>
  <c r="J23" i="22" s="1"/>
  <c r="K59" i="23"/>
  <c r="L17" i="23"/>
  <c r="L19" i="23" s="1"/>
  <c r="L21" i="23"/>
  <c r="M57" i="21"/>
  <c r="R59" i="21"/>
  <c r="S21" i="21"/>
  <c r="S23" i="21" s="1"/>
  <c r="S24" i="21" s="1"/>
  <c r="S17" i="21"/>
  <c r="J59" i="21"/>
  <c r="K21" i="21"/>
  <c r="K23" i="21" s="1"/>
  <c r="K24" i="21" s="1"/>
  <c r="K17" i="21"/>
  <c r="K19" i="21" s="1"/>
  <c r="J59" i="22"/>
  <c r="K17" i="22"/>
  <c r="K19" i="22" s="1"/>
  <c r="K21" i="22"/>
  <c r="R59" i="22"/>
  <c r="S17" i="22"/>
  <c r="S21" i="22"/>
  <c r="S23" i="22" s="1"/>
  <c r="D59" i="23"/>
  <c r="E17" i="23"/>
  <c r="E21" i="23"/>
  <c r="L59" i="23"/>
  <c r="M17" i="23"/>
  <c r="M21" i="23"/>
  <c r="T59" i="23"/>
  <c r="U17" i="23"/>
  <c r="U19" i="23" s="1"/>
  <c r="U21" i="23"/>
  <c r="U23" i="23" s="1"/>
  <c r="H21" i="24"/>
  <c r="H17" i="24"/>
  <c r="H19" i="24" s="1"/>
  <c r="P17" i="24"/>
  <c r="P19" i="24" s="1"/>
  <c r="P21" i="24"/>
  <c r="C59" i="26"/>
  <c r="D21" i="26"/>
  <c r="D23" i="26" s="1"/>
  <c r="D17" i="26"/>
  <c r="D19" i="26" s="1"/>
  <c r="K59" i="26"/>
  <c r="L21" i="26"/>
  <c r="L23" i="26" s="1"/>
  <c r="L17" i="26"/>
  <c r="S59" i="26"/>
  <c r="T21" i="26"/>
  <c r="T17" i="26"/>
  <c r="N63" i="26"/>
  <c r="J59" i="27"/>
  <c r="K17" i="27"/>
  <c r="K19" i="27" s="1"/>
  <c r="K20" i="27" s="1"/>
  <c r="R59" i="27"/>
  <c r="S17" i="27"/>
  <c r="S19" i="27" s="1"/>
  <c r="J59" i="28"/>
  <c r="K17" i="28"/>
  <c r="K21" i="28"/>
  <c r="R59" i="28"/>
  <c r="S17" i="28"/>
  <c r="S19" i="28" s="1"/>
  <c r="S21" i="28"/>
  <c r="S23" i="28" s="1"/>
  <c r="I59" i="29"/>
  <c r="J17" i="29"/>
  <c r="J19" i="29" s="1"/>
  <c r="J21" i="29"/>
  <c r="J23" i="29" s="1"/>
  <c r="Q59" i="29"/>
  <c r="R21" i="29"/>
  <c r="R23" i="29" s="1"/>
  <c r="R17" i="29"/>
  <c r="H59" i="30"/>
  <c r="I17" i="30"/>
  <c r="I19" i="30" s="1"/>
  <c r="I21" i="30"/>
  <c r="I23" i="30" s="1"/>
  <c r="Q17" i="30"/>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V19" i="23" s="1"/>
  <c r="I17" i="24"/>
  <c r="I19" i="24" s="1"/>
  <c r="I21" i="24"/>
  <c r="Q17" i="24"/>
  <c r="Q19" i="24" s="1"/>
  <c r="Q21" i="24"/>
  <c r="Q23" i="24" s="1"/>
  <c r="D59" i="26"/>
  <c r="E21" i="26"/>
  <c r="E23" i="26" s="1"/>
  <c r="E17" i="26"/>
  <c r="E19" i="26" s="1"/>
  <c r="L59" i="26"/>
  <c r="M21" i="26"/>
  <c r="M17" i="26"/>
  <c r="M19" i="26" s="1"/>
  <c r="T59" i="26"/>
  <c r="U21" i="26"/>
  <c r="U23" i="26" s="1"/>
  <c r="U17" i="26"/>
  <c r="U19" i="26" s="1"/>
  <c r="C59" i="27"/>
  <c r="D17" i="27"/>
  <c r="D19" i="27" s="1"/>
  <c r="D20" i="27" s="1"/>
  <c r="K59" i="27"/>
  <c r="L17" i="27"/>
  <c r="S59" i="27"/>
  <c r="T17" i="27"/>
  <c r="T19" i="27" s="1"/>
  <c r="C59" i="28"/>
  <c r="D21" i="28"/>
  <c r="D23" i="28" s="1"/>
  <c r="D24" i="28" s="1"/>
  <c r="D17" i="28"/>
  <c r="D19" i="28" s="1"/>
  <c r="K59" i="28"/>
  <c r="L21" i="28"/>
  <c r="L17" i="28"/>
  <c r="S59" i="28"/>
  <c r="T21" i="28"/>
  <c r="T17" i="28"/>
  <c r="T19" i="28" s="1"/>
  <c r="J59" i="29"/>
  <c r="K17" i="29"/>
  <c r="K19" i="29" s="1"/>
  <c r="K21" i="29"/>
  <c r="K23" i="29" s="1"/>
  <c r="R59" i="29"/>
  <c r="S21" i="29"/>
  <c r="S17" i="29"/>
  <c r="I59" i="30"/>
  <c r="J21" i="30"/>
  <c r="J23" i="30" s="1"/>
  <c r="J17" i="30"/>
  <c r="J19" i="30" s="1"/>
  <c r="Q59" i="30"/>
  <c r="R21" i="30"/>
  <c r="R23"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E59" i="22"/>
  <c r="F21" i="22"/>
  <c r="F23" i="22" s="1"/>
  <c r="F17" i="22"/>
  <c r="F19" i="22" s="1"/>
  <c r="M59" i="22"/>
  <c r="N21" i="22"/>
  <c r="N23" i="22" s="1"/>
  <c r="N17" i="22"/>
  <c r="N19" i="22" s="1"/>
  <c r="U59" i="22"/>
  <c r="V17" i="22"/>
  <c r="V21" i="22"/>
  <c r="C18" i="22"/>
  <c r="H21" i="23"/>
  <c r="H23" i="23" s="1"/>
  <c r="H17" i="23"/>
  <c r="H19" i="23" s="1"/>
  <c r="P17" i="23"/>
  <c r="P19" i="23" s="1"/>
  <c r="P21" i="23"/>
  <c r="P23" i="23" s="1"/>
  <c r="J59" i="24"/>
  <c r="K21" i="24"/>
  <c r="K17" i="24"/>
  <c r="R59" i="24"/>
  <c r="S21" i="24"/>
  <c r="S23" i="24" s="1"/>
  <c r="S17" i="24"/>
  <c r="G21" i="26"/>
  <c r="G23" i="26" s="1"/>
  <c r="G17" i="26"/>
  <c r="G19" i="26" s="1"/>
  <c r="O17" i="26"/>
  <c r="O21" i="26"/>
  <c r="E59" i="27"/>
  <c r="F17" i="27"/>
  <c r="F19" i="27" s="1"/>
  <c r="F20" i="27" s="1"/>
  <c r="M59" i="27"/>
  <c r="N17" i="27"/>
  <c r="N19" i="27" s="1"/>
  <c r="N20" i="27" s="1"/>
  <c r="U59" i="27"/>
  <c r="V17" i="27"/>
  <c r="V19" i="27" s="1"/>
  <c r="E59" i="28"/>
  <c r="F17" i="28"/>
  <c r="F19" i="28" s="1"/>
  <c r="F21" i="28"/>
  <c r="M59" i="28"/>
  <c r="N17" i="28"/>
  <c r="N19" i="28" s="1"/>
  <c r="N21" i="28"/>
  <c r="N23" i="28" s="1"/>
  <c r="U59" i="28"/>
  <c r="V17" i="28"/>
  <c r="V21" i="28"/>
  <c r="D59" i="29"/>
  <c r="E17" i="29"/>
  <c r="E19" i="29" s="1"/>
  <c r="E21" i="29"/>
  <c r="E23" i="29" s="1"/>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G23" i="22" s="1"/>
  <c r="O17" i="22"/>
  <c r="O19" i="22" s="1"/>
  <c r="O21" i="22"/>
  <c r="O23" i="22" s="1"/>
  <c r="H59" i="23"/>
  <c r="I21" i="23"/>
  <c r="I23" i="23" s="1"/>
  <c r="I17" i="23"/>
  <c r="I19" i="23" s="1"/>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17" i="26"/>
  <c r="P19" i="26" s="1"/>
  <c r="F59" i="28"/>
  <c r="G17" i="28"/>
  <c r="G19" i="28" s="1"/>
  <c r="G21" i="28"/>
  <c r="G23" i="28" s="1"/>
  <c r="N59" i="28"/>
  <c r="O17" i="28"/>
  <c r="O19" i="28" s="1"/>
  <c r="O21" i="28"/>
  <c r="E59" i="29"/>
  <c r="F17" i="29"/>
  <c r="F19" i="29" s="1"/>
  <c r="F21" i="29"/>
  <c r="M59" i="29"/>
  <c r="N17" i="29"/>
  <c r="N19" i="29" s="1"/>
  <c r="N21" i="29"/>
  <c r="N23" i="29" s="1"/>
  <c r="U59" i="29"/>
  <c r="V17" i="29"/>
  <c r="V21" i="29"/>
  <c r="V23" i="29" s="1"/>
  <c r="D59" i="30"/>
  <c r="E17" i="30"/>
  <c r="E21" i="30"/>
  <c r="E23" i="30" s="1"/>
  <c r="L59" i="30"/>
  <c r="M17" i="30"/>
  <c r="M19" i="30" s="1"/>
  <c r="M21" i="30"/>
  <c r="M23" i="30" s="1"/>
  <c r="T59" i="30"/>
  <c r="U17" i="30"/>
  <c r="U19" i="30" s="1"/>
  <c r="U21" i="30"/>
  <c r="U23"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U19" i="24" s="1"/>
  <c r="H59" i="26"/>
  <c r="I17" i="26"/>
  <c r="I21" i="26"/>
  <c r="I23" i="26" s="1"/>
  <c r="P59" i="26"/>
  <c r="Q17" i="26"/>
  <c r="Q19" i="26" s="1"/>
  <c r="Q21" i="26"/>
  <c r="E63" i="26"/>
  <c r="H17" i="27"/>
  <c r="H19" i="27" s="1"/>
  <c r="H20" i="27" s="1"/>
  <c r="P17" i="27"/>
  <c r="P19" i="27" s="1"/>
  <c r="H21" i="28"/>
  <c r="H23" i="28" s="1"/>
  <c r="H17" i="28"/>
  <c r="H19" i="28" s="1"/>
  <c r="P21" i="28"/>
  <c r="P23" i="28" s="1"/>
  <c r="P17" i="28"/>
  <c r="P19" i="28" s="1"/>
  <c r="G17" i="29"/>
  <c r="G19" i="29" s="1"/>
  <c r="G21" i="29"/>
  <c r="G23" i="29" s="1"/>
  <c r="O17" i="29"/>
  <c r="O19" i="29" s="1"/>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T65" i="21" s="1"/>
  <c r="U17" i="21"/>
  <c r="U19" i="21" s="1"/>
  <c r="U21" i="21"/>
  <c r="U23" i="21" s="1"/>
  <c r="U24" i="21" s="1"/>
  <c r="M17" i="21"/>
  <c r="M19" i="21" s="1"/>
  <c r="M21" i="21"/>
  <c r="E17" i="21"/>
  <c r="E19" i="21" s="1"/>
  <c r="E20" i="21" s="1"/>
  <c r="E21" i="21"/>
  <c r="E23" i="21" s="1"/>
  <c r="E24" i="21" s="1"/>
  <c r="H59" i="22"/>
  <c r="I17" i="22"/>
  <c r="I19" i="22" s="1"/>
  <c r="I21" i="22"/>
  <c r="I23" i="22" s="1"/>
  <c r="P59" i="22"/>
  <c r="Q17" i="22"/>
  <c r="Q19" i="22" s="1"/>
  <c r="Q21" i="22"/>
  <c r="Q23" i="22" s="1"/>
  <c r="J59" i="23"/>
  <c r="K17" i="23"/>
  <c r="K19" i="23" s="1"/>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Q19" i="27" s="1"/>
  <c r="I21" i="28"/>
  <c r="I23" i="28" s="1"/>
  <c r="I17" i="28"/>
  <c r="Q21" i="28"/>
  <c r="Q23" i="28" s="1"/>
  <c r="Q17" i="28"/>
  <c r="Q19" i="28" s="1"/>
  <c r="H21" i="29"/>
  <c r="H23" i="29" s="1"/>
  <c r="H17" i="29"/>
  <c r="H19" i="29" s="1"/>
  <c r="P21" i="29"/>
  <c r="P23" i="29" s="1"/>
  <c r="P17" i="29"/>
  <c r="P19" i="29"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1" i="28"/>
  <c r="J23" i="28" s="1"/>
  <c r="Q59" i="28"/>
  <c r="R21" i="28"/>
  <c r="R23" i="28" s="1"/>
  <c r="R17" i="28"/>
  <c r="R19" i="28" s="1"/>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K65" i="21" s="1"/>
  <c r="I21" i="27"/>
  <c r="I23" i="27" s="1"/>
  <c r="I24" i="27" s="1"/>
  <c r="Q21" i="27"/>
  <c r="R58" i="21"/>
  <c r="R61" i="21" s="1"/>
  <c r="R64" i="21" s="1"/>
  <c r="R65" i="21" s="1"/>
  <c r="O57" i="21"/>
  <c r="A43" i="21"/>
  <c r="J58" i="21"/>
  <c r="J61" i="21" s="1"/>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R19" i="23"/>
  <c r="J58" i="27"/>
  <c r="J61" i="27" s="1"/>
  <c r="R58" i="27"/>
  <c r="R61" i="27" s="1"/>
  <c r="R64" i="27" s="1"/>
  <c r="R58" i="28"/>
  <c r="R61" i="28" s="1"/>
  <c r="R64" i="28" s="1"/>
  <c r="R65"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I64" i="23" s="1"/>
  <c r="I65" i="23" s="1"/>
  <c r="Q58" i="23"/>
  <c r="Q61" i="23" s="1"/>
  <c r="L58" i="29"/>
  <c r="L61" i="29" s="1"/>
  <c r="T58" i="29"/>
  <c r="T61" i="29" s="1"/>
  <c r="J58" i="28"/>
  <c r="J61"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L58" i="27"/>
  <c r="L61" i="27" s="1"/>
  <c r="T58" i="27"/>
  <c r="T61" i="27" s="1"/>
  <c r="T64" i="27" s="1"/>
  <c r="J58" i="30"/>
  <c r="J61" i="30" s="1"/>
  <c r="R58" i="30"/>
  <c r="R61" i="30" s="1"/>
  <c r="P57" i="30"/>
  <c r="J57" i="21"/>
  <c r="H59" i="21"/>
  <c r="R21" i="27"/>
  <c r="R23" i="27" s="1"/>
  <c r="R24" i="27" s="1"/>
  <c r="E58" i="27"/>
  <c r="E61" i="27" s="1"/>
  <c r="E64" i="27" s="1"/>
  <c r="M58" i="27"/>
  <c r="M61" i="27" s="1"/>
  <c r="U58" i="27"/>
  <c r="U61" i="27" s="1"/>
  <c r="I58" i="29"/>
  <c r="I61"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P57" i="29"/>
  <c r="T23" i="30"/>
  <c r="G58" i="30"/>
  <c r="G61" i="30" s="1"/>
  <c r="O58" i="30"/>
  <c r="O61" i="30" s="1"/>
  <c r="Q57" i="30"/>
  <c r="A36" i="22"/>
  <c r="G58" i="27"/>
  <c r="G61" i="27" s="1"/>
  <c r="T58" i="28"/>
  <c r="T61" i="28" s="1"/>
  <c r="T64" i="28" s="1"/>
  <c r="T65" i="28" s="1"/>
  <c r="C58" i="29"/>
  <c r="C61" i="29" s="1"/>
  <c r="H58" i="30"/>
  <c r="H61" i="30" s="1"/>
  <c r="N59" i="30"/>
  <c r="Q57" i="21"/>
  <c r="B58" i="21"/>
  <c r="B61" i="21" s="1"/>
  <c r="I58" i="22"/>
  <c r="I61" i="22" s="1"/>
  <c r="I64" i="22" s="1"/>
  <c r="I65" i="22" s="1"/>
  <c r="Q58" i="22"/>
  <c r="Q61" i="22" s="1"/>
  <c r="D58" i="23"/>
  <c r="D61" i="23" s="1"/>
  <c r="L58" i="23"/>
  <c r="L61"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Q65" i="30" s="1"/>
  <c r="P59" i="30"/>
  <c r="L58" i="24"/>
  <c r="L61" i="24" s="1"/>
  <c r="P58" i="26"/>
  <c r="P61" i="26" s="1"/>
  <c r="F59" i="26"/>
  <c r="O58" i="27"/>
  <c r="O61" i="27" s="1"/>
  <c r="A38" i="21"/>
  <c r="F57" i="22"/>
  <c r="N59" i="22"/>
  <c r="E58" i="23"/>
  <c r="E61" i="23" s="1"/>
  <c r="E64" i="23" s="1"/>
  <c r="E65" i="23" s="1"/>
  <c r="M58" i="23"/>
  <c r="M61" i="23" s="1"/>
  <c r="U58" i="23"/>
  <c r="U61" i="23" s="1"/>
  <c r="U64" i="23" s="1"/>
  <c r="U65" i="23" s="1"/>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P19" i="21"/>
  <c r="P23" i="22"/>
  <c r="C58" i="22"/>
  <c r="C61" i="22" s="1"/>
  <c r="K58" i="22"/>
  <c r="K61" i="22" s="1"/>
  <c r="K64" i="22" s="1"/>
  <c r="K65" i="22" s="1"/>
  <c r="S58" i="22"/>
  <c r="S61" i="22" s="1"/>
  <c r="F57" i="23"/>
  <c r="T23" i="24"/>
  <c r="G58" i="24"/>
  <c r="G61" i="24" s="1"/>
  <c r="O58" i="24"/>
  <c r="O61" i="24" s="1"/>
  <c r="N59" i="24"/>
  <c r="C58" i="26"/>
  <c r="C61" i="26" s="1"/>
  <c r="K58" i="26"/>
  <c r="K61" i="26" s="1"/>
  <c r="S58" i="26"/>
  <c r="S61"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H58" i="24"/>
  <c r="H61" i="24" s="1"/>
  <c r="P58" i="24"/>
  <c r="P61" i="24" s="1"/>
  <c r="Q23" i="26"/>
  <c r="D58" i="26"/>
  <c r="D61" i="26" s="1"/>
  <c r="L58" i="26"/>
  <c r="L61" i="26" s="1"/>
  <c r="T58" i="26"/>
  <c r="T61" i="26" s="1"/>
  <c r="F57" i="26"/>
  <c r="C58" i="27"/>
  <c r="C61" i="27" s="1"/>
  <c r="C64" i="27" s="1"/>
  <c r="K58" i="27"/>
  <c r="K61" i="27" s="1"/>
  <c r="S58" i="27"/>
  <c r="S61" i="27" s="1"/>
  <c r="S64" i="27" s="1"/>
  <c r="P57" i="27"/>
  <c r="N59" i="27"/>
  <c r="H58" i="28"/>
  <c r="H61" i="28" s="1"/>
  <c r="P58" i="28"/>
  <c r="P61" i="28" s="1"/>
  <c r="N57" i="28"/>
  <c r="T23" i="29"/>
  <c r="G58" i="29"/>
  <c r="G61" i="29" s="1"/>
  <c r="O58" i="29"/>
  <c r="O61" i="29" s="1"/>
  <c r="P59" i="29"/>
  <c r="I57" i="30"/>
  <c r="G57" i="21"/>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U58" i="26"/>
  <c r="U61" i="26" s="1"/>
  <c r="U64" i="26" s="1"/>
  <c r="N57" i="26"/>
  <c r="P59" i="27"/>
  <c r="I58" i="28"/>
  <c r="I61" i="28" s="1"/>
  <c r="I64" i="28" s="1"/>
  <c r="I65" i="28" s="1"/>
  <c r="Q58" i="28"/>
  <c r="Q61" i="28" s="1"/>
  <c r="Q64" i="28" s="1"/>
  <c r="Q65" i="28" s="1"/>
  <c r="H58" i="29"/>
  <c r="H61" i="29" s="1"/>
  <c r="P58" i="29"/>
  <c r="P61" i="29" s="1"/>
  <c r="E58" i="30"/>
  <c r="E61" i="30" s="1"/>
  <c r="E64" i="30" s="1"/>
  <c r="E65" i="30" s="1"/>
  <c r="M58" i="30"/>
  <c r="M61" i="30" s="1"/>
  <c r="U58" i="30"/>
  <c r="U61"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F63" i="30"/>
  <c r="N63"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G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S19" i="29"/>
  <c r="S23" i="29"/>
  <c r="A31" i="29"/>
  <c r="A33" i="29"/>
  <c r="A39" i="29"/>
  <c r="A41" i="29"/>
  <c r="A47" i="29"/>
  <c r="A49" i="29"/>
  <c r="G57" i="29"/>
  <c r="O57" i="29"/>
  <c r="G59" i="29"/>
  <c r="O59" i="29"/>
  <c r="G63" i="29"/>
  <c r="O63" i="29"/>
  <c r="U19" i="29"/>
  <c r="U23" i="29"/>
  <c r="I57" i="29"/>
  <c r="Q57" i="29"/>
  <c r="I63" i="29"/>
  <c r="Q63" i="29"/>
  <c r="V19" i="29"/>
  <c r="F23" i="29"/>
  <c r="B63" i="29"/>
  <c r="J63" i="29"/>
  <c r="R63" i="29"/>
  <c r="L19" i="29"/>
  <c r="A32" i="29"/>
  <c r="A34" i="29"/>
  <c r="A40" i="29"/>
  <c r="A42" i="29"/>
  <c r="A48" i="29"/>
  <c r="A50" i="29"/>
  <c r="C63" i="29"/>
  <c r="K63" i="29"/>
  <c r="S63" i="29"/>
  <c r="D63" i="29"/>
  <c r="L63" i="29"/>
  <c r="T63" i="29"/>
  <c r="E63" i="29"/>
  <c r="M63" i="29"/>
  <c r="K19" i="28"/>
  <c r="K23" i="28"/>
  <c r="A31" i="28"/>
  <c r="A33" i="28"/>
  <c r="A37" i="28"/>
  <c r="A39" i="28"/>
  <c r="A41" i="28"/>
  <c r="A45" i="28"/>
  <c r="A47" i="28"/>
  <c r="A49" i="28"/>
  <c r="G57" i="28"/>
  <c r="O57" i="28"/>
  <c r="G59" i="28"/>
  <c r="O59" i="28"/>
  <c r="G63" i="28"/>
  <c r="O63" i="28"/>
  <c r="L19" i="28"/>
  <c r="L23" i="28"/>
  <c r="T23" i="28"/>
  <c r="H59" i="28"/>
  <c r="P59" i="28"/>
  <c r="H63" i="28"/>
  <c r="P63" i="28"/>
  <c r="U19" i="28"/>
  <c r="I57" i="28"/>
  <c r="Q57" i="28"/>
  <c r="I63" i="28"/>
  <c r="Q63" i="28"/>
  <c r="V19" i="28"/>
  <c r="F23"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E63" i="27"/>
  <c r="M63" i="27"/>
  <c r="O23" i="26"/>
  <c r="A31" i="26"/>
  <c r="A33" i="26"/>
  <c r="A37" i="26"/>
  <c r="A39" i="26"/>
  <c r="A41" i="26"/>
  <c r="A45" i="26"/>
  <c r="A47" i="26"/>
  <c r="A49" i="26"/>
  <c r="G57" i="26"/>
  <c r="O57" i="26"/>
  <c r="G59" i="26"/>
  <c r="O59" i="26"/>
  <c r="G63" i="26"/>
  <c r="O63" i="26"/>
  <c r="L19" i="26"/>
  <c r="T19" i="26"/>
  <c r="T23" i="26"/>
  <c r="H63" i="26"/>
  <c r="P63" i="26"/>
  <c r="M23" i="26"/>
  <c r="I57" i="26"/>
  <c r="Q57" i="26"/>
  <c r="I59" i="26"/>
  <c r="Q59" i="26"/>
  <c r="Q64" i="26" s="1"/>
  <c r="Q65" i="26" s="1"/>
  <c r="I63" i="26"/>
  <c r="Q63" i="26"/>
  <c r="N19" i="26"/>
  <c r="N23" i="26"/>
  <c r="V23" i="26"/>
  <c r="B63" i="26"/>
  <c r="J63" i="26"/>
  <c r="R63" i="26"/>
  <c r="O19" i="26"/>
  <c r="A32" i="26"/>
  <c r="A34" i="26"/>
  <c r="A40" i="26"/>
  <c r="A42" i="26"/>
  <c r="A48" i="26"/>
  <c r="A50" i="26"/>
  <c r="C63" i="26"/>
  <c r="K63" i="26"/>
  <c r="S63"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23" i="24"/>
  <c r="U23" i="24"/>
  <c r="I57" i="24"/>
  <c r="Q57" i="24"/>
  <c r="I63" i="24"/>
  <c r="Q63" i="24"/>
  <c r="F19" i="24"/>
  <c r="V23" i="24"/>
  <c r="B63" i="24"/>
  <c r="J63" i="24"/>
  <c r="R63" i="24"/>
  <c r="O19"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S23" i="23"/>
  <c r="A31" i="23"/>
  <c r="A33" i="23"/>
  <c r="A37" i="23"/>
  <c r="A39" i="23"/>
  <c r="A41" i="23"/>
  <c r="A45" i="23"/>
  <c r="A47" i="23"/>
  <c r="A49" i="23"/>
  <c r="G57" i="23"/>
  <c r="O57" i="23"/>
  <c r="G59" i="23"/>
  <c r="O59" i="23"/>
  <c r="T19" i="23"/>
  <c r="L23" i="23"/>
  <c r="T23" i="23"/>
  <c r="E19" i="23"/>
  <c r="M19" i="23"/>
  <c r="E23" i="23"/>
  <c r="M23" i="23"/>
  <c r="I57" i="23"/>
  <c r="Q57" i="23"/>
  <c r="F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K23" i="22"/>
  <c r="A31" i="22"/>
  <c r="A33" i="22"/>
  <c r="A41" i="22"/>
  <c r="A47" i="22"/>
  <c r="I57" i="22"/>
  <c r="Q57" i="22"/>
  <c r="A39" i="22"/>
  <c r="A49" i="22"/>
  <c r="V19" i="22"/>
  <c r="V23" i="22"/>
  <c r="G19" i="22"/>
  <c r="A32" i="22"/>
  <c r="A34" i="22"/>
  <c r="A40" i="22"/>
  <c r="A42" i="22"/>
  <c r="A48" i="22"/>
  <c r="A50" i="22"/>
  <c r="P19" i="22"/>
  <c r="P64" i="21"/>
  <c r="P65" i="21" s="1"/>
  <c r="H23" i="21"/>
  <c r="H24" i="21" s="1"/>
  <c r="L23" i="21"/>
  <c r="L24" i="21" s="1"/>
  <c r="A33" i="21"/>
  <c r="A37" i="21"/>
  <c r="A41" i="21"/>
  <c r="A45" i="21"/>
  <c r="A49" i="21"/>
  <c r="E58" i="21"/>
  <c r="E61" i="21" s="1"/>
  <c r="M58" i="21"/>
  <c r="M61" i="21" s="1"/>
  <c r="U58" i="21"/>
  <c r="U61" i="21" s="1"/>
  <c r="U64" i="21" s="1"/>
  <c r="S19" i="21"/>
  <c r="M23" i="21"/>
  <c r="M24" i="21" s="1"/>
  <c r="C57" i="21"/>
  <c r="K57" i="21"/>
  <c r="S57" i="21"/>
  <c r="G19" i="21"/>
  <c r="G20" i="21" s="1"/>
  <c r="Q19" i="2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H64" i="30"/>
  <c r="H65" i="30" s="1"/>
  <c r="S65" i="27"/>
  <c r="C65" i="27"/>
  <c r="T65" i="27"/>
  <c r="Q65" i="27"/>
  <c r="R65" i="27"/>
  <c r="E65" i="27"/>
  <c r="D65" i="21"/>
  <c r="I64" i="26"/>
  <c r="I65" i="26" s="1"/>
  <c r="G64" i="30"/>
  <c r="G65" i="30" s="1"/>
  <c r="M64" i="26"/>
  <c r="M66" i="26" s="1"/>
  <c r="L64" i="24"/>
  <c r="L65" i="24" s="1"/>
  <c r="K64" i="30"/>
  <c r="K65" i="30" s="1"/>
  <c r="J64" i="30"/>
  <c r="J65" i="30" s="1"/>
  <c r="J64" i="27"/>
  <c r="J65" i="27" s="1"/>
  <c r="I64" i="29"/>
  <c r="I65" i="29" s="1"/>
  <c r="I64" i="30"/>
  <c r="I65" i="30" s="1"/>
  <c r="I64" i="27"/>
  <c r="I65" i="27" s="1"/>
  <c r="D64" i="27"/>
  <c r="D65" i="27" s="1"/>
  <c r="D64" i="28"/>
  <c r="D65" i="28" s="1"/>
  <c r="C64" i="29"/>
  <c r="C65" i="29" s="1"/>
  <c r="C64" i="30"/>
  <c r="C65" i="30" s="1"/>
  <c r="C64" i="26"/>
  <c r="C65" i="26" s="1"/>
  <c r="B64" i="30"/>
  <c r="B65" i="30" s="1"/>
  <c r="B64" i="24"/>
  <c r="B65" i="24" s="1"/>
  <c r="U66" i="26"/>
  <c r="U65" i="26"/>
  <c r="D64" i="24"/>
  <c r="D65" i="24" s="1"/>
  <c r="S64" i="22"/>
  <c r="S65" i="22" s="1"/>
  <c r="T64" i="29"/>
  <c r="T65" i="29" s="1"/>
  <c r="L64" i="28"/>
  <c r="L65" i="28" s="1"/>
  <c r="C64" i="21"/>
  <c r="C65" i="21" s="1"/>
  <c r="N66" i="21"/>
  <c r="N65" i="21"/>
  <c r="U66" i="21"/>
  <c r="U65" i="21"/>
  <c r="K64" i="27"/>
  <c r="K65" i="27" s="1"/>
  <c r="C64" i="22"/>
  <c r="C65" i="22" s="1"/>
  <c r="F64" i="26"/>
  <c r="F66" i="26" s="1"/>
  <c r="U64" i="30"/>
  <c r="L64" i="23"/>
  <c r="L65" i="23" s="1"/>
  <c r="J64" i="28"/>
  <c r="J65" i="28" s="1"/>
  <c r="R64" i="30"/>
  <c r="R65" i="30" s="1"/>
  <c r="N64" i="22"/>
  <c r="N65" i="22" s="1"/>
  <c r="L64" i="26"/>
  <c r="L65" i="26" s="1"/>
  <c r="S64" i="26"/>
  <c r="S65" i="26" s="1"/>
  <c r="S64" i="29"/>
  <c r="S65" i="29" s="1"/>
  <c r="R64" i="29"/>
  <c r="R65" i="29" s="1"/>
  <c r="O64" i="21"/>
  <c r="O65" i="21"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L66" i="30"/>
  <c r="G64" i="26"/>
  <c r="G64" i="29"/>
  <c r="F64" i="22"/>
  <c r="O64" i="26"/>
  <c r="R66" i="22"/>
  <c r="T66" i="24"/>
  <c r="U66" i="23"/>
  <c r="P64" i="30"/>
  <c r="C66" i="23"/>
  <c r="P66" i="23"/>
  <c r="E66" i="22"/>
  <c r="T66" i="23"/>
  <c r="Q66" i="21"/>
  <c r="P66" i="21"/>
  <c r="G64" i="23"/>
  <c r="Q66" i="24"/>
  <c r="R66" i="27"/>
  <c r="C66" i="27"/>
  <c r="H66" i="23"/>
  <c r="G64" i="27"/>
  <c r="F64" i="27"/>
  <c r="T66" i="27"/>
  <c r="Q66" i="22"/>
  <c r="T66" i="21"/>
  <c r="H66" i="30"/>
  <c r="E66" i="30"/>
  <c r="L66" i="21"/>
  <c r="S66" i="26"/>
  <c r="T66" i="30"/>
  <c r="H66" i="22"/>
  <c r="R66" i="28"/>
  <c r="N64" i="26"/>
  <c r="O64" i="29"/>
  <c r="P64" i="29"/>
  <c r="S64" i="1"/>
  <c r="N64" i="29"/>
  <c r="R66" i="30"/>
  <c r="O66" i="22"/>
  <c r="R64" i="1"/>
  <c r="J66" i="23"/>
  <c r="Q64" i="1"/>
  <c r="U64" i="1"/>
  <c r="P64" i="1"/>
  <c r="E66" i="27"/>
  <c r="J66" i="24"/>
  <c r="Q66" i="29"/>
  <c r="F64" i="29"/>
  <c r="O64" i="23"/>
  <c r="O64" i="30"/>
  <c r="N64" i="24"/>
  <c r="T66" i="28"/>
  <c r="Q66" i="28"/>
  <c r="I66" i="28"/>
  <c r="S66" i="28"/>
  <c r="K66" i="28"/>
  <c r="Q66" i="27"/>
  <c r="P66" i="27"/>
  <c r="Q66" i="26"/>
  <c r="P66" i="26"/>
  <c r="H66" i="26"/>
  <c r="I66" i="23"/>
  <c r="N66" i="23"/>
  <c r="E66" i="23"/>
  <c r="I66" i="22"/>
  <c r="M66" i="22"/>
  <c r="S66" i="22"/>
  <c r="K66" i="22"/>
  <c r="T66" i="22"/>
  <c r="K66" i="21"/>
  <c r="D66" i="21"/>
  <c r="R66" i="21"/>
  <c r="N64" i="1"/>
  <c r="M64" i="1"/>
  <c r="T64" i="1"/>
  <c r="L64" i="1"/>
  <c r="J64" i="1"/>
  <c r="K64" i="1"/>
  <c r="O64" i="1"/>
  <c r="C64" i="1"/>
  <c r="I64" i="1"/>
  <c r="I65" i="1" s="1"/>
  <c r="H64" i="1"/>
  <c r="G64" i="1"/>
  <c r="F64" i="1"/>
  <c r="F65" i="1" s="1"/>
  <c r="E64" i="1"/>
  <c r="D64" i="1"/>
  <c r="B64" i="1"/>
  <c r="D63" i="1"/>
  <c r="L63" i="1"/>
  <c r="F63" i="1"/>
  <c r="R63" i="1"/>
  <c r="J63" i="1"/>
  <c r="Q63" i="1"/>
  <c r="I63" i="1"/>
  <c r="C63" i="1"/>
  <c r="K63" i="1"/>
  <c r="P63" i="1"/>
  <c r="P65" i="1" s="1"/>
  <c r="H63" i="1"/>
  <c r="T63" i="1"/>
  <c r="S63" i="1"/>
  <c r="O63" i="1"/>
  <c r="G63" i="1"/>
  <c r="N63" i="1"/>
  <c r="E63" i="1"/>
  <c r="B63" i="1"/>
  <c r="U63" i="1"/>
  <c r="U65" i="1" s="1"/>
  <c r="M63" i="1"/>
  <c r="I66" i="26" l="1"/>
  <c r="C66" i="22"/>
  <c r="C66" i="21"/>
  <c r="M66" i="21"/>
  <c r="M65" i="26"/>
  <c r="G66" i="30"/>
  <c r="C66" i="29"/>
  <c r="B66" i="30"/>
  <c r="L66" i="24"/>
  <c r="L66" i="28"/>
  <c r="K66" i="30"/>
  <c r="K66" i="27"/>
  <c r="J66" i="30"/>
  <c r="J66" i="27"/>
  <c r="J66" i="26"/>
  <c r="J66" i="28"/>
  <c r="I66" i="29"/>
  <c r="I66" i="27"/>
  <c r="I66" i="30"/>
  <c r="D66" i="28"/>
  <c r="D66" i="24"/>
  <c r="D66" i="27"/>
  <c r="C66" i="26"/>
  <c r="C66" i="30"/>
  <c r="B66" i="24"/>
  <c r="C65" i="1"/>
  <c r="D65" i="1"/>
  <c r="K65" i="1"/>
  <c r="L66" i="23"/>
  <c r="S66" i="24"/>
  <c r="N66" i="22"/>
  <c r="B65" i="1"/>
  <c r="O65" i="1"/>
  <c r="Q66" i="1"/>
  <c r="Q65" i="1"/>
  <c r="E65" i="1"/>
  <c r="J65" i="1"/>
  <c r="L65" i="1"/>
  <c r="F65" i="26"/>
  <c r="N65" i="1"/>
  <c r="T66" i="1"/>
  <c r="T65" i="1"/>
  <c r="R65" i="1"/>
  <c r="G65" i="1"/>
  <c r="K66" i="24"/>
  <c r="S66" i="23"/>
  <c r="S65" i="1"/>
  <c r="H65" i="1"/>
  <c r="M65" i="1"/>
  <c r="S66" i="29"/>
  <c r="R66" i="26"/>
  <c r="S66" i="21"/>
  <c r="S65" i="21"/>
  <c r="P66" i="24"/>
  <c r="N66" i="29"/>
  <c r="N65" i="29"/>
  <c r="O66" i="24"/>
  <c r="O65" i="24"/>
  <c r="O66" i="27"/>
  <c r="O65" i="27"/>
  <c r="U66" i="24"/>
  <c r="U65" i="24"/>
  <c r="R66" i="24"/>
  <c r="R65" i="24"/>
  <c r="U66" i="22"/>
  <c r="U65" i="22"/>
  <c r="U66" i="28"/>
  <c r="U65" i="28"/>
  <c r="U66" i="30"/>
  <c r="U65" i="30"/>
  <c r="I66" i="24"/>
  <c r="N66" i="24"/>
  <c r="N65" i="24"/>
  <c r="P66" i="30"/>
  <c r="P65" i="30"/>
  <c r="P66" i="28"/>
  <c r="P65" i="28"/>
  <c r="O66" i="30"/>
  <c r="O65" i="30"/>
  <c r="R66" i="29"/>
  <c r="O66" i="23"/>
  <c r="O65" i="23"/>
  <c r="L66" i="26"/>
  <c r="N66" i="30"/>
  <c r="N65" i="30"/>
  <c r="N66" i="28"/>
  <c r="N65" i="28"/>
  <c r="R66" i="23"/>
  <c r="R65" i="23"/>
  <c r="N66" i="26"/>
  <c r="N65" i="26"/>
  <c r="P66" i="29"/>
  <c r="P65" i="29"/>
  <c r="O66" i="21"/>
  <c r="N66" i="27"/>
  <c r="N65" i="27"/>
  <c r="U66" i="27"/>
  <c r="U65" i="27"/>
  <c r="Q66" i="23"/>
  <c r="Q65" i="23"/>
  <c r="T66" i="26"/>
  <c r="T65" i="26"/>
  <c r="M66" i="24"/>
  <c r="O66" i="29"/>
  <c r="O65" i="29"/>
  <c r="O66" i="26"/>
  <c r="O65" i="26"/>
  <c r="O66" i="28"/>
  <c r="O65" i="28"/>
  <c r="U66" i="29"/>
  <c r="U65" i="29"/>
  <c r="S66" i="30"/>
  <c r="S65" i="30"/>
  <c r="M66" i="29"/>
  <c r="M66" i="28"/>
  <c r="M66" i="27"/>
  <c r="M65" i="27"/>
  <c r="M66" i="30"/>
  <c r="M65" i="30"/>
  <c r="M66" i="23"/>
  <c r="M65" i="23"/>
  <c r="L66" i="22"/>
  <c r="L66" i="29"/>
  <c r="L66" i="27"/>
  <c r="L65" i="27"/>
  <c r="K66" i="23"/>
  <c r="K65" i="23"/>
  <c r="K66" i="29"/>
  <c r="K65" i="29"/>
  <c r="K66" i="26"/>
  <c r="K65" i="26"/>
  <c r="J66" i="21"/>
  <c r="J65" i="21"/>
  <c r="J66" i="29"/>
  <c r="J65" i="29"/>
  <c r="J66" i="22"/>
  <c r="J65" i="22"/>
  <c r="I66" i="21"/>
  <c r="I65" i="21"/>
  <c r="H66" i="24"/>
  <c r="H65" i="24"/>
  <c r="H66" i="27"/>
  <c r="H65" i="27"/>
  <c r="H66" i="28"/>
  <c r="H65" i="28"/>
  <c r="H66" i="29"/>
  <c r="H65" i="29"/>
  <c r="H66" i="21"/>
  <c r="G66" i="27"/>
  <c r="G65" i="27"/>
  <c r="G66" i="24"/>
  <c r="G65" i="24"/>
  <c r="G66" i="22"/>
  <c r="G65" i="22"/>
  <c r="G66" i="28"/>
  <c r="G65" i="28"/>
  <c r="G66" i="29"/>
  <c r="G65" i="29"/>
  <c r="G66" i="21"/>
  <c r="G65" i="21"/>
  <c r="G66" i="23"/>
  <c r="G65" i="23"/>
  <c r="G66" i="26"/>
  <c r="G65" i="26"/>
  <c r="F66" i="30"/>
  <c r="F65" i="30"/>
  <c r="F66" i="21"/>
  <c r="F65" i="21"/>
  <c r="F66" i="23"/>
  <c r="F65" i="23"/>
  <c r="F66" i="29"/>
  <c r="F65" i="29"/>
  <c r="F66" i="27"/>
  <c r="F65" i="27"/>
  <c r="F66" i="24"/>
  <c r="F65" i="24"/>
  <c r="F66" i="22"/>
  <c r="F65" i="22"/>
  <c r="F66" i="28"/>
  <c r="F65" i="28"/>
  <c r="E66" i="28"/>
  <c r="E65" i="28"/>
  <c r="E66" i="29"/>
  <c r="E65" i="29"/>
  <c r="E66" i="26"/>
  <c r="E65" i="26"/>
  <c r="E66" i="21"/>
  <c r="E65" i="21"/>
  <c r="E66" i="24"/>
  <c r="E65" i="24"/>
  <c r="D66" i="23"/>
  <c r="D66" i="22"/>
  <c r="D66" i="26"/>
  <c r="D66" i="29"/>
  <c r="C66" i="28"/>
  <c r="C65" i="28"/>
  <c r="C66" i="24"/>
  <c r="C65" i="24"/>
  <c r="B66" i="27"/>
  <c r="B65" i="27"/>
  <c r="B66" i="23"/>
  <c r="B65" i="23"/>
  <c r="B66" i="21"/>
  <c r="B65" i="21"/>
  <c r="B66" i="29"/>
  <c r="B65" i="29"/>
  <c r="B66" i="26"/>
  <c r="B65" i="26"/>
  <c r="B66" i="28"/>
  <c r="B65" i="28"/>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<sst xmlns="http://schemas.openxmlformats.org/spreadsheetml/2006/main" count="2135" uniqueCount="170">
  <si>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</si>
  <si>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</si>
  <si>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</si>
  <si>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</si>
  <si>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</si>
  <si>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</si>
  <si>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</si>
  <si>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</si>
  <si>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</si>
  <si>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</si>
  <si>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</si>
  <si>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</si>
  <si>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</si>
  <si>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</si>
  <si>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</si>
  <si>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</si>
  <si>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</si>
  <si>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</si>
  <si>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</si>
  <si>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</si>
  <si>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</si>
  <si>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</si>
  <si>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</si>
  <si>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</si>
  <si>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</si>
  <si>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</si>
  <si>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</si>
  <si>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</si>
  <si>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</si>
  <si>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</si>
  <si>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</si>
  <si>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</si>
  <si>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</si>
  <si>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</si>
  <si>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</si>
  <si>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</si>
  <si>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</si>
  <si>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</si>
  <si>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</si>
  <si>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</si>
  <si>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</si>
  <si>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</si>
  <si>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</si>
  <si>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</si>
  <si>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</si>
  <si>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</si>
  <si>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</si>
  <si>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</si>
  <si>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</si>
  <si>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</si>
  <si>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</si>
  <si>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</si>
  <si>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</si>
  <si>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</si>
  <si>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</si>
  <si>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</si>
  <si>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</si>
  <si>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</si>
  <si>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</si>
  <si>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</si>
  <si>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</si>
  <si>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</si>
  <si>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</si>
  <si>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</si>
  <si>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</si>
  <si>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</si>
  <si>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</si>
  <si>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</si>
  <si>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</si>
  <si>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</si>
  <si>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</si>
  <si>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</si>
  <si>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</si>
  <si>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</si>
  <si>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</si>
  <si>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</si>
  <si>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</si>
  <si>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</si>
  <si>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</si>
  <si>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</si>
  <si>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</si>
  <si>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</si>
  <si>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</si>
  <si>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</si>
  <si>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</si>
  <si>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</si>
  <si>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</si>
  <si>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</si>
  <si>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</si>
  <si>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</si>
  <si>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</si>
  <si>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</si>
  <si>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</si>
  <si>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</si>
  <si>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</si>
  <si>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</si>
  <si>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</si>
  <si>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</si>
  <si>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</si>
  <si>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</si>
  <si>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</si>
  <si>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</si>
  <si>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</si>
  <si>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</si>
  <si>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</si>
  <si>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</si>
  <si>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</si>
  <si>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</si>
  <si>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</si>
  <si>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</si>
  <si>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</si>
  <si>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</si>
  <si>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</si>
  <si>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</si>
  <si>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</si>
  <si>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</si>
  <si>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</si>
  <si>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</si>
  <si>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</si>
  <si>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</si>
  <si>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</si>
  <si>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</si>
  <si>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</si>
  <si>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</si>
  <si>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</si>
  <si>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</si>
  <si>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</si>
  <si>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</si>
  <si>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</si>
  <si>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</si>
  <si>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</si>
  <si>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</si>
  <si>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</si>
  <si>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</si>
  <si>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</si>
  <si>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</si>
  <si>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</si>
  <si>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</si>
  <si>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</si>
  <si>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</si>
  <si>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</si>
  <si>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</si>
  <si>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</si>
  <si>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</si>
  <si>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</si>
  <si>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</si>
  <si>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</si>
  <si>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</si>
  <si>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</si>
  <si>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</si>
  <si>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</si>
  <si>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</si>
  <si>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</si>
  <si>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</si>
  <si>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</si>
  <si>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</si>
  <si>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</si>
  <si>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</si>
  <si>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</si>
  <si>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</si>
  <si>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EPR/FB3302MM</t>
  </si>
  <si>
    <t>Mr Roddy Lewis</t>
  </si>
  <si>
    <t>Pont Y Pentir, Llansanffraid, SY22 6XP</t>
  </si>
  <si>
    <t>Owen Clee</t>
  </si>
  <si>
    <t>19 09 02</t>
  </si>
  <si>
    <t>water treatment sludge</t>
  </si>
  <si>
    <t>Moderate</t>
  </si>
  <si>
    <t xml:space="preserve">water treatment effluent </t>
  </si>
  <si>
    <t>19 02 04</t>
  </si>
  <si>
    <t>By pass dust (cement kiln)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</si>
</sst>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69" zoomScaleNormal="69" workbookViewId="0">
      <selection activeCell="E12" sqref="E1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6" t="s">
        <v>41</v>
      </c>
      <c r="B1" s="126"/>
      <c r="C1" s="120">
        <v>15444</v>
      </c>
      <c r="D1" s="121"/>
      <c r="E1" s="93" t="s">
        <v>45</v>
      </c>
      <c r="F1" s="96">
        <v>38.700000000000003</v>
      </c>
      <c r="G1" s="122" t="s">
        <v>43</v>
      </c>
      <c r="H1" s="123"/>
      <c r="I1" s="96">
        <v>6.35</v>
      </c>
      <c r="J1" s="126" t="s">
        <v>154</v>
      </c>
      <c r="K1" s="126"/>
      <c r="L1" s="96">
        <v>10</v>
      </c>
      <c r="AB1" s="18"/>
      <c r="AC1" s="18"/>
      <c r="AD1" s="30" t="s">
        <v>127</v>
      </c>
      <c r="AE1" s="17"/>
      <c r="AF1" s="17"/>
      <c r="AG1" s="18"/>
      <c r="AH1" s="18"/>
      <c r="AI1" s="40" t="s">
        <v>79</v>
      </c>
      <c r="AJ1" s="41" t="s">
        <v>94</v>
      </c>
      <c r="AK1" s="42" t="s">
        <v>95</v>
      </c>
      <c r="AL1" s="43" t="s">
        <v>126</v>
      </c>
      <c r="AM1" s="43" t="s">
        <v>132</v>
      </c>
      <c r="AN1" s="43" t="s">
        <v>112</v>
      </c>
    </row>
    <row r="2" spans="1:40" x14ac:dyDescent="0.2">
      <c r="A2" s="126" t="s">
        <v>87</v>
      </c>
      <c r="B2" s="126"/>
      <c r="C2" s="118" t="s">
        <v>160</v>
      </c>
      <c r="D2" s="119"/>
      <c r="E2" s="93" t="s">
        <v>109</v>
      </c>
      <c r="F2" s="117" t="s">
        <v>164</v>
      </c>
      <c r="G2" s="124" t="s">
        <v>110</v>
      </c>
      <c r="H2" s="125"/>
      <c r="I2" s="96">
        <v>144</v>
      </c>
      <c r="J2" s="126" t="s">
        <v>155</v>
      </c>
      <c r="K2" s="126"/>
      <c r="L2" s="96">
        <v>9000</v>
      </c>
      <c r="AB2" s="30" t="s">
        <v>56</v>
      </c>
      <c r="AC2" s="17"/>
      <c r="AD2" s="30" t="s">
        <v>70</v>
      </c>
      <c r="AE2" s="17"/>
      <c r="AF2" s="17"/>
      <c r="AG2" s="44" t="s">
        <v>76</v>
      </c>
      <c r="AH2" s="18"/>
      <c r="AI2" s="45" t="s">
        <v>127</v>
      </c>
      <c r="AJ2" s="46">
        <v>0</v>
      </c>
      <c r="AK2" s="47">
        <v>0</v>
      </c>
      <c r="AL2" s="10">
        <v>0</v>
      </c>
      <c r="AM2" s="11">
        <v>0</v>
      </c>
      <c r="AN2" s="11">
        <v>0</v>
      </c>
    </row>
    <row r="3" spans="1:40" x14ac:dyDescent="0.2">
      <c r="A3" s="122" t="s">
        <v>42</v>
      </c>
      <c r="B3" s="123"/>
      <c r="C3" s="118" t="s">
        <v>161</v>
      </c>
      <c r="D3" s="119"/>
      <c r="E3" s="93" t="s">
        <v>108</v>
      </c>
      <c r="F3" s="31" t="s">
        <v>104</v>
      </c>
      <c r="G3" s="126" t="s">
        <v>111</v>
      </c>
      <c r="H3" s="126"/>
      <c r="I3" s="96">
        <v>1.03</v>
      </c>
      <c r="J3" s="122" t="s">
        <v>156</v>
      </c>
      <c r="K3" s="123"/>
      <c r="L3" s="96">
        <f>(L1/L2)*100</f>
        <v>0.1111111111111111</v>
      </c>
      <c r="AB3" s="30" t="s">
        <v>57</v>
      </c>
      <c r="AC3" s="17"/>
      <c r="AD3" s="30" t="s">
        <v>71</v>
      </c>
      <c r="AE3" s="17"/>
      <c r="AF3" s="17"/>
      <c r="AG3" s="44" t="s">
        <v>77</v>
      </c>
      <c r="AH3" s="18"/>
      <c r="AI3" s="48" t="s">
        <v>114</v>
      </c>
      <c r="AJ3" s="49">
        <v>1.7</v>
      </c>
      <c r="AK3" s="50">
        <v>6</v>
      </c>
      <c r="AL3" s="51">
        <v>1</v>
      </c>
      <c r="AM3" s="11">
        <v>6.2</v>
      </c>
      <c r="AN3" s="11" t="s">
        <v>113</v>
      </c>
    </row>
    <row r="4" spans="1:40" x14ac:dyDescent="0.2">
      <c r="A4" s="126" t="s">
        <v>0</v>
      </c>
      <c r="B4" s="126"/>
      <c r="C4" s="120" t="s">
        <v>162</v>
      </c>
      <c r="D4" s="121"/>
      <c r="E4" s="94" t="s">
        <v>1</v>
      </c>
      <c r="F4" s="95" t="s">
        <v>165</v>
      </c>
      <c r="G4" s="126"/>
      <c r="H4" s="126"/>
      <c r="I4" s="96"/>
      <c r="J4" s="122"/>
      <c r="K4" s="123"/>
      <c r="L4" s="96"/>
      <c r="AB4" s="30" t="s">
        <v>52</v>
      </c>
      <c r="AC4" s="17"/>
      <c r="AD4" s="52" t="s">
        <v>72</v>
      </c>
      <c r="AE4" s="17"/>
      <c r="AF4" s="17"/>
      <c r="AG4" s="44" t="s">
        <v>78</v>
      </c>
      <c r="AH4" s="18"/>
      <c r="AI4" s="53" t="s">
        <v>125</v>
      </c>
      <c r="AJ4" s="54">
        <v>7</v>
      </c>
      <c r="AK4" s="55">
        <v>10.5</v>
      </c>
      <c r="AL4" s="11">
        <v>2</v>
      </c>
      <c r="AM4" s="11">
        <v>6.7</v>
      </c>
      <c r="AN4" s="11" t="s">
        <v>136</v>
      </c>
    </row>
    <row r="5" spans="1:40" x14ac:dyDescent="0.2">
      <c r="A5" s="126" t="s">
        <v>47</v>
      </c>
      <c r="B5" s="126"/>
      <c r="C5" s="127" t="s">
        <v>163</v>
      </c>
      <c r="D5" s="127"/>
      <c r="E5" s="94"/>
      <c r="F5" s="95"/>
      <c r="G5" s="126"/>
      <c r="H5" s="126"/>
      <c r="I5" s="96"/>
      <c r="J5" s="122"/>
      <c r="K5" s="123"/>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x14ac:dyDescent="0.2">
      <c r="A8" s="126" t="s">
        <v>2</v>
      </c>
      <c r="B8" s="126"/>
      <c r="C8" s="15">
        <v>1</v>
      </c>
      <c r="D8" s="15">
        <v>2</v>
      </c>
      <c r="E8" s="15">
        <v>3</v>
      </c>
      <c r="F8" s="15">
        <v>4</v>
      </c>
      <c r="G8" s="15">
        <v>5</v>
      </c>
      <c r="H8" s="15">
        <v>6</v>
      </c>
      <c r="I8" s="15">
        <v>7</v>
      </c>
      <c r="J8" s="15">
        <v>8</v>
      </c>
      <c r="K8" s="15">
        <v>9</v>
      </c>
      <c r="L8" s="15">
        <v>10</v>
      </c>
      <c r="M8" s="15">
        <v>11</v>
      </c>
      <c r="N8" s="15">
        <v>12</v>
      </c>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x14ac:dyDescent="0.2">
      <c r="A9" s="126" t="s">
        <v>3</v>
      </c>
      <c r="B9" s="126"/>
      <c r="C9" s="15" t="s">
        <v>166</v>
      </c>
      <c r="D9" s="15" t="s">
        <v>166</v>
      </c>
      <c r="E9" s="15" t="s">
        <v>166</v>
      </c>
      <c r="F9" s="15" t="s">
        <v>166</v>
      </c>
      <c r="G9" s="15" t="s">
        <v>166</v>
      </c>
      <c r="H9" s="15" t="s">
        <v>166</v>
      </c>
      <c r="I9" s="15" t="s">
        <v>166</v>
      </c>
      <c r="J9" s="15" t="s">
        <v>166</v>
      </c>
      <c r="K9" s="15" t="s">
        <v>166</v>
      </c>
      <c r="L9" s="15" t="s">
        <v>166</v>
      </c>
      <c r="M9" s="15" t="s">
        <v>166</v>
      </c>
      <c r="N9" s="15" t="s">
        <v>166</v>
      </c>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x14ac:dyDescent="0.2">
      <c r="A10" s="126" t="s">
        <v>4</v>
      </c>
      <c r="B10" s="126"/>
      <c r="C10" s="15">
        <v>5.4</v>
      </c>
      <c r="D10" s="15">
        <v>5.5</v>
      </c>
      <c r="E10" s="15">
        <v>6.6</v>
      </c>
      <c r="F10" s="15">
        <v>5.5</v>
      </c>
      <c r="G10" s="15">
        <v>6.3</v>
      </c>
      <c r="H10" s="15">
        <v>5.6</v>
      </c>
      <c r="I10" s="15">
        <v>6.3</v>
      </c>
      <c r="J10" s="15">
        <v>5.5</v>
      </c>
      <c r="K10" s="15">
        <v>5.6</v>
      </c>
      <c r="L10" s="15">
        <v>5.6</v>
      </c>
      <c r="M10" s="15">
        <v>5.8</v>
      </c>
      <c r="N10" s="15">
        <v>6</v>
      </c>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x14ac:dyDescent="0.2">
      <c r="A11" s="126" t="s">
        <v>5</v>
      </c>
      <c r="B11" s="126"/>
      <c r="C11" s="15">
        <v>3</v>
      </c>
      <c r="D11" s="15">
        <v>3</v>
      </c>
      <c r="E11" s="15">
        <v>3</v>
      </c>
      <c r="F11" s="15">
        <v>3</v>
      </c>
      <c r="G11" s="15">
        <v>3</v>
      </c>
      <c r="H11" s="15">
        <v>3</v>
      </c>
      <c r="I11" s="15">
        <v>3</v>
      </c>
      <c r="J11" s="15">
        <v>2</v>
      </c>
      <c r="K11" s="15">
        <v>2</v>
      </c>
      <c r="L11" s="15">
        <v>1</v>
      </c>
      <c r="M11" s="15">
        <v>2</v>
      </c>
      <c r="N11" s="15">
        <v>1</v>
      </c>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x14ac:dyDescent="0.2">
      <c r="A12" s="126" t="s">
        <v>6</v>
      </c>
      <c r="B12" s="126"/>
      <c r="C12" s="15">
        <v>2</v>
      </c>
      <c r="D12" s="15">
        <v>2</v>
      </c>
      <c r="E12" s="15">
        <v>2</v>
      </c>
      <c r="F12" s="15">
        <v>2</v>
      </c>
      <c r="G12" s="15">
        <v>2</v>
      </c>
      <c r="H12" s="15">
        <v>3</v>
      </c>
      <c r="I12" s="15">
        <v>2</v>
      </c>
      <c r="J12" s="15">
        <v>1</v>
      </c>
      <c r="K12" s="15">
        <v>1</v>
      </c>
      <c r="L12" s="15">
        <v>0</v>
      </c>
      <c r="M12" s="15">
        <v>1</v>
      </c>
      <c r="N12" s="15">
        <v>0</v>
      </c>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x14ac:dyDescent="0.2">
      <c r="A13" s="126" t="s">
        <v>7</v>
      </c>
      <c r="B13" s="126"/>
      <c r="C13" s="15">
        <v>3</v>
      </c>
      <c r="D13" s="15">
        <v>4</v>
      </c>
      <c r="E13" s="15">
        <v>3</v>
      </c>
      <c r="F13" s="15">
        <v>4</v>
      </c>
      <c r="G13" s="15">
        <v>4</v>
      </c>
      <c r="H13" s="15">
        <v>4</v>
      </c>
      <c r="I13" s="15">
        <v>3</v>
      </c>
      <c r="J13" s="15">
        <v>3</v>
      </c>
      <c r="K13" s="15">
        <v>3</v>
      </c>
      <c r="L13" s="15">
        <v>3</v>
      </c>
      <c r="M13" s="15">
        <v>3</v>
      </c>
      <c r="N13" s="15">
        <v>3</v>
      </c>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x14ac:dyDescent="0.2">
      <c r="A14" s="135" t="s">
        <v>8</v>
      </c>
      <c r="B14" s="135"/>
      <c r="C14" s="99" t="s">
        <v>114</v>
      </c>
      <c r="D14" s="99" t="s">
        <v>114</v>
      </c>
      <c r="E14" s="99" t="s">
        <v>114</v>
      </c>
      <c r="F14" s="99" t="s">
        <v>114</v>
      </c>
      <c r="G14" s="99" t="s">
        <v>114</v>
      </c>
      <c r="H14" s="99" t="s">
        <v>114</v>
      </c>
      <c r="I14" s="99" t="s">
        <v>114</v>
      </c>
      <c r="J14" s="99" t="s">
        <v>114</v>
      </c>
      <c r="K14" s="99" t="s">
        <v>114</v>
      </c>
      <c r="L14" s="99" t="s">
        <v>114</v>
      </c>
      <c r="M14" s="99" t="s">
        <v>114</v>
      </c>
      <c r="N14" s="99" t="s">
        <v>114</v>
      </c>
      <c r="O14" s="99"/>
      <c r="P14" s="99"/>
      <c r="Q14" s="99"/>
      <c r="R14" s="99"/>
      <c r="S14" s="99"/>
      <c r="T14" s="99"/>
      <c r="U14" s="99"/>
      <c r="V14" s="99"/>
      <c r="AD14" s="30" t="s">
        <v>139</v>
      </c>
      <c r="AE14" s="30">
        <v>6</v>
      </c>
      <c r="AI14" s="53" t="s">
        <v>120</v>
      </c>
      <c r="AJ14" s="54">
        <v>0.8</v>
      </c>
      <c r="AK14" s="55">
        <v>1.7</v>
      </c>
      <c r="AL14" s="11">
        <v>12</v>
      </c>
      <c r="AM14" s="11">
        <v>6.7</v>
      </c>
      <c r="AN14" s="11" t="s">
        <v>136</v>
      </c>
    </row>
    <row r="15" spans="1:40" x14ac:dyDescent="0.2">
      <c r="A15" s="134" t="s">
        <v>9</v>
      </c>
      <c r="B15" s="134"/>
      <c r="C15" s="15">
        <v>40</v>
      </c>
      <c r="D15" s="15">
        <v>40</v>
      </c>
      <c r="E15" s="15">
        <v>40</v>
      </c>
      <c r="F15" s="15">
        <v>40</v>
      </c>
      <c r="G15" s="15">
        <v>40</v>
      </c>
      <c r="H15" s="15">
        <v>40</v>
      </c>
      <c r="I15" s="15">
        <v>40</v>
      </c>
      <c r="J15" s="15">
        <v>40</v>
      </c>
      <c r="K15" s="15">
        <v>40</v>
      </c>
      <c r="L15" s="15">
        <v>40</v>
      </c>
      <c r="M15" s="15">
        <v>40</v>
      </c>
      <c r="N15" s="15">
        <v>40</v>
      </c>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25">
      <c r="A16" s="136" t="s">
        <v>44</v>
      </c>
      <c r="B16" s="136"/>
      <c r="C16" s="100" t="s">
        <v>71</v>
      </c>
      <c r="D16" s="100" t="s">
        <v>71</v>
      </c>
      <c r="E16" s="100" t="s">
        <v>71</v>
      </c>
      <c r="F16" s="100" t="s">
        <v>71</v>
      </c>
      <c r="G16" s="100" t="s">
        <v>71</v>
      </c>
      <c r="H16" s="100" t="s">
        <v>71</v>
      </c>
      <c r="I16" s="100" t="s">
        <v>71</v>
      </c>
      <c r="J16" s="100" t="s">
        <v>71</v>
      </c>
      <c r="K16" s="100" t="s">
        <v>71</v>
      </c>
      <c r="L16" s="100" t="s">
        <v>71</v>
      </c>
      <c r="M16" s="100" t="s">
        <v>71</v>
      </c>
      <c r="N16" s="100" t="s">
        <v>71</v>
      </c>
      <c r="O16" s="100"/>
      <c r="P16" s="100"/>
      <c r="Q16" s="100"/>
      <c r="R16" s="100"/>
      <c r="S16" s="100"/>
      <c r="T16" s="100"/>
      <c r="U16" s="100"/>
      <c r="V16" s="100"/>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7.602740775</v>
      </c>
      <c r="F18" s="16">
        <f>$D34</f>
        <v>0</v>
      </c>
      <c r="G18" s="16">
        <f>$D35</f>
        <v>7.602740775</v>
      </c>
      <c r="H18" s="16">
        <f>$D36</f>
        <v>0</v>
      </c>
      <c r="I18" s="16">
        <f>$D37</f>
        <v>7.602740775</v>
      </c>
      <c r="J18" s="16">
        <f>$D38</f>
        <v>0</v>
      </c>
      <c r="K18" s="16">
        <f>$D39</f>
        <v>0</v>
      </c>
      <c r="L18" s="16">
        <f>$D40</f>
        <v>0</v>
      </c>
      <c r="M18" s="16">
        <f>$D41</f>
        <v>0</v>
      </c>
      <c r="N18" s="16">
        <f>$D42</f>
        <v>7.602740775</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-60.397259224999999</v>
      </c>
      <c r="F19" s="16">
        <f t="shared" si="1"/>
        <v>-68</v>
      </c>
      <c r="G19" s="16">
        <f t="shared" si="1"/>
        <v>-60.397259224999999</v>
      </c>
      <c r="H19" s="16">
        <f t="shared" si="1"/>
        <v>-68</v>
      </c>
      <c r="I19" s="16">
        <f t="shared" si="1"/>
        <v>-60.397259224999999</v>
      </c>
      <c r="J19" s="16">
        <f t="shared" si="1"/>
        <v>-68</v>
      </c>
      <c r="K19" s="16">
        <f t="shared" si="1"/>
        <v>-68</v>
      </c>
      <c r="L19" s="16">
        <f t="shared" si="1"/>
        <v>-68</v>
      </c>
      <c r="M19" s="16">
        <f t="shared" si="1"/>
        <v>-68</v>
      </c>
      <c r="N19" s="16">
        <f t="shared" si="1"/>
        <v>-60.397259224999999</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DECREASE</v>
      </c>
      <c r="F20" s="26" t="str">
        <f>IF($B34="","",IF(F$19&gt;=0,"INCREASE","DECREASE"))</f>
        <v/>
      </c>
      <c r="G20" s="26" t="str">
        <f>IF($B35="","",IF(G$19&gt;=0,"INCREASE","DECREASE"))</f>
        <v>DECREASE</v>
      </c>
      <c r="H20" s="26" t="str">
        <f>IF($B36="","",IF(H$19&gt;=0,"INCREASE","DECREASE"))</f>
        <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3.8845705500000003</v>
      </c>
      <c r="F22" s="16">
        <f>$E34</f>
        <v>0</v>
      </c>
      <c r="G22" s="16">
        <f>$E35</f>
        <v>3.8845705500000003</v>
      </c>
      <c r="H22" s="16">
        <f>$E36</f>
        <v>0</v>
      </c>
      <c r="I22" s="16">
        <f>$E37</f>
        <v>3.8845705500000003</v>
      </c>
      <c r="J22" s="16">
        <f>$E38</f>
        <v>0</v>
      </c>
      <c r="K22" s="16">
        <f>$E39</f>
        <v>0</v>
      </c>
      <c r="L22" s="16">
        <f>$E40</f>
        <v>0</v>
      </c>
      <c r="M22" s="16">
        <f>$E41</f>
        <v>0</v>
      </c>
      <c r="N22" s="16">
        <f>$E42</f>
        <v>3.8845705500000003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-236.11542944999999</v>
      </c>
      <c r="F23" s="16">
        <f t="shared" si="3"/>
        <v>-240</v>
      </c>
      <c r="G23" s="16">
        <f t="shared" si="3"/>
        <v>-236.11542944999999</v>
      </c>
      <c r="H23" s="16">
        <f t="shared" si="3"/>
        <v>-240</v>
      </c>
      <c r="I23" s="16">
        <f t="shared" si="3"/>
        <v>-236.11542944999999</v>
      </c>
      <c r="J23" s="16">
        <f t="shared" si="3"/>
        <v>-240</v>
      </c>
      <c r="K23" s="16">
        <f t="shared" si="3"/>
        <v>-240</v>
      </c>
      <c r="L23" s="16">
        <f t="shared" si="3"/>
        <v>-240</v>
      </c>
      <c r="M23" s="16">
        <f t="shared" si="3"/>
        <v>-240</v>
      </c>
      <c r="N23" s="16">
        <f t="shared" si="3"/>
        <v>-236.11542944999999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57</v>
      </c>
      <c r="E27" s="106" t="s">
        <v>57</v>
      </c>
      <c r="F27" s="106" t="s">
        <v>57</v>
      </c>
      <c r="G27" s="106" t="s">
        <v>55</v>
      </c>
      <c r="H27" s="106" t="s">
        <v>55</v>
      </c>
      <c r="I27" s="106" t="s">
        <v>55</v>
      </c>
      <c r="J27" s="106" t="s">
        <v>55</v>
      </c>
      <c r="K27" s="106" t="s">
        <v>55</v>
      </c>
      <c r="L27" s="106" t="s">
        <v>55</v>
      </c>
      <c r="M27" s="106" t="s">
        <v>55</v>
      </c>
      <c r="N27" s="106" t="s">
        <v>55</v>
      </c>
      <c r="O27" s="106" t="s">
        <v>55</v>
      </c>
      <c r="P27" s="106" t="s">
        <v>57</v>
      </c>
      <c r="Q27" s="106" t="s">
        <v>57</v>
      </c>
      <c r="R27" s="106" t="s">
        <v>55</v>
      </c>
      <c r="S27" s="106" t="s">
        <v>55</v>
      </c>
      <c r="T27" s="106" t="s">
        <v>55</v>
      </c>
      <c r="U27" s="106" t="s">
        <v>55</v>
      </c>
    </row>
    <row r="28" spans="1:40" s="57" customFormat="1" x14ac:dyDescent="0.25">
      <c r="A28" s="107"/>
      <c r="B28" s="24">
        <v>14.7</v>
      </c>
      <c r="C28" s="15">
        <v>0.9</v>
      </c>
      <c r="D28" s="15">
        <v>3.5000000000000003E-2</v>
      </c>
      <c r="E28" s="15">
        <v>3.4000000000000002E-2</v>
      </c>
      <c r="F28" s="15">
        <v>5.2999999999999999E-2</v>
      </c>
      <c r="G28" s="15">
        <v>26.9</v>
      </c>
      <c r="H28" s="15">
        <v>90.5</v>
      </c>
      <c r="I28" s="15">
        <v>8.94</v>
      </c>
      <c r="J28" s="15">
        <v>0.42799999999999999</v>
      </c>
      <c r="K28" s="23">
        <v>0.17299999999999999</v>
      </c>
      <c r="L28" s="15">
        <v>16.600000000000001</v>
      </c>
      <c r="M28" s="15">
        <v>10.8</v>
      </c>
      <c r="N28" s="15">
        <v>152214</v>
      </c>
      <c r="O28" s="15">
        <v>12314</v>
      </c>
      <c r="P28" s="15">
        <v>1.2E-2</v>
      </c>
      <c r="Q28" s="15">
        <v>0.91400000000000003</v>
      </c>
      <c r="R28" s="15">
        <v>2.1</v>
      </c>
      <c r="S28" s="15">
        <v>14.7</v>
      </c>
      <c r="T28" s="15">
        <v>1</v>
      </c>
      <c r="U28" s="15">
        <v>217</v>
      </c>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3</v>
      </c>
      <c r="B33" s="15">
        <v>64.5</v>
      </c>
      <c r="C33" s="77">
        <f t="shared" si="6"/>
        <v>85.333500000000001</v>
      </c>
      <c r="D33" s="77">
        <f t="shared" si="7"/>
        <v>7.602740775</v>
      </c>
      <c r="E33" s="77">
        <f t="shared" si="8"/>
        <v>3.8845705500000003</v>
      </c>
      <c r="F33" s="77">
        <f t="shared" si="9"/>
        <v>8.3317733099999991</v>
      </c>
      <c r="G33" s="77">
        <f t="shared" si="10"/>
        <v>0.25505234999999998</v>
      </c>
      <c r="H33" s="77">
        <f t="shared" si="10"/>
        <v>0.85807574999999991</v>
      </c>
      <c r="I33" s="77">
        <f t="shared" si="10"/>
        <v>8.476460999999999E-2</v>
      </c>
      <c r="J33" s="77">
        <f t="shared" si="10"/>
        <v>4.0580819999999993E-3</v>
      </c>
      <c r="K33" s="77">
        <f t="shared" si="10"/>
        <v>1.6402994999999997E-3</v>
      </c>
      <c r="L33" s="77">
        <f t="shared" si="10"/>
        <v>0.1573929</v>
      </c>
      <c r="M33" s="77">
        <f t="shared" si="10"/>
        <v>0.1024002</v>
      </c>
      <c r="N33" s="77">
        <f t="shared" si="10"/>
        <v>1443.2170409999999</v>
      </c>
      <c r="O33" s="77">
        <f t="shared" si="10"/>
        <v>116.755191</v>
      </c>
      <c r="P33" s="77">
        <f t="shared" si="10"/>
        <v>1.13778</v>
      </c>
      <c r="Q33" s="77">
        <f t="shared" si="11"/>
        <v>216.652275</v>
      </c>
      <c r="R33" s="77">
        <f t="shared" si="12"/>
        <v>1.9911150000000002E-2</v>
      </c>
      <c r="S33" s="77">
        <f t="shared" si="12"/>
        <v>0.13937805</v>
      </c>
      <c r="T33" s="77">
        <f t="shared" si="12"/>
        <v>9.4815000000000003E-3</v>
      </c>
      <c r="U33" s="77">
        <f t="shared" si="12"/>
        <v>2.0574854999999999</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5</v>
      </c>
      <c r="B35" s="15">
        <v>64.5</v>
      </c>
      <c r="C35" s="77">
        <f t="shared" si="6"/>
        <v>85.333500000000001</v>
      </c>
      <c r="D35" s="77">
        <f t="shared" si="7"/>
        <v>7.602740775</v>
      </c>
      <c r="E35" s="77">
        <f t="shared" si="8"/>
        <v>3.8845705500000003</v>
      </c>
      <c r="F35" s="77">
        <f t="shared" si="9"/>
        <v>8.3317733099999991</v>
      </c>
      <c r="G35" s="77">
        <f t="shared" si="10"/>
        <v>0.25505234999999998</v>
      </c>
      <c r="H35" s="77">
        <f t="shared" si="10"/>
        <v>0.85807574999999991</v>
      </c>
      <c r="I35" s="77">
        <f t="shared" si="10"/>
        <v>8.476460999999999E-2</v>
      </c>
      <c r="J35" s="77">
        <f t="shared" si="10"/>
        <v>4.0580819999999993E-3</v>
      </c>
      <c r="K35" s="77">
        <f t="shared" si="10"/>
        <v>1.6402994999999997E-3</v>
      </c>
      <c r="L35" s="77">
        <f t="shared" si="10"/>
        <v>0.1573929</v>
      </c>
      <c r="M35" s="77">
        <f t="shared" si="10"/>
        <v>0.1024002</v>
      </c>
      <c r="N35" s="77">
        <f t="shared" si="10"/>
        <v>1443.2170409999999</v>
      </c>
      <c r="O35" s="77">
        <f t="shared" si="10"/>
        <v>116.755191</v>
      </c>
      <c r="P35" s="77">
        <f t="shared" si="10"/>
        <v>1.13778</v>
      </c>
      <c r="Q35" s="77">
        <f t="shared" si="11"/>
        <v>216.652275</v>
      </c>
      <c r="R35" s="77">
        <f t="shared" si="12"/>
        <v>1.9911150000000002E-2</v>
      </c>
      <c r="S35" s="77">
        <f t="shared" si="12"/>
        <v>0.13937805</v>
      </c>
      <c r="T35" s="77">
        <f t="shared" si="12"/>
        <v>9.4815000000000003E-3</v>
      </c>
      <c r="U35" s="77">
        <f t="shared" si="12"/>
        <v>2.0574854999999999</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7</v>
      </c>
      <c r="B37" s="15">
        <v>64.5</v>
      </c>
      <c r="C37" s="77">
        <f t="shared" si="6"/>
        <v>85.333500000000001</v>
      </c>
      <c r="D37" s="77">
        <f t="shared" si="7"/>
        <v>7.602740775</v>
      </c>
      <c r="E37" s="77">
        <f t="shared" si="8"/>
        <v>3.8845705500000003</v>
      </c>
      <c r="F37" s="77">
        <f t="shared" si="9"/>
        <v>8.3317733099999991</v>
      </c>
      <c r="G37" s="77">
        <f t="shared" si="10"/>
        <v>0.25505234999999998</v>
      </c>
      <c r="H37" s="77">
        <f t="shared" si="10"/>
        <v>0.85807574999999991</v>
      </c>
      <c r="I37" s="77">
        <f t="shared" si="10"/>
        <v>8.476460999999999E-2</v>
      </c>
      <c r="J37" s="77">
        <f t="shared" si="10"/>
        <v>4.0580819999999993E-3</v>
      </c>
      <c r="K37" s="77">
        <f t="shared" si="10"/>
        <v>1.6402994999999997E-3</v>
      </c>
      <c r="L37" s="77">
        <f t="shared" si="10"/>
        <v>0.1573929</v>
      </c>
      <c r="M37" s="77">
        <f t="shared" si="10"/>
        <v>0.1024002</v>
      </c>
      <c r="N37" s="77">
        <f t="shared" si="10"/>
        <v>1443.2170409999999</v>
      </c>
      <c r="O37" s="77">
        <f t="shared" si="10"/>
        <v>116.755191</v>
      </c>
      <c r="P37" s="77">
        <f t="shared" si="10"/>
        <v>1.13778</v>
      </c>
      <c r="Q37" s="77">
        <f t="shared" si="11"/>
        <v>216.652275</v>
      </c>
      <c r="R37" s="77">
        <f t="shared" si="12"/>
        <v>1.9911150000000002E-2</v>
      </c>
      <c r="S37" s="77">
        <f t="shared" si="12"/>
        <v>0.13937805</v>
      </c>
      <c r="T37" s="77">
        <f t="shared" si="12"/>
        <v>9.4815000000000003E-3</v>
      </c>
      <c r="U37" s="77">
        <f t="shared" si="12"/>
        <v>2.0574854999999999</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12</v>
      </c>
      <c r="B42" s="15">
        <v>64.5</v>
      </c>
      <c r="C42" s="77">
        <f t="shared" si="6"/>
        <v>85.333500000000001</v>
      </c>
      <c r="D42" s="77">
        <f t="shared" si="7"/>
        <v>7.602740775</v>
      </c>
      <c r="E42" s="77">
        <f t="shared" si="8"/>
        <v>3.8845705500000003</v>
      </c>
      <c r="F42" s="77">
        <f t="shared" si="9"/>
        <v>8.3317733099999991</v>
      </c>
      <c r="G42" s="77">
        <f t="shared" si="10"/>
        <v>0.25505234999999998</v>
      </c>
      <c r="H42" s="77">
        <f t="shared" si="10"/>
        <v>0.85807574999999991</v>
      </c>
      <c r="I42" s="77">
        <f t="shared" si="10"/>
        <v>8.476460999999999E-2</v>
      </c>
      <c r="J42" s="77">
        <f t="shared" si="10"/>
        <v>4.0580819999999993E-3</v>
      </c>
      <c r="K42" s="77">
        <f t="shared" si="10"/>
        <v>1.6402994999999997E-3</v>
      </c>
      <c r="L42" s="77">
        <f t="shared" si="10"/>
        <v>0.1573929</v>
      </c>
      <c r="M42" s="77">
        <f t="shared" si="10"/>
        <v>0.1024002</v>
      </c>
      <c r="N42" s="77">
        <f t="shared" si="10"/>
        <v>1443.2170409999999</v>
      </c>
      <c r="O42" s="77">
        <f t="shared" si="10"/>
        <v>116.755191</v>
      </c>
      <c r="P42" s="77">
        <f t="shared" si="10"/>
        <v>1.13778</v>
      </c>
      <c r="Q42" s="77">
        <f t="shared" si="11"/>
        <v>216.652275</v>
      </c>
      <c r="R42" s="77">
        <f t="shared" si="12"/>
        <v>1.9911150000000002E-2</v>
      </c>
      <c r="S42" s="77">
        <f t="shared" si="12"/>
        <v>0.13937805</v>
      </c>
      <c r="T42" s="77">
        <f t="shared" si="12"/>
        <v>9.4815000000000003E-3</v>
      </c>
      <c r="U42" s="77">
        <f t="shared" si="12"/>
        <v>2.0574854999999999</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str">
        <f>L16&amp;" I "&amp;(VLOOKUP(L14,Table24[],6,FALSE))</f>
        <v>Sandy Loam I Grass</v>
      </c>
      <c r="L58" s="13" t="str">
        <f>M16&amp;" I "&amp;(VLOOKUP(M14,Table24[],6,FALSE))</f>
        <v>Sandy Loam I Grass</v>
      </c>
      <c r="M58" s="13" t="str">
        <f>N16&amp;" I "&amp;(VLOOKUP(N14,Table24[],6,FALSE))</f>
        <v>Sandy Loam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0" t="s">
        <v>133</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64.5</v>
      </c>
      <c r="E62" s="77">
        <f>B34</f>
        <v>0</v>
      </c>
      <c r="F62" s="77">
        <f>B35</f>
        <v>64.5</v>
      </c>
      <c r="G62" s="77">
        <f>B36</f>
        <v>0</v>
      </c>
      <c r="H62" s="77">
        <f>B37</f>
        <v>64.5</v>
      </c>
      <c r="I62" s="77">
        <f>B38</f>
        <v>0</v>
      </c>
      <c r="J62" s="77">
        <f>B39</f>
        <v>0</v>
      </c>
      <c r="K62" s="77">
        <f>B40</f>
        <v>0</v>
      </c>
      <c r="L62" s="77">
        <f>B41</f>
        <v>0</v>
      </c>
      <c r="M62" s="77">
        <f>B42</f>
        <v>64.5</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70" zoomScaleNormal="70" workbookViewId="0">
      <selection activeCell="J9" sqref="J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v>6.23</v>
      </c>
      <c r="J1" s="126" t="s">
        <v>154</v>
      </c>
      <c r="K1" s="126"/>
      <c r="L1" s="96">
        <v>25</v>
      </c>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t="s">
        <v>164</v>
      </c>
      <c r="G2" s="124" t="s">
        <v>110</v>
      </c>
      <c r="H2" s="125"/>
      <c r="I2" s="96">
        <v>35.299999999999997</v>
      </c>
      <c r="J2" s="126" t="s">
        <v>155</v>
      </c>
      <c r="K2" s="126"/>
      <c r="L2" s="96">
        <v>100</v>
      </c>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t="s">
        <v>77</v>
      </c>
      <c r="G3" s="122" t="s">
        <v>111</v>
      </c>
      <c r="H3" s="123"/>
      <c r="I3" s="96">
        <v>0.02</v>
      </c>
      <c r="J3" s="122" t="s">
        <v>156</v>
      </c>
      <c r="K3" s="123"/>
      <c r="L3" s="96">
        <f>(L1/L2)*100</f>
        <v>25</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t="s">
        <v>167</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3.3391324999999998</v>
      </c>
      <c r="F18" s="16">
        <f>$D34</f>
        <v>0</v>
      </c>
      <c r="G18" s="16">
        <f>$D35</f>
        <v>3.3391324999999998</v>
      </c>
      <c r="H18" s="16">
        <f>$D36</f>
        <v>0</v>
      </c>
      <c r="I18" s="16">
        <f>$D37</f>
        <v>3.3391324999999998</v>
      </c>
      <c r="J18" s="16">
        <f>$D38</f>
        <v>0</v>
      </c>
      <c r="K18" s="16">
        <f>$D39</f>
        <v>0</v>
      </c>
      <c r="L18" s="16">
        <f>$D40</f>
        <v>0</v>
      </c>
      <c r="M18" s="16">
        <f>$D41</f>
        <v>0</v>
      </c>
      <c r="N18" s="16">
        <f>$D42</f>
        <v>3.3391324999999998</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-64.660867499999995</v>
      </c>
      <c r="F19" s="16">
        <f t="shared" si="1"/>
        <v>-68</v>
      </c>
      <c r="G19" s="16">
        <f t="shared" si="1"/>
        <v>-64.660867499999995</v>
      </c>
      <c r="H19" s="16">
        <f t="shared" si="1"/>
        <v>-68</v>
      </c>
      <c r="I19" s="16">
        <f t="shared" si="1"/>
        <v>-64.660867499999995</v>
      </c>
      <c r="J19" s="16">
        <f t="shared" si="1"/>
        <v>-68</v>
      </c>
      <c r="K19" s="16">
        <f t="shared" si="1"/>
        <v>-68</v>
      </c>
      <c r="L19" s="16">
        <f t="shared" si="1"/>
        <v>-68</v>
      </c>
      <c r="M19" s="16">
        <f t="shared" si="1"/>
        <v>-68</v>
      </c>
      <c r="N19" s="16">
        <f t="shared" si="1"/>
        <v>-64.660867499999995</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DECREASE</v>
      </c>
      <c r="F20" s="26" t="str">
        <f>IF($B34="","",IF(F$19&gt;=0,"INCREASE","DECREASE"))</f>
        <v/>
      </c>
      <c r="G20" s="26" t="str">
        <f>IF($B35="","",IF(G$19&gt;=0,"INCREASE","DECREASE"))</f>
        <v>DECREASE</v>
      </c>
      <c r="H20" s="26" t="str">
        <f>IF($B36="","",IF(H$19&gt;=0,"INCREASE","DECREASE"))</f>
        <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3.8560000000000003</v>
      </c>
      <c r="F22" s="16">
        <f>$E34</f>
        <v>0</v>
      </c>
      <c r="G22" s="16">
        <f>$E35</f>
        <v>3.8560000000000003</v>
      </c>
      <c r="H22" s="16">
        <f>$E36</f>
        <v>0</v>
      </c>
      <c r="I22" s="16">
        <f>$E37</f>
        <v>3.8560000000000003</v>
      </c>
      <c r="J22" s="16">
        <f>$E38</f>
        <v>0</v>
      </c>
      <c r="K22" s="16">
        <f>$E39</f>
        <v>0</v>
      </c>
      <c r="L22" s="16">
        <f>$E40</f>
        <v>0</v>
      </c>
      <c r="M22" s="16">
        <f>$E41</f>
        <v>0</v>
      </c>
      <c r="N22" s="16">
        <f>$E42</f>
        <v>3.8560000000000003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-236.14400000000001</v>
      </c>
      <c r="F23" s="16">
        <f t="shared" si="3"/>
        <v>-240</v>
      </c>
      <c r="G23" s="16">
        <f t="shared" si="3"/>
        <v>-236.14400000000001</v>
      </c>
      <c r="H23" s="16">
        <f t="shared" si="3"/>
        <v>-240</v>
      </c>
      <c r="I23" s="16">
        <f t="shared" si="3"/>
        <v>-236.14400000000001</v>
      </c>
      <c r="J23" s="16">
        <f t="shared" si="3"/>
        <v>-240</v>
      </c>
      <c r="K23" s="16">
        <f t="shared" si="3"/>
        <v>-240</v>
      </c>
      <c r="L23" s="16">
        <f t="shared" si="3"/>
        <v>-240</v>
      </c>
      <c r="M23" s="16">
        <f t="shared" si="3"/>
        <v>-240</v>
      </c>
      <c r="N23" s="16">
        <f t="shared" si="3"/>
        <v>-236.14400000000001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54</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7" customFormat="1" x14ac:dyDescent="0.25">
      <c r="A28" s="107"/>
      <c r="B28" s="24">
        <v>1.25</v>
      </c>
      <c r="C28" s="15">
        <v>100</v>
      </c>
      <c r="D28" s="15">
        <v>5.83</v>
      </c>
      <c r="E28" s="15">
        <v>12.8</v>
      </c>
      <c r="F28" s="15">
        <v>10</v>
      </c>
      <c r="G28" s="15">
        <v>0.3</v>
      </c>
      <c r="H28" s="15">
        <v>1.68</v>
      </c>
      <c r="I28" s="15">
        <v>0.5</v>
      </c>
      <c r="J28" s="15">
        <v>0.01</v>
      </c>
      <c r="K28" s="23">
        <v>0.05</v>
      </c>
      <c r="L28" s="15">
        <v>0.2</v>
      </c>
      <c r="M28" s="15">
        <v>0.2</v>
      </c>
      <c r="N28" s="15">
        <v>1905</v>
      </c>
      <c r="O28" s="15">
        <v>148</v>
      </c>
      <c r="P28" s="15">
        <v>10</v>
      </c>
      <c r="Q28" s="15">
        <v>139</v>
      </c>
      <c r="R28" s="15">
        <v>0.02</v>
      </c>
      <c r="S28" s="15">
        <v>0.5</v>
      </c>
      <c r="T28" s="15">
        <v>0.05</v>
      </c>
      <c r="U28" s="15">
        <v>10</v>
      </c>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v>250</v>
      </c>
      <c r="C33" s="77">
        <f t="shared" si="6"/>
        <v>25</v>
      </c>
      <c r="D33" s="77">
        <f t="shared" si="7"/>
        <v>3.3391324999999998</v>
      </c>
      <c r="E33" s="77">
        <f t="shared" si="8"/>
        <v>3.8560000000000003</v>
      </c>
      <c r="F33" s="77">
        <f t="shared" si="9"/>
        <v>4.1449999999999996</v>
      </c>
      <c r="G33" s="77">
        <f t="shared" si="5"/>
        <v>7.4999999999999997E-2</v>
      </c>
      <c r="H33" s="77">
        <f t="shared" si="5"/>
        <v>0.42000000000000004</v>
      </c>
      <c r="I33" s="77">
        <f t="shared" si="5"/>
        <v>0.125</v>
      </c>
      <c r="J33" s="77">
        <f t="shared" si="5"/>
        <v>2.5000000000000001E-3</v>
      </c>
      <c r="K33" s="77">
        <f t="shared" si="5"/>
        <v>1.2500000000000001E-2</v>
      </c>
      <c r="L33" s="77">
        <f t="shared" si="5"/>
        <v>0.05</v>
      </c>
      <c r="M33" s="77">
        <f t="shared" si="5"/>
        <v>0.05</v>
      </c>
      <c r="N33" s="77">
        <f t="shared" si="5"/>
        <v>476.25</v>
      </c>
      <c r="O33" s="77">
        <f t="shared" si="5"/>
        <v>37</v>
      </c>
      <c r="P33" s="77">
        <f t="shared" si="5"/>
        <v>2.5</v>
      </c>
      <c r="Q33" s="77">
        <f t="shared" si="10"/>
        <v>86.875</v>
      </c>
      <c r="R33" s="77">
        <f t="shared" si="11"/>
        <v>5.0000000000000001E-3</v>
      </c>
      <c r="S33" s="77">
        <f t="shared" si="11"/>
        <v>0.125</v>
      </c>
      <c r="T33" s="77">
        <f t="shared" si="11"/>
        <v>1.2500000000000001E-2</v>
      </c>
      <c r="U33" s="77">
        <f t="shared" si="11"/>
        <v>2.5</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v>250</v>
      </c>
      <c r="C35" s="77">
        <f t="shared" si="6"/>
        <v>25</v>
      </c>
      <c r="D35" s="77">
        <f t="shared" si="7"/>
        <v>3.3391324999999998</v>
      </c>
      <c r="E35" s="77">
        <f t="shared" si="8"/>
        <v>3.8560000000000003</v>
      </c>
      <c r="F35" s="77">
        <f t="shared" si="9"/>
        <v>4.1449999999999996</v>
      </c>
      <c r="G35" s="77">
        <f t="shared" si="5"/>
        <v>7.4999999999999997E-2</v>
      </c>
      <c r="H35" s="77">
        <f t="shared" si="5"/>
        <v>0.42000000000000004</v>
      </c>
      <c r="I35" s="77">
        <f t="shared" si="5"/>
        <v>0.125</v>
      </c>
      <c r="J35" s="77">
        <f t="shared" si="5"/>
        <v>2.5000000000000001E-3</v>
      </c>
      <c r="K35" s="77">
        <f t="shared" si="5"/>
        <v>1.2500000000000001E-2</v>
      </c>
      <c r="L35" s="77">
        <f t="shared" si="5"/>
        <v>0.05</v>
      </c>
      <c r="M35" s="77">
        <f t="shared" si="5"/>
        <v>0.05</v>
      </c>
      <c r="N35" s="77">
        <f t="shared" si="5"/>
        <v>476.25</v>
      </c>
      <c r="O35" s="77">
        <f t="shared" si="5"/>
        <v>37</v>
      </c>
      <c r="P35" s="77">
        <f t="shared" si="5"/>
        <v>2.5</v>
      </c>
      <c r="Q35" s="77">
        <f t="shared" si="10"/>
        <v>86.875</v>
      </c>
      <c r="R35" s="77">
        <f t="shared" si="11"/>
        <v>5.0000000000000001E-3</v>
      </c>
      <c r="S35" s="77">
        <f t="shared" si="11"/>
        <v>0.125</v>
      </c>
      <c r="T35" s="77">
        <f t="shared" si="11"/>
        <v>1.2500000000000001E-2</v>
      </c>
      <c r="U35" s="77">
        <f t="shared" si="11"/>
        <v>2.5</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v>250</v>
      </c>
      <c r="C37" s="77">
        <f t="shared" si="6"/>
        <v>25</v>
      </c>
      <c r="D37" s="77">
        <f t="shared" si="7"/>
        <v>3.3391324999999998</v>
      </c>
      <c r="E37" s="77">
        <f t="shared" si="8"/>
        <v>3.8560000000000003</v>
      </c>
      <c r="F37" s="77">
        <f t="shared" si="9"/>
        <v>4.1449999999999996</v>
      </c>
      <c r="G37" s="77">
        <f t="shared" si="5"/>
        <v>7.4999999999999997E-2</v>
      </c>
      <c r="H37" s="77">
        <f t="shared" si="5"/>
        <v>0.42000000000000004</v>
      </c>
      <c r="I37" s="77">
        <f t="shared" si="5"/>
        <v>0.125</v>
      </c>
      <c r="J37" s="77">
        <f t="shared" si="5"/>
        <v>2.5000000000000001E-3</v>
      </c>
      <c r="K37" s="77">
        <f t="shared" si="5"/>
        <v>1.2500000000000001E-2</v>
      </c>
      <c r="L37" s="77">
        <f t="shared" si="5"/>
        <v>0.05</v>
      </c>
      <c r="M37" s="77">
        <f t="shared" si="5"/>
        <v>0.05</v>
      </c>
      <c r="N37" s="77">
        <f t="shared" si="5"/>
        <v>476.25</v>
      </c>
      <c r="O37" s="77">
        <f t="shared" si="5"/>
        <v>37</v>
      </c>
      <c r="P37" s="77">
        <f t="shared" si="5"/>
        <v>2.5</v>
      </c>
      <c r="Q37" s="77">
        <f t="shared" si="10"/>
        <v>86.875</v>
      </c>
      <c r="R37" s="77">
        <f t="shared" si="11"/>
        <v>5.0000000000000001E-3</v>
      </c>
      <c r="S37" s="77">
        <f t="shared" si="11"/>
        <v>0.125</v>
      </c>
      <c r="T37" s="77">
        <f t="shared" si="11"/>
        <v>1.2500000000000001E-2</v>
      </c>
      <c r="U37" s="77">
        <f t="shared" si="11"/>
        <v>2.5</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v>250</v>
      </c>
      <c r="C42" s="77">
        <f t="shared" si="6"/>
        <v>25</v>
      </c>
      <c r="D42" s="77">
        <f t="shared" si="7"/>
        <v>3.3391324999999998</v>
      </c>
      <c r="E42" s="77">
        <f t="shared" si="8"/>
        <v>3.8560000000000003</v>
      </c>
      <c r="F42" s="77">
        <f t="shared" si="9"/>
        <v>4.1449999999999996</v>
      </c>
      <c r="G42" s="77">
        <f t="shared" si="5"/>
        <v>7.4999999999999997E-2</v>
      </c>
      <c r="H42" s="77">
        <f t="shared" si="5"/>
        <v>0.42000000000000004</v>
      </c>
      <c r="I42" s="77">
        <f t="shared" si="5"/>
        <v>0.125</v>
      </c>
      <c r="J42" s="77">
        <f t="shared" si="5"/>
        <v>2.5000000000000001E-3</v>
      </c>
      <c r="K42" s="77">
        <f t="shared" si="5"/>
        <v>1.2500000000000001E-2</v>
      </c>
      <c r="L42" s="77">
        <f t="shared" si="5"/>
        <v>0.05</v>
      </c>
      <c r="M42" s="77">
        <f t="shared" si="5"/>
        <v>0.05</v>
      </c>
      <c r="N42" s="77">
        <f t="shared" si="5"/>
        <v>476.25</v>
      </c>
      <c r="O42" s="77">
        <f t="shared" si="5"/>
        <v>37</v>
      </c>
      <c r="P42" s="77">
        <f t="shared" si="5"/>
        <v>2.5</v>
      </c>
      <c r="Q42" s="77">
        <f t="shared" si="10"/>
        <v>86.875</v>
      </c>
      <c r="R42" s="77">
        <f t="shared" si="11"/>
        <v>5.0000000000000001E-3</v>
      </c>
      <c r="S42" s="77">
        <f t="shared" si="11"/>
        <v>0.125</v>
      </c>
      <c r="T42" s="77">
        <f t="shared" si="11"/>
        <v>1.2500000000000001E-2</v>
      </c>
      <c r="U42" s="77">
        <f t="shared" si="11"/>
        <v>2.5</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str">
        <f>L16&amp;" I "&amp;(VLOOKUP(L14,Table245[],6,FALSE))</f>
        <v>Sandy Loam I Grass</v>
      </c>
      <c r="L58" s="13" t="str">
        <f>M16&amp;" I "&amp;(VLOOKUP(M14,Table245[],6,FALSE))</f>
        <v>Sandy Loam I Grass</v>
      </c>
      <c r="M58" s="13" t="str">
        <f>N16&amp;" I "&amp;(VLOOKUP(N14,Table245[],6,FALSE))</f>
        <v>Sandy Loam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0" t="s">
        <v>133</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250</v>
      </c>
      <c r="E62" s="77">
        <f>B34</f>
        <v>0</v>
      </c>
      <c r="F62" s="77">
        <f>B35</f>
        <v>250</v>
      </c>
      <c r="G62" s="77">
        <f>B36</f>
        <v>0</v>
      </c>
      <c r="H62" s="77">
        <f>B37</f>
        <v>250</v>
      </c>
      <c r="I62" s="77">
        <f>B38</f>
        <v>0</v>
      </c>
      <c r="J62" s="77">
        <f>B39</f>
        <v>0</v>
      </c>
      <c r="K62" s="77">
        <f>B40</f>
        <v>0</v>
      </c>
      <c r="L62" s="77">
        <f>B41</f>
        <v>0</v>
      </c>
      <c r="M62" s="77">
        <f>B42</f>
        <v>250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2" operator="equal">
      <formula>"DECREASE"</formula>
    </cfRule>
    <cfRule type="cellIs" dxfId="376" priority="33" operator="equal">
      <formula>"INCREASE"</formula>
    </cfRule>
  </conditionalFormatting>
  <conditionalFormatting sqref="B31:B50 B62:U66">
    <cfRule type="cellIs" dxfId="375" priority="31" operator="greaterThan">
      <formula>$B$51</formula>
    </cfRule>
  </conditionalFormatting>
  <conditionalFormatting sqref="C31:C50">
    <cfRule type="cellIs" dxfId="374" priority="30" operator="greaterThan">
      <formula>$C$51</formula>
    </cfRule>
  </conditionalFormatting>
  <conditionalFormatting sqref="C18:V18">
    <cfRule type="cellIs" dxfId="373" priority="29" operator="equal">
      <formula>0</formula>
    </cfRule>
  </conditionalFormatting>
  <conditionalFormatting sqref="C17:V17">
    <cfRule type="cellIs" dxfId="372" priority="28" operator="equal">
      <formula>0</formula>
    </cfRule>
  </conditionalFormatting>
  <conditionalFormatting sqref="C19:V19">
    <cfRule type="cellIs" dxfId="371" priority="27" operator="equal">
      <formula>0</formula>
    </cfRule>
  </conditionalFormatting>
  <conditionalFormatting sqref="G31:G50">
    <cfRule type="cellIs" dxfId="370" priority="26" operator="greaterThan">
      <formula>$G$51</formula>
    </cfRule>
  </conditionalFormatting>
  <conditionalFormatting sqref="H31:H50">
    <cfRule type="cellIs" dxfId="369" priority="25" operator="greaterThan">
      <formula>$H$51</formula>
    </cfRule>
  </conditionalFormatting>
  <conditionalFormatting sqref="I31:I50">
    <cfRule type="cellIs" dxfId="368" priority="24" operator="greaterThan">
      <formula>$I$51</formula>
    </cfRule>
  </conditionalFormatting>
  <conditionalFormatting sqref="K31:K50">
    <cfRule type="cellIs" dxfId="367" priority="23" operator="greaterThan">
      <formula>$K$51</formula>
    </cfRule>
  </conditionalFormatting>
  <conditionalFormatting sqref="L31:L50">
    <cfRule type="cellIs" dxfId="366" priority="22" operator="greaterThan">
      <formula>$L$51</formula>
    </cfRule>
  </conditionalFormatting>
  <conditionalFormatting sqref="M31:M50">
    <cfRule type="cellIs" dxfId="365" priority="21" operator="greaterThan">
      <formula>$M$51</formula>
    </cfRule>
  </conditionalFormatting>
  <conditionalFormatting sqref="P31:P50">
    <cfRule type="cellIs" dxfId="364" priority="20" operator="greaterThan">
      <formula>$P$51</formula>
    </cfRule>
  </conditionalFormatting>
  <conditionalFormatting sqref="R31:R50">
    <cfRule type="cellIs" dxfId="363" priority="19" operator="greaterThan">
      <formula>$R$51</formula>
    </cfRule>
  </conditionalFormatting>
  <conditionalFormatting sqref="S31:S50">
    <cfRule type="cellIs" dxfId="362" priority="18" operator="greaterThan">
      <formula>$S$51</formula>
    </cfRule>
  </conditionalFormatting>
  <conditionalFormatting sqref="T31:T50">
    <cfRule type="cellIs" dxfId="361" priority="17" operator="greaterThan">
      <formula>$T$51</formula>
    </cfRule>
  </conditionalFormatting>
  <conditionalFormatting sqref="U31:U50">
    <cfRule type="cellIs" dxfId="360" priority="16" operator="greaterThan">
      <formula>$U$51</formula>
    </cfRule>
  </conditionalFormatting>
  <conditionalFormatting sqref="C22:V22">
    <cfRule type="cellIs" dxfId="359" priority="15" operator="equal">
      <formula>0</formula>
    </cfRule>
  </conditionalFormatting>
  <conditionalFormatting sqref="C24:V24">
    <cfRule type="cellIs" dxfId="358" priority="13" operator="equal">
      <formula>"DECREASE"</formula>
    </cfRule>
    <cfRule type="cellIs" dxfId="357" priority="14" operator="equal">
      <formula>"INCREASE"</formula>
    </cfRule>
  </conditionalFormatting>
  <conditionalFormatting sqref="C23:V23">
    <cfRule type="cellIs" dxfId="356" priority="12" operator="equal">
      <formula>0</formula>
    </cfRule>
  </conditionalFormatting>
  <conditionalFormatting sqref="I1">
    <cfRule type="cellIs" dxfId="355" priority="11" operator="lessThan">
      <formula>5</formula>
    </cfRule>
  </conditionalFormatting>
  <conditionalFormatting sqref="C21:V21">
    <cfRule type="cellIs" dxfId="354" priority="8" operator="equal">
      <formula>0</formula>
    </cfRule>
  </conditionalFormatting>
  <conditionalFormatting sqref="B66:U66">
    <cfRule type="cellIs" dxfId="353" priority="6" operator="equal">
      <formula>"UNDER"</formula>
    </cfRule>
    <cfRule type="cellIs" dxfId="352" priority="7" operator="equal">
      <formula>"OVER"</formula>
    </cfRule>
  </conditionalFormatting>
  <conditionalFormatting sqref="I2">
    <cfRule type="cellIs" dxfId="351" priority="5" operator="greaterThan">
      <formula>5000.1</formula>
    </cfRule>
  </conditionalFormatting>
  <conditionalFormatting sqref="I3">
    <cfRule type="cellIs" dxfId="350" priority="4" operator="greaterThan">
      <formula>4.1</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topLeftCell="A25" zoomScale="74" zoomScaleNormal="74" workbookViewId="0">
      <selection activeCell="G63" sqref="G6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v>12.6</v>
      </c>
      <c r="J1" s="126" t="s">
        <v>154</v>
      </c>
      <c r="K1" s="126"/>
      <c r="L1" s="96">
        <v>10</v>
      </c>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t="s">
        <v>168</v>
      </c>
      <c r="G2" s="124" t="s">
        <v>110</v>
      </c>
      <c r="H2" s="125"/>
      <c r="I2" s="96"/>
      <c r="J2" s="126" t="s">
        <v>155</v>
      </c>
      <c r="K2" s="126"/>
      <c r="L2" s="96">
        <v>300</v>
      </c>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t="s">
        <v>76</v>
      </c>
      <c r="G3" s="122" t="s">
        <v>111</v>
      </c>
      <c r="H3" s="123"/>
      <c r="I3" s="96">
        <v>0.02</v>
      </c>
      <c r="J3" s="122" t="s">
        <v>156</v>
      </c>
      <c r="K3" s="123"/>
      <c r="L3" s="96">
        <f>(L1/L2)*100</f>
        <v>3.3333333333333335</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t="s">
        <v>169</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5.1771422340000006</v>
      </c>
      <c r="D18" s="16">
        <f>$D32</f>
        <v>5.1771422340000006</v>
      </c>
      <c r="E18" s="16">
        <f>$D33</f>
        <v>1.882597176</v>
      </c>
      <c r="F18" s="16">
        <f>$D34</f>
        <v>5.1771422340000006</v>
      </c>
      <c r="G18" s="16">
        <f>$D35</f>
        <v>1.882597176</v>
      </c>
      <c r="H18" s="16">
        <f>$D36</f>
        <v>1.882597176</v>
      </c>
      <c r="I18" s="16">
        <f>$D37</f>
        <v>1.882597176</v>
      </c>
      <c r="J18" s="16">
        <f>$D38</f>
        <v>5.1771422340000006</v>
      </c>
      <c r="K18" s="16">
        <f>$D39</f>
        <v>5.1771422340000006</v>
      </c>
      <c r="L18" s="16">
        <f>$D40</f>
        <v>5.1771422340000006</v>
      </c>
      <c r="M18" s="16">
        <f>$D41</f>
        <v>5.1771422340000006</v>
      </c>
      <c r="N18" s="16">
        <f>$D42</f>
        <v>5.1771422340000006</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-62.822857765999998</v>
      </c>
      <c r="D19" s="16">
        <f t="shared" ref="D19:V19" si="1">D18-D17</f>
        <v>-62.822857765999998</v>
      </c>
      <c r="E19" s="16">
        <f t="shared" si="1"/>
        <v>-66.117402823999996</v>
      </c>
      <c r="F19" s="16">
        <f t="shared" si="1"/>
        <v>-62.822857765999998</v>
      </c>
      <c r="G19" s="16">
        <f t="shared" si="1"/>
        <v>-66.117402823999996</v>
      </c>
      <c r="H19" s="16">
        <f t="shared" si="1"/>
        <v>-66.117402823999996</v>
      </c>
      <c r="I19" s="16">
        <f t="shared" si="1"/>
        <v>-66.117402823999996</v>
      </c>
      <c r="J19" s="16">
        <f t="shared" si="1"/>
        <v>-62.822857765999998</v>
      </c>
      <c r="K19" s="16">
        <f t="shared" si="1"/>
        <v>-62.822857765999998</v>
      </c>
      <c r="L19" s="16">
        <f t="shared" si="1"/>
        <v>-62.822857765999998</v>
      </c>
      <c r="M19" s="16">
        <f t="shared" si="1"/>
        <v>-62.822857765999998</v>
      </c>
      <c r="N19" s="16">
        <f t="shared" si="1"/>
        <v>-62.822857765999998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(VLOOKUP(D$14,$AI2:$AK24,3,FALSE))*D$15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249.51849565500001</v>
      </c>
      <c r="D22" s="16">
        <f>$E32</f>
        <v>249.51849565500001</v>
      </c>
      <c r="E22" s="16">
        <f>$E33</f>
        <v>90.733998420000006</v>
      </c>
      <c r="F22" s="16">
        <f>$E34</f>
        <v>249.51849565500001</v>
      </c>
      <c r="G22" s="16">
        <f>$E35</f>
        <v>90.733998420000006</v>
      </c>
      <c r="H22" s="16">
        <f>$E36</f>
        <v>90.733998420000006</v>
      </c>
      <c r="I22" s="16">
        <f>$E37</f>
        <v>90.733998420000006</v>
      </c>
      <c r="J22" s="16">
        <f>$E38</f>
        <v>249.51849565500001</v>
      </c>
      <c r="K22" s="16">
        <f>$E39</f>
        <v>249.51849565500001</v>
      </c>
      <c r="L22" s="16">
        <f>$E40</f>
        <v>249.51849565500001</v>
      </c>
      <c r="M22" s="16">
        <f>$E41</f>
        <v>249.51849565500001</v>
      </c>
      <c r="N22" s="16">
        <f>$E42</f>
        <v>249.51849565500001</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9.5184956550000095</v>
      </c>
      <c r="D23" s="16">
        <f t="shared" ref="D23:V23" si="3">D22-D21</f>
        <v>9.5184956550000095</v>
      </c>
      <c r="E23" s="16">
        <f t="shared" si="3"/>
        <v>-149.26600157999999</v>
      </c>
      <c r="F23" s="16">
        <f t="shared" si="3"/>
        <v>9.5184956550000095</v>
      </c>
      <c r="G23" s="16">
        <f t="shared" si="3"/>
        <v>-149.26600157999999</v>
      </c>
      <c r="H23" s="16">
        <f t="shared" si="3"/>
        <v>-149.26600157999999</v>
      </c>
      <c r="I23" s="16">
        <f t="shared" si="3"/>
        <v>-149.26600157999999</v>
      </c>
      <c r="J23" s="16">
        <f t="shared" si="3"/>
        <v>9.5184956550000095</v>
      </c>
      <c r="K23" s="16">
        <f t="shared" si="3"/>
        <v>9.5184956550000095</v>
      </c>
      <c r="L23" s="16">
        <f t="shared" si="3"/>
        <v>9.5184956550000095</v>
      </c>
      <c r="M23" s="16">
        <f t="shared" si="3"/>
        <v>9.5184956550000095</v>
      </c>
      <c r="N23" s="16">
        <f t="shared" si="3"/>
        <v>9.5184956550000095</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INCREASE</v>
      </c>
      <c r="D24" s="26" t="str">
        <f t="shared" ref="D24:V24" si="4">IF($B31="","",IF(D$23&gt;=0,"INCREASE","DECREASE"))</f>
        <v>INCREASE</v>
      </c>
      <c r="E24" s="26" t="str">
        <f t="shared" si="4"/>
        <v>DECREASE</v>
      </c>
      <c r="F24" s="26" t="str">
        <f t="shared" si="4"/>
        <v>INCREASE</v>
      </c>
      <c r="G24" s="26" t="str">
        <f t="shared" si="4"/>
        <v>DECREASE</v>
      </c>
      <c r="H24" s="26" t="str">
        <f t="shared" si="4"/>
        <v>DECREASE</v>
      </c>
      <c r="I24" s="26" t="str">
        <f t="shared" si="4"/>
        <v>DECREASE</v>
      </c>
      <c r="J24" s="26" t="str">
        <f t="shared" si="4"/>
        <v>INCREASE</v>
      </c>
      <c r="K24" s="26" t="str">
        <f t="shared" si="4"/>
        <v>INCREASE</v>
      </c>
      <c r="L24" s="26" t="str">
        <f t="shared" si="4"/>
        <v>INCREASE</v>
      </c>
      <c r="M24" s="26" t="str">
        <f t="shared" si="4"/>
        <v>INCREASE</v>
      </c>
      <c r="N24" s="26" t="str">
        <f t="shared" si="4"/>
        <v>INCREASE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t="s">
        <v>57</v>
      </c>
      <c r="D27" s="106" t="s">
        <v>55</v>
      </c>
      <c r="E27" s="106" t="s">
        <v>55</v>
      </c>
      <c r="F27" s="106" t="s">
        <v>55</v>
      </c>
      <c r="G27" s="106" t="s">
        <v>55</v>
      </c>
      <c r="H27" s="106" t="s">
        <v>55</v>
      </c>
      <c r="I27" s="106" t="s">
        <v>55</v>
      </c>
      <c r="J27" s="106" t="s">
        <v>55</v>
      </c>
      <c r="K27" s="106" t="s">
        <v>55</v>
      </c>
      <c r="L27" s="106" t="s">
        <v>55</v>
      </c>
      <c r="M27" s="106" t="s">
        <v>55</v>
      </c>
      <c r="N27" s="106" t="s">
        <v>55</v>
      </c>
      <c r="O27" s="106"/>
      <c r="P27" s="106" t="s">
        <v>55</v>
      </c>
      <c r="Q27" s="106" t="s">
        <v>55</v>
      </c>
      <c r="R27" s="106" t="s">
        <v>55</v>
      </c>
      <c r="S27" s="106" t="s">
        <v>55</v>
      </c>
      <c r="T27" s="106" t="s">
        <v>55</v>
      </c>
      <c r="U27" s="106" t="s">
        <v>55</v>
      </c>
    </row>
    <row r="28" spans="1:40" s="57" customFormat="1" x14ac:dyDescent="0.25">
      <c r="A28" s="107"/>
      <c r="B28" s="24">
        <v>90.9</v>
      </c>
      <c r="C28" s="15">
        <v>0.03</v>
      </c>
      <c r="D28" s="15">
        <v>452</v>
      </c>
      <c r="E28" s="15">
        <v>41418</v>
      </c>
      <c r="F28" s="15">
        <v>4299</v>
      </c>
      <c r="G28" s="15">
        <v>75.099999999999994</v>
      </c>
      <c r="H28" s="15">
        <v>182</v>
      </c>
      <c r="I28" s="15">
        <v>211</v>
      </c>
      <c r="J28" s="15">
        <v>22.7</v>
      </c>
      <c r="K28" s="23">
        <v>0.1</v>
      </c>
      <c r="L28" s="15">
        <v>16.2</v>
      </c>
      <c r="M28" s="15">
        <v>33.6</v>
      </c>
      <c r="N28" s="15"/>
      <c r="O28" s="15"/>
      <c r="P28" s="15">
        <v>3233</v>
      </c>
      <c r="Q28" s="15">
        <v>15628</v>
      </c>
      <c r="R28" s="15">
        <v>12.9</v>
      </c>
      <c r="S28" s="15">
        <v>5.45</v>
      </c>
      <c r="T28" s="15">
        <v>4.4800000000000004</v>
      </c>
      <c r="U28" s="15">
        <v>591</v>
      </c>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v>5.5</v>
      </c>
      <c r="C31" s="77">
        <f>IF(C$27="%w/w SAR",((C$28*10)*$B31),IF(C$27="%w/w DM",(((C$28*10)*($B$28/100))*$B31),IF(C$27="kg/t SAR",(C$28*$B31),IF(C$27="kg/t DM",((C$28*($B$28/100))*$B31),IF(C$27="mg/kg SAR",((C$28*0.001)*$B31),IF(C$27="mg/kg DM",(((C$28*0.001)*($B$28/100))*$B31),0))))))</f>
        <v>1.4998499999999999</v>
      </c>
      <c r="D31" s="77">
        <f>(IF(D$27="%w/w SAR",((D$28*10)*$B31),IF(D$27="%w/w DM",(((D$28*10)*($B$28/100))*$B31),IF(D$27="kg/t SAR",(D$28*$B31),IF(D$27="kg/t DM",((D$28*($B$28/100))*$B31),IF(D$27="mg/kg SAR",((D$28*0.001)*$B31),IF(D$27="mg/kg DM",(((D$28*0.001)*($B$28/100))*$B31),"0")))))))*2.291</f>
        <v>5.1771422340000006</v>
      </c>
      <c r="E31" s="77">
        <f>(IF(E$27="%w/w SAR",((E$28*10)*$B31),IF(E$27="%w/w DM",(((E$28*10)*($B$28/100))*$B31),IF(E$27="kg/t SAR",(E$28*$B31),IF(E$27="kg/t DM",((E$28*($B$28/100))*$B31),IF(E$27="mg/kg SAR",((E$28*0.001)*$B31),IF(E$27="mg/kg DM",(((E$28*0.001)*($B$28/100))*$B31),"0")))))))*1.205</f>
        <v>249.51849565500001</v>
      </c>
      <c r="F31" s="77">
        <f>(IF(F$27="%w/w SAR",((F$28*10)*$B31),IF(F$27="%w/w DM",(((F$28*10)*($B$28/100))*$B31),IF(F$27="kg/t SAR",(F$28*$B31),IF(F$27="kg/t DM",((F$28*($B$28/100))*$B31),IF(F$27="mg/kg SAR",((F$28*0.001)*$B31),IF(F$27="mg/kg DM",(((F$28*0.001)*($B$28/100))*$B31),"0")))))))*1.658</f>
        <v>35.635146129000006</v>
      </c>
      <c r="G31" s="77">
        <f t="shared" ref="G31:P46" si="5">IF(G$27="%w/w SAR",((G$28*10)*$B31),IF(G$27="%w/w DM",(((G$28*10)*($B$28/100))*$B31),IF(G$27="kg/t SAR",(G$28*$B31),IF(G$27="kg/t DM",((G$28*($B$28/100))*$B31),IF(G$27="mg/kg SAR",((G$28*0.001)*$B31),IF(G$27="mg/kg DM",(((G$28*0.001)*($B$28/100))*$B31),0))))))</f>
        <v>0.37546245</v>
      </c>
      <c r="H31" s="77">
        <f t="shared" si="5"/>
        <v>0.90990899999999997</v>
      </c>
      <c r="I31" s="77">
        <f t="shared" si="5"/>
        <v>1.0548945000000001</v>
      </c>
      <c r="J31" s="77">
        <f t="shared" si="5"/>
        <v>0.11348865000000001</v>
      </c>
      <c r="K31" s="77">
        <f t="shared" si="5"/>
        <v>4.9995000000000009E-4</v>
      </c>
      <c r="L31" s="77">
        <f t="shared" si="5"/>
        <v>8.0991899999999992E-2</v>
      </c>
      <c r="M31" s="77">
        <f t="shared" si="5"/>
        <v>0.16798320000000003</v>
      </c>
      <c r="N31" s="77">
        <f t="shared" si="5"/>
        <v>0</v>
      </c>
      <c r="O31" s="77">
        <f t="shared" si="5"/>
        <v>0</v>
      </c>
      <c r="P31" s="77">
        <f t="shared" si="5"/>
        <v>16.163383500000002</v>
      </c>
      <c r="Q31" s="77">
        <f>(IF(Q$27="%w/w SAR",((Q$28*10)*$B31),IF(Q$27="%w/w DM",(((Q$28*10)*($B$28/100))*$B31),IF(Q$27="kg/t SAR",(Q$28*$B31),IF(Q$27="kg/t DM",((Q$28*($B$28/100))*$B31),IF(Q$27="mg/kg SAR",((Q$28*0.001)*$B31),IF(Q$27="mg/kg DM",(((Q$28*0.001)*($B$28/100))*$B31),0)))))))*2.5</f>
        <v>195.330465</v>
      </c>
      <c r="R31" s="77">
        <f>IF(R$27="%w/w SAR",((R$28*10)*$B31),IF(R$27="%w/w DM",(((R$28*10)*($B$28/100))*$B31),IF(R$27="kg/t SAR",(R$28*$B31),IF(R$27="kg/t DM",((R$28*($B$28/100))*$B31),IF(R$27="mg/kg SAR",((R$28*0.001)*$B31),IF(R$27="mg/kg DM",(((R$28*0.001)*($B$28/100))*$B31),0))))))</f>
        <v>6.4493549999999997E-2</v>
      </c>
      <c r="S31" s="77">
        <f>IF(S$27="%w/w SAR",((S$28*10)*$B31),IF(S$27="%w/w DM",(((S$28*10)*($B$28/100))*$B31),IF(S$27="kg/t SAR",(S$28*$B31),IF(S$27="kg/t DM",((S$28*($B$28/100))*$B31),IF(S$27="mg/kg SAR",((S$28*0.001)*$B31),IF(S$27="mg/kg DM",(((S$28*0.001)*($B$28/100))*$B31),0))))))</f>
        <v>2.7247274999999998E-2</v>
      </c>
      <c r="T31" s="77">
        <f>IF(T$27="%w/w SAR",((T$28*10)*$B31),IF(T$27="%w/w DM",(((T$28*10)*($B$28/100))*$B31),IF(T$27="kg/t SAR",(T$28*$B31),IF(T$27="kg/t DM",((T$28*($B$28/100))*$B31),IF(T$27="mg/kg SAR",((T$28*0.001)*$B31),IF(T$27="mg/kg DM",(((T$28*0.001)*($B$28/100))*$B31),0))))))</f>
        <v>2.2397760000000003E-2</v>
      </c>
      <c r="U31" s="77">
        <f>IF(U$27="%w/w SAR",((U$28*10)*$B31),IF(U$27="%w/w DM",(((U$28*10)*($B$28/100))*$B31),IF(U$27="kg/t SAR",(U$28*$B31),IF(U$27="kg/t DM",((U$28*($B$28/100))*$B31),IF(U$27="mg/kg SAR",((U$28*0.001)*$B31),IF(U$27="mg/kg DM",(((U$28*0.001)*($B$28/100))*$B31),0))))))</f>
        <v>2.9547045000000001</v>
      </c>
      <c r="AB31" s="59"/>
      <c r="AC31" s="59"/>
      <c r="AD31" s="59"/>
      <c r="AE31" s="59"/>
      <c r="AF31" s="59"/>
      <c r="AG31" s="59"/>
      <c r="AH31" s="59"/>
      <c r="AI31" s="59"/>
    </row>
    <row r="32" spans="1:40" s="72" customFormat="1" x14ac:dyDescent="0.25">
      <c r="A32" s="13">
        <f>D8</f>
        <v>2</v>
      </c>
      <c r="B32" s="15">
        <v>5.5</v>
      </c>
      <c r="C32" s="77">
        <f t="shared" ref="C32:C50" si="6">IF(C$27="%w/w SAR",((C$28*10)*$B32),IF(C$27="%w/w DM",(((C$28*10)*($B$28/100))*$B32),IF(C$27="kg/t SAR",(C$28*$B32),IF(C$27="kg/t DM",((C$28*($B$28/100))*$B32),IF(C$27="mg/kg SAR",((C$28*0.001)*$B32),IF(C$27="mg/kg DM",(((C$28*0.001)*($B$28/100))*$B32),0))))))</f>
        <v>1.4998499999999999</v>
      </c>
      <c r="D32" s="77">
        <f t="shared" ref="D32:D50" si="7">(IF(D$27="%w/w SAR",((D$28*10)*$B32),IF(D$27="%w/w DM",(((D$28*10)*($B$28/100))*$B32),IF(D$27="kg/t SAR",(D$28*$B32),IF(D$27="kg/t DM",((D$28*($B$28/100))*$B32),IF(D$27="mg/kg SAR",((D$28*0.001)*$B32),IF(D$27="mg/kg DM",(((D$28*0.001)*($B$28/100))*$B32),"0")))))))*2.291</f>
        <v>5.1771422340000006</v>
      </c>
      <c r="E32" s="77">
        <f t="shared" ref="E32:E50" si="8">(IF(E$27="%w/w SAR",((E$28*10)*$B32),IF(E$27="%w/w DM",(((E$28*10)*($B$28/100))*$B32),IF(E$27="kg/t SAR",(E$28*$B32),IF(E$27="kg/t DM",((E$28*($B$28/100))*$B32),IF(E$27="mg/kg SAR",((E$28*0.001)*$B32),IF(E$27="mg/kg DM",(((E$28*0.001)*($B$28/100))*$B32),"0")))))))*1.205</f>
        <v>249.51849565500001</v>
      </c>
      <c r="F32" s="77">
        <f t="shared" ref="F32:F50" si="9">(IF(F$27="%w/w SAR",((F$28*10)*$B32),IF(F$27="%w/w DM",(((F$28*10)*($B$28/100))*$B32),IF(F$27="kg/t SAR",(F$28*$B32),IF(F$27="kg/t DM",((F$28*($B$28/100))*$B32),IF(F$27="mg/kg SAR",((F$28*0.001)*$B32),IF(F$27="mg/kg DM",(((F$28*0.001)*($B$28/100))*$B32),"0")))))))*1.658</f>
        <v>35.635146129000006</v>
      </c>
      <c r="G32" s="77">
        <f t="shared" si="5"/>
        <v>0.37546245</v>
      </c>
      <c r="H32" s="77">
        <f t="shared" si="5"/>
        <v>0.90990899999999997</v>
      </c>
      <c r="I32" s="77">
        <f t="shared" si="5"/>
        <v>1.0548945000000001</v>
      </c>
      <c r="J32" s="77">
        <f t="shared" si="5"/>
        <v>0.11348865000000001</v>
      </c>
      <c r="K32" s="77">
        <f t="shared" si="5"/>
        <v>4.9995000000000009E-4</v>
      </c>
      <c r="L32" s="77">
        <f t="shared" si="5"/>
        <v>8.0991899999999992E-2</v>
      </c>
      <c r="M32" s="77">
        <f t="shared" si="5"/>
        <v>0.16798320000000003</v>
      </c>
      <c r="N32" s="77">
        <f t="shared" si="5"/>
        <v>0</v>
      </c>
      <c r="O32" s="77">
        <f t="shared" si="5"/>
        <v>0</v>
      </c>
      <c r="P32" s="77">
        <f t="shared" si="5"/>
        <v>16.163383500000002</v>
      </c>
      <c r="Q32" s="77">
        <f t="shared" ref="Q32:Q50" si="10">(IF(Q$27="%w/w SAR",((Q$28*10)*$B32),IF(Q$27="%w/w DM",(((Q$28*10)*($B$28/100))*$B32),IF(Q$27="kg/t SAR",(Q$28*$B32),IF(Q$27="kg/t DM",((Q$28*($B$28/100))*$B32),IF(Q$27="mg/kg SAR",((Q$28*0.001)*$B32),IF(Q$27="mg/kg DM",(((Q$28*0.001)*($B$28/100))*$B32),0)))))))*2.5</f>
        <v>195.330465</v>
      </c>
      <c r="R32" s="77">
        <f t="shared" ref="R32:U50" si="11">IF(R$27="%w/w SAR",((R$28*10)*$B32),IF(R$27="%w/w DM",(((R$28*10)*($B$28/100))*$B32),IF(R$27="kg/t SAR",(R$28*$B32),IF(R$27="kg/t DM",((R$28*($B$28/100))*$B32),IF(R$27="mg/kg SAR",((R$28*0.001)*$B32),IF(R$27="mg/kg DM",(((R$28*0.001)*($B$28/100))*$B32),0))))))</f>
        <v>6.4493549999999997E-2</v>
      </c>
      <c r="S32" s="77">
        <f t="shared" si="11"/>
        <v>2.7247274999999998E-2</v>
      </c>
      <c r="T32" s="77">
        <f t="shared" si="11"/>
        <v>2.2397760000000003E-2</v>
      </c>
      <c r="U32" s="77">
        <f t="shared" si="11"/>
        <v>2.9547045000000001</v>
      </c>
      <c r="AB32" s="59"/>
      <c r="AC32" s="59"/>
      <c r="AD32" s="59"/>
      <c r="AE32" s="59"/>
      <c r="AF32" s="59"/>
      <c r="AG32" s="59"/>
      <c r="AH32" s="59"/>
      <c r="AI32" s="59"/>
    </row>
    <row r="33" spans="1:35" s="72" customFormat="1" x14ac:dyDescent="0.25">
      <c r="A33" s="13">
        <f>E8</f>
        <v>3</v>
      </c>
      <c r="B33" s="15">
        <v>2</v>
      </c>
      <c r="C33" s="77">
        <f t="shared" si="6"/>
        <v>0.5454</v>
      </c>
      <c r="D33" s="77">
        <f t="shared" si="7"/>
        <v>1.882597176</v>
      </c>
      <c r="E33" s="77">
        <f t="shared" si="8"/>
        <v>90.733998420000006</v>
      </c>
      <c r="F33" s="77">
        <f t="shared" si="9"/>
        <v>12.958234956</v>
      </c>
      <c r="G33" s="77">
        <f t="shared" si="5"/>
        <v>0.13653180000000001</v>
      </c>
      <c r="H33" s="77">
        <f t="shared" si="5"/>
        <v>0.330876</v>
      </c>
      <c r="I33" s="77">
        <f t="shared" si="5"/>
        <v>0.38359799999999999</v>
      </c>
      <c r="J33" s="77">
        <f t="shared" si="5"/>
        <v>4.1268600000000003E-2</v>
      </c>
      <c r="K33" s="77">
        <f t="shared" si="5"/>
        <v>1.8180000000000003E-4</v>
      </c>
      <c r="L33" s="77">
        <f t="shared" si="5"/>
        <v>2.9451599999999998E-2</v>
      </c>
      <c r="M33" s="77">
        <f t="shared" si="5"/>
        <v>6.1084800000000009E-2</v>
      </c>
      <c r="N33" s="77">
        <f t="shared" si="5"/>
        <v>0</v>
      </c>
      <c r="O33" s="77">
        <f t="shared" si="5"/>
        <v>0</v>
      </c>
      <c r="P33" s="77">
        <f t="shared" si="5"/>
        <v>5.8775940000000002</v>
      </c>
      <c r="Q33" s="77">
        <f t="shared" si="10"/>
        <v>71.029259999999994</v>
      </c>
      <c r="R33" s="77">
        <f t="shared" si="11"/>
        <v>2.3452199999999999E-2</v>
      </c>
      <c r="S33" s="77">
        <f t="shared" si="11"/>
        <v>9.9080999999999995E-3</v>
      </c>
      <c r="T33" s="77">
        <f t="shared" si="11"/>
        <v>8.1446400000000016E-3</v>
      </c>
      <c r="U33" s="77">
        <f t="shared" si="11"/>
        <v>1.074438</v>
      </c>
      <c r="AB33" s="59"/>
      <c r="AC33" s="59"/>
      <c r="AD33" s="59"/>
      <c r="AE33" s="59"/>
      <c r="AF33" s="59"/>
      <c r="AG33" s="59"/>
      <c r="AH33" s="59"/>
      <c r="AI33" s="59"/>
    </row>
    <row r="34" spans="1:35" s="72" customFormat="1" x14ac:dyDescent="0.25">
      <c r="A34" s="13">
        <f>F8</f>
        <v>4</v>
      </c>
      <c r="B34" s="15">
        <v>5.5</v>
      </c>
      <c r="C34" s="77">
        <f t="shared" si="6"/>
        <v>1.4998499999999999</v>
      </c>
      <c r="D34" s="77">
        <f t="shared" si="7"/>
        <v>5.1771422340000006</v>
      </c>
      <c r="E34" s="77">
        <f t="shared" si="8"/>
        <v>249.51849565500001</v>
      </c>
      <c r="F34" s="77">
        <f t="shared" si="9"/>
        <v>35.635146129000006</v>
      </c>
      <c r="G34" s="77">
        <f t="shared" si="5"/>
        <v>0.37546245</v>
      </c>
      <c r="H34" s="77">
        <f t="shared" si="5"/>
        <v>0.90990899999999997</v>
      </c>
      <c r="I34" s="77">
        <f t="shared" si="5"/>
        <v>1.0548945000000001</v>
      </c>
      <c r="J34" s="77">
        <f t="shared" si="5"/>
        <v>0.11348865000000001</v>
      </c>
      <c r="K34" s="77">
        <f t="shared" si="5"/>
        <v>4.9995000000000009E-4</v>
      </c>
      <c r="L34" s="77">
        <f t="shared" si="5"/>
        <v>8.0991899999999992E-2</v>
      </c>
      <c r="M34" s="77">
        <f t="shared" si="5"/>
        <v>0.16798320000000003</v>
      </c>
      <c r="N34" s="77">
        <f t="shared" si="5"/>
        <v>0</v>
      </c>
      <c r="O34" s="77">
        <f t="shared" si="5"/>
        <v>0</v>
      </c>
      <c r="P34" s="77">
        <f t="shared" si="5"/>
        <v>16.163383500000002</v>
      </c>
      <c r="Q34" s="77">
        <f t="shared" si="10"/>
        <v>195.330465</v>
      </c>
      <c r="R34" s="77">
        <f t="shared" si="11"/>
        <v>6.4493549999999997E-2</v>
      </c>
      <c r="S34" s="77">
        <f t="shared" si="11"/>
        <v>2.7247274999999998E-2</v>
      </c>
      <c r="T34" s="77">
        <f t="shared" si="11"/>
        <v>2.2397760000000003E-2</v>
      </c>
      <c r="U34" s="77">
        <f t="shared" si="11"/>
        <v>2.9547045000000001</v>
      </c>
      <c r="AB34" s="59"/>
      <c r="AC34" s="59"/>
      <c r="AD34" s="59"/>
      <c r="AE34" s="59"/>
      <c r="AF34" s="59"/>
      <c r="AG34" s="59"/>
      <c r="AH34" s="59"/>
      <c r="AI34" s="59"/>
    </row>
    <row r="35" spans="1:35" s="72" customFormat="1" x14ac:dyDescent="0.25">
      <c r="A35" s="13">
        <f>G8</f>
        <v>5</v>
      </c>
      <c r="B35" s="15">
        <v>2</v>
      </c>
      <c r="C35" s="77">
        <f t="shared" si="6"/>
        <v>0.5454</v>
      </c>
      <c r="D35" s="77">
        <f t="shared" si="7"/>
        <v>1.882597176</v>
      </c>
      <c r="E35" s="77">
        <f t="shared" si="8"/>
        <v>90.733998420000006</v>
      </c>
      <c r="F35" s="77">
        <f t="shared" si="9"/>
        <v>12.958234956</v>
      </c>
      <c r="G35" s="77">
        <f t="shared" si="5"/>
        <v>0.13653180000000001</v>
      </c>
      <c r="H35" s="77">
        <f t="shared" si="5"/>
        <v>0.330876</v>
      </c>
      <c r="I35" s="77">
        <f t="shared" si="5"/>
        <v>0.38359799999999999</v>
      </c>
      <c r="J35" s="77">
        <f t="shared" si="5"/>
        <v>4.1268600000000003E-2</v>
      </c>
      <c r="K35" s="77">
        <f t="shared" si="5"/>
        <v>1.8180000000000003E-4</v>
      </c>
      <c r="L35" s="77">
        <f t="shared" si="5"/>
        <v>2.9451599999999998E-2</v>
      </c>
      <c r="M35" s="77">
        <f t="shared" si="5"/>
        <v>6.1084800000000009E-2</v>
      </c>
      <c r="N35" s="77">
        <f t="shared" si="5"/>
        <v>0</v>
      </c>
      <c r="O35" s="77">
        <f t="shared" si="5"/>
        <v>0</v>
      </c>
      <c r="P35" s="77">
        <f t="shared" si="5"/>
        <v>5.8775940000000002</v>
      </c>
      <c r="Q35" s="77">
        <f t="shared" si="10"/>
        <v>71.029259999999994</v>
      </c>
      <c r="R35" s="77">
        <f t="shared" si="11"/>
        <v>2.3452199999999999E-2</v>
      </c>
      <c r="S35" s="77">
        <f t="shared" si="11"/>
        <v>9.9080999999999995E-3</v>
      </c>
      <c r="T35" s="77">
        <f t="shared" si="11"/>
        <v>8.1446400000000016E-3</v>
      </c>
      <c r="U35" s="77">
        <f t="shared" si="11"/>
        <v>1.074438</v>
      </c>
      <c r="AB35" s="59"/>
      <c r="AC35" s="59"/>
      <c r="AD35" s="59"/>
      <c r="AE35" s="59"/>
      <c r="AF35" s="59"/>
      <c r="AG35" s="59"/>
      <c r="AH35" s="59"/>
      <c r="AI35" s="59"/>
    </row>
    <row r="36" spans="1:35" s="72" customFormat="1" x14ac:dyDescent="0.25">
      <c r="A36" s="13">
        <f>H8</f>
        <v>6</v>
      </c>
      <c r="B36" s="15">
        <v>2</v>
      </c>
      <c r="C36" s="77">
        <f t="shared" si="6"/>
        <v>0.5454</v>
      </c>
      <c r="D36" s="77">
        <f t="shared" si="7"/>
        <v>1.882597176</v>
      </c>
      <c r="E36" s="77">
        <f t="shared" si="8"/>
        <v>90.733998420000006</v>
      </c>
      <c r="F36" s="77">
        <f t="shared" si="9"/>
        <v>12.958234956</v>
      </c>
      <c r="G36" s="77">
        <f t="shared" si="5"/>
        <v>0.13653180000000001</v>
      </c>
      <c r="H36" s="77">
        <f t="shared" si="5"/>
        <v>0.330876</v>
      </c>
      <c r="I36" s="77">
        <f t="shared" si="5"/>
        <v>0.38359799999999999</v>
      </c>
      <c r="J36" s="77">
        <f t="shared" si="5"/>
        <v>4.1268600000000003E-2</v>
      </c>
      <c r="K36" s="77">
        <f t="shared" si="5"/>
        <v>1.8180000000000003E-4</v>
      </c>
      <c r="L36" s="77">
        <f t="shared" si="5"/>
        <v>2.9451599999999998E-2</v>
      </c>
      <c r="M36" s="77">
        <f t="shared" si="5"/>
        <v>6.1084800000000009E-2</v>
      </c>
      <c r="N36" s="77">
        <f t="shared" si="5"/>
        <v>0</v>
      </c>
      <c r="O36" s="77">
        <f t="shared" si="5"/>
        <v>0</v>
      </c>
      <c r="P36" s="77">
        <f t="shared" si="5"/>
        <v>5.8775940000000002</v>
      </c>
      <c r="Q36" s="77">
        <f t="shared" si="10"/>
        <v>71.029259999999994</v>
      </c>
      <c r="R36" s="77">
        <f t="shared" si="11"/>
        <v>2.3452199999999999E-2</v>
      </c>
      <c r="S36" s="77">
        <f t="shared" si="11"/>
        <v>9.9080999999999995E-3</v>
      </c>
      <c r="T36" s="77">
        <f t="shared" si="11"/>
        <v>8.1446400000000016E-3</v>
      </c>
      <c r="U36" s="77">
        <f t="shared" si="11"/>
        <v>1.074438</v>
      </c>
      <c r="AB36" s="59"/>
      <c r="AC36" s="59"/>
      <c r="AD36" s="59"/>
      <c r="AE36" s="59"/>
      <c r="AF36" s="59"/>
      <c r="AG36" s="59"/>
      <c r="AH36" s="59"/>
      <c r="AI36" s="59"/>
    </row>
    <row r="37" spans="1:35" s="72" customFormat="1" x14ac:dyDescent="0.25">
      <c r="A37" s="13">
        <f>I8</f>
        <v>7</v>
      </c>
      <c r="B37" s="15">
        <v>2</v>
      </c>
      <c r="C37" s="77">
        <f t="shared" si="6"/>
        <v>0.5454</v>
      </c>
      <c r="D37" s="77">
        <f t="shared" si="7"/>
        <v>1.882597176</v>
      </c>
      <c r="E37" s="77">
        <f t="shared" si="8"/>
        <v>90.733998420000006</v>
      </c>
      <c r="F37" s="77">
        <f t="shared" si="9"/>
        <v>12.958234956</v>
      </c>
      <c r="G37" s="77">
        <f t="shared" si="5"/>
        <v>0.13653180000000001</v>
      </c>
      <c r="H37" s="77">
        <f t="shared" si="5"/>
        <v>0.330876</v>
      </c>
      <c r="I37" s="77">
        <f t="shared" si="5"/>
        <v>0.38359799999999999</v>
      </c>
      <c r="J37" s="77">
        <f t="shared" si="5"/>
        <v>4.1268600000000003E-2</v>
      </c>
      <c r="K37" s="77">
        <f t="shared" si="5"/>
        <v>1.8180000000000003E-4</v>
      </c>
      <c r="L37" s="77">
        <f t="shared" si="5"/>
        <v>2.9451599999999998E-2</v>
      </c>
      <c r="M37" s="77">
        <f t="shared" si="5"/>
        <v>6.1084800000000009E-2</v>
      </c>
      <c r="N37" s="77">
        <f t="shared" si="5"/>
        <v>0</v>
      </c>
      <c r="O37" s="77">
        <f t="shared" si="5"/>
        <v>0</v>
      </c>
      <c r="P37" s="77">
        <f t="shared" si="5"/>
        <v>5.8775940000000002</v>
      </c>
      <c r="Q37" s="77">
        <f t="shared" si="10"/>
        <v>71.029259999999994</v>
      </c>
      <c r="R37" s="77">
        <f t="shared" si="11"/>
        <v>2.3452199999999999E-2</v>
      </c>
      <c r="S37" s="77">
        <f t="shared" si="11"/>
        <v>9.9080999999999995E-3</v>
      </c>
      <c r="T37" s="77">
        <f t="shared" si="11"/>
        <v>8.1446400000000016E-3</v>
      </c>
      <c r="U37" s="77">
        <f t="shared" si="11"/>
        <v>1.074438</v>
      </c>
      <c r="AB37" s="59"/>
      <c r="AC37" s="59"/>
      <c r="AD37" s="59"/>
      <c r="AE37" s="59"/>
      <c r="AF37" s="59"/>
      <c r="AG37" s="59"/>
      <c r="AH37" s="59"/>
      <c r="AI37" s="59"/>
    </row>
    <row r="38" spans="1:35" s="72" customFormat="1" x14ac:dyDescent="0.25">
      <c r="A38" s="13">
        <f>J8</f>
        <v>8</v>
      </c>
      <c r="B38" s="15">
        <v>5.5</v>
      </c>
      <c r="C38" s="77">
        <f t="shared" si="6"/>
        <v>1.4998499999999999</v>
      </c>
      <c r="D38" s="77">
        <f t="shared" si="7"/>
        <v>5.1771422340000006</v>
      </c>
      <c r="E38" s="77">
        <f t="shared" si="8"/>
        <v>249.51849565500001</v>
      </c>
      <c r="F38" s="77">
        <f t="shared" si="9"/>
        <v>35.635146129000006</v>
      </c>
      <c r="G38" s="77">
        <f t="shared" si="5"/>
        <v>0.37546245</v>
      </c>
      <c r="H38" s="77">
        <f t="shared" si="5"/>
        <v>0.90990899999999997</v>
      </c>
      <c r="I38" s="77">
        <f t="shared" si="5"/>
        <v>1.0548945000000001</v>
      </c>
      <c r="J38" s="77">
        <f t="shared" si="5"/>
        <v>0.11348865000000001</v>
      </c>
      <c r="K38" s="77">
        <f t="shared" si="5"/>
        <v>4.9995000000000009E-4</v>
      </c>
      <c r="L38" s="77">
        <f t="shared" si="5"/>
        <v>8.0991899999999992E-2</v>
      </c>
      <c r="M38" s="77">
        <f t="shared" si="5"/>
        <v>0.16798320000000003</v>
      </c>
      <c r="N38" s="77">
        <f t="shared" si="5"/>
        <v>0</v>
      </c>
      <c r="O38" s="77">
        <f t="shared" si="5"/>
        <v>0</v>
      </c>
      <c r="P38" s="77">
        <f t="shared" si="5"/>
        <v>16.163383500000002</v>
      </c>
      <c r="Q38" s="77">
        <f t="shared" si="10"/>
        <v>195.330465</v>
      </c>
      <c r="R38" s="77">
        <f t="shared" si="11"/>
        <v>6.4493549999999997E-2</v>
      </c>
      <c r="S38" s="77">
        <f t="shared" si="11"/>
        <v>2.7247274999999998E-2</v>
      </c>
      <c r="T38" s="77">
        <f t="shared" si="11"/>
        <v>2.2397760000000003E-2</v>
      </c>
      <c r="U38" s="77">
        <f t="shared" si="11"/>
        <v>2.9547045000000001</v>
      </c>
      <c r="AB38" s="59"/>
      <c r="AC38" s="59"/>
      <c r="AD38" s="59"/>
      <c r="AE38" s="59"/>
      <c r="AF38" s="59"/>
      <c r="AG38" s="59"/>
      <c r="AH38" s="59"/>
      <c r="AI38" s="59"/>
    </row>
    <row r="39" spans="1:35" s="72" customFormat="1" x14ac:dyDescent="0.25">
      <c r="A39" s="13">
        <f>K8</f>
        <v>9</v>
      </c>
      <c r="B39" s="15">
        <v>5.5</v>
      </c>
      <c r="C39" s="77">
        <f t="shared" si="6"/>
        <v>1.4998499999999999</v>
      </c>
      <c r="D39" s="77">
        <f t="shared" si="7"/>
        <v>5.1771422340000006</v>
      </c>
      <c r="E39" s="77">
        <f t="shared" si="8"/>
        <v>249.51849565500001</v>
      </c>
      <c r="F39" s="77">
        <f t="shared" si="9"/>
        <v>35.635146129000006</v>
      </c>
      <c r="G39" s="77">
        <f t="shared" si="5"/>
        <v>0.37546245</v>
      </c>
      <c r="H39" s="77">
        <f t="shared" si="5"/>
        <v>0.90990899999999997</v>
      </c>
      <c r="I39" s="77">
        <f t="shared" si="5"/>
        <v>1.0548945000000001</v>
      </c>
      <c r="J39" s="77">
        <f t="shared" si="5"/>
        <v>0.11348865000000001</v>
      </c>
      <c r="K39" s="77">
        <f t="shared" si="5"/>
        <v>4.9995000000000009E-4</v>
      </c>
      <c r="L39" s="77">
        <f t="shared" si="5"/>
        <v>8.0991899999999992E-2</v>
      </c>
      <c r="M39" s="77">
        <f t="shared" si="5"/>
        <v>0.16798320000000003</v>
      </c>
      <c r="N39" s="77">
        <f t="shared" si="5"/>
        <v>0</v>
      </c>
      <c r="O39" s="77">
        <f t="shared" si="5"/>
        <v>0</v>
      </c>
      <c r="P39" s="77">
        <f t="shared" si="5"/>
        <v>16.163383500000002</v>
      </c>
      <c r="Q39" s="77">
        <f t="shared" si="10"/>
        <v>195.330465</v>
      </c>
      <c r="R39" s="77">
        <f t="shared" si="11"/>
        <v>6.4493549999999997E-2</v>
      </c>
      <c r="S39" s="77">
        <f t="shared" si="11"/>
        <v>2.7247274999999998E-2</v>
      </c>
      <c r="T39" s="77">
        <f t="shared" si="11"/>
        <v>2.2397760000000003E-2</v>
      </c>
      <c r="U39" s="77">
        <f t="shared" si="11"/>
        <v>2.9547045000000001</v>
      </c>
      <c r="AB39" s="59"/>
      <c r="AC39" s="59"/>
      <c r="AD39" s="59"/>
      <c r="AE39" s="59"/>
      <c r="AF39" s="59"/>
      <c r="AG39" s="59"/>
      <c r="AH39" s="59"/>
      <c r="AI39" s="59"/>
    </row>
    <row r="40" spans="1:35" s="72" customFormat="1" x14ac:dyDescent="0.25">
      <c r="A40" s="13">
        <f>L8</f>
        <v>10</v>
      </c>
      <c r="B40" s="15">
        <v>5.5</v>
      </c>
      <c r="C40" s="77">
        <f t="shared" si="6"/>
        <v>1.4998499999999999</v>
      </c>
      <c r="D40" s="77">
        <f t="shared" si="7"/>
        <v>5.1771422340000006</v>
      </c>
      <c r="E40" s="77">
        <f t="shared" si="8"/>
        <v>249.51849565500001</v>
      </c>
      <c r="F40" s="77">
        <f t="shared" si="9"/>
        <v>35.635146129000006</v>
      </c>
      <c r="G40" s="77">
        <f t="shared" si="5"/>
        <v>0.37546245</v>
      </c>
      <c r="H40" s="77">
        <f t="shared" si="5"/>
        <v>0.90990899999999997</v>
      </c>
      <c r="I40" s="77">
        <f t="shared" si="5"/>
        <v>1.0548945000000001</v>
      </c>
      <c r="J40" s="77">
        <f t="shared" si="5"/>
        <v>0.11348865000000001</v>
      </c>
      <c r="K40" s="77">
        <f t="shared" si="5"/>
        <v>4.9995000000000009E-4</v>
      </c>
      <c r="L40" s="77">
        <f t="shared" si="5"/>
        <v>8.0991899999999992E-2</v>
      </c>
      <c r="M40" s="77">
        <f t="shared" si="5"/>
        <v>0.16798320000000003</v>
      </c>
      <c r="N40" s="77">
        <f t="shared" si="5"/>
        <v>0</v>
      </c>
      <c r="O40" s="77">
        <f t="shared" si="5"/>
        <v>0</v>
      </c>
      <c r="P40" s="77">
        <f t="shared" si="5"/>
        <v>16.163383500000002</v>
      </c>
      <c r="Q40" s="77">
        <f t="shared" si="10"/>
        <v>195.330465</v>
      </c>
      <c r="R40" s="77">
        <f t="shared" si="11"/>
        <v>6.4493549999999997E-2</v>
      </c>
      <c r="S40" s="77">
        <f t="shared" si="11"/>
        <v>2.7247274999999998E-2</v>
      </c>
      <c r="T40" s="77">
        <f t="shared" si="11"/>
        <v>2.2397760000000003E-2</v>
      </c>
      <c r="U40" s="77">
        <f t="shared" si="11"/>
        <v>2.9547045000000001</v>
      </c>
      <c r="AB40" s="59"/>
      <c r="AC40" s="59"/>
      <c r="AD40" s="59"/>
      <c r="AE40" s="59"/>
      <c r="AF40" s="59"/>
      <c r="AG40" s="59"/>
      <c r="AH40" s="59"/>
      <c r="AI40" s="59"/>
    </row>
    <row r="41" spans="1:35" s="72" customFormat="1" x14ac:dyDescent="0.25">
      <c r="A41" s="13">
        <f>M8</f>
        <v>11</v>
      </c>
      <c r="B41" s="15">
        <v>5.5</v>
      </c>
      <c r="C41" s="77">
        <f t="shared" si="6"/>
        <v>1.4998499999999999</v>
      </c>
      <c r="D41" s="77">
        <f t="shared" si="7"/>
        <v>5.1771422340000006</v>
      </c>
      <c r="E41" s="77">
        <f t="shared" si="8"/>
        <v>249.51849565500001</v>
      </c>
      <c r="F41" s="77">
        <f t="shared" si="9"/>
        <v>35.635146129000006</v>
      </c>
      <c r="G41" s="77">
        <f t="shared" si="5"/>
        <v>0.37546245</v>
      </c>
      <c r="H41" s="77">
        <f t="shared" si="5"/>
        <v>0.90990899999999997</v>
      </c>
      <c r="I41" s="77">
        <f t="shared" si="5"/>
        <v>1.0548945000000001</v>
      </c>
      <c r="J41" s="77">
        <f t="shared" si="5"/>
        <v>0.11348865000000001</v>
      </c>
      <c r="K41" s="77">
        <f t="shared" si="5"/>
        <v>4.9995000000000009E-4</v>
      </c>
      <c r="L41" s="77">
        <f t="shared" si="5"/>
        <v>8.0991899999999992E-2</v>
      </c>
      <c r="M41" s="77">
        <f t="shared" si="5"/>
        <v>0.16798320000000003</v>
      </c>
      <c r="N41" s="77">
        <f t="shared" si="5"/>
        <v>0</v>
      </c>
      <c r="O41" s="77">
        <f t="shared" si="5"/>
        <v>0</v>
      </c>
      <c r="P41" s="77">
        <f t="shared" si="5"/>
        <v>16.163383500000002</v>
      </c>
      <c r="Q41" s="77">
        <f t="shared" si="10"/>
        <v>195.330465</v>
      </c>
      <c r="R41" s="77">
        <f t="shared" si="11"/>
        <v>6.4493549999999997E-2</v>
      </c>
      <c r="S41" s="77">
        <f t="shared" si="11"/>
        <v>2.7247274999999998E-2</v>
      </c>
      <c r="T41" s="77">
        <f t="shared" si="11"/>
        <v>2.2397760000000003E-2</v>
      </c>
      <c r="U41" s="77">
        <f t="shared" si="11"/>
        <v>2.9547045000000001</v>
      </c>
      <c r="AB41" s="59"/>
      <c r="AC41" s="59"/>
      <c r="AD41" s="59"/>
      <c r="AE41" s="59"/>
      <c r="AF41" s="59"/>
      <c r="AG41" s="59"/>
      <c r="AH41" s="59"/>
      <c r="AI41" s="59"/>
    </row>
    <row r="42" spans="1:35" s="72" customFormat="1" x14ac:dyDescent="0.25">
      <c r="A42" s="13">
        <f>N8</f>
        <v>12</v>
      </c>
      <c r="B42" s="15">
        <v>5.5</v>
      </c>
      <c r="C42" s="77">
        <f t="shared" si="6"/>
        <v>1.4998499999999999</v>
      </c>
      <c r="D42" s="77">
        <f t="shared" si="7"/>
        <v>5.1771422340000006</v>
      </c>
      <c r="E42" s="77">
        <f t="shared" si="8"/>
        <v>249.51849565500001</v>
      </c>
      <c r="F42" s="77">
        <f t="shared" si="9"/>
        <v>35.635146129000006</v>
      </c>
      <c r="G42" s="77">
        <f t="shared" si="5"/>
        <v>0.37546245</v>
      </c>
      <c r="H42" s="77">
        <f t="shared" si="5"/>
        <v>0.90990899999999997</v>
      </c>
      <c r="I42" s="77">
        <f t="shared" si="5"/>
        <v>1.0548945000000001</v>
      </c>
      <c r="J42" s="77">
        <f t="shared" si="5"/>
        <v>0.11348865000000001</v>
      </c>
      <c r="K42" s="77">
        <f t="shared" si="5"/>
        <v>4.9995000000000009E-4</v>
      </c>
      <c r="L42" s="77">
        <f t="shared" si="5"/>
        <v>8.0991899999999992E-2</v>
      </c>
      <c r="M42" s="77">
        <f t="shared" si="5"/>
        <v>0.16798320000000003</v>
      </c>
      <c r="N42" s="77">
        <f t="shared" si="5"/>
        <v>0</v>
      </c>
      <c r="O42" s="77">
        <f t="shared" si="5"/>
        <v>0</v>
      </c>
      <c r="P42" s="77">
        <f t="shared" si="5"/>
        <v>16.163383500000002</v>
      </c>
      <c r="Q42" s="77">
        <f t="shared" si="10"/>
        <v>195.330465</v>
      </c>
      <c r="R42" s="77">
        <f t="shared" si="11"/>
        <v>6.4493549999999997E-2</v>
      </c>
      <c r="S42" s="77">
        <f t="shared" si="11"/>
        <v>2.7247274999999998E-2</v>
      </c>
      <c r="T42" s="77">
        <f t="shared" si="11"/>
        <v>2.2397760000000003E-2</v>
      </c>
      <c r="U42" s="77">
        <f t="shared" si="11"/>
        <v>2.9547045000000001</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v>90.9</v>
      </c>
      <c r="C55" s="115">
        <v>45.8</v>
      </c>
      <c r="D55" s="116">
        <f>(B55/100)*C55</f>
        <v>41.632199999999997</v>
      </c>
      <c r="E55" s="116">
        <f>G55</f>
        <v>74.174399999999991</v>
      </c>
      <c r="F55" s="115">
        <v>81.599999999999994</v>
      </c>
      <c r="G55" s="116">
        <f>(B55/100)*F55</f>
        <v>74.174399999999991</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str">
        <f>L16&amp;" I "&amp;(VLOOKUP(L14,Table245811[],6,FALSE))</f>
        <v>Sandy Loam I Grass</v>
      </c>
      <c r="L58" s="13" t="str">
        <f>M16&amp;" I "&amp;(VLOOKUP(M14,Table245811[],6,FALSE))</f>
        <v>Sandy Loam I Grass</v>
      </c>
      <c r="M58" s="13" t="str">
        <f>N16&amp;" I "&amp;(VLOOKUP(N14,Table245811[],6,FALSE))</f>
        <v>Sandy Loam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0" t="s">
        <v>133</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5.5</v>
      </c>
      <c r="C62" s="77">
        <f>B32</f>
        <v>5.5</v>
      </c>
      <c r="D62" s="77">
        <f>B33</f>
        <v>2</v>
      </c>
      <c r="E62" s="77">
        <f>B34</f>
        <v>5.5</v>
      </c>
      <c r="F62" s="77">
        <f>B35</f>
        <v>2</v>
      </c>
      <c r="G62" s="77">
        <f>B36</f>
        <v>2</v>
      </c>
      <c r="H62" s="77">
        <f>B37</f>
        <v>2</v>
      </c>
      <c r="I62" s="77">
        <f>B38</f>
        <v>5.5</v>
      </c>
      <c r="J62" s="77">
        <f>B39</f>
        <v>5.5</v>
      </c>
      <c r="K62" s="77">
        <f>B40</f>
        <v>5.5</v>
      </c>
      <c r="L62" s="77">
        <f>B41</f>
        <v>5.5</v>
      </c>
      <c r="M62" s="77">
        <f>B42</f>
        <v>5.5</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4.0795919999999999</v>
      </c>
      <c r="C63" s="77">
        <f t="shared" ref="C63:U63" si="16">$E55*(C62/100)</f>
        <v>4.0795919999999999</v>
      </c>
      <c r="D63" s="77">
        <f t="shared" si="16"/>
        <v>1.4834879999999999</v>
      </c>
      <c r="E63" s="77">
        <f t="shared" si="16"/>
        <v>4.0795919999999999</v>
      </c>
      <c r="F63" s="77">
        <f>$E55*(F62/100)</f>
        <v>1.4834879999999999</v>
      </c>
      <c r="G63" s="77">
        <f t="shared" si="16"/>
        <v>1.4834879999999999</v>
      </c>
      <c r="H63" s="77">
        <f t="shared" si="16"/>
        <v>1.4834879999999999</v>
      </c>
      <c r="I63" s="77">
        <f t="shared" si="16"/>
        <v>4.0795919999999999</v>
      </c>
      <c r="J63" s="77">
        <f t="shared" si="16"/>
        <v>4.0795919999999999</v>
      </c>
      <c r="K63" s="77">
        <f t="shared" si="16"/>
        <v>4.0795919999999999</v>
      </c>
      <c r="L63" s="77">
        <f t="shared" si="16"/>
        <v>4.0795919999999999</v>
      </c>
      <c r="M63" s="77">
        <f t="shared" si="16"/>
        <v>4.0795919999999999</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7.9592000000000773E-2</v>
      </c>
      <c r="C65" s="77">
        <f t="shared" ref="C65:U65" si="18">C63-C64</f>
        <v>0.579591999999999</v>
      </c>
      <c r="D65" s="77">
        <f t="shared" si="18"/>
        <v>3.4834879999999973</v>
      </c>
      <c r="E65" s="77">
        <f t="shared" si="18"/>
        <v>0.579591999999999</v>
      </c>
      <c r="F65" s="77">
        <f t="shared" si="18"/>
        <v>1.9834879999999981</v>
      </c>
      <c r="G65" s="77">
        <f t="shared" si="18"/>
        <v>-1.5165120000000027</v>
      </c>
      <c r="H65" s="77">
        <f t="shared" si="18"/>
        <v>1.9834879999999981</v>
      </c>
      <c r="I65" s="77">
        <f t="shared" si="18"/>
        <v>0.579591999999999</v>
      </c>
      <c r="J65" s="77">
        <f t="shared" si="18"/>
        <v>1.0795919999999972</v>
      </c>
      <c r="K65" s="77">
        <f t="shared" si="18"/>
        <v>1.0795919999999972</v>
      </c>
      <c r="L65" s="77">
        <f t="shared" si="18"/>
        <v>2.0795919999999981</v>
      </c>
      <c r="M65" s="77">
        <f t="shared" si="18"/>
        <v>3.079591999999999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OVER</v>
      </c>
      <c r="C66" s="78" t="str">
        <f t="shared" ref="C66:U66" si="19">IF(C64&lt;=C63,"OVER","UNDER")</f>
        <v>OVER</v>
      </c>
      <c r="D66" s="78" t="str">
        <f t="shared" si="19"/>
        <v>OVER</v>
      </c>
      <c r="E66" s="78" t="str">
        <f t="shared" si="19"/>
        <v>OVER</v>
      </c>
      <c r="F66" s="78" t="str">
        <f t="shared" si="19"/>
        <v>OVER</v>
      </c>
      <c r="G66" s="78" t="str">
        <f t="shared" si="19"/>
        <v>UNDER</v>
      </c>
      <c r="H66" s="78" t="str">
        <f t="shared" si="19"/>
        <v>OVER</v>
      </c>
      <c r="I66" s="78" t="str">
        <f t="shared" si="19"/>
        <v>OVER</v>
      </c>
      <c r="J66" s="78" t="str">
        <f t="shared" si="19"/>
        <v>OVER</v>
      </c>
      <c r="K66" s="78" t="str">
        <f t="shared" si="19"/>
        <v>OVER</v>
      </c>
      <c r="L66" s="78" t="str">
        <f t="shared" si="19"/>
        <v>OVER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2" operator="equal">
      <formula>"DECREASE"</formula>
    </cfRule>
    <cfRule type="cellIs" dxfId="334" priority="33" operator="equal">
      <formula>"INCREASE"</formula>
    </cfRule>
  </conditionalFormatting>
  <conditionalFormatting sqref="B62:U66 B31:B50">
    <cfRule type="cellIs" dxfId="333" priority="31" operator="greaterThan">
      <formula>$B$51</formula>
    </cfRule>
  </conditionalFormatting>
  <conditionalFormatting sqref="C31:C50">
    <cfRule type="cellIs" dxfId="332" priority="30" operator="greaterThan">
      <formula>$C$51</formula>
    </cfRule>
  </conditionalFormatting>
  <conditionalFormatting sqref="C18:V18">
    <cfRule type="cellIs" dxfId="331" priority="29" operator="equal">
      <formula>0</formula>
    </cfRule>
  </conditionalFormatting>
  <conditionalFormatting sqref="C17:V17">
    <cfRule type="cellIs" dxfId="330" priority="28" operator="equal">
      <formula>0</formula>
    </cfRule>
  </conditionalFormatting>
  <conditionalFormatting sqref="C19:V19">
    <cfRule type="cellIs" dxfId="329" priority="27" operator="equal">
      <formula>0</formula>
    </cfRule>
  </conditionalFormatting>
  <conditionalFormatting sqref="G31:G50">
    <cfRule type="cellIs" dxfId="328" priority="26" operator="greaterThan">
      <formula>$G$51</formula>
    </cfRule>
  </conditionalFormatting>
  <conditionalFormatting sqref="H31:H50">
    <cfRule type="cellIs" dxfId="327" priority="25" operator="greaterThan">
      <formula>$H$51</formula>
    </cfRule>
  </conditionalFormatting>
  <conditionalFormatting sqref="I31:I50">
    <cfRule type="cellIs" dxfId="326" priority="24" operator="greaterThan">
      <formula>$I$51</formula>
    </cfRule>
  </conditionalFormatting>
  <conditionalFormatting sqref="K31:K50">
    <cfRule type="cellIs" dxfId="325" priority="23" operator="greaterThan">
      <formula>$K$51</formula>
    </cfRule>
  </conditionalFormatting>
  <conditionalFormatting sqref="L31:L50">
    <cfRule type="cellIs" dxfId="324" priority="22" operator="greaterThan">
      <formula>$L$51</formula>
    </cfRule>
  </conditionalFormatting>
  <conditionalFormatting sqref="M31:M50">
    <cfRule type="cellIs" dxfId="323" priority="21" operator="greaterThan">
      <formula>$M$51</formula>
    </cfRule>
  </conditionalFormatting>
  <conditionalFormatting sqref="P31:P50">
    <cfRule type="cellIs" dxfId="322" priority="20" operator="greaterThan">
      <formula>$P$51</formula>
    </cfRule>
  </conditionalFormatting>
  <conditionalFormatting sqref="R31:R50">
    <cfRule type="cellIs" dxfId="321" priority="19" operator="greaterThan">
      <formula>$R$51</formula>
    </cfRule>
  </conditionalFormatting>
  <conditionalFormatting sqref="S31:S50">
    <cfRule type="cellIs" dxfId="320" priority="18" operator="greaterThan">
      <formula>$S$51</formula>
    </cfRule>
  </conditionalFormatting>
  <conditionalFormatting sqref="T31:T50">
    <cfRule type="cellIs" dxfId="319" priority="17" operator="greaterThan">
      <formula>$T$51</formula>
    </cfRule>
  </conditionalFormatting>
  <conditionalFormatting sqref="U31:U50">
    <cfRule type="cellIs" dxfId="318" priority="16" operator="greaterThan">
      <formula>$U$51</formula>
    </cfRule>
  </conditionalFormatting>
  <conditionalFormatting sqref="C22:V22">
    <cfRule type="cellIs" dxfId="317" priority="15" operator="equal">
      <formula>0</formula>
    </cfRule>
  </conditionalFormatting>
  <conditionalFormatting sqref="C24:V24">
    <cfRule type="cellIs" dxfId="316" priority="13" operator="equal">
      <formula>"DECREASE"</formula>
    </cfRule>
    <cfRule type="cellIs" dxfId="315" priority="14" operator="equal">
      <formula>"INCREASE"</formula>
    </cfRule>
  </conditionalFormatting>
  <conditionalFormatting sqref="C23:V23">
    <cfRule type="cellIs" dxfId="314" priority="12" operator="equal">
      <formula>0</formula>
    </cfRule>
  </conditionalFormatting>
  <conditionalFormatting sqref="I1">
    <cfRule type="cellIs" dxfId="313" priority="11" operator="lessThan">
      <formula>5</formula>
    </cfRule>
  </conditionalFormatting>
  <conditionalFormatting sqref="C21:V21">
    <cfRule type="cellIs" dxfId="312" priority="8" operator="equal">
      <formula>0</formula>
    </cfRule>
  </conditionalFormatting>
  <conditionalFormatting sqref="B66:U66">
    <cfRule type="cellIs" dxfId="311" priority="6" operator="equal">
      <formula>"UNDER"</formula>
    </cfRule>
    <cfRule type="cellIs" dxfId="310" priority="7" operator="equal">
      <formula>"OVER"</formula>
    </cfRule>
  </conditionalFormatting>
  <conditionalFormatting sqref="I2">
    <cfRule type="cellIs" dxfId="309" priority="5" operator="greaterThan">
      <formula>5000.1</formula>
    </cfRule>
  </conditionalFormatting>
  <conditionalFormatting sqref="I3">
    <cfRule type="cellIs" dxfId="308" priority="4" operator="greaterThan">
      <formula>4.1</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80" zoomScaleNormal="80" workbookViewId="0">
      <selection activeCell="C12" sqref="C1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"&amp;(VLOOKUP(C14,Table24581112[],6,FALSE))</f>
        <v>Sandy Loam I Grass</v>
      </c>
      <c r="C58" s="13" t="str">
        <f>D16&amp;" I "&amp;(VLOOKUP(D14,Table24581112[],6,FALSE))</f>
        <v>Sandy Loam I Grass</v>
      </c>
      <c r="D58" s="13" t="str">
        <f>E16&amp;" I "&amp;(VLOOKUP(E14,Table24581112[],6,FALSE))</f>
        <v>Sandy Loam I Grass</v>
      </c>
      <c r="E58" s="13" t="str">
        <f>F16&amp;" I "&amp;(VLOOKUP(F14,Table24581112[],6,FALSE))</f>
        <v>Sandy Loam I Grass</v>
      </c>
      <c r="F58" s="13" t="str">
        <f>G16&amp;" I "&amp;(VLOOKUP(G14,Table24581112[],6,FALSE))</f>
        <v>Sandy Loam I Grass</v>
      </c>
      <c r="G58" s="13" t="str">
        <f>H16&amp;" I "&amp;(VLOOKUP(H14,Table24581112[],6,FALSE))</f>
        <v>Sandy Loam I Grass</v>
      </c>
      <c r="H58" s="13" t="str">
        <f>I16&amp;" I "&amp;(VLOOKUP(I14,Table24581112[],6,FALSE))</f>
        <v>Sandy Loam I Grass</v>
      </c>
      <c r="I58" s="13" t="str">
        <f>J16&amp;" I "&amp;(VLOOKUP(J14,Table24581112[],6,FALSE))</f>
        <v>Sandy Loam I Grass</v>
      </c>
      <c r="J58" s="13" t="str">
        <f>K16&amp;" I "&amp;(VLOOKUP(K14,Table24581112[],6,FALSE))</f>
        <v>Sandy Loam I Grass</v>
      </c>
      <c r="K58" s="13" t="str">
        <f>L16&amp;" I "&amp;(VLOOKUP(L14,Table24581112[],6,FALSE))</f>
        <v>Sandy Loam I Grass</v>
      </c>
      <c r="L58" s="13" t="str">
        <f>M16&amp;" I "&amp;(VLOOKUP(M14,Table24581112[],6,FALSE))</f>
        <v>Sandy Loam I Grass</v>
      </c>
      <c r="M58" s="13" t="str">
        <f>N16&amp;" I "&amp;(VLOOKUP(N14,Table24581112[],6,FALSE))</f>
        <v>Sandy Loam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0" t="s">
        <v>133</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2" operator="equal">
      <formula>"DECREASE"</formula>
    </cfRule>
    <cfRule type="cellIs" dxfId="292" priority="33" operator="equal">
      <formula>"INCREASE"</formula>
    </cfRule>
  </conditionalFormatting>
  <conditionalFormatting sqref="B31:B50 B62:U66">
    <cfRule type="cellIs" dxfId="291" priority="31" operator="greaterThan">
      <formula>$B$51</formula>
    </cfRule>
  </conditionalFormatting>
  <conditionalFormatting sqref="C31:C50">
    <cfRule type="cellIs" dxfId="290" priority="30" operator="greaterThan">
      <formula>$C$51</formula>
    </cfRule>
  </conditionalFormatting>
  <conditionalFormatting sqref="C18:V18">
    <cfRule type="cellIs" dxfId="289" priority="29" operator="equal">
      <formula>0</formula>
    </cfRule>
  </conditionalFormatting>
  <conditionalFormatting sqref="C17:V17">
    <cfRule type="cellIs" dxfId="288" priority="28" operator="equal">
      <formula>0</formula>
    </cfRule>
  </conditionalFormatting>
  <conditionalFormatting sqref="C19:V19">
    <cfRule type="cellIs" dxfId="287" priority="27" operator="equal">
      <formula>0</formula>
    </cfRule>
  </conditionalFormatting>
  <conditionalFormatting sqref="G31:G50">
    <cfRule type="cellIs" dxfId="286" priority="26" operator="greaterThan">
      <formula>$G$51</formula>
    </cfRule>
  </conditionalFormatting>
  <conditionalFormatting sqref="H31:H50">
    <cfRule type="cellIs" dxfId="285" priority="25" operator="greaterThan">
      <formula>$H$51</formula>
    </cfRule>
  </conditionalFormatting>
  <conditionalFormatting sqref="I31:I50">
    <cfRule type="cellIs" dxfId="284" priority="24" operator="greaterThan">
      <formula>$I$51</formula>
    </cfRule>
  </conditionalFormatting>
  <conditionalFormatting sqref="K31:K50">
    <cfRule type="cellIs" dxfId="283" priority="23" operator="greaterThan">
      <formula>$K$51</formula>
    </cfRule>
  </conditionalFormatting>
  <conditionalFormatting sqref="L31:L50">
    <cfRule type="cellIs" dxfId="282" priority="22" operator="greaterThan">
      <formula>$L$51</formula>
    </cfRule>
  </conditionalFormatting>
  <conditionalFormatting sqref="M31:M50">
    <cfRule type="cellIs" dxfId="281" priority="21" operator="greaterThan">
      <formula>$M$51</formula>
    </cfRule>
  </conditionalFormatting>
  <conditionalFormatting sqref="P31:P50">
    <cfRule type="cellIs" dxfId="280" priority="20" operator="greaterThan">
      <formula>$P$51</formula>
    </cfRule>
  </conditionalFormatting>
  <conditionalFormatting sqref="R31:R50">
    <cfRule type="cellIs" dxfId="279" priority="19" operator="greaterThan">
      <formula>$R$51</formula>
    </cfRule>
  </conditionalFormatting>
  <conditionalFormatting sqref="S31:S50">
    <cfRule type="cellIs" dxfId="278" priority="18" operator="greaterThan">
      <formula>$S$51</formula>
    </cfRule>
  </conditionalFormatting>
  <conditionalFormatting sqref="T31:T50">
    <cfRule type="cellIs" dxfId="277" priority="17" operator="greaterThan">
      <formula>$T$51</formula>
    </cfRule>
  </conditionalFormatting>
  <conditionalFormatting sqref="U31:U50">
    <cfRule type="cellIs" dxfId="276" priority="16" operator="greaterThan">
      <formula>$U$51</formula>
    </cfRule>
  </conditionalFormatting>
  <conditionalFormatting sqref="C22:V22">
    <cfRule type="cellIs" dxfId="275" priority="15" operator="equal">
      <formula>0</formula>
    </cfRule>
  </conditionalFormatting>
  <conditionalFormatting sqref="C24:V24">
    <cfRule type="cellIs" dxfId="274" priority="13" operator="equal">
      <formula>"DECREASE"</formula>
    </cfRule>
    <cfRule type="cellIs" dxfId="273" priority="14" operator="equal">
      <formula>"INCREASE"</formula>
    </cfRule>
  </conditionalFormatting>
  <conditionalFormatting sqref="C23:V23">
    <cfRule type="cellIs" dxfId="272" priority="12" operator="equal">
      <formula>0</formula>
    </cfRule>
  </conditionalFormatting>
  <conditionalFormatting sqref="I1">
    <cfRule type="cellIs" dxfId="271" priority="11" operator="lessThan">
      <formula>5</formula>
    </cfRule>
  </conditionalFormatting>
  <conditionalFormatting sqref="C21:V21">
    <cfRule type="cellIs" dxfId="270" priority="8" operator="equal">
      <formula>0</formula>
    </cfRule>
  </conditionalFormatting>
  <conditionalFormatting sqref="B66:U66">
    <cfRule type="cellIs" dxfId="269" priority="6" operator="equal">
      <formula>"UNDER"</formula>
    </cfRule>
    <cfRule type="cellIs" dxfId="268" priority="7" operator="equal">
      <formula>"OVER"</formula>
    </cfRule>
  </conditionalFormatting>
  <conditionalFormatting sqref="I2">
    <cfRule type="cellIs" dxfId="267" priority="5" operator="greaterThan">
      <formula>5000.1</formula>
    </cfRule>
  </conditionalFormatting>
  <conditionalFormatting sqref="I3">
    <cfRule type="cellIs" dxfId="266" priority="4" operator="greaterThan">
      <formula>4.1</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"&amp;(VLOOKUP(C14,Table24581114[],6,FALSE))</f>
        <v>Sandy Loam I Grass</v>
      </c>
      <c r="C58" s="13" t="str">
        <f>D16&amp;" I "&amp;(VLOOKUP(D14,Table24581114[],6,FALSE))</f>
        <v>Sandy Loam I Grass</v>
      </c>
      <c r="D58" s="13" t="str">
        <f>E16&amp;" I "&amp;(VLOOKUP(E14,Table24581114[],6,FALSE))</f>
        <v>Sandy Loam I Grass</v>
      </c>
      <c r="E58" s="13" t="str">
        <f>F16&amp;" I "&amp;(VLOOKUP(F14,Table24581114[],6,FALSE))</f>
        <v>Sandy Loam I Grass</v>
      </c>
      <c r="F58" s="13" t="str">
        <f>G16&amp;" I "&amp;(VLOOKUP(G14,Table24581114[],6,FALSE))</f>
        <v>Sandy Loam I Grass</v>
      </c>
      <c r="G58" s="13" t="str">
        <f>H16&amp;" I "&amp;(VLOOKUP(H14,Table24581114[],6,FALSE))</f>
        <v>Sandy Loam I Grass</v>
      </c>
      <c r="H58" s="13" t="str">
        <f>I16&amp;" I "&amp;(VLOOKUP(I14,Table24581114[],6,FALSE))</f>
        <v>Sandy Loam I Grass</v>
      </c>
      <c r="I58" s="13" t="str">
        <f>J16&amp;" I "&amp;(VLOOKUP(J14,Table24581114[],6,FALSE))</f>
        <v>Sandy Loam I Grass</v>
      </c>
      <c r="J58" s="13" t="str">
        <f>K16&amp;" I "&amp;(VLOOKUP(K14,Table24581114[],6,FALSE))</f>
        <v>Sandy Loam I Grass</v>
      </c>
      <c r="K58" s="13" t="str">
        <f>L16&amp;" I "&amp;(VLOOKUP(L14,Table24581114[],6,FALSE))</f>
        <v>Sandy Loam I Grass</v>
      </c>
      <c r="L58" s="13" t="str">
        <f>M16&amp;" I "&amp;(VLOOKUP(M14,Table24581114[],6,FALSE))</f>
        <v>Sandy Loam I Grass</v>
      </c>
      <c r="M58" s="13" t="str">
        <f>N16&amp;" I "&amp;(VLOOKUP(N14,Table24581114[],6,FALSE))</f>
        <v>Sandy Loam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0" t="s">
        <v>133</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2" operator="equal">
      <formula>"DECREASE"</formula>
    </cfRule>
    <cfRule type="cellIs" dxfId="250" priority="33" operator="equal">
      <formula>"INCREASE"</formula>
    </cfRule>
  </conditionalFormatting>
  <conditionalFormatting sqref="B31:B50 B62:U66">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"&amp;(VLOOKUP(C14,Table245810[],6,FALSE))</f>
        <v>Sandy Loam I Grass</v>
      </c>
      <c r="C58" s="13" t="str">
        <f>D16&amp;" I "&amp;(VLOOKUP(D14,Table245810[],6,FALSE))</f>
        <v>Sandy Loam I Grass</v>
      </c>
      <c r="D58" s="13" t="str">
        <f>E16&amp;" I "&amp;(VLOOKUP(E14,Table245810[],6,FALSE))</f>
        <v>Sandy Loam I Grass</v>
      </c>
      <c r="E58" s="13" t="str">
        <f>F16&amp;" I "&amp;(VLOOKUP(F14,Table245810[],6,FALSE))</f>
        <v>Sandy Loam I Grass</v>
      </c>
      <c r="F58" s="13" t="str">
        <f>G16&amp;" I "&amp;(VLOOKUP(G14,Table245810[],6,FALSE))</f>
        <v>Sandy Loam I Grass</v>
      </c>
      <c r="G58" s="13" t="str">
        <f>H16&amp;" I "&amp;(VLOOKUP(H14,Table245810[],6,FALSE))</f>
        <v>Sandy Loam I Grass</v>
      </c>
      <c r="H58" s="13" t="str">
        <f>I16&amp;" I "&amp;(VLOOKUP(I14,Table245810[],6,FALSE))</f>
        <v>Sandy Loam I Grass</v>
      </c>
      <c r="I58" s="13" t="str">
        <f>J16&amp;" I "&amp;(VLOOKUP(J14,Table245810[],6,FALSE))</f>
        <v>Sandy Loam I Grass</v>
      </c>
      <c r="J58" s="13" t="str">
        <f>K16&amp;" I "&amp;(VLOOKUP(K14,Table245810[],6,FALSE))</f>
        <v>Sandy Loam I Grass</v>
      </c>
      <c r="K58" s="13" t="str">
        <f>L16&amp;" I "&amp;(VLOOKUP(L14,Table245810[],6,FALSE))</f>
        <v>Sandy Loam I Grass</v>
      </c>
      <c r="L58" s="13" t="str">
        <f>M16&amp;" I "&amp;(VLOOKUP(M14,Table245810[],6,FALSE))</f>
        <v>Sandy Loam I Grass</v>
      </c>
      <c r="M58" s="13" t="str">
        <f>N16&amp;" I "&amp;(VLOOKUP(N14,Table245810[],6,FALSE))</f>
        <v>Sandy Loam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0" t="s">
        <v>133</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2" operator="equal">
      <formula>"DECREASE"</formula>
    </cfRule>
    <cfRule type="cellIs" dxfId="208" priority="33" operator="equal">
      <formula>"INCREASE"</formula>
    </cfRule>
  </conditionalFormatting>
  <conditionalFormatting sqref="B31:B50 B62:U66">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"&amp;(VLOOKUP(C14,Table2458[],6,FALSE))</f>
        <v>Sandy Loam I Grass</v>
      </c>
      <c r="C58" s="13" t="str">
        <f>D16&amp;" I "&amp;(VLOOKUP(D14,Table2458[],6,FALSE))</f>
        <v>Sandy Loam I Grass</v>
      </c>
      <c r="D58" s="13" t="str">
        <f>E16&amp;" I "&amp;(VLOOKUP(E14,Table2458[],6,FALSE))</f>
        <v>Sandy Loam I Grass</v>
      </c>
      <c r="E58" s="13" t="str">
        <f>F16&amp;" I "&amp;(VLOOKUP(F14,Table2458[],6,FALSE))</f>
        <v>Sandy Loam I Grass</v>
      </c>
      <c r="F58" s="13" t="str">
        <f>G16&amp;" I "&amp;(VLOOKUP(G14,Table2458[],6,FALSE))</f>
        <v>Sandy Loam I Grass</v>
      </c>
      <c r="G58" s="13" t="str">
        <f>H16&amp;" I "&amp;(VLOOKUP(H14,Table2458[],6,FALSE))</f>
        <v>Sandy Loam I Grass</v>
      </c>
      <c r="H58" s="13" t="str">
        <f>I16&amp;" I "&amp;(VLOOKUP(I14,Table2458[],6,FALSE))</f>
        <v>Sandy Loam I Grass</v>
      </c>
      <c r="I58" s="13" t="str">
        <f>J16&amp;" I "&amp;(VLOOKUP(J14,Table2458[],6,FALSE))</f>
        <v>Sandy Loam I Grass</v>
      </c>
      <c r="J58" s="13" t="str">
        <f>K16&amp;" I "&amp;(VLOOKUP(K14,Table2458[],6,FALSE))</f>
        <v>Sandy Loam I Grass</v>
      </c>
      <c r="K58" s="13" t="str">
        <f>L16&amp;" I "&amp;(VLOOKUP(L14,Table2458[],6,FALSE))</f>
        <v>Sandy Loam I Grass</v>
      </c>
      <c r="L58" s="13" t="str">
        <f>M16&amp;" I "&amp;(VLOOKUP(M14,Table2458[],6,FALSE))</f>
        <v>Sandy Loam I Grass</v>
      </c>
      <c r="M58" s="13" t="str">
        <f>N16&amp;" I "&amp;(VLOOKUP(N14,Table2458[],6,FALSE))</f>
        <v>Sandy Loam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0" t="s">
        <v>133</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2" operator="equal">
      <formula>"DECREASE"</formula>
    </cfRule>
    <cfRule type="cellIs" dxfId="166" priority="33" operator="equal">
      <formula>"INCREASE"</formula>
    </cfRule>
  </conditionalFormatting>
  <conditionalFormatting sqref="B31:B50 B62:U66">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"&amp;(VLOOKUP(C14,Table24581113[],6,FALSE))</f>
        <v>Sandy Loam I Grass</v>
      </c>
      <c r="C58" s="13" t="str">
        <f>D16&amp;" I "&amp;(VLOOKUP(D14,Table24581113[],6,FALSE))</f>
        <v>Sandy Loam I Grass</v>
      </c>
      <c r="D58" s="13" t="str">
        <f>E16&amp;" I "&amp;(VLOOKUP(E14,Table24581113[],6,FALSE))</f>
        <v>Sandy Loam I Grass</v>
      </c>
      <c r="E58" s="13" t="str">
        <f>F16&amp;" I "&amp;(VLOOKUP(F14,Table24581113[],6,FALSE))</f>
        <v>Sandy Loam I Grass</v>
      </c>
      <c r="F58" s="13" t="str">
        <f>G16&amp;" I "&amp;(VLOOKUP(G14,Table24581113[],6,FALSE))</f>
        <v>Sandy Loam I Grass</v>
      </c>
      <c r="G58" s="13" t="str">
        <f>H16&amp;" I "&amp;(VLOOKUP(H14,Table24581113[],6,FALSE))</f>
        <v>Sandy Loam I Grass</v>
      </c>
      <c r="H58" s="13" t="str">
        <f>I16&amp;" I "&amp;(VLOOKUP(I14,Table24581113[],6,FALSE))</f>
        <v>Sandy Loam I Grass</v>
      </c>
      <c r="I58" s="13" t="str">
        <f>J16&amp;" I "&amp;(VLOOKUP(J14,Table24581113[],6,FALSE))</f>
        <v>Sandy Loam I Grass</v>
      </c>
      <c r="J58" s="13" t="str">
        <f>K16&amp;" I "&amp;(VLOOKUP(K14,Table24581113[],6,FALSE))</f>
        <v>Sandy Loam I Grass</v>
      </c>
      <c r="K58" s="13" t="str">
        <f>L16&amp;" I "&amp;(VLOOKUP(L14,Table24581113[],6,FALSE))</f>
        <v>Sandy Loam I Grass</v>
      </c>
      <c r="L58" s="13" t="str">
        <f>M16&amp;" I "&amp;(VLOOKUP(M14,Table24581113[],6,FALSE))</f>
        <v>Sandy Loam I Grass</v>
      </c>
      <c r="M58" s="13" t="str">
        <f>N16&amp;" I "&amp;(VLOOKUP(N14,Table24581113[],6,FALSE))</f>
        <v>Sandy Loam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0" t="s">
        <v>133</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CZ9r19lIjKMjtElJ+pbFcHB4M7P16LVI5o2g9iHFPdfkDBki2ipXOKXSLXH35urGWW+tsdHsgbH9ZxuQHfu3GA==" saltValue="XTTIY4qO7xkiLOBi38MXY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2" operator="equal">
      <formula>"DECREASE"</formula>
    </cfRule>
    <cfRule type="cellIs" dxfId="124" priority="33" operator="equal">
      <formula>"INCREASE"</formula>
    </cfRule>
  </conditionalFormatting>
  <conditionalFormatting sqref="B31:B50 B62:U66">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"&amp;(VLOOKUP(C14,Table24567[],6,FALSE))</f>
        <v>Sandy Loam I Grass</v>
      </c>
      <c r="C58" s="13" t="str">
        <f>D16&amp;" I "&amp;(VLOOKUP(D14,Table24567[],6,FALSE))</f>
        <v>Sandy Loam I Grass</v>
      </c>
      <c r="D58" s="13" t="str">
        <f>E16&amp;" I "&amp;(VLOOKUP(E14,Table24567[],6,FALSE))</f>
        <v>Sandy Loam I Grass</v>
      </c>
      <c r="E58" s="13" t="str">
        <f>F16&amp;" I "&amp;(VLOOKUP(F14,Table24567[],6,FALSE))</f>
        <v>Sandy Loam I Grass</v>
      </c>
      <c r="F58" s="13" t="str">
        <f>G16&amp;" I "&amp;(VLOOKUP(G14,Table24567[],6,FALSE))</f>
        <v>Sandy Loam I Grass</v>
      </c>
      <c r="G58" s="13" t="str">
        <f>H16&amp;" I "&amp;(VLOOKUP(H14,Table24567[],6,FALSE))</f>
        <v>Sandy Loam I Grass</v>
      </c>
      <c r="H58" s="13" t="str">
        <f>I16&amp;" I "&amp;(VLOOKUP(I14,Table24567[],6,FALSE))</f>
        <v>Sandy Loam I Grass</v>
      </c>
      <c r="I58" s="13" t="str">
        <f>J16&amp;" I "&amp;(VLOOKUP(J14,Table24567[],6,FALSE))</f>
        <v>Sandy Loam I Grass</v>
      </c>
      <c r="J58" s="13" t="str">
        <f>K16&amp;" I "&amp;(VLOOKUP(K14,Table24567[],6,FALSE))</f>
        <v>Sandy Loam I Grass</v>
      </c>
      <c r="K58" s="13" t="str">
        <f>L16&amp;" I "&amp;(VLOOKUP(L14,Table24567[],6,FALSE))</f>
        <v>Sandy Loam I Grass</v>
      </c>
      <c r="L58" s="13" t="str">
        <f>M16&amp;" I "&amp;(VLOOKUP(M14,Table24567[],6,FALSE))</f>
        <v>Sandy Loam I Grass</v>
      </c>
      <c r="M58" s="13" t="str">
        <f>N16&amp;" I "&amp;(VLOOKUP(N14,Table24567[],6,FALSE))</f>
        <v>Sandy Loam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0" t="s">
        <v>133</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RnEquzh/fCq9jK1/AwiX9046Df4W9iEuQOecn080YKgznV+SJNzulmQmCeHFrbHWvGCMiqy8fwddsIClYEkUA==" saltValue="TtSkVXVflTeQ6eqVvATPl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2" operator="equal">
      <formula>"DECREASE"</formula>
    </cfRule>
    <cfRule type="cellIs" dxfId="82" priority="33" operator="equal">
      <formula>"INCREASE"</formula>
    </cfRule>
  </conditionalFormatting>
  <conditionalFormatting sqref="B31:B50 B62:U66">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6" t="s">
        <v>41</v>
      </c>
      <c r="B1" s="126"/>
      <c r="C1" s="139">
        <f>'Field data and Waste 1 (sludge)'!C1:D1</f>
        <v>15444</v>
      </c>
      <c r="D1" s="140"/>
      <c r="E1" s="93" t="s">
        <v>45</v>
      </c>
      <c r="F1" s="39">
        <f>'Field data and Waste 1 (sludge)'!F1</f>
        <v>38.700000000000003</v>
      </c>
      <c r="G1" s="122" t="s">
        <v>43</v>
      </c>
      <c r="H1" s="123"/>
      <c r="I1" s="96"/>
      <c r="J1" s="126" t="s">
        <v>154</v>
      </c>
      <c r="K1" s="126"/>
      <c r="L1" s="96"/>
      <c r="AB1" s="18"/>
      <c r="AC1" s="18"/>
      <c r="AD1" s="30" t="s">
        <v>127</v>
      </c>
      <c r="AE1" s="17"/>
      <c r="AF1" s="17"/>
      <c r="AG1" s="18"/>
      <c r="AH1" s="18"/>
      <c r="AI1" s="40" t="s">
        <v>79</v>
      </c>
      <c r="AJ1" s="41" t="s">
        <v>94</v>
      </c>
      <c r="AK1" s="42" t="s">
        <v>95</v>
      </c>
      <c r="AL1" s="43" t="s">
        <v>126</v>
      </c>
      <c r="AM1" s="43" t="s">
        <v>132</v>
      </c>
      <c r="AN1" s="43" t="s">
        <v>112</v>
      </c>
    </row>
    <row r="2" spans="1:41" x14ac:dyDescent="0.2">
      <c r="A2" s="126" t="s">
        <v>87</v>
      </c>
      <c r="B2" s="126"/>
      <c r="C2" s="141" t="str">
        <f>'Field data and Waste 1 (sludge)'!C2:D2</f>
        <v>EPR/FB3302MM</v>
      </c>
      <c r="D2" s="142"/>
      <c r="E2" s="93" t="s">
        <v>109</v>
      </c>
      <c r="F2" s="96"/>
      <c r="G2" s="124" t="s">
        <v>110</v>
      </c>
      <c r="H2" s="125"/>
      <c r="I2" s="96"/>
      <c r="J2" s="126" t="s">
        <v>155</v>
      </c>
      <c r="K2" s="126"/>
      <c r="L2" s="96"/>
      <c r="AB2" s="30" t="s">
        <v>56</v>
      </c>
      <c r="AC2" s="17"/>
      <c r="AD2" s="30" t="s">
        <v>70</v>
      </c>
      <c r="AE2" s="17"/>
      <c r="AF2" s="17"/>
      <c r="AG2" s="44" t="s">
        <v>76</v>
      </c>
      <c r="AH2" s="18"/>
      <c r="AI2" s="45" t="s">
        <v>127</v>
      </c>
      <c r="AJ2" s="46">
        <v>0</v>
      </c>
      <c r="AK2" s="47">
        <v>0</v>
      </c>
      <c r="AL2" s="10">
        <v>0</v>
      </c>
      <c r="AM2" s="11">
        <v>0</v>
      </c>
      <c r="AN2" s="11">
        <v>0</v>
      </c>
    </row>
    <row r="3" spans="1:41" x14ac:dyDescent="0.2">
      <c r="A3" s="122" t="s">
        <v>42</v>
      </c>
      <c r="B3" s="123"/>
      <c r="C3" s="141" t="str">
        <f>'Field data and Waste 1 (sludge)'!C3:D3</f>
        <v>Mr Roddy Lewis</v>
      </c>
      <c r="D3" s="142"/>
      <c r="E3" s="93" t="s">
        <v>108</v>
      </c>
      <c r="F3" s="31"/>
      <c r="G3" s="122" t="s">
        <v>111</v>
      </c>
      <c r="H3" s="123"/>
      <c r="I3" s="96"/>
      <c r="J3" s="122" t="s">
        <v>156</v>
      </c>
      <c r="K3" s="123"/>
      <c r="L3" s="96" t="e">
        <f>(L1/L2)*100</f>
        <v>#DIV/0!</v>
      </c>
      <c r="AB3" s="30" t="s">
        <v>57</v>
      </c>
      <c r="AC3" s="17"/>
      <c r="AD3" s="30" t="s">
        <v>71</v>
      </c>
      <c r="AE3" s="17"/>
      <c r="AF3" s="17"/>
      <c r="AG3" s="44" t="s">
        <v>77</v>
      </c>
      <c r="AH3" s="18"/>
      <c r="AI3" s="48" t="s">
        <v>114</v>
      </c>
      <c r="AJ3" s="49">
        <v>1.7</v>
      </c>
      <c r="AK3" s="50">
        <v>6</v>
      </c>
      <c r="AL3" s="51">
        <v>1</v>
      </c>
      <c r="AM3" s="11">
        <v>6.2</v>
      </c>
      <c r="AN3" s="11" t="s">
        <v>113</v>
      </c>
    </row>
    <row r="4" spans="1:41" x14ac:dyDescent="0.2">
      <c r="A4" s="126" t="s">
        <v>0</v>
      </c>
      <c r="B4" s="126"/>
      <c r="C4" s="139" t="str">
        <f>'Field data and Waste 1 (sludge)'!C4:D4</f>
        <v>Pont Y Pentir, Llansanffraid, SY22 6XP</v>
      </c>
      <c r="D4" s="140"/>
      <c r="E4" s="94" t="s">
        <v>1</v>
      </c>
      <c r="F4" s="96"/>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x14ac:dyDescent="0.2">
      <c r="A5" s="126" t="s">
        <v>47</v>
      </c>
      <c r="B5" s="126"/>
      <c r="C5" s="139" t="str">
        <f>'Field data and Waste 1 (sludge)'!C5:D5</f>
        <v>Owen Clee</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x14ac:dyDescent="0.2">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8"/>
    </row>
    <row r="8" spans="1:41" x14ac:dyDescent="0.2">
      <c r="A8" s="126" t="s">
        <v>2</v>
      </c>
      <c r="B8" s="126"/>
      <c r="C8" s="60">
        <f>'Field data and Waste 1 (sludge)'!C8</f>
        <v>1</v>
      </c>
      <c r="D8" s="60">
        <f>'Field data and Waste 1 (sludge)'!D8</f>
        <v>2</v>
      </c>
      <c r="E8" s="60">
        <f>'Field data and Waste 1 (sludge)'!E8</f>
        <v>3</v>
      </c>
      <c r="F8" s="60">
        <f>'Field data and Waste 1 (sludge)'!F8</f>
        <v>4</v>
      </c>
      <c r="G8" s="60">
        <f>'Field data and Waste 1 (sludge)'!G8</f>
        <v>5</v>
      </c>
      <c r="H8" s="60">
        <f>'Field data and Waste 1 (sludge)'!H8</f>
        <v>6</v>
      </c>
      <c r="I8" s="60">
        <f>'Field data and Waste 1 (sludge)'!I8</f>
        <v>7</v>
      </c>
      <c r="J8" s="60">
        <f>'Field data and Waste 1 (sludge)'!J8</f>
        <v>8</v>
      </c>
      <c r="K8" s="60">
        <f>'Field data and Waste 1 (sludge)'!K8</f>
        <v>9</v>
      </c>
      <c r="L8" s="60">
        <f>'Field data and Waste 1 (sludge)'!L8</f>
        <v>10</v>
      </c>
      <c r="M8" s="60">
        <f>'Field data and Waste 1 (sludge)'!M8</f>
        <v>11</v>
      </c>
      <c r="N8" s="60">
        <f>'Field data and Waste 1 (sludge)'!N8</f>
        <v>12</v>
      </c>
      <c r="O8" s="60">
        <f>'Field data and Waste 1 (sludge)'!O8</f>
        <v>0</v>
      </c>
      <c r="P8" s="60">
        <f>'Field data and Waste 1 (sludge)'!P8</f>
        <v>0</v>
      </c>
      <c r="Q8" s="60">
        <f>'Field data and Waste 1 (sludge)'!Q8</f>
        <v>0</v>
      </c>
      <c r="R8" s="60">
        <f>'Field data and Waste 1 (sludge)'!R8</f>
        <v>0</v>
      </c>
      <c r="S8" s="60">
        <f>'Field data and Waste 1 (sludge)'!S8</f>
        <v>0</v>
      </c>
      <c r="T8" s="60">
        <f>'Field data and Waste 1 (sludge)'!T8</f>
        <v>0</v>
      </c>
      <c r="U8" s="60">
        <f>'Field data and Waste 1 (sludge)'!U8</f>
        <v>0</v>
      </c>
      <c r="V8" s="60">
        <f>'Field data and Waste 1 (sludge)'!V8</f>
        <v>0</v>
      </c>
      <c r="AB8" s="61"/>
      <c r="AC8" s="61"/>
      <c r="AD8" s="18"/>
      <c r="AE8" s="17" t="s">
        <v>140</v>
      </c>
      <c r="AF8" s="17"/>
      <c r="AG8" s="18"/>
      <c r="AH8" s="18"/>
      <c r="AI8" s="53" t="s">
        <v>105</v>
      </c>
      <c r="AJ8" s="62">
        <v>1.4</v>
      </c>
      <c r="AK8" s="55">
        <v>4.4000000000000004</v>
      </c>
      <c r="AL8" s="11">
        <v>6</v>
      </c>
      <c r="AM8" s="11">
        <v>6.7</v>
      </c>
      <c r="AN8" s="11" t="s">
        <v>136</v>
      </c>
      <c r="AO8" s="79"/>
    </row>
    <row r="9" spans="1:41" x14ac:dyDescent="0.2">
      <c r="A9" s="126" t="s">
        <v>3</v>
      </c>
      <c r="B9" s="126"/>
      <c r="C9" s="60" t="str">
        <f>'Field data and Waste 1 (sludge)'!C9</f>
        <v>Moderate</v>
      </c>
      <c r="D9" s="60" t="str">
        <f>'Field data and Waste 1 (sludge)'!D9</f>
        <v>Moderate</v>
      </c>
      <c r="E9" s="60" t="str">
        <f>'Field data and Waste 1 (sludge)'!E9</f>
        <v>Moderate</v>
      </c>
      <c r="F9" s="60" t="str">
        <f>'Field data and Waste 1 (sludge)'!F9</f>
        <v>Moderate</v>
      </c>
      <c r="G9" s="60" t="str">
        <f>'Field data and Waste 1 (sludge)'!G9</f>
        <v>Moderate</v>
      </c>
      <c r="H9" s="60" t="str">
        <f>'Field data and Waste 1 (sludge)'!H9</f>
        <v>Moderate</v>
      </c>
      <c r="I9" s="60" t="str">
        <f>'Field data and Waste 1 (sludge)'!I9</f>
        <v>Moderate</v>
      </c>
      <c r="J9" s="60" t="str">
        <f>'Field data and Waste 1 (sludge)'!J9</f>
        <v>Moderate</v>
      </c>
      <c r="K9" s="60" t="str">
        <f>'Field data and Waste 1 (sludge)'!K9</f>
        <v>Moderate</v>
      </c>
      <c r="L9" s="60" t="str">
        <f>'Field data and Waste 1 (sludge)'!L9</f>
        <v>Moderate</v>
      </c>
      <c r="M9" s="60" t="str">
        <f>'Field data and Waste 1 (sludge)'!M9</f>
        <v>Moderate</v>
      </c>
      <c r="N9" s="60" t="str">
        <f>'Field data and Waste 1 (sludge)'!N9</f>
        <v>Moderate</v>
      </c>
      <c r="O9" s="60">
        <f>'Field data and Waste 1 (sludge)'!O9</f>
        <v>0</v>
      </c>
      <c r="P9" s="60">
        <f>'Field data and Waste 1 (sludge)'!P9</f>
        <v>0</v>
      </c>
      <c r="Q9" s="60">
        <f>'Field data and Waste 1 (sludge)'!Q9</f>
        <v>0</v>
      </c>
      <c r="R9" s="60">
        <f>'Field data and Waste 1 (sludge)'!R9</f>
        <v>0</v>
      </c>
      <c r="S9" s="60">
        <f>'Field data and Waste 1 (sludge)'!S9</f>
        <v>0</v>
      </c>
      <c r="T9" s="60">
        <f>'Field data and Waste 1 (sludge)'!T9</f>
        <v>0</v>
      </c>
      <c r="U9" s="60">
        <f>'Field data and Waste 1 (sludge)'!U9</f>
        <v>0</v>
      </c>
      <c r="V9" s="60">
        <f>'Field data and Waste 1 (sludge)'!V9</f>
        <v>0</v>
      </c>
      <c r="AB9" s="17"/>
      <c r="AC9" s="17"/>
      <c r="AD9" s="30" t="s">
        <v>138</v>
      </c>
      <c r="AE9" s="30">
        <v>4.5</v>
      </c>
      <c r="AF9" s="17"/>
      <c r="AG9" s="18"/>
      <c r="AH9" s="18"/>
      <c r="AI9" s="63" t="s">
        <v>103</v>
      </c>
      <c r="AJ9" s="64">
        <v>0.7</v>
      </c>
      <c r="AK9" s="65">
        <v>4</v>
      </c>
      <c r="AL9" s="29">
        <v>7</v>
      </c>
      <c r="AM9" s="11">
        <v>6.7</v>
      </c>
      <c r="AN9" s="11" t="s">
        <v>136</v>
      </c>
      <c r="AO9" s="98"/>
    </row>
    <row r="10" spans="1:41" x14ac:dyDescent="0.2">
      <c r="A10" s="126" t="s">
        <v>4</v>
      </c>
      <c r="B10" s="126"/>
      <c r="C10" s="60">
        <f>'Field data and Waste 1 (sludge)'!C10</f>
        <v>5.4</v>
      </c>
      <c r="D10" s="60">
        <f>'Field data and Waste 1 (sludge)'!D10</f>
        <v>5.5</v>
      </c>
      <c r="E10" s="60">
        <f>'Field data and Waste 1 (sludge)'!E10</f>
        <v>6.6</v>
      </c>
      <c r="F10" s="60">
        <f>'Field data and Waste 1 (sludge)'!F10</f>
        <v>5.5</v>
      </c>
      <c r="G10" s="60">
        <f>'Field data and Waste 1 (sludge)'!G10</f>
        <v>6.3</v>
      </c>
      <c r="H10" s="60">
        <f>'Field data and Waste 1 (sludge)'!H10</f>
        <v>5.6</v>
      </c>
      <c r="I10" s="60">
        <f>'Field data and Waste 1 (sludge)'!I10</f>
        <v>6.3</v>
      </c>
      <c r="J10" s="60">
        <f>'Field data and Waste 1 (sludge)'!J10</f>
        <v>5.5</v>
      </c>
      <c r="K10" s="60">
        <f>'Field data and Waste 1 (sludge)'!K10</f>
        <v>5.6</v>
      </c>
      <c r="L10" s="60">
        <f>'Field data and Waste 1 (sludge)'!L10</f>
        <v>5.6</v>
      </c>
      <c r="M10" s="60">
        <f>'Field data and Waste 1 (sludge)'!M10</f>
        <v>5.8</v>
      </c>
      <c r="N10" s="60">
        <f>'Field data and Waste 1 (sludge)'!N10</f>
        <v>6</v>
      </c>
      <c r="O10" s="60">
        <f>'Field data and Waste 1 (sludge)'!O10</f>
        <v>0</v>
      </c>
      <c r="P10" s="60">
        <f>'Field data and Waste 1 (sludge)'!P10</f>
        <v>0</v>
      </c>
      <c r="Q10" s="60">
        <f>'Field data and Waste 1 (sludge)'!Q10</f>
        <v>0</v>
      </c>
      <c r="R10" s="60">
        <f>'Field data and Waste 1 (sludge)'!R10</f>
        <v>0</v>
      </c>
      <c r="S10" s="60">
        <f>'Field data and Waste 1 (sludge)'!S10</f>
        <v>0</v>
      </c>
      <c r="T10" s="60">
        <f>'Field data and Waste 1 (sludge)'!T10</f>
        <v>0</v>
      </c>
      <c r="U10" s="60">
        <f>'Field data and Waste 1 (sludge)'!U10</f>
        <v>0</v>
      </c>
      <c r="V10" s="60">
        <f>'Field data and Waste 1 (sludge)'!V10</f>
        <v>0</v>
      </c>
      <c r="AB10" s="17"/>
      <c r="AC10" s="17"/>
      <c r="AD10" s="30" t="s">
        <v>141</v>
      </c>
      <c r="AE10" s="30">
        <v>5</v>
      </c>
      <c r="AF10" s="17"/>
      <c r="AG10" s="18"/>
      <c r="AH10" s="18"/>
      <c r="AI10" s="53" t="s">
        <v>97</v>
      </c>
      <c r="AJ10" s="54">
        <v>9</v>
      </c>
      <c r="AK10" s="55">
        <v>16.5</v>
      </c>
      <c r="AL10" s="11">
        <v>8</v>
      </c>
      <c r="AM10" s="11">
        <v>6.7</v>
      </c>
      <c r="AN10" s="11" t="s">
        <v>136</v>
      </c>
    </row>
    <row r="11" spans="1:41" x14ac:dyDescent="0.2">
      <c r="A11" s="126" t="s">
        <v>5</v>
      </c>
      <c r="B11" s="126"/>
      <c r="C11" s="60">
        <f>'Field data and Waste 1 (sludge)'!C11</f>
        <v>3</v>
      </c>
      <c r="D11" s="60">
        <f>'Field data and Waste 1 (sludge)'!D11</f>
        <v>3</v>
      </c>
      <c r="E11" s="60">
        <f>'Field data and Waste 1 (sludge)'!E11</f>
        <v>3</v>
      </c>
      <c r="F11" s="60">
        <f>'Field data and Waste 1 (sludge)'!F11</f>
        <v>3</v>
      </c>
      <c r="G11" s="60">
        <f>'Field data and Waste 1 (sludge)'!G11</f>
        <v>3</v>
      </c>
      <c r="H11" s="60">
        <f>'Field data and Waste 1 (sludge)'!H11</f>
        <v>3</v>
      </c>
      <c r="I11" s="60">
        <f>'Field data and Waste 1 (sludge)'!I11</f>
        <v>3</v>
      </c>
      <c r="J11" s="60">
        <f>'Field data and Waste 1 (sludge)'!J11</f>
        <v>2</v>
      </c>
      <c r="K11" s="60">
        <f>'Field data and Waste 1 (sludge)'!K11</f>
        <v>2</v>
      </c>
      <c r="L11" s="60">
        <f>'Field data and Waste 1 (sludge)'!L11</f>
        <v>1</v>
      </c>
      <c r="M11" s="60">
        <f>'Field data and Waste 1 (sludge)'!M11</f>
        <v>2</v>
      </c>
      <c r="N11" s="60">
        <f>'Field data and Waste 1 (sludge)'!N11</f>
        <v>1</v>
      </c>
      <c r="O11" s="60">
        <f>'Field data and Waste 1 (sludge)'!O11</f>
        <v>0</v>
      </c>
      <c r="P11" s="60">
        <f>'Field data and Waste 1 (sludge)'!P11</f>
        <v>0</v>
      </c>
      <c r="Q11" s="60">
        <f>'Field data and Waste 1 (sludge)'!Q11</f>
        <v>0</v>
      </c>
      <c r="R11" s="60">
        <f>'Field data and Waste 1 (sludge)'!R11</f>
        <v>0</v>
      </c>
      <c r="S11" s="60">
        <f>'Field data and Waste 1 (sludge)'!S11</f>
        <v>0</v>
      </c>
      <c r="T11" s="60">
        <f>'Field data and Waste 1 (sludge)'!T11</f>
        <v>0</v>
      </c>
      <c r="U11" s="60">
        <f>'Field data and Waste 1 (sludge)'!U11</f>
        <v>0</v>
      </c>
      <c r="V11" s="60">
        <f>'Field data and Waste 1 (sludge)'!V11</f>
        <v>0</v>
      </c>
      <c r="AB11" s="17"/>
      <c r="AC11" s="17"/>
      <c r="AD11" s="52" t="s">
        <v>142</v>
      </c>
      <c r="AE11" s="30">
        <v>6</v>
      </c>
      <c r="AF11" s="17"/>
      <c r="AG11" s="18"/>
      <c r="AH11" s="18"/>
      <c r="AI11" s="53" t="s">
        <v>123</v>
      </c>
      <c r="AJ11" s="54">
        <v>15</v>
      </c>
      <c r="AK11" s="55">
        <v>17.5</v>
      </c>
      <c r="AL11" s="11">
        <v>9</v>
      </c>
      <c r="AM11" s="11">
        <v>7</v>
      </c>
      <c r="AN11" s="11" t="s">
        <v>136</v>
      </c>
    </row>
    <row r="12" spans="1:41" x14ac:dyDescent="0.2">
      <c r="A12" s="126" t="s">
        <v>6</v>
      </c>
      <c r="B12" s="126"/>
      <c r="C12" s="60">
        <f>'Field data and Waste 1 (sludge)'!C12</f>
        <v>2</v>
      </c>
      <c r="D12" s="60">
        <f>'Field data and Waste 1 (sludge)'!D12</f>
        <v>2</v>
      </c>
      <c r="E12" s="60">
        <f>'Field data and Waste 1 (sludge)'!E12</f>
        <v>2</v>
      </c>
      <c r="F12" s="60">
        <f>'Field data and Waste 1 (sludge)'!F12</f>
        <v>2</v>
      </c>
      <c r="G12" s="60">
        <f>'Field data and Waste 1 (sludge)'!G12</f>
        <v>2</v>
      </c>
      <c r="H12" s="60">
        <f>'Field data and Waste 1 (sludge)'!H12</f>
        <v>3</v>
      </c>
      <c r="I12" s="60">
        <f>'Field data and Waste 1 (sludge)'!I12</f>
        <v>2</v>
      </c>
      <c r="J12" s="60">
        <f>'Field data and Waste 1 (sludge)'!J12</f>
        <v>1</v>
      </c>
      <c r="K12" s="60">
        <f>'Field data and Waste 1 (sludge)'!K12</f>
        <v>1</v>
      </c>
      <c r="L12" s="60">
        <f>'Field data and Waste 1 (sludge)'!L12</f>
        <v>0</v>
      </c>
      <c r="M12" s="60">
        <f>'Field data and Waste 1 (sludge)'!M12</f>
        <v>1</v>
      </c>
      <c r="N12" s="60">
        <f>'Field data and Waste 1 (sludge)'!N12</f>
        <v>0</v>
      </c>
      <c r="O12" s="60">
        <f>'Field data and Waste 1 (sludge)'!O12</f>
        <v>0</v>
      </c>
      <c r="P12" s="60">
        <f>'Field data and Waste 1 (sludge)'!P12</f>
        <v>0</v>
      </c>
      <c r="Q12" s="60">
        <f>'Field data and Waste 1 (sludge)'!Q12</f>
        <v>0</v>
      </c>
      <c r="R12" s="60">
        <f>'Field data and Waste 1 (sludge)'!R12</f>
        <v>0</v>
      </c>
      <c r="S12" s="60">
        <f>'Field data and Waste 1 (sludge)'!S12</f>
        <v>0</v>
      </c>
      <c r="T12" s="60">
        <f>'Field data and Waste 1 (sludge)'!T12</f>
        <v>0</v>
      </c>
      <c r="U12" s="60">
        <f>'Field data and Waste 1 (sludge)'!U12</f>
        <v>0</v>
      </c>
      <c r="V12" s="60">
        <f>'Field data and Waste 1 (sludge)'!V12</f>
        <v>0</v>
      </c>
      <c r="AB12" s="17"/>
      <c r="AC12" s="17"/>
      <c r="AD12" s="52" t="s">
        <v>143</v>
      </c>
      <c r="AE12" s="30">
        <v>7.5</v>
      </c>
      <c r="AF12" s="17"/>
      <c r="AG12" s="18"/>
      <c r="AH12" s="18"/>
      <c r="AI12" s="53" t="s">
        <v>122</v>
      </c>
      <c r="AJ12" s="54">
        <v>14</v>
      </c>
      <c r="AK12" s="55">
        <v>11</v>
      </c>
      <c r="AL12" s="11">
        <v>10</v>
      </c>
      <c r="AM12" s="11">
        <v>7</v>
      </c>
      <c r="AN12" s="11" t="s">
        <v>136</v>
      </c>
    </row>
    <row r="13" spans="1:41" x14ac:dyDescent="0.2">
      <c r="A13" s="126" t="s">
        <v>7</v>
      </c>
      <c r="B13" s="126"/>
      <c r="C13" s="60">
        <f>'Field data and Waste 1 (sludge)'!C13</f>
        <v>3</v>
      </c>
      <c r="D13" s="60">
        <f>'Field data and Waste 1 (sludge)'!D13</f>
        <v>4</v>
      </c>
      <c r="E13" s="60">
        <f>'Field data and Waste 1 (sludge)'!E13</f>
        <v>3</v>
      </c>
      <c r="F13" s="60">
        <f>'Field data and Waste 1 (sludge)'!F13</f>
        <v>4</v>
      </c>
      <c r="G13" s="60">
        <f>'Field data and Waste 1 (sludge)'!G13</f>
        <v>4</v>
      </c>
      <c r="H13" s="60">
        <f>'Field data and Waste 1 (sludge)'!H13</f>
        <v>4</v>
      </c>
      <c r="I13" s="60">
        <f>'Field data and Waste 1 (sludge)'!I13</f>
        <v>3</v>
      </c>
      <c r="J13" s="60">
        <f>'Field data and Waste 1 (sludge)'!J13</f>
        <v>3</v>
      </c>
      <c r="K13" s="60">
        <f>'Field data and Waste 1 (sludge)'!K13</f>
        <v>3</v>
      </c>
      <c r="L13" s="60">
        <f>'Field data and Waste 1 (sludge)'!L13</f>
        <v>3</v>
      </c>
      <c r="M13" s="60">
        <f>'Field data and Waste 1 (sludge)'!M13</f>
        <v>3</v>
      </c>
      <c r="N13" s="60">
        <f>'Field data and Waste 1 (sludge)'!N13</f>
        <v>3</v>
      </c>
      <c r="O13" s="60">
        <f>'Field data and Waste 1 (sludge)'!O13</f>
        <v>0</v>
      </c>
      <c r="P13" s="60">
        <f>'Field data and Waste 1 (sludge)'!P13</f>
        <v>0</v>
      </c>
      <c r="Q13" s="60">
        <f>'Field data and Waste 1 (sludge)'!Q13</f>
        <v>0</v>
      </c>
      <c r="R13" s="60">
        <f>'Field data and Waste 1 (sludge)'!R13</f>
        <v>0</v>
      </c>
      <c r="S13" s="60">
        <f>'Field data and Waste 1 (sludge)'!S13</f>
        <v>0</v>
      </c>
      <c r="T13" s="60">
        <f>'Field data and Waste 1 (sludge)'!T13</f>
        <v>0</v>
      </c>
      <c r="U13" s="60">
        <f>'Field data and Waste 1 (sludge)'!U13</f>
        <v>0</v>
      </c>
      <c r="V13" s="60">
        <f>'Field data and Waste 1 (sludge)'!V13</f>
        <v>0</v>
      </c>
      <c r="AB13" s="17"/>
      <c r="AC13" s="17"/>
      <c r="AD13" s="52" t="s">
        <v>144</v>
      </c>
      <c r="AE13" s="30">
        <v>12</v>
      </c>
      <c r="AF13" s="17"/>
      <c r="AG13" s="18"/>
      <c r="AH13" s="18"/>
      <c r="AI13" s="53" t="s">
        <v>121</v>
      </c>
      <c r="AJ13" s="54">
        <v>1.9</v>
      </c>
      <c r="AK13" s="55">
        <v>7.5</v>
      </c>
      <c r="AL13" s="11">
        <v>11</v>
      </c>
      <c r="AM13" s="11">
        <v>6.7</v>
      </c>
      <c r="AN13" s="11" t="s">
        <v>136</v>
      </c>
    </row>
    <row r="14" spans="1:41" x14ac:dyDescent="0.2">
      <c r="A14" s="135" t="s">
        <v>8</v>
      </c>
      <c r="B14" s="135"/>
      <c r="C14" s="101" t="str">
        <f>'Field data and Waste 1 (sludge)'!C14</f>
        <v xml:space="preserve">Grass Silage (25% DM) </v>
      </c>
      <c r="D14" s="101" t="str">
        <f>'Field data and Waste 1 (sludge)'!D14</f>
        <v xml:space="preserve">Grass Silage (25% DM) </v>
      </c>
      <c r="E14" s="101" t="str">
        <f>'Field data and Waste 1 (sludge)'!E14</f>
        <v xml:space="preserve">Grass Silage (25% DM) </v>
      </c>
      <c r="F14" s="101" t="str">
        <f>'Field data and Waste 1 (sludge)'!F14</f>
        <v xml:space="preserve">Grass Silage (25% DM) </v>
      </c>
      <c r="G14" s="101" t="str">
        <f>'Field data and Waste 1 (sludge)'!G14</f>
        <v xml:space="preserve">Grass Silage (25% DM) </v>
      </c>
      <c r="H14" s="101" t="str">
        <f>'Field data and Waste 1 (sludge)'!H14</f>
        <v xml:space="preserve">Grass Silage (25% DM) </v>
      </c>
      <c r="I14" s="101" t="str">
        <f>'Field data and Waste 1 (sludge)'!I14</f>
        <v xml:space="preserve">Grass Silage (25% DM) </v>
      </c>
      <c r="J14" s="101" t="str">
        <f>'Field data and Waste 1 (sludge)'!J14</f>
        <v xml:space="preserve">Grass Silage (25% DM) </v>
      </c>
      <c r="K14" s="101" t="str">
        <f>'Field data and Waste 1 (sludge)'!K14</f>
        <v xml:space="preserve">Grass Silage (25% DM) </v>
      </c>
      <c r="L14" s="101" t="str">
        <f>'Field data and Waste 1 (sludge)'!L14</f>
        <v xml:space="preserve">Grass Silage (25% DM) </v>
      </c>
      <c r="M14" s="101" t="str">
        <f>'Field data and Waste 1 (sludge)'!M14</f>
        <v xml:space="preserve">Grass Silage (25% DM) </v>
      </c>
      <c r="N14" s="101" t="str">
        <f>'Field data and Waste 1 (sludge)'!N14</f>
        <v xml:space="preserve">Grass Silage (25% DM) </v>
      </c>
      <c r="O14" s="101">
        <f>'Field data and Waste 1 (sludge)'!O14</f>
        <v>0</v>
      </c>
      <c r="P14" s="101">
        <f>'Field data and Waste 1 (sludge)'!P14</f>
        <v>0</v>
      </c>
      <c r="Q14" s="101">
        <f>'Field data and Waste 1 (sludge)'!Q14</f>
        <v>0</v>
      </c>
      <c r="R14" s="101">
        <f>'Field data and Waste 1 (sludge)'!R14</f>
        <v>0</v>
      </c>
      <c r="S14" s="101">
        <f>'Field data and Waste 1 (sludge)'!S14</f>
        <v>0</v>
      </c>
      <c r="T14" s="101">
        <f>'Field data and Waste 1 (sludge)'!T14</f>
        <v>0</v>
      </c>
      <c r="U14" s="101">
        <f>'Field data and Waste 1 (sludge)'!U14</f>
        <v>0</v>
      </c>
      <c r="V14" s="101">
        <f>'Field data and Waste 1 (sludge)'!V14</f>
        <v>0</v>
      </c>
      <c r="AD14" s="30" t="s">
        <v>139</v>
      </c>
      <c r="AE14" s="30">
        <v>6</v>
      </c>
      <c r="AI14" s="53" t="s">
        <v>120</v>
      </c>
      <c r="AJ14" s="54">
        <v>0.8</v>
      </c>
      <c r="AK14" s="55">
        <v>1.7</v>
      </c>
      <c r="AL14" s="11">
        <v>12</v>
      </c>
      <c r="AM14" s="11">
        <v>6.7</v>
      </c>
      <c r="AN14" s="11" t="s">
        <v>136</v>
      </c>
    </row>
    <row r="15" spans="1:41" x14ac:dyDescent="0.2">
      <c r="A15" s="134" t="s">
        <v>9</v>
      </c>
      <c r="B15" s="134"/>
      <c r="C15" s="60">
        <f>'Field data and Waste 1 (sludge)'!C15</f>
        <v>40</v>
      </c>
      <c r="D15" s="60">
        <f>'Field data and Waste 1 (sludge)'!D15</f>
        <v>40</v>
      </c>
      <c r="E15" s="60">
        <f>'Field data and Waste 1 (sludge)'!E15</f>
        <v>40</v>
      </c>
      <c r="F15" s="60">
        <f>'Field data and Waste 1 (sludge)'!F15</f>
        <v>40</v>
      </c>
      <c r="G15" s="60">
        <f>'Field data and Waste 1 (sludge)'!G15</f>
        <v>40</v>
      </c>
      <c r="H15" s="60">
        <f>'Field data and Waste 1 (sludge)'!H15</f>
        <v>40</v>
      </c>
      <c r="I15" s="60">
        <f>'Field data and Waste 1 (sludge)'!I15</f>
        <v>40</v>
      </c>
      <c r="J15" s="60">
        <f>'Field data and Waste 1 (sludge)'!J15</f>
        <v>40</v>
      </c>
      <c r="K15" s="60">
        <f>'Field data and Waste 1 (sludge)'!K15</f>
        <v>40</v>
      </c>
      <c r="L15" s="60">
        <f>'Field data and Waste 1 (sludge)'!L15</f>
        <v>40</v>
      </c>
      <c r="M15" s="60">
        <f>'Field data and Waste 1 (sludge)'!M15</f>
        <v>40</v>
      </c>
      <c r="N15" s="60">
        <f>'Field data and Waste 1 (sludge)'!N15</f>
        <v>40</v>
      </c>
      <c r="O15" s="60">
        <f>'Field data and Waste 1 (sludge)'!O15</f>
        <v>0</v>
      </c>
      <c r="P15" s="60">
        <f>'Field data and Waste 1 (sludge)'!P15</f>
        <v>0</v>
      </c>
      <c r="Q15" s="60">
        <f>'Field data and Waste 1 (sludge)'!Q15</f>
        <v>0</v>
      </c>
      <c r="R15" s="60">
        <f>'Field data and Waste 1 (sludge)'!R15</f>
        <v>0</v>
      </c>
      <c r="S15" s="60">
        <f>'Field data and Waste 1 (sludge)'!S15</f>
        <v>0</v>
      </c>
      <c r="T15" s="60">
        <f>'Field data and Waste 1 (sludge)'!T15</f>
        <v>0</v>
      </c>
      <c r="U15" s="60">
        <f>'Field data and Waste 1 (sludge)'!U15</f>
        <v>0</v>
      </c>
      <c r="V15" s="60">
        <f>'Field data and Waste 1 (sludge)'!V15</f>
        <v>0</v>
      </c>
      <c r="AD15" s="30" t="s">
        <v>145</v>
      </c>
      <c r="AE15" s="30">
        <v>7</v>
      </c>
      <c r="AI15" s="53" t="s">
        <v>101</v>
      </c>
      <c r="AJ15" s="62">
        <v>1.8</v>
      </c>
      <c r="AK15" s="55">
        <v>5.4</v>
      </c>
      <c r="AL15" s="11">
        <v>13</v>
      </c>
      <c r="AM15" s="11">
        <v>6.7</v>
      </c>
      <c r="AN15" s="11" t="s">
        <v>136</v>
      </c>
    </row>
    <row r="16" spans="1:41" ht="13.5" thickBot="1" x14ac:dyDescent="0.25">
      <c r="A16" s="136" t="s">
        <v>44</v>
      </c>
      <c r="B16" s="136"/>
      <c r="C16" s="102" t="str">
        <f>'Field data and Waste 1 (sludge)'!C16</f>
        <v>Sandy Loam</v>
      </c>
      <c r="D16" s="102" t="str">
        <f>'Field data and Waste 1 (sludge)'!D16</f>
        <v>Sandy Loam</v>
      </c>
      <c r="E16" s="102" t="str">
        <f>'Field data and Waste 1 (sludge)'!E16</f>
        <v>Sandy Loam</v>
      </c>
      <c r="F16" s="102" t="str">
        <f>'Field data and Waste 1 (sludge)'!F16</f>
        <v>Sandy Loam</v>
      </c>
      <c r="G16" s="102" t="str">
        <f>'Field data and Waste 1 (sludge)'!G16</f>
        <v>Sandy Loam</v>
      </c>
      <c r="H16" s="102" t="str">
        <f>'Field data and Waste 1 (sludge)'!H16</f>
        <v>Sandy Loam</v>
      </c>
      <c r="I16" s="102" t="str">
        <f>'Field data and Waste 1 (sludge)'!I16</f>
        <v>Sandy Loam</v>
      </c>
      <c r="J16" s="102" t="str">
        <f>'Field data and Waste 1 (sludge)'!J16</f>
        <v>Sandy Loam</v>
      </c>
      <c r="K16" s="102" t="str">
        <f>'Field data and Waste 1 (sludge)'!K16</f>
        <v>Sandy Loam</v>
      </c>
      <c r="L16" s="102" t="str">
        <f>'Field data and Waste 1 (sludge)'!L16</f>
        <v>Sandy Loam</v>
      </c>
      <c r="M16" s="102" t="str">
        <f>'Field data and Waste 1 (sludge)'!M16</f>
        <v>Sandy Loam</v>
      </c>
      <c r="N16" s="102" t="str">
        <f>'Field data and Waste 1 (sludge)'!N16</f>
        <v>Sandy Loam</v>
      </c>
      <c r="O16" s="102">
        <f>'Field data and Waste 1 (sludge)'!O16</f>
        <v>0</v>
      </c>
      <c r="P16" s="102">
        <f>'Field data and Waste 1 (sludge)'!P16</f>
        <v>0</v>
      </c>
      <c r="Q16" s="102">
        <f>'Field data and Waste 1 (sludge)'!Q16</f>
        <v>0</v>
      </c>
      <c r="R16" s="102">
        <f>'Field data and Waste 1 (sludge)'!R16</f>
        <v>0</v>
      </c>
      <c r="S16" s="102">
        <f>'Field data and Waste 1 (sludge)'!S16</f>
        <v>0</v>
      </c>
      <c r="T16" s="102">
        <f>'Field data and Waste 1 (sludge)'!T16</f>
        <v>0</v>
      </c>
      <c r="U16" s="102">
        <f>'Field data and Waste 1 (sludge)'!U16</f>
        <v>0</v>
      </c>
      <c r="V16" s="102">
        <f>'Field data and Waste 1 (sludge)'!V16</f>
        <v>0</v>
      </c>
      <c r="AD16" s="52" t="s">
        <v>146</v>
      </c>
      <c r="AE16" s="30">
        <v>8</v>
      </c>
      <c r="AI16" s="53" t="s">
        <v>119</v>
      </c>
      <c r="AJ16" s="54">
        <v>8</v>
      </c>
      <c r="AK16" s="55">
        <v>5.5</v>
      </c>
      <c r="AL16" s="12">
        <v>14</v>
      </c>
      <c r="AM16" s="11">
        <v>6.7</v>
      </c>
      <c r="AN16" s="11" t="s">
        <v>136</v>
      </c>
    </row>
    <row r="17" spans="1:40" x14ac:dyDescent="0.2">
      <c r="A17" s="132" t="s">
        <v>69</v>
      </c>
      <c r="B17" s="133"/>
      <c r="C17" s="28">
        <f>(VLOOKUP(C$14,$AI2:$AK26,2,FALSE))*C$15</f>
        <v>68</v>
      </c>
      <c r="D17" s="28">
        <f t="shared" ref="D17:V17" si="0">(VLOOKUP(D$14,$AI2:$AK26,2,FALSE))*D$15</f>
        <v>68</v>
      </c>
      <c r="E17" s="28">
        <f t="shared" si="0"/>
        <v>68</v>
      </c>
      <c r="F17" s="28">
        <f t="shared" si="0"/>
        <v>68</v>
      </c>
      <c r="G17" s="28">
        <f t="shared" si="0"/>
        <v>68</v>
      </c>
      <c r="H17" s="28">
        <f t="shared" si="0"/>
        <v>68</v>
      </c>
      <c r="I17" s="28">
        <f t="shared" si="0"/>
        <v>68</v>
      </c>
      <c r="J17" s="28">
        <f t="shared" si="0"/>
        <v>68</v>
      </c>
      <c r="K17" s="28">
        <f t="shared" si="0"/>
        <v>68</v>
      </c>
      <c r="L17" s="28">
        <f t="shared" si="0"/>
        <v>68</v>
      </c>
      <c r="M17" s="28">
        <f t="shared" si="0"/>
        <v>68</v>
      </c>
      <c r="N17" s="28">
        <f t="shared" si="0"/>
        <v>68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x14ac:dyDescent="0.2">
      <c r="A18" s="130" t="s">
        <v>23</v>
      </c>
      <c r="B18" s="131"/>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x14ac:dyDescent="0.2">
      <c r="A19" s="130" t="s">
        <v>90</v>
      </c>
      <c r="B19" s="131"/>
      <c r="C19" s="16">
        <f>C18-C17</f>
        <v>-68</v>
      </c>
      <c r="D19" s="16">
        <f t="shared" ref="D19:V19" si="1">D18-D17</f>
        <v>-68</v>
      </c>
      <c r="E19" s="16">
        <f t="shared" si="1"/>
        <v>-68</v>
      </c>
      <c r="F19" s="16">
        <f t="shared" si="1"/>
        <v>-68</v>
      </c>
      <c r="G19" s="16">
        <f t="shared" si="1"/>
        <v>-68</v>
      </c>
      <c r="H19" s="16">
        <f t="shared" si="1"/>
        <v>-68</v>
      </c>
      <c r="I19" s="16">
        <f t="shared" si="1"/>
        <v>-68</v>
      </c>
      <c r="J19" s="16">
        <f t="shared" si="1"/>
        <v>-68</v>
      </c>
      <c r="K19" s="16">
        <f t="shared" si="1"/>
        <v>-68</v>
      </c>
      <c r="L19" s="16">
        <f t="shared" si="1"/>
        <v>-68</v>
      </c>
      <c r="M19" s="16">
        <f t="shared" si="1"/>
        <v>-68</v>
      </c>
      <c r="N19" s="16">
        <f t="shared" si="1"/>
        <v>-68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25">
      <c r="A20" s="128" t="s">
        <v>91</v>
      </c>
      <c r="B20" s="129"/>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x14ac:dyDescent="0.2">
      <c r="A21" s="132" t="s">
        <v>88</v>
      </c>
      <c r="B21" s="133"/>
      <c r="C21" s="28">
        <f>(VLOOKUP(C$14,$AI2:$AK26,3,FALSE))*C$15</f>
        <v>240</v>
      </c>
      <c r="D21" s="28">
        <f t="shared" ref="D21:V21" si="2">(VLOOKUP(D$14,$AI2:$AK26,3,FALSE))*D$15</f>
        <v>240</v>
      </c>
      <c r="E21" s="28">
        <f t="shared" si="2"/>
        <v>240</v>
      </c>
      <c r="F21" s="28">
        <f t="shared" si="2"/>
        <v>240</v>
      </c>
      <c r="G21" s="28">
        <f t="shared" si="2"/>
        <v>240</v>
      </c>
      <c r="H21" s="28">
        <f t="shared" si="2"/>
        <v>240</v>
      </c>
      <c r="I21" s="28">
        <f t="shared" si="2"/>
        <v>240</v>
      </c>
      <c r="J21" s="28">
        <f t="shared" si="2"/>
        <v>240</v>
      </c>
      <c r="K21" s="28">
        <f t="shared" si="2"/>
        <v>240</v>
      </c>
      <c r="L21" s="28">
        <f t="shared" si="2"/>
        <v>240</v>
      </c>
      <c r="M21" s="28">
        <f t="shared" si="2"/>
        <v>240</v>
      </c>
      <c r="N21" s="28">
        <f t="shared" si="2"/>
        <v>240</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x14ac:dyDescent="0.2">
      <c r="A22" s="130" t="s">
        <v>89</v>
      </c>
      <c r="B22" s="131"/>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x14ac:dyDescent="0.2">
      <c r="A23" s="130" t="s">
        <v>92</v>
      </c>
      <c r="B23" s="131"/>
      <c r="C23" s="16">
        <f>C22-C21</f>
        <v>-240</v>
      </c>
      <c r="D23" s="16">
        <f t="shared" ref="D23:V23" si="3">D22-D21</f>
        <v>-240</v>
      </c>
      <c r="E23" s="16">
        <f t="shared" si="3"/>
        <v>-240</v>
      </c>
      <c r="F23" s="16">
        <f t="shared" si="3"/>
        <v>-240</v>
      </c>
      <c r="G23" s="16">
        <f t="shared" si="3"/>
        <v>-240</v>
      </c>
      <c r="H23" s="16">
        <f t="shared" si="3"/>
        <v>-240</v>
      </c>
      <c r="I23" s="16">
        <f t="shared" si="3"/>
        <v>-240</v>
      </c>
      <c r="J23" s="16">
        <f t="shared" si="3"/>
        <v>-240</v>
      </c>
      <c r="K23" s="16">
        <f t="shared" si="3"/>
        <v>-240</v>
      </c>
      <c r="L23" s="16">
        <f t="shared" si="3"/>
        <v>-240</v>
      </c>
      <c r="M23" s="16">
        <f t="shared" si="3"/>
        <v>-240</v>
      </c>
      <c r="N23" s="16">
        <f t="shared" si="3"/>
        <v>-240</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25">
      <c r="A24" s="128" t="s">
        <v>93</v>
      </c>
      <c r="B24" s="129"/>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
      <c r="C25" s="57"/>
      <c r="D25" s="67"/>
      <c r="E25" s="67"/>
      <c r="F25" s="67"/>
      <c r="AI25" s="63" t="s">
        <v>118</v>
      </c>
      <c r="AJ25" s="66">
        <v>1</v>
      </c>
      <c r="AK25" s="65">
        <v>5.8</v>
      </c>
      <c r="AL25" s="29">
        <v>23</v>
      </c>
      <c r="AM25" s="11">
        <v>6.7</v>
      </c>
      <c r="AN25" s="11" t="s">
        <v>136</v>
      </c>
    </row>
    <row r="26" spans="1:40" s="10" customFormat="1" x14ac:dyDescent="0.2">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8" t="s">
        <v>117</v>
      </c>
      <c r="AJ26" s="69">
        <v>0.7</v>
      </c>
      <c r="AK26" s="70">
        <v>2.4</v>
      </c>
      <c r="AL26" s="29">
        <v>24</v>
      </c>
      <c r="AM26" s="10">
        <v>6.7</v>
      </c>
      <c r="AN26" s="11" t="s">
        <v>136</v>
      </c>
    </row>
    <row r="27" spans="1:40" s="57" customFormat="1" x14ac:dyDescent="0.25">
      <c r="A27" s="105"/>
      <c r="B27" s="71" t="s">
        <v>46</v>
      </c>
      <c r="C27" s="106"/>
      <c r="D27" s="106"/>
      <c r="E27" s="106"/>
      <c r="F27" s="106"/>
      <c r="G27" s="106"/>
      <c r="H27" s="106"/>
      <c r="I27" s="106"/>
      <c r="J27" s="106"/>
      <c r="K27" s="106"/>
      <c r="L27" s="106"/>
      <c r="M27" s="106"/>
      <c r="N27" s="106"/>
      <c r="O27" s="106"/>
      <c r="P27" s="106"/>
      <c r="Q27" s="106"/>
      <c r="R27" s="106"/>
      <c r="S27" s="106"/>
      <c r="T27" s="106"/>
      <c r="U27" s="106"/>
    </row>
    <row r="28" spans="1:40" s="57" customFormat="1" x14ac:dyDescent="0.25">
      <c r="A28" s="107"/>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137</v>
      </c>
      <c r="B58" s="13" t="str">
        <f>C16&amp;" I "&amp;(VLOOKUP(C14,Table2456[],6,FALSE))</f>
        <v>Sandy Loam I Grass</v>
      </c>
      <c r="C58" s="13" t="str">
        <f>D16&amp;" I "&amp;(VLOOKUP(D14,Table2456[],6,FALSE))</f>
        <v>Sandy Loam I Grass</v>
      </c>
      <c r="D58" s="13" t="str">
        <f>E16&amp;" I "&amp;(VLOOKUP(E14,Table2456[],6,FALSE))</f>
        <v>Sandy Loam I Grass</v>
      </c>
      <c r="E58" s="13" t="str">
        <f>F16&amp;" I "&amp;(VLOOKUP(F14,Table2456[],6,FALSE))</f>
        <v>Sandy Loam I Grass</v>
      </c>
      <c r="F58" s="13" t="str">
        <f>G16&amp;" I "&amp;(VLOOKUP(G14,Table2456[],6,FALSE))</f>
        <v>Sandy Loam I Grass</v>
      </c>
      <c r="G58" s="13" t="str">
        <f>H16&amp;" I "&amp;(VLOOKUP(H14,Table2456[],6,FALSE))</f>
        <v>Sandy Loam I Grass</v>
      </c>
      <c r="H58" s="13" t="str">
        <f>I16&amp;" I "&amp;(VLOOKUP(I14,Table2456[],6,FALSE))</f>
        <v>Sandy Loam I Grass</v>
      </c>
      <c r="I58" s="13" t="str">
        <f>J16&amp;" I "&amp;(VLOOKUP(J14,Table2456[],6,FALSE))</f>
        <v>Sandy Loam I Grass</v>
      </c>
      <c r="J58" s="13" t="str">
        <f>K16&amp;" I "&amp;(VLOOKUP(K14,Table2456[],6,FALSE))</f>
        <v>Sandy Loam I Grass</v>
      </c>
      <c r="K58" s="13" t="str">
        <f>L16&amp;" I "&amp;(VLOOKUP(L14,Table2456[],6,FALSE))</f>
        <v>Sandy Loam I Grass</v>
      </c>
      <c r="L58" s="13" t="str">
        <f>M16&amp;" I "&amp;(VLOOKUP(M14,Table2456[],6,FALSE))</f>
        <v>Sandy Loam I Grass</v>
      </c>
      <c r="M58" s="13" t="str">
        <f>N16&amp;" I "&amp;(VLOOKUP(N14,Table2456[],6,FALSE))</f>
        <v>Sandy Loam I Grass</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0" t="s">
        <v>133</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0" t="s">
        <v>4</v>
      </c>
      <c r="B60" s="76">
        <f>C10</f>
        <v>5.4</v>
      </c>
      <c r="C60" s="76">
        <f t="shared" ref="C60:U60" si="14">D10</f>
        <v>5.5</v>
      </c>
      <c r="D60" s="76">
        <f t="shared" si="14"/>
        <v>6.6</v>
      </c>
      <c r="E60" s="76">
        <f t="shared" si="14"/>
        <v>5.5</v>
      </c>
      <c r="F60" s="76">
        <f t="shared" si="14"/>
        <v>6.3</v>
      </c>
      <c r="G60" s="76">
        <f t="shared" si="14"/>
        <v>5.6</v>
      </c>
      <c r="H60" s="76">
        <f t="shared" si="14"/>
        <v>6.3</v>
      </c>
      <c r="I60" s="76">
        <f t="shared" si="14"/>
        <v>5.5</v>
      </c>
      <c r="J60" s="76">
        <f t="shared" si="14"/>
        <v>5.6</v>
      </c>
      <c r="K60" s="76">
        <f t="shared" si="14"/>
        <v>5.6</v>
      </c>
      <c r="L60" s="76">
        <f t="shared" si="14"/>
        <v>5.8</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0" t="s">
        <v>134</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0"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1" t="s">
        <v>157</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1" t="s">
        <v>158</v>
      </c>
      <c r="B64" s="77">
        <f>(B59-B60)*B61</f>
        <v>3.9999999999999991</v>
      </c>
      <c r="C64" s="77">
        <f t="shared" ref="C64:U64" si="17">(C59-C60)*C61</f>
        <v>3.5000000000000009</v>
      </c>
      <c r="D64" s="77">
        <f t="shared" si="17"/>
        <v>-1.9999999999999973</v>
      </c>
      <c r="E64" s="77">
        <f t="shared" si="17"/>
        <v>3.5000000000000009</v>
      </c>
      <c r="F64" s="77">
        <f t="shared" si="17"/>
        <v>-0.49999999999999822</v>
      </c>
      <c r="G64" s="77">
        <f t="shared" si="17"/>
        <v>3.0000000000000027</v>
      </c>
      <c r="H64" s="77">
        <f t="shared" si="17"/>
        <v>-0.49999999999999822</v>
      </c>
      <c r="I64" s="77">
        <f t="shared" si="17"/>
        <v>3.5000000000000009</v>
      </c>
      <c r="J64" s="77">
        <f t="shared" si="17"/>
        <v>3.0000000000000027</v>
      </c>
      <c r="K64" s="77">
        <f t="shared" si="17"/>
        <v>3.0000000000000027</v>
      </c>
      <c r="L64" s="77">
        <f t="shared" si="17"/>
        <v>2.0000000000000018</v>
      </c>
      <c r="M64" s="77">
        <f t="shared" si="17"/>
        <v>1.0000000000000009</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1" t="s">
        <v>159</v>
      </c>
      <c r="B65" s="77">
        <f>B63-B64</f>
        <v>-3.9999999999999991</v>
      </c>
      <c r="C65" s="77">
        <f t="shared" ref="C65:U65" si="18">C63-C64</f>
        <v>-3.5000000000000009</v>
      </c>
      <c r="D65" s="77">
        <f t="shared" si="18"/>
        <v>1.9999999999999973</v>
      </c>
      <c r="E65" s="77">
        <f t="shared" si="18"/>
        <v>-3.5000000000000009</v>
      </c>
      <c r="F65" s="77">
        <f t="shared" si="18"/>
        <v>0.49999999999999822</v>
      </c>
      <c r="G65" s="77">
        <f t="shared" si="18"/>
        <v>-3.0000000000000027</v>
      </c>
      <c r="H65" s="77">
        <f t="shared" si="18"/>
        <v>0.49999999999999822</v>
      </c>
      <c r="I65" s="77">
        <f t="shared" si="18"/>
        <v>-3.5000000000000009</v>
      </c>
      <c r="J65" s="77">
        <f t="shared" si="18"/>
        <v>-3.0000000000000027</v>
      </c>
      <c r="K65" s="77">
        <f t="shared" si="18"/>
        <v>-3.0000000000000027</v>
      </c>
      <c r="L65" s="77">
        <f t="shared" si="18"/>
        <v>-2.0000000000000018</v>
      </c>
      <c r="M65" s="77">
        <f t="shared" si="18"/>
        <v>-1.0000000000000009</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1" t="s">
        <v>149</v>
      </c>
      <c r="B66" s="78" t="str">
        <f>IF(B64&lt;=B63,"OVER","UNDER")</f>
        <v>UNDER</v>
      </c>
      <c r="C66" s="78" t="str">
        <f t="shared" ref="C66:U66" si="19">IF(C64&lt;=C63,"OVER","UNDER")</f>
        <v>UNDER</v>
      </c>
      <c r="D66" s="78" t="str">
        <f t="shared" si="19"/>
        <v>OVER</v>
      </c>
      <c r="E66" s="78" t="str">
        <f t="shared" si="19"/>
        <v>UNDER</v>
      </c>
      <c r="F66" s="78" t="str">
        <f t="shared" si="19"/>
        <v>OVER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g7sw55/EdKJCAS6n5VnlmgH3Xnx+TXCvtEl0ToHzzC74nqPF+AMpPRWgxBlAmXEeTNqDNyTRxwvqqeAVkFf0g==" saltValue="HuGWt2rHuQ6IiNdpkCX1D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31:B50 B62:U66">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3" t="s">
        <v>84</v>
      </c>
      <c r="B1" s="38" t="str">
        <f>'Field data and Waste 1 (sludge)'!B29</f>
        <v>Application Rate</v>
      </c>
      <c r="C1" s="38" t="str">
        <f>'Field data and Waste 1 (sludge)'!C29</f>
        <v>Nitrogen Addition</v>
      </c>
      <c r="D1" s="38" t="str">
        <f>'Field data and Waste 1 (sludge)'!D29</f>
        <v>Phosphate Addition</v>
      </c>
      <c r="E1" s="38" t="str">
        <f>'Field data and Waste 1 (sludge)'!E29</f>
        <v>Potash  Addition</v>
      </c>
      <c r="F1" s="38" t="str">
        <f>'Field data and Waste 1 (sludge)'!F29</f>
        <v>Mg Oxide Addition</v>
      </c>
      <c r="G1" s="38" t="str">
        <f>'Field data and Waste 1 (sludge)'!G29</f>
        <v>Copper Addition</v>
      </c>
      <c r="H1" s="38" t="str">
        <f>'Field data and Waste 1 (sludge)'!H29</f>
        <v>Zinc Addition</v>
      </c>
      <c r="I1" s="38" t="str">
        <f>'Field data and Waste 1 (sludge)'!I29</f>
        <v>Lead Addition</v>
      </c>
      <c r="J1" s="38" t="str">
        <f>'Field data and Waste 1 (sludge)'!J29</f>
        <v>Cadmium Addition</v>
      </c>
      <c r="K1" s="38" t="str">
        <f>'Field data and Waste 1 (sludge)'!K29</f>
        <v>Mercury Addition</v>
      </c>
      <c r="L1" s="38" t="str">
        <f>'Field data and Waste 1 (sludge)'!L29</f>
        <v>Nickel Addition</v>
      </c>
      <c r="M1" s="38" t="str">
        <f>'Field data and Waste 1 (sludge)'!M29</f>
        <v>Chromium Addition</v>
      </c>
      <c r="N1" s="38" t="str">
        <f>'Field data and Waste 1 (sludge)'!N29</f>
        <v>Aluminium Addition</v>
      </c>
      <c r="O1" s="38" t="str">
        <f>'Field data and Waste 1 (sludge)'!O29</f>
        <v>Iron Addition</v>
      </c>
      <c r="P1" s="38" t="str">
        <f>'Field data and Waste 1 (sludge)'!P29</f>
        <v xml:space="preserve">Sodium Addition                 </v>
      </c>
      <c r="Q1" s="38" t="str">
        <f>'Field data and Waste 1 (sludge)'!Q29</f>
        <v>SO3  Addition                             kg/ha</v>
      </c>
      <c r="R1" s="38" t="str">
        <f>'Field data and Waste 1 (sludge)'!R29</f>
        <v xml:space="preserve">Selenium Addition </v>
      </c>
      <c r="S1" s="38" t="str">
        <f>'Field data and Waste 1 (sludge)'!S29</f>
        <v xml:space="preserve">Arsenic  Addition  </v>
      </c>
      <c r="T1" s="38" t="str">
        <f>'Field data and Waste 1 (sludge)'!T29</f>
        <v xml:space="preserve">Molybdenum Addition  </v>
      </c>
      <c r="U1" s="38" t="str">
        <f>'Field data and Waste 1 (sludge)'!U29</f>
        <v xml:space="preserve">Fluoride Addition </v>
      </c>
    </row>
    <row r="2" spans="1:21" ht="25.5" x14ac:dyDescent="0.2">
      <c r="A2" s="143"/>
      <c r="B2" s="38" t="str">
        <f>'Field data and Waste 1 (sludge)'!B30</f>
        <v>tonnes/ha</v>
      </c>
      <c r="C2" s="38" t="str">
        <f>'Field data and Waste 1 (sludge)'!C30</f>
        <v>kg/ha</v>
      </c>
      <c r="D2" s="38" t="str">
        <f>'Field data and Waste 1 (sludge)'!D30</f>
        <v>P2O5 
kg/ha</v>
      </c>
      <c r="E2" s="38" t="str">
        <f>'Field data and Waste 1 (sludge)'!E30</f>
        <v>K2O 
kg/ha</v>
      </c>
      <c r="F2" s="38" t="str">
        <f>'Field data and Waste 1 (sludge)'!F30</f>
        <v>MgO 
kg/ha</v>
      </c>
      <c r="G2" s="38" t="str">
        <f>'Field data and Waste 1 (sludge)'!G30</f>
        <v>kg/ha</v>
      </c>
      <c r="H2" s="38" t="str">
        <f>'Field data and Waste 1 (sludge)'!H30</f>
        <v>kg/ha</v>
      </c>
      <c r="I2" s="38" t="str">
        <f>'Field data and Waste 1 (sludge)'!I30</f>
        <v>kg/ha</v>
      </c>
      <c r="J2" s="38" t="str">
        <f>'Field data and Waste 1 (sludge)'!J30</f>
        <v>kg/ha</v>
      </c>
      <c r="K2" s="38" t="str">
        <f>'Field data and Waste 1 (sludge)'!K30</f>
        <v>kg/ha</v>
      </c>
      <c r="L2" s="38" t="str">
        <f>'Field data and Waste 1 (sludge)'!L30</f>
        <v>kg/ha</v>
      </c>
      <c r="M2" s="38" t="str">
        <f>'Field data and Waste 1 (sludge)'!M30</f>
        <v>kg/ha</v>
      </c>
      <c r="N2" s="38" t="str">
        <f>'Field data and Waste 1 (sludge)'!N30</f>
        <v>kg/ha</v>
      </c>
      <c r="O2" s="38" t="str">
        <f>'Field data and Waste 1 (sludge)'!O30</f>
        <v>kg/ha</v>
      </c>
      <c r="P2" s="38" t="str">
        <f>'Field data and Waste 1 (sludge)'!P30</f>
        <v>kg/ha</v>
      </c>
      <c r="Q2" s="38" t="str">
        <f>'Field data and Waste 1 (sludge)'!Q30</f>
        <v>kg/ha</v>
      </c>
      <c r="R2" s="38" t="str">
        <f>'Field data and Waste 1 (sludge)'!R30</f>
        <v>kg/ha</v>
      </c>
      <c r="S2" s="38" t="str">
        <f>'Field data and Waste 1 (sludge)'!S30</f>
        <v>kg/ha</v>
      </c>
      <c r="T2" s="38" t="str">
        <f>'Field data and Waste 1 (sludge)'!T30</f>
        <v>kg/ha</v>
      </c>
      <c r="U2" s="38" t="str">
        <f>'Field data and Waste 1 (sludge)'!U30</f>
        <v>kg/ha</v>
      </c>
    </row>
    <row r="3" spans="1:21" x14ac:dyDescent="0.2">
      <c r="A3" s="36">
        <v>1</v>
      </c>
      <c r="B3" s="33">
        <f>'Field data and Waste 1 (sludge)'!B31</f>
        <v>0</v>
      </c>
      <c r="C3" s="33">
        <f>'Field data and Waste 1 (sludge)'!C31</f>
        <v>0</v>
      </c>
      <c r="D3" s="33">
        <f>'Field data and Waste 1 (sludge)'!D31</f>
        <v>0</v>
      </c>
      <c r="E3" s="33">
        <f>'Field data and Waste 1 (sludge)'!E31</f>
        <v>0</v>
      </c>
      <c r="F3" s="33">
        <f>'Field data and Waste 1 (sludge)'!F31</f>
        <v>0</v>
      </c>
      <c r="G3" s="33">
        <f>'Field data and Waste 1 (sludge)'!G31</f>
        <v>0</v>
      </c>
      <c r="H3" s="33">
        <f>'Field data and Waste 1 (sludge)'!H31</f>
        <v>0</v>
      </c>
      <c r="I3" s="33">
        <f>'Field data and Waste 1 (sludge)'!I31</f>
        <v>0</v>
      </c>
      <c r="J3" s="33">
        <f>'Field data and Waste 1 (sludge)'!J31</f>
        <v>0</v>
      </c>
      <c r="K3" s="33">
        <f>'Field data and Waste 1 (sludge)'!K31</f>
        <v>0</v>
      </c>
      <c r="L3" s="33">
        <f>'Field data and Waste 1 (sludge)'!L31</f>
        <v>0</v>
      </c>
      <c r="M3" s="33">
        <f>'Field data and Waste 1 (sludge)'!M31</f>
        <v>0</v>
      </c>
      <c r="N3" s="33">
        <f>'Field data and Waste 1 (sludge)'!N31</f>
        <v>0</v>
      </c>
      <c r="O3" s="33">
        <f>'Field data and Waste 1 (sludge)'!O31</f>
        <v>0</v>
      </c>
      <c r="P3" s="33">
        <f>'Field data and Waste 1 (sludge)'!P31</f>
        <v>0</v>
      </c>
      <c r="Q3" s="33">
        <f>'Field data and Waste 1 (sludge)'!Q31</f>
        <v>0</v>
      </c>
      <c r="R3" s="33">
        <f>'Field data and Waste 1 (sludge)'!R31</f>
        <v>0</v>
      </c>
      <c r="S3" s="33">
        <f>'Field data and Waste 1 (sludge)'!S31</f>
        <v>0</v>
      </c>
      <c r="T3" s="33">
        <f>'Field data and Waste 1 (sludge)'!T31</f>
        <v>0</v>
      </c>
      <c r="U3" s="33">
        <f>'Field data and Waste 1 (sludge)'!U31</f>
        <v>0</v>
      </c>
    </row>
    <row r="4" spans="1:21" x14ac:dyDescent="0.2">
      <c r="A4" s="36">
        <v>2</v>
      </c>
      <c r="B4" s="33">
        <f>'Waste 2 (effluent)'!B31</f>
        <v>0</v>
      </c>
      <c r="C4" s="33">
        <f>'Waste 2 (effluent)'!C31</f>
        <v>0</v>
      </c>
      <c r="D4" s="33">
        <f>'Waste 2 (effluent)'!D31</f>
        <v>0</v>
      </c>
      <c r="E4" s="33">
        <f>'Waste 2 (effluent)'!E31</f>
        <v>0</v>
      </c>
      <c r="F4" s="33">
        <f>'Waste 2 (effluent)'!F31</f>
        <v>0</v>
      </c>
      <c r="G4" s="33">
        <f>'Waste 2 (effluent)'!G31</f>
        <v>0</v>
      </c>
      <c r="H4" s="33">
        <f>'Waste 2 (effluent)'!H31</f>
        <v>0</v>
      </c>
      <c r="I4" s="33">
        <f>'Waste 2 (effluent)'!I31</f>
        <v>0</v>
      </c>
      <c r="J4" s="33">
        <f>'Waste 2 (effluent)'!J31</f>
        <v>0</v>
      </c>
      <c r="K4" s="33">
        <f>'Waste 2 (effluent)'!K31</f>
        <v>0</v>
      </c>
      <c r="L4" s="33">
        <f>'Waste 2 (effluent)'!L31</f>
        <v>0</v>
      </c>
      <c r="M4" s="33">
        <f>'Waste 2 (effluent)'!M31</f>
        <v>0</v>
      </c>
      <c r="N4" s="33">
        <f>'Waste 2 (effluent)'!N31</f>
        <v>0</v>
      </c>
      <c r="O4" s="33">
        <f>'Waste 2 (effluent)'!O31</f>
        <v>0</v>
      </c>
      <c r="P4" s="33">
        <f>'Waste 2 (effluent)'!P31</f>
        <v>0</v>
      </c>
      <c r="Q4" s="33">
        <f>'Waste 2 (effluent)'!Q31</f>
        <v>0</v>
      </c>
      <c r="R4" s="33">
        <f>'Waste 2 (effluent)'!R31</f>
        <v>0</v>
      </c>
      <c r="S4" s="33">
        <f>'Waste 2 (effluent)'!S31</f>
        <v>0</v>
      </c>
      <c r="T4" s="33">
        <f>'Waste 2 (effluent)'!T31</f>
        <v>0</v>
      </c>
      <c r="U4" s="33">
        <f>'Waste 2 (effluent)'!U31</f>
        <v>0</v>
      </c>
    </row>
    <row r="5" spans="1:21" x14ac:dyDescent="0.2">
      <c r="A5" s="36">
        <v>3</v>
      </c>
      <c r="B5" s="33">
        <f>'Waste 3 (BPD)'!B31</f>
        <v>5.5</v>
      </c>
      <c r="C5" s="33">
        <f>'Waste 3 (BPD)'!C31</f>
        <v>1.4998499999999999</v>
      </c>
      <c r="D5" s="33">
        <f>'Waste 3 (BPD)'!D31</f>
        <v>5.1771422340000006</v>
      </c>
      <c r="E5" s="33">
        <f>'Waste 3 (BPD)'!E31</f>
        <v>249.51849565500001</v>
      </c>
      <c r="F5" s="33">
        <f>'Waste 3 (BPD)'!F31</f>
        <v>35.635146129000006</v>
      </c>
      <c r="G5" s="33">
        <f>'Waste 3 (BPD)'!G31</f>
        <v>0.37546245</v>
      </c>
      <c r="H5" s="33">
        <f>'Waste 3 (BPD)'!H31</f>
        <v>0.90990899999999997</v>
      </c>
      <c r="I5" s="33">
        <f>'Waste 3 (BPD)'!I31</f>
        <v>1.0548945000000001</v>
      </c>
      <c r="J5" s="33">
        <f>'Waste 3 (BPD)'!J31</f>
        <v>0.11348865000000001</v>
      </c>
      <c r="K5" s="33">
        <f>'Waste 3 (BPD)'!K31</f>
        <v>4.9995000000000009E-4</v>
      </c>
      <c r="L5" s="33">
        <f>'Waste 3 (BPD)'!L31</f>
        <v>8.0991899999999992E-2</v>
      </c>
      <c r="M5" s="33">
        <f>'Waste 3 (BPD)'!M31</f>
        <v>0.16798320000000003</v>
      </c>
      <c r="N5" s="33">
        <f>'Waste 3 (BPD)'!N31</f>
        <v>0</v>
      </c>
      <c r="O5" s="33">
        <f>'Waste 3 (BPD)'!O31</f>
        <v>0</v>
      </c>
      <c r="P5" s="33">
        <f>'Waste 3 (BPD)'!P31</f>
        <v>16.163383500000002</v>
      </c>
      <c r="Q5" s="33">
        <f>'Waste 3 (BPD)'!Q31</f>
        <v>195.330465</v>
      </c>
      <c r="R5" s="33">
        <f>'Waste 3 (BPD)'!R31</f>
        <v>6.4493549999999997E-2</v>
      </c>
      <c r="S5" s="33">
        <f>'Waste 3 (BPD)'!S31</f>
        <v>2.7247274999999998E-2</v>
      </c>
      <c r="T5" s="33">
        <f>'Waste 3 (BPD)'!T31</f>
        <v>2.2397760000000003E-2</v>
      </c>
      <c r="U5" s="33">
        <f>'Waste 3 (BPD)'!U31</f>
        <v>2.9547045000000001</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5.5</v>
      </c>
      <c r="C13" s="81">
        <f t="shared" ref="C13:U13" si="0">SUM(C3:C12)</f>
        <v>1.4998499999999999</v>
      </c>
      <c r="D13" s="81">
        <f t="shared" si="0"/>
        <v>5.1771422340000006</v>
      </c>
      <c r="E13" s="81">
        <f t="shared" si="0"/>
        <v>249.51849565500001</v>
      </c>
      <c r="F13" s="81">
        <f t="shared" si="0"/>
        <v>35.635146129000006</v>
      </c>
      <c r="G13" s="81">
        <f t="shared" si="0"/>
        <v>0.37546245</v>
      </c>
      <c r="H13" s="81">
        <f t="shared" si="0"/>
        <v>0.90990899999999997</v>
      </c>
      <c r="I13" s="81">
        <f t="shared" si="0"/>
        <v>1.0548945000000001</v>
      </c>
      <c r="J13" s="81">
        <f t="shared" si="0"/>
        <v>0.11348865000000001</v>
      </c>
      <c r="K13" s="81">
        <f t="shared" si="0"/>
        <v>4.9995000000000009E-4</v>
      </c>
      <c r="L13" s="81">
        <f t="shared" si="0"/>
        <v>8.0991899999999992E-2</v>
      </c>
      <c r="M13" s="81">
        <f t="shared" si="0"/>
        <v>0.16798320000000003</v>
      </c>
      <c r="N13" s="81">
        <f t="shared" si="0"/>
        <v>0</v>
      </c>
      <c r="O13" s="81">
        <f t="shared" si="0"/>
        <v>0</v>
      </c>
      <c r="P13" s="81">
        <f t="shared" si="0"/>
        <v>16.163383500000002</v>
      </c>
      <c r="Q13" s="81">
        <f t="shared" si="0"/>
        <v>195.330465</v>
      </c>
      <c r="R13" s="81">
        <f t="shared" si="0"/>
        <v>6.4493549999999997E-2</v>
      </c>
      <c r="S13" s="81">
        <f t="shared" si="0"/>
        <v>2.7247274999999998E-2</v>
      </c>
      <c r="T13" s="81">
        <f t="shared" si="0"/>
        <v>2.2397760000000003E-2</v>
      </c>
      <c r="U13" s="81">
        <f t="shared" si="0"/>
        <v>2.9547045000000001</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4" t="s">
        <v>84</v>
      </c>
      <c r="B1" s="34" t="s">
        <v>153</v>
      </c>
      <c r="C1" s="35" t="str">
        <f>'Field data and Waste 1 (sludge)'!B29</f>
        <v>Application Rate</v>
      </c>
      <c r="D1" s="35" t="str">
        <f>'Field data and Waste 1 (sludge)'!C29</f>
        <v>Nitrogen Addition</v>
      </c>
      <c r="E1" s="35" t="str">
        <f>'Field data and Waste 1 (sludge)'!D29</f>
        <v>Phosphate Addition</v>
      </c>
      <c r="F1" s="35" t="str">
        <f>'Field data and Waste 1 (sludge)'!E29</f>
        <v>Potash  Addition</v>
      </c>
      <c r="G1" s="35" t="str">
        <f>'Field data and Waste 1 (sludge)'!F29</f>
        <v>Mg Oxide Addition</v>
      </c>
      <c r="H1" s="35" t="str">
        <f>'Field data and Waste 1 (sludge)'!G29</f>
        <v>Copper Addition</v>
      </c>
      <c r="I1" s="35" t="str">
        <f>'Field data and Waste 1 (sludge)'!H29</f>
        <v>Zinc Addition</v>
      </c>
      <c r="J1" s="35" t="str">
        <f>'Field data and Waste 1 (sludge)'!I29</f>
        <v>Lead Addition</v>
      </c>
      <c r="K1" s="35" t="str">
        <f>'Field data and Waste 1 (sludge)'!J29</f>
        <v>Cadmium Addition</v>
      </c>
      <c r="L1" s="35" t="str">
        <f>'Field data and Waste 1 (sludge)'!K29</f>
        <v>Mercury Addition</v>
      </c>
      <c r="M1" s="35" t="str">
        <f>'Field data and Waste 1 (sludge)'!L29</f>
        <v>Nickel Addition</v>
      </c>
      <c r="N1" s="35" t="str">
        <f>'Field data and Waste 1 (sludge)'!M29</f>
        <v>Chromium Addition</v>
      </c>
      <c r="O1" s="35" t="str">
        <f>'Field data and Waste 1 (sludge)'!N29</f>
        <v>Aluminium Addition</v>
      </c>
      <c r="P1" s="35" t="str">
        <f>'Field data and Waste 1 (sludge)'!O29</f>
        <v>Iron Addition</v>
      </c>
      <c r="Q1" s="35" t="str">
        <f>'Field data and Waste 1 (sludge)'!P29</f>
        <v xml:space="preserve">Sodium Addition                 </v>
      </c>
      <c r="R1" s="35" t="str">
        <f>'Field data and Waste 1 (sludge)'!Q29</f>
        <v>SO3  Addition                             kg/ha</v>
      </c>
      <c r="S1" s="35" t="str">
        <f>'Field data and Waste 1 (sludge)'!R29</f>
        <v xml:space="preserve">Selenium Addition </v>
      </c>
      <c r="T1" s="35" t="str">
        <f>'Field data and Waste 1 (sludge)'!S29</f>
        <v xml:space="preserve">Arsenic  Addition  </v>
      </c>
      <c r="U1" s="35" t="str">
        <f>'Field data and Waste 1 (sludge)'!T29</f>
        <v xml:space="preserve">Molybdenum Addition  </v>
      </c>
      <c r="V1" s="35" t="str">
        <f>'Field data and Waste 1 (sludge)'!U29</f>
        <v xml:space="preserve">Fluoride Addition </v>
      </c>
    </row>
    <row r="2" spans="1:22" s="83" customFormat="1" ht="25.5" x14ac:dyDescent="0.25">
      <c r="A2" s="144"/>
      <c r="B2" s="32" t="s">
        <v>46</v>
      </c>
      <c r="C2" s="35" t="str">
        <f>'Field data and Waste 1 (sludge)'!B30</f>
        <v>tonnes/ha</v>
      </c>
      <c r="D2" s="35" t="str">
        <f>'Field data and Waste 1 (sludge)'!C30</f>
        <v>kg/ha</v>
      </c>
      <c r="E2" s="35" t="str">
        <f>'Field data and Waste 1 (sludge)'!D30</f>
        <v>P2O5 
kg/ha</v>
      </c>
      <c r="F2" s="35" t="str">
        <f>'Field data and Waste 1 (sludge)'!E30</f>
        <v>K2O 
kg/ha</v>
      </c>
      <c r="G2" s="35" t="str">
        <f>'Field data and Waste 1 (sludge)'!F30</f>
        <v>MgO 
kg/ha</v>
      </c>
      <c r="H2" s="35" t="str">
        <f>'Field data and Waste 1 (sludge)'!G30</f>
        <v>kg/ha</v>
      </c>
      <c r="I2" s="35" t="str">
        <f>'Field data and Waste 1 (sludge)'!H30</f>
        <v>kg/ha</v>
      </c>
      <c r="J2" s="35" t="str">
        <f>'Field data and Waste 1 (sludge)'!I30</f>
        <v>kg/ha</v>
      </c>
      <c r="K2" s="35" t="str">
        <f>'Field data and Waste 1 (sludge)'!J30</f>
        <v>kg/ha</v>
      </c>
      <c r="L2" s="35" t="str">
        <f>'Field data and Waste 1 (sludge)'!K30</f>
        <v>kg/ha</v>
      </c>
      <c r="M2" s="35" t="str">
        <f>'Field data and Waste 1 (sludge)'!L30</f>
        <v>kg/ha</v>
      </c>
      <c r="N2" s="35" t="str">
        <f>'Field data and Waste 1 (sludge)'!M30</f>
        <v>kg/ha</v>
      </c>
      <c r="O2" s="35" t="str">
        <f>'Field data and Waste 1 (sludge)'!N30</f>
        <v>kg/ha</v>
      </c>
      <c r="P2" s="35" t="str">
        <f>'Field data and Waste 1 (sludge)'!O30</f>
        <v>kg/ha</v>
      </c>
      <c r="Q2" s="35" t="str">
        <f>'Field data and Waste 1 (sludge)'!P30</f>
        <v>kg/ha</v>
      </c>
      <c r="R2" s="35" t="str">
        <f>'Field data and Waste 1 (sludge)'!Q30</f>
        <v>kg/ha</v>
      </c>
      <c r="S2" s="35" t="str">
        <f>'Field data and Waste 1 (sludge)'!R30</f>
        <v>kg/ha</v>
      </c>
      <c r="T2" s="35" t="str">
        <f>'Field data and Waste 1 (sludge)'!S30</f>
        <v>kg/ha</v>
      </c>
      <c r="U2" s="35" t="str">
        <f>'Field data and Waste 1 (sludge)'!T30</f>
        <v>kg/ha</v>
      </c>
      <c r="V2" s="35" t="str">
        <f>'Field data and Waste 1 (sludge)'!U30</f>
        <v>kg/ha</v>
      </c>
    </row>
    <row r="3" spans="1:22" x14ac:dyDescent="0.2">
      <c r="A3" s="36">
        <v>1</v>
      </c>
      <c r="B3" s="91"/>
      <c r="C3" s="33">
        <f>'Field data and Waste 1 (sludge)'!B31</f>
        <v>0</v>
      </c>
      <c r="D3" s="33">
        <f>'Field data and Waste 1 (sludge)'!C31</f>
        <v>0</v>
      </c>
      <c r="E3" s="33">
        <f>'Field data and Waste 1 (sludge)'!D31</f>
        <v>0</v>
      </c>
      <c r="F3" s="33">
        <f>'Field data and Waste 1 (sludge)'!E31</f>
        <v>0</v>
      </c>
      <c r="G3" s="33">
        <f>'Field data and Waste 1 (sludge)'!F31</f>
        <v>0</v>
      </c>
      <c r="H3" s="33">
        <f>'Field data and Waste 1 (sludge)'!G31</f>
        <v>0</v>
      </c>
      <c r="I3" s="33">
        <f>'Field data and Waste 1 (sludge)'!H31</f>
        <v>0</v>
      </c>
      <c r="J3" s="33">
        <f>'Field data and Waste 1 (sludge)'!I31</f>
        <v>0</v>
      </c>
      <c r="K3" s="33">
        <f>'Field data and Waste 1 (sludge)'!J31</f>
        <v>0</v>
      </c>
      <c r="L3" s="33">
        <f>'Field data and Waste 1 (sludge)'!K31</f>
        <v>0</v>
      </c>
      <c r="M3" s="33">
        <f>'Field data and Waste 1 (sludge)'!L31</f>
        <v>0</v>
      </c>
      <c r="N3" s="33">
        <f>'Field data and Waste 1 (sludge)'!M31</f>
        <v>0</v>
      </c>
      <c r="O3" s="33">
        <f>'Field data and Waste 1 (sludge)'!N31</f>
        <v>0</v>
      </c>
      <c r="P3" s="33">
        <f>'Field data and Waste 1 (sludge)'!O31</f>
        <v>0</v>
      </c>
      <c r="Q3" s="33">
        <f>'Field data and Waste 1 (sludge)'!P31</f>
        <v>0</v>
      </c>
      <c r="R3" s="33">
        <f>'Field data and Waste 1 (sludge)'!Q31</f>
        <v>0</v>
      </c>
      <c r="S3" s="33">
        <f>'Field data and Waste 1 (sludge)'!R31</f>
        <v>0</v>
      </c>
      <c r="T3" s="33">
        <f>'Field data and Waste 1 (sludge)'!S31</f>
        <v>0</v>
      </c>
      <c r="U3" s="33">
        <f>'Field data and Waste 1 (sludge)'!T31</f>
        <v>0</v>
      </c>
      <c r="V3" s="33">
        <f>'Field data and Waste 1 (sludge)'!U31</f>
        <v>0</v>
      </c>
    </row>
    <row r="4" spans="1:22" x14ac:dyDescent="0.2">
      <c r="A4" s="36">
        <v>2</v>
      </c>
      <c r="B4" s="91"/>
      <c r="C4" s="33">
        <f>'Waste 2 (effluent)'!B31</f>
        <v>0</v>
      </c>
      <c r="D4" s="33">
        <f>'Waste 2 (effluent)'!C31</f>
        <v>0</v>
      </c>
      <c r="E4" s="33">
        <f>'Waste 2 (effluent)'!D31</f>
        <v>0</v>
      </c>
      <c r="F4" s="33">
        <f>'Waste 2 (effluent)'!E31</f>
        <v>0</v>
      </c>
      <c r="G4" s="33">
        <f>'Waste 2 (effluent)'!F31</f>
        <v>0</v>
      </c>
      <c r="H4" s="33">
        <f>'Waste 2 (effluent)'!G31</f>
        <v>0</v>
      </c>
      <c r="I4" s="33">
        <f>'Waste 2 (effluent)'!H31</f>
        <v>0</v>
      </c>
      <c r="J4" s="33">
        <f>'Waste 2 (effluent)'!I31</f>
        <v>0</v>
      </c>
      <c r="K4" s="33">
        <f>'Waste 2 (effluent)'!J31</f>
        <v>0</v>
      </c>
      <c r="L4" s="33">
        <f>'Waste 2 (effluent)'!K31</f>
        <v>0</v>
      </c>
      <c r="M4" s="33">
        <f>'Waste 2 (effluent)'!L31</f>
        <v>0</v>
      </c>
      <c r="N4" s="33">
        <f>'Waste 2 (effluent)'!M31</f>
        <v>0</v>
      </c>
      <c r="O4" s="33">
        <f>'Waste 2 (effluent)'!N31</f>
        <v>0</v>
      </c>
      <c r="P4" s="33">
        <f>'Waste 2 (effluent)'!O31</f>
        <v>0</v>
      </c>
      <c r="Q4" s="33">
        <f>'Waste 2 (effluent)'!P31</f>
        <v>0</v>
      </c>
      <c r="R4" s="33">
        <f>'Waste 2 (effluent)'!Q31</f>
        <v>0</v>
      </c>
      <c r="S4" s="33">
        <f>'Waste 2 (effluent)'!R31</f>
        <v>0</v>
      </c>
      <c r="T4" s="33">
        <f>'Waste 2 (effluent)'!S31</f>
        <v>0</v>
      </c>
      <c r="U4" s="33">
        <f>'Waste 2 (effluent)'!T31</f>
        <v>0</v>
      </c>
      <c r="V4" s="33">
        <f>'Waste 2 (effluent)'!U31</f>
        <v>0</v>
      </c>
    </row>
    <row r="5" spans="1:22" x14ac:dyDescent="0.2">
      <c r="A5" s="36">
        <v>3</v>
      </c>
      <c r="B5" s="91"/>
      <c r="C5" s="33">
        <f>'Waste 3 (BPD)'!B31</f>
        <v>5.5</v>
      </c>
      <c r="D5" s="33">
        <f>'Waste 3 (BPD)'!C31</f>
        <v>1.4998499999999999</v>
      </c>
      <c r="E5" s="33">
        <f>'Waste 3 (BPD)'!D31</f>
        <v>5.1771422340000006</v>
      </c>
      <c r="F5" s="33">
        <f>'Waste 3 (BPD)'!E31</f>
        <v>249.51849565500001</v>
      </c>
      <c r="G5" s="33">
        <f>'Waste 3 (BPD)'!F31</f>
        <v>35.635146129000006</v>
      </c>
      <c r="H5" s="33">
        <f>'Waste 3 (BPD)'!G31</f>
        <v>0.37546245</v>
      </c>
      <c r="I5" s="33">
        <f>'Waste 3 (BPD)'!H31</f>
        <v>0.90990899999999997</v>
      </c>
      <c r="J5" s="33">
        <f>'Waste 3 (BPD)'!I31</f>
        <v>1.0548945000000001</v>
      </c>
      <c r="K5" s="33">
        <f>'Waste 3 (BPD)'!J31</f>
        <v>0.11348865000000001</v>
      </c>
      <c r="L5" s="33">
        <f>'Waste 3 (BPD)'!K31</f>
        <v>4.9995000000000009E-4</v>
      </c>
      <c r="M5" s="33">
        <f>'Waste 3 (BPD)'!L31</f>
        <v>8.0991899999999992E-2</v>
      </c>
      <c r="N5" s="33">
        <f>'Waste 3 (BPD)'!M31</f>
        <v>0.16798320000000003</v>
      </c>
      <c r="O5" s="33">
        <f>'Waste 3 (BPD)'!N31</f>
        <v>0</v>
      </c>
      <c r="P5" s="33">
        <f>'Waste 3 (BPD)'!O31</f>
        <v>0</v>
      </c>
      <c r="Q5" s="33">
        <f>'Waste 3 (BPD)'!P31</f>
        <v>16.163383500000002</v>
      </c>
      <c r="R5" s="33">
        <f>'Waste 3 (BPD)'!Q31</f>
        <v>195.330465</v>
      </c>
      <c r="S5" s="33">
        <f>'Waste 3 (BPD)'!R31</f>
        <v>6.4493549999999997E-2</v>
      </c>
      <c r="T5" s="33">
        <f>'Waste 3 (BPD)'!S31</f>
        <v>2.7247274999999998E-2</v>
      </c>
      <c r="U5" s="33">
        <f>'Waste 3 (BPD)'!T31</f>
        <v>2.2397760000000003E-2</v>
      </c>
      <c r="V5" s="33">
        <f>'Waste 3 (BPD)'!U31</f>
        <v>2.9547045000000001</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3" t="s">
        <v>84</v>
      </c>
      <c r="B15" s="35" t="s">
        <v>153</v>
      </c>
      <c r="C15" s="35">
        <f>'Field data and Waste 1 (sludge)'!B43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3"/>
      <c r="B16" s="32" t="s">
        <v>46</v>
      </c>
      <c r="C16" s="35">
        <f>'Field data and Waste 1 (sludge)'!B44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5" t="s">
        <v>85</v>
      </c>
      <c r="B27" s="145"/>
      <c r="C27" s="145"/>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REGU-415-1629306</_dlc_DocId>
    <_dlc_DocIdUrl xmlns="9be56660-2c31-41ef-bc00-23e72f632f2a">
      <Url>https://cyfoethnaturiolcymru.sharepoint.com/teams/Regulatory/Permitting/_layouts/15/DocIdRedir.aspx?ID=REGU-415-1629306</Url>
      <Description>REGU-415-1629306</Description>
    </_dlc_DocIdUrl>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2021-11-11T00:00:00+00:00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R L Waste Consultancy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C50BE6-2459-4A3B-AA26-BA86C7D6B2C1}"/>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CA83A218-1996-4287-A268-5D6453CC2981}"/>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 (sludge)</vt:lpstr>
      <vt:lpstr>Waste 2 (effluent)</vt:lpstr>
      <vt:lpstr>Waste 3 (BPD)</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Bailey, Louise</cp:lastModifiedBy>
  <dcterms:created xsi:type="dcterms:W3CDTF">2016-09-26T10:07:59Z</dcterms:created>
  <dcterms:modified xsi:type="dcterms:W3CDTF">2021-11-10T10:05:45Z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1f971f6a-8e2c-4328-9712-c3437d09a0b7</vt:lpwstr>
  </property>
</Properties>
</file>