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Permitting/Mobile Plant/EPR-GP3792SK/PAN-015421/"/>
    </mc:Choice>
  </mc:AlternateContent>
  <xr:revisionPtr revIDLastSave="0" documentId="13_ncr:1_{9B496D81-6610-4345-9779-FA54940FAE9E}" xr6:coauthVersionLast="46" xr6:coauthVersionMax="46" xr10:uidLastSave="{00000000-0000-0000-0000-000000000000}"/>
  <bookViews>
    <workbookView xWindow="-110" yWindow="-110" windowWidth="19420" windowHeight="10420" tabRatio="870" activeTab="4" xr2:uid="{00000000-000D-0000-FFFF-FFFF00000000}"/>
  </bookViews>
  <sheets>
    <sheet name="Bryngwyn" sheetId="1" r:id="rId1"/>
    <sheet name="Capel Dewi" sheetId="21" r:id="rId2"/>
    <sheet name="Cefn Dryscoed" sheetId="27" r:id="rId3"/>
    <sheet name="Crai" sheetId="28" r:id="rId4"/>
    <sheet name="Elan" sheetId="30" r:id="rId5"/>
    <sheet name="Hirwaun" sheetId="26" r:id="rId6"/>
    <sheet name="Llyswen" sheetId="24" r:id="rId7"/>
    <sheet name="Pontsticill" sheetId="29" r:id="rId8"/>
    <sheet name="Talybont" sheetId="23" r:id="rId9"/>
    <sheet name="Whitbourn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I65" i="1" l="1"/>
  <c r="J65" i="1"/>
  <c r="K65" i="1"/>
  <c r="L65" i="1"/>
  <c r="M65" i="1"/>
  <c r="N65" i="1"/>
  <c r="O65" i="1"/>
  <c r="P65" i="1"/>
  <c r="Q65" i="1"/>
  <c r="R65" i="1"/>
  <c r="S65" i="1"/>
  <c r="T65" i="1"/>
  <c r="U65" i="1"/>
  <c r="I65" i="21"/>
  <c r="J65" i="21"/>
  <c r="K65" i="21"/>
  <c r="L65" i="21"/>
  <c r="M65" i="21"/>
  <c r="N65" i="21"/>
  <c r="O65" i="21"/>
  <c r="P65" i="21"/>
  <c r="Q65" i="21"/>
  <c r="R65" i="21"/>
  <c r="S65" i="21"/>
  <c r="T65" i="21"/>
  <c r="U65" i="21"/>
  <c r="K65" i="27"/>
  <c r="L65" i="27"/>
  <c r="M65" i="27"/>
  <c r="N65" i="27"/>
  <c r="O65" i="27"/>
  <c r="P65" i="27"/>
  <c r="Q65" i="27"/>
  <c r="R65" i="27"/>
  <c r="S65" i="27"/>
  <c r="T65" i="27"/>
  <c r="U65" i="27"/>
  <c r="I65" i="28"/>
  <c r="J65" i="28"/>
  <c r="K65" i="28"/>
  <c r="L65" i="28"/>
  <c r="M65" i="28"/>
  <c r="N65" i="28"/>
  <c r="O65" i="28"/>
  <c r="P65" i="28"/>
  <c r="Q65" i="28"/>
  <c r="R65" i="28"/>
  <c r="S65" i="28"/>
  <c r="T65" i="28"/>
  <c r="U65" i="28"/>
  <c r="I65" i="30"/>
  <c r="J65" i="30"/>
  <c r="K65" i="30"/>
  <c r="L65" i="30"/>
  <c r="M65" i="30"/>
  <c r="N65" i="30"/>
  <c r="O65" i="30"/>
  <c r="P65" i="30"/>
  <c r="Q65" i="30"/>
  <c r="R65" i="30"/>
  <c r="S65" i="30"/>
  <c r="T65" i="30"/>
  <c r="U65" i="30"/>
  <c r="I65" i="26"/>
  <c r="J65" i="26"/>
  <c r="K65" i="26"/>
  <c r="L65" i="26"/>
  <c r="M65" i="26"/>
  <c r="N65" i="26"/>
  <c r="O65" i="26"/>
  <c r="P65" i="26"/>
  <c r="Q65" i="26"/>
  <c r="R65" i="26"/>
  <c r="S65" i="26"/>
  <c r="T65" i="26"/>
  <c r="U65" i="26"/>
  <c r="I65" i="24"/>
  <c r="J65" i="24"/>
  <c r="K65" i="24"/>
  <c r="L65" i="24"/>
  <c r="M65" i="24"/>
  <c r="N65" i="24"/>
  <c r="O65" i="24"/>
  <c r="P65" i="24"/>
  <c r="Q65" i="24"/>
  <c r="R65" i="24"/>
  <c r="S65" i="24"/>
  <c r="T65" i="24"/>
  <c r="U65" i="24"/>
  <c r="I65" i="29"/>
  <c r="J65" i="29"/>
  <c r="K65" i="29"/>
  <c r="L65" i="29"/>
  <c r="M65" i="29"/>
  <c r="N65" i="29"/>
  <c r="O65" i="29"/>
  <c r="P65" i="29"/>
  <c r="Q65" i="29"/>
  <c r="R65" i="29"/>
  <c r="S65" i="29"/>
  <c r="T65" i="29"/>
  <c r="U65" i="29"/>
  <c r="I65" i="23"/>
  <c r="J65" i="23"/>
  <c r="K65" i="23"/>
  <c r="L65" i="23"/>
  <c r="M65" i="23"/>
  <c r="N65" i="23"/>
  <c r="O65" i="23"/>
  <c r="P65" i="23"/>
  <c r="Q65" i="23"/>
  <c r="R65" i="23"/>
  <c r="S65" i="23"/>
  <c r="T65" i="23"/>
  <c r="U65" i="23"/>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O20" i="30"/>
  <c r="N20" i="30"/>
  <c r="M20" i="30"/>
  <c r="L20" i="30"/>
  <c r="K20" i="30"/>
  <c r="J20"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S22" i="29"/>
  <c r="Q22" i="29"/>
  <c r="L22" i="29"/>
  <c r="V20" i="29"/>
  <c r="U20" i="29"/>
  <c r="T20" i="29"/>
  <c r="S20" i="29"/>
  <c r="R20" i="29"/>
  <c r="Q20" i="29"/>
  <c r="P20" i="29"/>
  <c r="O20" i="29"/>
  <c r="N20" i="29"/>
  <c r="M20" i="29"/>
  <c r="L20" i="29"/>
  <c r="K20" i="29"/>
  <c r="J20" i="29"/>
  <c r="I20" i="29"/>
  <c r="H20" i="29"/>
  <c r="G20" i="29"/>
  <c r="F20" i="29"/>
  <c r="E20" i="29"/>
  <c r="D20" i="29"/>
  <c r="T18" i="29"/>
  <c r="N18" i="29"/>
  <c r="I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V20" i="28"/>
  <c r="U20" i="28"/>
  <c r="T20" i="28"/>
  <c r="S20" i="28"/>
  <c r="R20" i="28"/>
  <c r="Q20" i="28"/>
  <c r="P20" i="28"/>
  <c r="O20" i="28"/>
  <c r="N20" i="28"/>
  <c r="M20" i="28"/>
  <c r="L20" i="28"/>
  <c r="K20" i="28"/>
  <c r="J20" i="28"/>
  <c r="P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L20" i="27"/>
  <c r="U18" i="27"/>
  <c r="T18" i="27"/>
  <c r="L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0" i="26"/>
  <c r="U20" i="26"/>
  <c r="T20" i="26"/>
  <c r="S20" i="26"/>
  <c r="R20" i="26"/>
  <c r="Q20" i="26"/>
  <c r="P20" i="26"/>
  <c r="O20" i="26"/>
  <c r="N20" i="26"/>
  <c r="M20" i="26"/>
  <c r="L20" i="26"/>
  <c r="K20" i="26"/>
  <c r="J20" i="26"/>
  <c r="T18" i="26"/>
  <c r="S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V20" i="24"/>
  <c r="U20" i="24"/>
  <c r="T20" i="24"/>
  <c r="S20" i="24"/>
  <c r="R20" i="24"/>
  <c r="Q20" i="24"/>
  <c r="P20" i="24"/>
  <c r="O20" i="24"/>
  <c r="N20" i="24"/>
  <c r="M20" i="24"/>
  <c r="L20" i="24"/>
  <c r="K20" i="24"/>
  <c r="J20" i="24"/>
  <c r="U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M22" i="23"/>
  <c r="V20" i="23"/>
  <c r="U20" i="23"/>
  <c r="T20" i="23"/>
  <c r="S20" i="23"/>
  <c r="R20" i="23"/>
  <c r="Q20" i="23"/>
  <c r="P20" i="23"/>
  <c r="O20" i="23"/>
  <c r="N20" i="23"/>
  <c r="M20" i="23"/>
  <c r="L20" i="23"/>
  <c r="K20" i="23"/>
  <c r="J20" i="23"/>
  <c r="I20" i="23"/>
  <c r="H20" i="23"/>
  <c r="G20" i="23"/>
  <c r="F20" i="23"/>
  <c r="E20" i="23"/>
  <c r="D20"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G22" i="22"/>
  <c r="V20" i="22"/>
  <c r="U20" i="22"/>
  <c r="T20" i="22"/>
  <c r="S20" i="22"/>
  <c r="R20" i="22"/>
  <c r="Q20" i="22"/>
  <c r="P20" i="22"/>
  <c r="O20" i="22"/>
  <c r="N20" i="22"/>
  <c r="M20" i="22"/>
  <c r="L20" i="22"/>
  <c r="K20" i="22"/>
  <c r="J20" i="22"/>
  <c r="S18" i="22"/>
  <c r="R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I23" i="21" s="1"/>
  <c r="I24" i="21" s="1"/>
  <c r="D59" i="22"/>
  <c r="E21" i="22"/>
  <c r="E23" i="22" s="1"/>
  <c r="E24" i="22" s="1"/>
  <c r="E17" i="22"/>
  <c r="E19" i="22" s="1"/>
  <c r="E20" i="22" s="1"/>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E23" i="23" s="1"/>
  <c r="E24" i="23" s="1"/>
  <c r="L59" i="23"/>
  <c r="M17" i="23"/>
  <c r="M21" i="23"/>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M59" i="23"/>
  <c r="N21" i="23"/>
  <c r="N17" i="23"/>
  <c r="N19" i="23" s="1"/>
  <c r="U59" i="23"/>
  <c r="V21" i="23"/>
  <c r="V23" i="23" s="1"/>
  <c r="V24" i="23" s="1"/>
  <c r="V17" i="23"/>
  <c r="I17" i="24"/>
  <c r="I19" i="24" s="1"/>
  <c r="I20" i="24" s="1"/>
  <c r="I21" i="24"/>
  <c r="Q17" i="24"/>
  <c r="Q19" i="24" s="1"/>
  <c r="Q21" i="24"/>
  <c r="Q23" i="24" s="1"/>
  <c r="Q24" i="24" s="1"/>
  <c r="D59" i="26"/>
  <c r="E21" i="26"/>
  <c r="E23" i="26" s="1"/>
  <c r="E24" i="26" s="1"/>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23" i="21" s="1"/>
  <c r="H24" i="21" s="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H19" i="23" s="1"/>
  <c r="P17" i="23"/>
  <c r="P19" i="23" s="1"/>
  <c r="P21" i="23"/>
  <c r="J59" i="24"/>
  <c r="K21" i="24"/>
  <c r="K17" i="24"/>
  <c r="R59" i="24"/>
  <c r="S21" i="24"/>
  <c r="S23" i="24" s="1"/>
  <c r="S24" i="24" s="1"/>
  <c r="S17" i="24"/>
  <c r="G21" i="26"/>
  <c r="G23" i="26" s="1"/>
  <c r="G24" i="26" s="1"/>
  <c r="G17" i="26"/>
  <c r="O17" i="26"/>
  <c r="O21" i="26"/>
  <c r="E59" i="27"/>
  <c r="F17" i="27"/>
  <c r="F19" i="27" s="1"/>
  <c r="F20" i="27" s="1"/>
  <c r="M59" i="27"/>
  <c r="N17" i="27"/>
  <c r="U59" i="27"/>
  <c r="V17" i="27"/>
  <c r="E59" i="28"/>
  <c r="F17" i="28"/>
  <c r="F21" i="28"/>
  <c r="M59" i="28"/>
  <c r="N17" i="28"/>
  <c r="N19" i="28" s="1"/>
  <c r="N21" i="28"/>
  <c r="U59" i="28"/>
  <c r="V17" i="28"/>
  <c r="V21" i="28"/>
  <c r="D59" i="29"/>
  <c r="E17" i="29"/>
  <c r="E19" i="29" s="1"/>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7" i="22"/>
  <c r="G21" i="22"/>
  <c r="G23" i="22" s="1"/>
  <c r="G24" i="22" s="1"/>
  <c r="O17" i="22"/>
  <c r="O19" i="22" s="1"/>
  <c r="O21" i="22"/>
  <c r="O23" i="22" s="1"/>
  <c r="O24" i="22" s="1"/>
  <c r="H59" i="23"/>
  <c r="I21" i="23"/>
  <c r="I23" i="23" s="1"/>
  <c r="I24" i="23" s="1"/>
  <c r="I17" i="23"/>
  <c r="I19" i="23" s="1"/>
  <c r="P59" i="23"/>
  <c r="Q17" i="23"/>
  <c r="Q21" i="23"/>
  <c r="Q23" i="23" s="1"/>
  <c r="Q24" i="23" s="1"/>
  <c r="C59" i="24"/>
  <c r="D17" i="24"/>
  <c r="D19" i="24" s="1"/>
  <c r="D20" i="24" s="1"/>
  <c r="D21" i="24"/>
  <c r="D23" i="24" s="1"/>
  <c r="D24" i="24" s="1"/>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19" i="29" s="1"/>
  <c r="F21" i="29"/>
  <c r="F23" i="29" s="1"/>
  <c r="F24" i="29" s="1"/>
  <c r="M59" i="29"/>
  <c r="N17" i="29"/>
  <c r="N21" i="29"/>
  <c r="U59" i="29"/>
  <c r="V17" i="29"/>
  <c r="V21" i="29"/>
  <c r="V23" i="29" s="1"/>
  <c r="V24"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24" i="22" s="1"/>
  <c r="H17" i="22"/>
  <c r="H19" i="22" s="1"/>
  <c r="H20" i="22" s="1"/>
  <c r="I59" i="23"/>
  <c r="J21" i="23"/>
  <c r="J17" i="23"/>
  <c r="J19" i="23" s="1"/>
  <c r="Q59" i="23"/>
  <c r="R21" i="23"/>
  <c r="R17" i="23"/>
  <c r="D59" i="24"/>
  <c r="E17" i="24"/>
  <c r="E19" i="24" s="1"/>
  <c r="E20" i="24" s="1"/>
  <c r="E21" i="24"/>
  <c r="E23" i="24" s="1"/>
  <c r="E24" i="24" s="1"/>
  <c r="L59" i="24"/>
  <c r="M17" i="24"/>
  <c r="M19" i="24" s="1"/>
  <c r="M21" i="24"/>
  <c r="M23" i="24" s="1"/>
  <c r="M24" i="24" s="1"/>
  <c r="T59" i="24"/>
  <c r="U21" i="24"/>
  <c r="U17" i="24"/>
  <c r="H59" i="26"/>
  <c r="I17" i="26"/>
  <c r="I21" i="26"/>
  <c r="I23" i="26" s="1"/>
  <c r="I24" i="26" s="1"/>
  <c r="P59" i="26"/>
  <c r="Q17" i="26"/>
  <c r="Q19" i="26" s="1"/>
  <c r="Q21" i="26"/>
  <c r="E63" i="26"/>
  <c r="H17" i="27"/>
  <c r="H19" i="27" s="1"/>
  <c r="H20" i="27" s="1"/>
  <c r="P17" i="27"/>
  <c r="P19" i="27" s="1"/>
  <c r="H21" i="28"/>
  <c r="H23" i="28" s="1"/>
  <c r="H24" i="28" s="1"/>
  <c r="H17" i="28"/>
  <c r="H19" i="28" s="1"/>
  <c r="H20" i="28" s="1"/>
  <c r="P21" i="28"/>
  <c r="P17" i="28"/>
  <c r="P19" i="28" s="1"/>
  <c r="G17" i="29"/>
  <c r="G19" i="29" s="1"/>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23" i="24" s="1"/>
  <c r="F24" i="24" s="1"/>
  <c r="F17" i="24"/>
  <c r="F19" i="24" s="1"/>
  <c r="F20" i="24" s="1"/>
  <c r="M59" i="24"/>
  <c r="N21" i="24"/>
  <c r="N23" i="24" s="1"/>
  <c r="N24" i="24" s="1"/>
  <c r="N17" i="24"/>
  <c r="N19" i="24" s="1"/>
  <c r="U59" i="24"/>
  <c r="V21" i="24"/>
  <c r="V17" i="24"/>
  <c r="V19" i="24" s="1"/>
  <c r="I58" i="26"/>
  <c r="I61" i="26" s="1"/>
  <c r="J17" i="26"/>
  <c r="J19"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P21" i="29"/>
  <c r="P23" i="29" s="1"/>
  <c r="P24"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1" i="23"/>
  <c r="D23" i="23" s="1"/>
  <c r="D24" i="23" s="1"/>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1" i="28"/>
  <c r="J23" i="28" s="1"/>
  <c r="J24" i="28" s="1"/>
  <c r="Q59" i="28"/>
  <c r="R21" i="28"/>
  <c r="R23" i="28" s="1"/>
  <c r="R24" i="28" s="1"/>
  <c r="R17" i="28"/>
  <c r="I21" i="29"/>
  <c r="I23" i="29" s="1"/>
  <c r="I24" i="29" s="1"/>
  <c r="I17" i="29"/>
  <c r="I19"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P58" i="22"/>
  <c r="P61" i="22" s="1"/>
  <c r="P64" i="22" s="1"/>
  <c r="F59" i="22"/>
  <c r="K58" i="29"/>
  <c r="K61" i="29" s="1"/>
  <c r="I58" i="23"/>
  <c r="I61" i="23" s="1"/>
  <c r="I64" i="23" s="1"/>
  <c r="Q58" i="23"/>
  <c r="Q61" i="23" s="1"/>
  <c r="L58" i="29"/>
  <c r="L61" i="29" s="1"/>
  <c r="T58" i="29"/>
  <c r="T61" i="29" s="1"/>
  <c r="T64" i="29" s="1"/>
  <c r="Q23" i="30"/>
  <c r="Q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L58" i="27"/>
  <c r="L61" i="27" s="1"/>
  <c r="T58" i="27"/>
  <c r="T61" i="27" s="1"/>
  <c r="T64" i="27" s="1"/>
  <c r="J58" i="30"/>
  <c r="J61" i="30" s="1"/>
  <c r="J64" i="30" s="1"/>
  <c r="R58" i="30"/>
  <c r="R61" i="30" s="1"/>
  <c r="R64" i="30" s="1"/>
  <c r="P57" i="30"/>
  <c r="J57" i="21"/>
  <c r="H59" i="21"/>
  <c r="Q23" i="22"/>
  <c r="Q24" i="22" s="1"/>
  <c r="J19" i="27"/>
  <c r="J20" i="27" s="1"/>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P24" i="22" s="1"/>
  <c r="C58" i="22"/>
  <c r="C61" i="22" s="1"/>
  <c r="C64" i="22" s="1"/>
  <c r="C65" i="22" s="1"/>
  <c r="K58" i="22"/>
  <c r="K61" i="22" s="1"/>
  <c r="K64" i="22" s="1"/>
  <c r="S58" i="22"/>
  <c r="S61" i="22" s="1"/>
  <c r="S64" i="22" s="1"/>
  <c r="F57" i="23"/>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G57" i="21"/>
  <c r="J19" i="22"/>
  <c r="E58" i="22"/>
  <c r="E61" i="22" s="1"/>
  <c r="M58" i="22"/>
  <c r="M61" i="22" s="1"/>
  <c r="M64" i="22" s="1"/>
  <c r="U58" i="22"/>
  <c r="U61" i="22" s="1"/>
  <c r="A45" i="22"/>
  <c r="O57" i="22"/>
  <c r="H58" i="23"/>
  <c r="H61"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M58" i="30"/>
  <c r="M61" i="30" s="1"/>
  <c r="U58" i="30"/>
  <c r="U61" i="30" s="1"/>
  <c r="U64" i="30" s="1"/>
  <c r="U66" i="30" s="1"/>
  <c r="N57" i="30"/>
  <c r="F59" i="30"/>
  <c r="B58" i="30"/>
  <c r="B61" i="30" s="1"/>
  <c r="B64" i="30" s="1"/>
  <c r="B65"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R19" i="30"/>
  <c r="F63" i="30"/>
  <c r="N63" i="30"/>
  <c r="K19" i="30"/>
  <c r="S19" i="30"/>
  <c r="S23" i="30"/>
  <c r="S24" i="30" s="1"/>
  <c r="A31" i="30"/>
  <c r="A33" i="30"/>
  <c r="A39" i="30"/>
  <c r="A41" i="30"/>
  <c r="A47" i="30"/>
  <c r="A49" i="30"/>
  <c r="G57" i="30"/>
  <c r="O57" i="30"/>
  <c r="G59" i="30"/>
  <c r="O59" i="30"/>
  <c r="G63" i="30"/>
  <c r="O63" i="30"/>
  <c r="P63" i="30"/>
  <c r="I63" i="30"/>
  <c r="Q63" i="30"/>
  <c r="T19" i="30"/>
  <c r="N19" i="30"/>
  <c r="V19" i="30"/>
  <c r="N23" i="30"/>
  <c r="N24" i="30" s="1"/>
  <c r="B63" i="30"/>
  <c r="J63" i="30"/>
  <c r="R63" i="30"/>
  <c r="M19" i="30"/>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M19" i="29"/>
  <c r="U19" i="29"/>
  <c r="E23" i="29"/>
  <c r="E24" i="29" s="1"/>
  <c r="M23" i="29"/>
  <c r="M24" i="29" s="1"/>
  <c r="U23" i="29"/>
  <c r="U24" i="29" s="1"/>
  <c r="I57" i="29"/>
  <c r="Q57" i="29"/>
  <c r="I63" i="29"/>
  <c r="Q63" i="29"/>
  <c r="N19" i="29"/>
  <c r="V19" i="29"/>
  <c r="N23" i="29"/>
  <c r="N24" i="29" s="1"/>
  <c r="B63" i="29"/>
  <c r="J63" i="29"/>
  <c r="R63" i="29"/>
  <c r="L19" i="29"/>
  <c r="O19" i="29"/>
  <c r="A32" i="29"/>
  <c r="A34" i="29"/>
  <c r="A40" i="29"/>
  <c r="A42" i="29"/>
  <c r="A48" i="29"/>
  <c r="A50" i="29"/>
  <c r="C63" i="29"/>
  <c r="K63" i="29"/>
  <c r="S63" i="29"/>
  <c r="P19" i="29"/>
  <c r="D63" i="29"/>
  <c r="L63" i="29"/>
  <c r="T63" i="29"/>
  <c r="E63" i="29"/>
  <c r="M63" i="29"/>
  <c r="K19" i="28"/>
  <c r="S19" i="28"/>
  <c r="K23" i="28"/>
  <c r="K24" i="28" s="1"/>
  <c r="A31" i="28"/>
  <c r="A33" i="28"/>
  <c r="A37" i="28"/>
  <c r="A39" i="28"/>
  <c r="A41" i="28"/>
  <c r="A45" i="28"/>
  <c r="A47" i="28"/>
  <c r="A49" i="28"/>
  <c r="G57" i="28"/>
  <c r="O57" i="28"/>
  <c r="G59" i="28"/>
  <c r="O59" i="28"/>
  <c r="G63" i="28"/>
  <c r="O63" i="28"/>
  <c r="D19" i="28"/>
  <c r="D20" i="28" s="1"/>
  <c r="L19" i="28"/>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I65" i="27" s="1"/>
  <c r="Q63" i="27"/>
  <c r="N19" i="27"/>
  <c r="V19" i="27"/>
  <c r="F21" i="27"/>
  <c r="F23" i="27" s="1"/>
  <c r="F24" i="27" s="1"/>
  <c r="N21" i="27"/>
  <c r="N23" i="27" s="1"/>
  <c r="N24" i="27" s="1"/>
  <c r="V21" i="27"/>
  <c r="V23" i="27" s="1"/>
  <c r="V24" i="27" s="1"/>
  <c r="B63" i="27"/>
  <c r="J63" i="27"/>
  <c r="J65" i="27" s="1"/>
  <c r="R63" i="27"/>
  <c r="A32" i="27"/>
  <c r="A34" i="27"/>
  <c r="A40" i="27"/>
  <c r="A42" i="27"/>
  <c r="A48" i="27"/>
  <c r="A50" i="27"/>
  <c r="C63" i="27"/>
  <c r="K63" i="27"/>
  <c r="S63" i="27"/>
  <c r="L19" i="27"/>
  <c r="D63" i="27"/>
  <c r="L63" i="27"/>
  <c r="T63" i="27"/>
  <c r="H63" i="27"/>
  <c r="Q19" i="27"/>
  <c r="E63" i="27"/>
  <c r="M63" i="27"/>
  <c r="U64" i="26"/>
  <c r="U66" i="26" s="1"/>
  <c r="O23" i="26"/>
  <c r="O24" i="26" s="1"/>
  <c r="J23" i="26"/>
  <c r="J24" i="26" s="1"/>
  <c r="C19" i="26"/>
  <c r="C20"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P19" i="26"/>
  <c r="D63" i="26"/>
  <c r="L63" i="26"/>
  <c r="I19" i="26"/>
  <c r="I20" i="26" s="1"/>
  <c r="J23" i="24"/>
  <c r="J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L23" i="23"/>
  <c r="L24" i="23" s="1"/>
  <c r="T23" i="23"/>
  <c r="T24" i="23" s="1"/>
  <c r="E19" i="23"/>
  <c r="M19" i="23"/>
  <c r="M23" i="23"/>
  <c r="M24" i="23" s="1"/>
  <c r="I57" i="23"/>
  <c r="Q57" i="23"/>
  <c r="N23" i="23"/>
  <c r="N24" i="23" s="1"/>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M19" i="22"/>
  <c r="U23" i="22"/>
  <c r="U24" i="22" s="1"/>
  <c r="I57" i="22"/>
  <c r="Q57" i="22"/>
  <c r="K19" i="22"/>
  <c r="A39" i="22"/>
  <c r="A49" i="22"/>
  <c r="N19" i="22"/>
  <c r="V19" i="22"/>
  <c r="V23" i="22"/>
  <c r="V24" i="22" s="1"/>
  <c r="G19" i="22"/>
  <c r="G20" i="22" s="1"/>
  <c r="A32" i="22"/>
  <c r="A34" i="22"/>
  <c r="A40" i="22"/>
  <c r="A42" i="22"/>
  <c r="A48" i="22"/>
  <c r="A50" i="22"/>
  <c r="P19" i="22"/>
  <c r="P64" i="21"/>
  <c r="L23" i="21"/>
  <c r="L24" i="21" s="1"/>
  <c r="N23" i="21"/>
  <c r="N24" i="21" s="1"/>
  <c r="A33" i="21"/>
  <c r="A37" i="21"/>
  <c r="A41" i="21"/>
  <c r="A45" i="21"/>
  <c r="A49" i="21"/>
  <c r="E58" i="21"/>
  <c r="E61" i="21" s="1"/>
  <c r="M58" i="21"/>
  <c r="M61" i="21" s="1"/>
  <c r="U58" i="21"/>
  <c r="U61" i="21" s="1"/>
  <c r="U64" i="21" s="1"/>
  <c r="U66" i="21" s="1"/>
  <c r="S19" i="21"/>
  <c r="M23" i="21"/>
  <c r="M24" i="21" s="1"/>
  <c r="C57" i="21"/>
  <c r="K57" i="21"/>
  <c r="S57" i="21"/>
  <c r="G19" i="21"/>
  <c r="G20" i="21" s="1"/>
  <c r="Q19" i="21"/>
  <c r="J23" i="21"/>
  <c r="J24" i="21" s="1"/>
  <c r="R23" i="21"/>
  <c r="R24" i="21" s="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C19" i="29"/>
  <c r="C20" i="29" s="1"/>
  <c r="B65" i="24"/>
  <c r="C65" i="26"/>
  <c r="E65" i="30"/>
  <c r="C65" i="30"/>
  <c r="E65" i="27"/>
  <c r="C23" i="21"/>
  <c r="C24" i="21" s="1"/>
  <c r="D65" i="21"/>
  <c r="F64" i="26"/>
  <c r="F66" i="26" s="1"/>
  <c r="D64" i="30"/>
  <c r="D65" i="30" s="1"/>
  <c r="H64" i="30"/>
  <c r="H65" i="30" s="1"/>
  <c r="H64" i="23"/>
  <c r="H65" i="23" s="1"/>
  <c r="H64" i="26"/>
  <c r="H65" i="26" s="1"/>
  <c r="H64" i="22"/>
  <c r="H65" i="22" s="1"/>
  <c r="G64" i="30"/>
  <c r="G65" i="30" s="1"/>
  <c r="E64" i="23"/>
  <c r="E65" i="23" s="1"/>
  <c r="E64" i="22"/>
  <c r="E65" i="22" s="1"/>
  <c r="D64" i="27"/>
  <c r="D65" i="27" s="1"/>
  <c r="C64" i="21"/>
  <c r="C65" i="21" s="1"/>
  <c r="C64" i="27"/>
  <c r="C65" i="27" s="1"/>
  <c r="C64" i="23"/>
  <c r="C65" i="23" s="1"/>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T66" i="23"/>
  <c r="Q66" i="21"/>
  <c r="P66" i="21"/>
  <c r="K66" i="27"/>
  <c r="G64" i="23"/>
  <c r="Q66" i="24"/>
  <c r="R66" i="27"/>
  <c r="J66" i="27"/>
  <c r="G64" i="27"/>
  <c r="J66" i="30"/>
  <c r="F64" i="27"/>
  <c r="T66" i="27"/>
  <c r="L66" i="29"/>
  <c r="Q66" i="22"/>
  <c r="J66" i="26"/>
  <c r="C66" i="22"/>
  <c r="T66" i="21"/>
  <c r="S66" i="23"/>
  <c r="E66" i="30"/>
  <c r="S66" i="24"/>
  <c r="L66" i="21"/>
  <c r="S66" i="26"/>
  <c r="L66" i="28"/>
  <c r="L66" i="26"/>
  <c r="T66" i="30"/>
  <c r="C66" i="29"/>
  <c r="H66" i="22"/>
  <c r="R66" i="28"/>
  <c r="N64" i="26"/>
  <c r="N66" i="26" s="1"/>
  <c r="O64" i="29"/>
  <c r="O66" i="29" s="1"/>
  <c r="P64" i="29"/>
  <c r="P66" i="29" s="1"/>
  <c r="S64" i="1"/>
  <c r="R66" i="26"/>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L66" i="24"/>
  <c r="I66" i="24"/>
  <c r="P66" i="24"/>
  <c r="D66" i="24"/>
  <c r="K66" i="24"/>
  <c r="M66" i="24"/>
  <c r="I66" i="23"/>
  <c r="N66" i="23"/>
  <c r="I66" i="22"/>
  <c r="M66" i="22"/>
  <c r="S66" i="22"/>
  <c r="K66" i="22"/>
  <c r="T66" i="22"/>
  <c r="M66" i="21"/>
  <c r="K66" i="21"/>
  <c r="D66" i="21"/>
  <c r="R66" i="21"/>
  <c r="N64" i="1"/>
  <c r="M64" i="1"/>
  <c r="T64" i="1"/>
  <c r="L64" i="1"/>
  <c r="J64" i="1"/>
  <c r="K64" i="1"/>
  <c r="O64" i="1"/>
  <c r="C64" i="1"/>
  <c r="I64" i="1"/>
  <c r="H64" i="1"/>
  <c r="G64" i="1"/>
  <c r="G65" i="1" s="1"/>
  <c r="F64" i="1"/>
  <c r="E64" i="1"/>
  <c r="D64" i="1"/>
  <c r="B64" i="1"/>
  <c r="D63" i="1"/>
  <c r="L63" i="1"/>
  <c r="F63" i="1"/>
  <c r="R63" i="1"/>
  <c r="J63" i="1"/>
  <c r="Q63" i="1"/>
  <c r="Q66" i="1" s="1"/>
  <c r="I63" i="1"/>
  <c r="C63" i="1"/>
  <c r="K63" i="1"/>
  <c r="P63" i="1"/>
  <c r="H63" i="1"/>
  <c r="T63" i="1"/>
  <c r="T66" i="1" s="1"/>
  <c r="S63" i="1"/>
  <c r="O63" i="1"/>
  <c r="G63" i="1"/>
  <c r="N63" i="1"/>
  <c r="E63" i="1"/>
  <c r="B63" i="1"/>
  <c r="U63" i="1"/>
  <c r="M63" i="1"/>
  <c r="H65" i="1" l="1"/>
  <c r="F65" i="1"/>
  <c r="E65" i="1"/>
  <c r="D65" i="1"/>
  <c r="C65" i="1"/>
  <c r="B65" i="1"/>
  <c r="H66" i="26"/>
  <c r="F65" i="26"/>
  <c r="D66" i="30"/>
  <c r="C66" i="21"/>
  <c r="C66" i="27"/>
  <c r="H66" i="23"/>
  <c r="H66" i="30"/>
  <c r="G66" i="30"/>
  <c r="E66" i="22"/>
  <c r="E66" i="23"/>
  <c r="D66" i="27"/>
  <c r="C66" i="23"/>
  <c r="H66" i="24"/>
  <c r="H65" i="24"/>
  <c r="H66" i="27"/>
  <c r="H65" i="27"/>
  <c r="H66" i="28"/>
  <c r="H65" i="28"/>
  <c r="H66" i="29"/>
  <c r="H65" i="29"/>
  <c r="H66" i="21"/>
  <c r="G66" i="28"/>
  <c r="G65" i="28"/>
  <c r="G66" i="23"/>
  <c r="G65" i="23"/>
  <c r="G66" i="22"/>
  <c r="G65" i="22"/>
  <c r="G66" i="21"/>
  <c r="G65" i="21"/>
  <c r="G66" i="26"/>
  <c r="G65" i="26"/>
  <c r="G66" i="29"/>
  <c r="G65" i="29"/>
  <c r="G66" i="27"/>
  <c r="G65" i="27"/>
  <c r="G66" i="24"/>
  <c r="G65" i="24"/>
  <c r="F66" i="24"/>
  <c r="F65" i="24"/>
  <c r="F66" i="21"/>
  <c r="F65" i="21"/>
  <c r="F66" i="23"/>
  <c r="F65" i="23"/>
  <c r="F66" i="29"/>
  <c r="F65" i="29"/>
  <c r="F66" i="30"/>
  <c r="F65" i="30"/>
  <c r="F66" i="27"/>
  <c r="F65" i="27"/>
  <c r="F66" i="22"/>
  <c r="F65" i="22"/>
  <c r="F66" i="28"/>
  <c r="F65" i="28"/>
  <c r="E66" i="24"/>
  <c r="E65" i="24"/>
  <c r="E66" i="28"/>
  <c r="E65" i="28"/>
  <c r="E66" i="29"/>
  <c r="E65" i="29"/>
  <c r="E66" i="26"/>
  <c r="E65" i="26"/>
  <c r="E66" i="21"/>
  <c r="E65" i="21"/>
  <c r="D66" i="22"/>
  <c r="D66" i="26"/>
  <c r="D66" i="23"/>
  <c r="D66" i="29"/>
  <c r="C66" i="24"/>
  <c r="C65" i="24"/>
  <c r="C66" i="28"/>
  <c r="C65" i="28"/>
  <c r="B66" i="22"/>
  <c r="B65" i="22"/>
  <c r="B66" i="21"/>
  <c r="B65" i="21"/>
  <c r="B66" i="26"/>
  <c r="B65" i="26"/>
  <c r="B66" i="27"/>
  <c r="B65" i="27"/>
  <c r="B66" i="28"/>
  <c r="B65" i="28"/>
  <c r="B66" i="23"/>
  <c r="B65" i="23"/>
  <c r="B66" i="29"/>
  <c r="B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<sst xmlns="http://schemas.openxmlformats.org/spreadsheetml/2006/main" count="2245" uniqueCount="182">
  <si>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</si>
  <si>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</si>
  <si>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</si>
  <si>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</si>
  <si>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</si>
  <si>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</si>
  <si>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</si>
  <si>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</si>
  <si>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</si>
  <si>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</si>
  <si>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</si>
  <si>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</si>
  <si>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</si>
  <si>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</si>
  <si>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</si>
  <si>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</si>
  <si>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</si>
  <si>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</si>
  <si>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</si>
  <si>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</si>
  <si>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</si>
  <si>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</si>
  <si>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</si>
  <si>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</si>
  <si>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</si>
  <si>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</si>
  <si>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</si>
  <si>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</si>
  <si>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</si>
  <si>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</si>
  <si>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</si>
  <si>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</si>
  <si>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</si>
  <si>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</si>
  <si>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</si>
  <si>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</si>
  <si>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</si>
  <si>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</si>
  <si>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</si>
  <si>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</si>
  <si>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</si>
  <si>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</si>
  <si>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</si>
  <si>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</si>
  <si>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</si>
  <si>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</si>
  <si>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</si>
  <si>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</si>
  <si>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</si>
  <si>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</si>
  <si>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</si>
  <si>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</si>
  <si>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</si>
  <si>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</si>
  <si>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</si>
  <si>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</si>
  <si>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</si>
  <si>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</si>
  <si>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</si>
  <si>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</si>
  <si>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</si>
  <si>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</si>
  <si>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</si>
  <si>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</si>
  <si>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</si>
  <si>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</si>
  <si>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</si>
  <si>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</si>
  <si>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</si>
  <si>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</si>
  <si>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</si>
  <si>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</si>
  <si>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</si>
  <si>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</si>
  <si>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</si>
  <si>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</si>
  <si>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</si>
  <si>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</si>
  <si>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</si>
  <si>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</si>
  <si>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</si>
  <si>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</si>
  <si>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</si>
  <si>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</si>
  <si>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</si>
  <si>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</si>
  <si>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</si>
  <si>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</si>
  <si>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</si>
  <si>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</si>
  <si>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</si>
  <si>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</si>
  <si>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</si>
  <si>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</si>
  <si>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</si>
  <si>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</si>
  <si>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</si>
  <si>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</si>
  <si>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</si>
  <si>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</si>
  <si>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</si>
  <si>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</si>
  <si>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</si>
  <si>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</si>
  <si>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</si>
  <si>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</si>
  <si>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</si>
  <si>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</si>
  <si>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</si>
  <si>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</si>
  <si>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</si>
  <si>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</si>
  <si>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</si>
  <si>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</si>
  <si>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</si>
  <si>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</si>
  <si>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</si>
  <si>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</si>
  <si>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</si>
  <si>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</si>
  <si>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</si>
  <si>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</si>
  <si>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</si>
  <si>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</si>
  <si>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</si>
  <si>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</si>
  <si>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</si>
  <si>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</si>
  <si>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</si>
  <si>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</si>
  <si>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</si>
  <si>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</si>
  <si>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</si>
  <si>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</si>
  <si>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</si>
  <si>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</si>
  <si>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</si>
  <si>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</si>
  <si>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</si>
  <si>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</si>
  <si>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</si>
  <si>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</si>
  <si>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</si>
  <si>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</si>
  <si>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</si>
  <si>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</si>
  <si>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</si>
  <si>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</si>
  <si>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</si>
  <si>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</si>
  <si>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</si>
  <si>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</si>
  <si>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</si>
  <si>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</si>
  <si>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</si>
  <si>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</si>
  <si>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</si>
  <si>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</si>
  <si>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</si>
  <si>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</si>
  <si>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Abercynrig 2</t>
  </si>
  <si>
    <t>Abercynrig 10</t>
  </si>
  <si>
    <t>PAN-015421</t>
  </si>
  <si>
    <t>EPR/GP3792SK</t>
  </si>
  <si>
    <t>ByProduct Recovery Limited</t>
  </si>
  <si>
    <t>Rhiannon Smith</t>
  </si>
  <si>
    <t>46.9 ha</t>
  </si>
  <si>
    <t>5..5</t>
  </si>
  <si>
    <t>M</t>
  </si>
  <si>
    <t>m</t>
  </si>
  <si>
    <t>Bryngwyn Liquid</t>
  </si>
  <si>
    <t>19 09 02</t>
  </si>
  <si>
    <t>DCWW Capel Dewi</t>
  </si>
  <si>
    <t>19 19 02</t>
  </si>
  <si>
    <t>DCWW Cefn Dryscoed</t>
  </si>
  <si>
    <t>DCWW Crai</t>
  </si>
  <si>
    <t>DCWW Elan</t>
  </si>
  <si>
    <t>DCWW Hirwaun</t>
  </si>
  <si>
    <t>DCWW Llyswen</t>
  </si>
  <si>
    <t>DCWW Pontsticill</t>
  </si>
  <si>
    <t>DCWW Talybont</t>
  </si>
  <si>
    <t>DCWW Whitbourne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</si>
</sst>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6">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19"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8" t="s">
        <v>41</v>
      </c>
      <c r="B1" s="118"/>
      <c r="C1" s="134" t="s">
        <v>162</v>
      </c>
      <c r="D1" s="135"/>
      <c r="E1" s="93" t="s">
        <v>45</v>
      </c>
      <c r="F1" s="96" t="s">
        <v>166</v>
      </c>
      <c r="G1" s="119" t="s">
        <v>43</v>
      </c>
      <c r="H1" s="120"/>
      <c r="I1" s="96">
        <v>5.28</v>
      </c>
      <c r="J1" s="118" t="s">
        <v>154</v>
      </c>
      <c r="K1" s="118"/>
      <c r="L1" s="96">
        <v>25</v>
      </c>
      <c r="AB1" s="18"/>
      <c r="AC1" s="18"/>
      <c r="AD1" s="30" t="s">
        <v>127</v>
      </c>
      <c r="AE1" s="17"/>
      <c r="AF1" s="17"/>
      <c r="AG1" s="18"/>
      <c r="AH1" s="18"/>
      <c r="AI1" s="40" t="s">
        <v>79</v>
      </c>
      <c r="AJ1" s="41" t="s">
        <v>94</v>
      </c>
      <c r="AK1" s="42" t="s">
        <v>95</v>
      </c>
      <c r="AL1" s="43" t="s">
        <v>126</v>
      </c>
      <c r="AM1" s="43" t="s">
        <v>132</v>
      </c>
      <c r="AN1" s="43" t="s">
        <v>112</v>
      </c>
    </row>
    <row r="2" spans="1:40" ht="13" x14ac:dyDescent="0.3">
      <c r="A2" s="118" t="s">
        <v>87</v>
      </c>
      <c r="B2" s="118"/>
      <c r="C2" s="132" t="s">
        <v>163</v>
      </c>
      <c r="D2" s="133"/>
      <c r="E2" s="93" t="s">
        <v>109</v>
      </c>
      <c r="F2" s="96" t="s">
        <v>171</v>
      </c>
      <c r="G2" s="137" t="s">
        <v>110</v>
      </c>
      <c r="H2" s="138"/>
      <c r="I2" s="96">
        <v>54</v>
      </c>
      <c r="J2" s="118" t="s">
        <v>159</v>
      </c>
      <c r="K2" s="118"/>
      <c r="L2" s="96">
        <v>0.02</v>
      </c>
      <c r="AB2" s="30" t="s">
        <v>56</v>
      </c>
      <c r="AC2" s="17"/>
      <c r="AD2" s="30" t="s">
        <v>70</v>
      </c>
      <c r="AE2" s="17"/>
      <c r="AF2" s="17"/>
      <c r="AG2" s="44" t="s">
        <v>76</v>
      </c>
      <c r="AH2" s="18"/>
      <c r="AI2" s="45" t="s">
        <v>127</v>
      </c>
      <c r="AJ2" s="46">
        <v>0</v>
      </c>
      <c r="AK2" s="47">
        <v>0</v>
      </c>
      <c r="AL2" s="10">
        <v>0</v>
      </c>
      <c r="AM2" s="11">
        <v>0</v>
      </c>
      <c r="AN2" s="11">
        <v>0</v>
      </c>
    </row>
    <row r="3" spans="1:40" ht="13" x14ac:dyDescent="0.25">
      <c r="A3" s="119" t="s">
        <v>42</v>
      </c>
      <c r="B3" s="120"/>
      <c r="C3" s="132" t="s">
        <v>164</v>
      </c>
      <c r="D3" s="133"/>
      <c r="E3" s="93" t="s">
        <v>108</v>
      </c>
      <c r="F3" s="31" t="s">
        <v>78</v>
      </c>
      <c r="G3" s="118" t="s">
        <v>111</v>
      </c>
      <c r="H3" s="118"/>
      <c r="I3" s="96"/>
      <c r="J3" s="119" t="s">
        <v>155</v>
      </c>
      <c r="K3" s="120"/>
      <c r="L3" s="96">
        <f>(L1/(L2*10000))*100</f>
        <v>12.5</v>
      </c>
      <c r="AB3" s="30" t="s">
        <v>57</v>
      </c>
      <c r="AC3" s="17"/>
      <c r="AD3" s="30" t="s">
        <v>71</v>
      </c>
      <c r="AE3" s="17"/>
      <c r="AF3" s="17"/>
      <c r="AG3" s="44" t="s">
        <v>77</v>
      </c>
      <c r="AH3" s="18"/>
      <c r="AI3" s="48" t="s">
        <v>114</v>
      </c>
      <c r="AJ3" s="49">
        <v>1.7</v>
      </c>
      <c r="AK3" s="50">
        <v>6</v>
      </c>
      <c r="AL3" s="51">
        <v>1</v>
      </c>
      <c r="AM3" s="11">
        <v>6.2</v>
      </c>
      <c r="AN3" s="11" t="s">
        <v>113</v>
      </c>
    </row>
    <row r="4" spans="1:40" ht="13" x14ac:dyDescent="0.25">
      <c r="A4" s="118" t="s">
        <v>0</v>
      </c>
      <c r="B4" s="118"/>
      <c r="C4" s="134"/>
      <c r="D4" s="135"/>
      <c r="E4" s="94" t="s">
        <v>1</v>
      </c>
      <c r="F4" s="95" t="s">
        <v>170</v>
      </c>
      <c r="G4" s="118"/>
      <c r="H4" s="118"/>
      <c r="I4" s="96"/>
      <c r="J4" s="119"/>
      <c r="K4" s="120"/>
      <c r="L4" s="96"/>
      <c r="AB4" s="30" t="s">
        <v>52</v>
      </c>
      <c r="AC4" s="17"/>
      <c r="AD4" s="52" t="s">
        <v>72</v>
      </c>
      <c r="AE4" s="17"/>
      <c r="AF4" s="17"/>
      <c r="AG4" s="44" t="s">
        <v>78</v>
      </c>
      <c r="AH4" s="18"/>
      <c r="AI4" s="53" t="s">
        <v>125</v>
      </c>
      <c r="AJ4" s="54">
        <v>7</v>
      </c>
      <c r="AK4" s="55">
        <v>10.5</v>
      </c>
      <c r="AL4" s="11">
        <v>2</v>
      </c>
      <c r="AM4" s="11">
        <v>6.7</v>
      </c>
      <c r="AN4" s="11" t="s">
        <v>136</v>
      </c>
    </row>
    <row r="5" spans="1:40" ht="13" x14ac:dyDescent="0.25">
      <c r="A5" s="118" t="s">
        <v>47</v>
      </c>
      <c r="B5" s="118"/>
      <c r="C5" s="136" t="s">
        <v>165</v>
      </c>
      <c r="D5" s="136"/>
      <c r="E5" s="94"/>
      <c r="F5" s="95"/>
      <c r="G5" s="118"/>
      <c r="H5" s="118"/>
      <c r="I5" s="96"/>
      <c r="J5" s="119"/>
      <c r="K5" s="120"/>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ht="13" x14ac:dyDescent="0.25">
      <c r="A8" s="118" t="s">
        <v>2</v>
      </c>
      <c r="B8" s="118"/>
      <c r="C8" s="15" t="s">
        <v>160</v>
      </c>
      <c r="D8" s="15" t="s">
        <v>161</v>
      </c>
      <c r="E8" s="15">
        <v>1</v>
      </c>
      <c r="F8" s="15">
        <v>2</v>
      </c>
      <c r="G8" s="15">
        <v>10</v>
      </c>
      <c r="H8" s="15">
        <v>11</v>
      </c>
      <c r="I8" s="15">
        <v>16</v>
      </c>
      <c r="J8" s="15"/>
      <c r="K8" s="15"/>
      <c r="L8" s="15"/>
      <c r="M8" s="15"/>
      <c r="N8" s="15"/>
      <c r="O8" s="15"/>
      <c r="P8" s="15"/>
      <c r="Q8" s="15"/>
      <c r="R8" s="15"/>
      <c r="S8" s="15"/>
      <c r="T8" s="15"/>
      <c r="U8" s="15"/>
      <c r="V8" s="15"/>
      <c r="AB8" s="61"/>
      <c r="AC8" s="61"/>
      <c r="AD8" s="18"/>
      <c r="AE8" s="17" t="s">
        <v>140</v>
      </c>
      <c r="AF8" s="17"/>
      <c r="AG8" s="18"/>
      <c r="AH8" s="18"/>
      <c r="AI8" s="53" t="s">
        <v>105</v>
      </c>
      <c r="AJ8" s="62">
        <v>1.4</v>
      </c>
      <c r="AK8" s="55">
        <v>4.4000000000000004</v>
      </c>
      <c r="AL8" s="11">
        <v>6</v>
      </c>
      <c r="AM8" s="11">
        <v>6.7</v>
      </c>
      <c r="AN8" s="11" t="s">
        <v>136</v>
      </c>
    </row>
    <row r="9" spans="1:40" ht="13" x14ac:dyDescent="0.25">
      <c r="A9" s="118" t="s">
        <v>3</v>
      </c>
      <c r="B9" s="118"/>
      <c r="C9" s="15" t="s">
        <v>168</v>
      </c>
      <c r="D9" s="15" t="s">
        <v>169</v>
      </c>
      <c r="E9" s="15">
        <v>1</v>
      </c>
      <c r="F9" s="15">
        <v>1</v>
      </c>
      <c r="G9" s="15" t="s">
        <v>168</v>
      </c>
      <c r="H9" s="15" t="s">
        <v>168</v>
      </c>
      <c r="I9" s="15" t="s">
        <v>168</v>
      </c>
      <c r="J9" s="15"/>
      <c r="K9" s="15"/>
      <c r="L9" s="15"/>
      <c r="M9" s="15"/>
      <c r="N9" s="15"/>
      <c r="O9" s="15"/>
      <c r="P9" s="15"/>
      <c r="Q9" s="15"/>
      <c r="R9" s="15"/>
      <c r="S9" s="15"/>
      <c r="T9" s="15"/>
      <c r="U9" s="15"/>
      <c r="V9" s="15"/>
      <c r="AB9" s="17"/>
      <c r="AC9" s="17"/>
      <c r="AD9" s="30" t="s">
        <v>138</v>
      </c>
      <c r="AE9" s="30">
        <v>4.5</v>
      </c>
      <c r="AF9" s="17"/>
      <c r="AG9" s="18"/>
      <c r="AH9" s="18"/>
      <c r="AI9" s="63" t="s">
        <v>103</v>
      </c>
      <c r="AJ9" s="64">
        <v>0.7</v>
      </c>
      <c r="AK9" s="65">
        <v>4</v>
      </c>
      <c r="AL9" s="29">
        <v>7</v>
      </c>
      <c r="AM9" s="11">
        <v>6.7</v>
      </c>
      <c r="AN9" s="11" t="s">
        <v>136</v>
      </c>
    </row>
    <row r="10" spans="1:40" ht="13" x14ac:dyDescent="0.25">
      <c r="A10" s="118" t="s">
        <v>4</v>
      </c>
      <c r="B10" s="118"/>
      <c r="C10" s="15">
        <v>6.2</v>
      </c>
      <c r="D10" s="15">
        <v>5.2</v>
      </c>
      <c r="E10" s="15" t="s">
        <v>167</v>
      </c>
      <c r="F10" s="15">
        <v>5</v>
      </c>
      <c r="G10" s="15">
        <v>5.5</v>
      </c>
      <c r="H10" s="15">
        <v>5.4</v>
      </c>
      <c r="I10" s="15">
        <v>5.5</v>
      </c>
      <c r="J10" s="15"/>
      <c r="K10" s="15"/>
      <c r="L10" s="15"/>
      <c r="M10" s="15"/>
      <c r="N10" s="15"/>
      <c r="O10" s="15"/>
      <c r="P10" s="15"/>
      <c r="Q10" s="15"/>
      <c r="R10" s="15"/>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ht="13" x14ac:dyDescent="0.25">
      <c r="A11" s="118" t="s">
        <v>5</v>
      </c>
      <c r="B11" s="118"/>
      <c r="C11" s="15">
        <v>3</v>
      </c>
      <c r="D11" s="15">
        <v>3</v>
      </c>
      <c r="E11" s="15">
        <v>3</v>
      </c>
      <c r="F11" s="15">
        <v>4</v>
      </c>
      <c r="G11" s="15">
        <v>2</v>
      </c>
      <c r="H11" s="15">
        <v>2</v>
      </c>
      <c r="I11" s="15">
        <v>3</v>
      </c>
      <c r="J11" s="15"/>
      <c r="K11" s="15"/>
      <c r="L11" s="15"/>
      <c r="M11" s="15"/>
      <c r="N11" s="15"/>
      <c r="O11" s="15"/>
      <c r="P11" s="15"/>
      <c r="Q11" s="15"/>
      <c r="R11" s="15"/>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ht="13" x14ac:dyDescent="0.25">
      <c r="A12" s="118" t="s">
        <v>6</v>
      </c>
      <c r="B12" s="118"/>
      <c r="C12" s="15">
        <v>2</v>
      </c>
      <c r="D12" s="15">
        <v>1</v>
      </c>
      <c r="E12" s="15">
        <v>2</v>
      </c>
      <c r="F12" s="15">
        <v>1</v>
      </c>
      <c r="G12" s="15">
        <v>1</v>
      </c>
      <c r="H12" s="15">
        <v>1</v>
      </c>
      <c r="I12" s="15">
        <v>1</v>
      </c>
      <c r="J12" s="15"/>
      <c r="K12" s="15"/>
      <c r="L12" s="15"/>
      <c r="M12" s="15"/>
      <c r="N12" s="15"/>
      <c r="O12" s="15"/>
      <c r="P12" s="15"/>
      <c r="Q12" s="15"/>
      <c r="R12" s="15"/>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ht="13" x14ac:dyDescent="0.25">
      <c r="A13" s="118" t="s">
        <v>7</v>
      </c>
      <c r="B13" s="118"/>
      <c r="C13" s="15">
        <v>3</v>
      </c>
      <c r="D13" s="15">
        <v>2</v>
      </c>
      <c r="E13" s="15">
        <v>3</v>
      </c>
      <c r="F13" s="15">
        <v>2</v>
      </c>
      <c r="G13" s="15">
        <v>2</v>
      </c>
      <c r="H13" s="15">
        <v>2</v>
      </c>
      <c r="I13" s="15">
        <v>3</v>
      </c>
      <c r="J13" s="15"/>
      <c r="K13" s="15"/>
      <c r="L13" s="15"/>
      <c r="M13" s="15"/>
      <c r="N13" s="15"/>
      <c r="O13" s="15"/>
      <c r="P13" s="15"/>
      <c r="Q13" s="15"/>
      <c r="R13" s="15"/>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ht="13" x14ac:dyDescent="0.25">
      <c r="A14" s="130" t="s">
        <v>8</v>
      </c>
      <c r="B14" s="130"/>
      <c r="C14" s="100" t="s">
        <v>114</v>
      </c>
      <c r="D14" s="100" t="s">
        <v>114</v>
      </c>
      <c r="E14" s="100" t="s">
        <v>96</v>
      </c>
      <c r="F14" s="100" t="s">
        <v>96</v>
      </c>
      <c r="G14" s="100" t="s">
        <v>114</v>
      </c>
      <c r="H14" s="100" t="s">
        <v>114</v>
      </c>
      <c r="I14" s="100" t="s">
        <v>114</v>
      </c>
      <c r="J14" s="100"/>
      <c r="K14" s="100"/>
      <c r="L14" s="100"/>
      <c r="M14" s="100"/>
      <c r="N14" s="100"/>
      <c r="O14" s="100"/>
      <c r="P14" s="100"/>
      <c r="Q14" s="100"/>
      <c r="R14" s="100"/>
      <c r="S14" s="100"/>
      <c r="T14" s="100"/>
      <c r="U14" s="100"/>
      <c r="V14" s="100"/>
      <c r="AD14" s="30" t="s">
        <v>139</v>
      </c>
      <c r="AE14" s="30">
        <v>6</v>
      </c>
      <c r="AI14" s="53" t="s">
        <v>120</v>
      </c>
      <c r="AJ14" s="54">
        <v>0.8</v>
      </c>
      <c r="AK14" s="55">
        <v>1.7</v>
      </c>
      <c r="AL14" s="11">
        <v>12</v>
      </c>
      <c r="AM14" s="11">
        <v>6.7</v>
      </c>
      <c r="AN14" s="11" t="s">
        <v>136</v>
      </c>
    </row>
    <row r="15" spans="1:40" ht="13" x14ac:dyDescent="0.25">
      <c r="A15" s="129" t="s">
        <v>9</v>
      </c>
      <c r="B15" s="129"/>
      <c r="C15" s="15">
        <v>38</v>
      </c>
      <c r="D15" s="15">
        <v>38</v>
      </c>
      <c r="E15" s="15">
        <v>6.5</v>
      </c>
      <c r="F15" s="15">
        <v>6.5</v>
      </c>
      <c r="G15" s="15">
        <v>38</v>
      </c>
      <c r="H15" s="15">
        <v>38</v>
      </c>
      <c r="I15" s="15">
        <v>38</v>
      </c>
      <c r="J15" s="15"/>
      <c r="K15" s="15"/>
      <c r="L15" s="15"/>
      <c r="M15" s="15"/>
      <c r="N15" s="15"/>
      <c r="O15" s="15"/>
      <c r="P15" s="15"/>
      <c r="Q15" s="15"/>
      <c r="R15" s="15"/>
      <c r="S15" s="15"/>
      <c r="T15" s="15"/>
      <c r="U15" s="15"/>
      <c r="V15" s="15"/>
      <c r="AD15" s="30" t="s">
        <v>145</v>
      </c>
      <c r="AE15" s="30">
        <v>7</v>
      </c>
      <c r="AI15" s="53" t="s">
        <v>101</v>
      </c>
      <c r="AJ15" s="62">
        <v>1.8</v>
      </c>
      <c r="AK15" s="55">
        <v>5.4</v>
      </c>
      <c r="AL15" s="11">
        <v>13</v>
      </c>
      <c r="AM15" s="11">
        <v>6.7</v>
      </c>
      <c r="AN15" s="11" t="s">
        <v>136</v>
      </c>
    </row>
    <row r="16" spans="1:40" ht="13.5" thickBot="1" x14ac:dyDescent="0.3">
      <c r="A16" s="131" t="s">
        <v>44</v>
      </c>
      <c r="B16" s="131"/>
      <c r="C16" s="101" t="s">
        <v>72</v>
      </c>
      <c r="D16" s="101" t="s">
        <v>72</v>
      </c>
      <c r="E16" s="101" t="s">
        <v>72</v>
      </c>
      <c r="F16" s="101" t="s">
        <v>72</v>
      </c>
      <c r="G16" s="101" t="s">
        <v>72</v>
      </c>
      <c r="H16" s="101" t="s">
        <v>72</v>
      </c>
      <c r="I16" s="101" t="s">
        <v>72</v>
      </c>
      <c r="J16" s="101"/>
      <c r="K16" s="101"/>
      <c r="L16" s="101"/>
      <c r="M16" s="101"/>
      <c r="N16" s="101"/>
      <c r="O16" s="101"/>
      <c r="P16" s="101"/>
      <c r="Q16" s="101"/>
      <c r="R16" s="101"/>
      <c r="S16" s="101"/>
      <c r="T16" s="101"/>
      <c r="U16" s="101"/>
      <c r="V16" s="101"/>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64.599999999999994</v>
      </c>
      <c r="D17" s="28">
        <f t="shared" ref="D17:V17" si="0">(VLOOKUP(D$14,$AI2:$AK26,2,FALSE))*D$15</f>
        <v>64.599999999999994</v>
      </c>
      <c r="E17" s="28">
        <f t="shared" si="0"/>
        <v>55.25</v>
      </c>
      <c r="F17" s="28">
        <f t="shared" si="0"/>
        <v>55.25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20.504449999999999</v>
      </c>
      <c r="D18" s="16">
        <f>$D32</f>
        <v>20.504449999999999</v>
      </c>
      <c r="E18" s="16">
        <f>$D33</f>
        <v>20.504449999999999</v>
      </c>
      <c r="F18" s="16">
        <f>$D34</f>
        <v>20.504449999999999</v>
      </c>
      <c r="G18" s="16">
        <f>$D35</f>
        <v>20.504449999999999</v>
      </c>
      <c r="H18" s="16">
        <f>$D36</f>
        <v>20.504449999999999</v>
      </c>
      <c r="I18" s="16">
        <f>$D37</f>
        <v>20.504449999999999</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-44.095549999999996</v>
      </c>
      <c r="D19" s="16">
        <f t="shared" ref="D19:V19" si="1">D18-D17</f>
        <v>-44.095549999999996</v>
      </c>
      <c r="E19" s="16">
        <f t="shared" si="1"/>
        <v>-34.745550000000001</v>
      </c>
      <c r="F19" s="16">
        <f t="shared" si="1"/>
        <v>-34.745550000000001</v>
      </c>
      <c r="G19" s="16">
        <f t="shared" si="1"/>
        <v>-44.095549999999996</v>
      </c>
      <c r="H19" s="16">
        <f t="shared" si="1"/>
        <v>-44.095549999999996</v>
      </c>
      <c r="I19" s="16">
        <f t="shared" si="1"/>
        <v>-44.095549999999996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228</v>
      </c>
      <c r="D21" s="28">
        <f t="shared" ref="D21:V21" si="2">(VLOOKUP(D$14,$AI2:$AK26,3,FALSE))*D$15</f>
        <v>228</v>
      </c>
      <c r="E21" s="28">
        <f t="shared" si="2"/>
        <v>68.25</v>
      </c>
      <c r="F21" s="28">
        <f t="shared" si="2"/>
        <v>68.25</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3.0125000000000002</v>
      </c>
      <c r="D22" s="16">
        <f>$E32</f>
        <v>3.0125000000000002</v>
      </c>
      <c r="E22" s="16">
        <f>$E33</f>
        <v>3.0125000000000002</v>
      </c>
      <c r="F22" s="16">
        <f>$E34</f>
        <v>3.0125000000000002</v>
      </c>
      <c r="G22" s="16">
        <f>$E35</f>
        <v>3.0125000000000002</v>
      </c>
      <c r="H22" s="16">
        <f>$E36</f>
        <v>3.0125000000000002</v>
      </c>
      <c r="I22" s="16">
        <f>$E37</f>
        <v>3.0125000000000002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-224.98750000000001</v>
      </c>
      <c r="D23" s="16">
        <f t="shared" ref="D23:V23" si="3">D22-D21</f>
        <v>-224.98750000000001</v>
      </c>
      <c r="E23" s="16">
        <f t="shared" si="3"/>
        <v>-65.237499999999997</v>
      </c>
      <c r="F23" s="16">
        <f t="shared" si="3"/>
        <v>-65.237499999999997</v>
      </c>
      <c r="G23" s="16">
        <f t="shared" si="3"/>
        <v>-224.98750000000001</v>
      </c>
      <c r="H23" s="16">
        <f t="shared" si="3"/>
        <v>-224.98750000000001</v>
      </c>
      <c r="I23" s="16">
        <f t="shared" si="3"/>
        <v>-224.98750000000001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2.73</v>
      </c>
      <c r="C28" s="15">
        <v>0.02</v>
      </c>
      <c r="D28" s="15">
        <v>35.799999999999997</v>
      </c>
      <c r="E28" s="15">
        <v>10</v>
      </c>
      <c r="F28" s="15">
        <v>10</v>
      </c>
      <c r="G28" s="15">
        <v>0.74</v>
      </c>
      <c r="H28" s="15">
        <v>3.37</v>
      </c>
      <c r="I28" s="15">
        <v>0.5</v>
      </c>
      <c r="J28" s="15">
        <v>1.6E-2</v>
      </c>
      <c r="K28" s="23">
        <v>0.05</v>
      </c>
      <c r="L28" s="15">
        <v>0.77200000000000002</v>
      </c>
      <c r="M28" s="15">
        <v>0.91500000000000004</v>
      </c>
      <c r="N28" s="15">
        <v>47</v>
      </c>
      <c r="O28" s="15">
        <v>10681</v>
      </c>
      <c r="P28" s="15">
        <v>10</v>
      </c>
      <c r="Q28" s="15">
        <v>82.6</v>
      </c>
      <c r="R28" s="15">
        <v>6.3E-2</v>
      </c>
      <c r="S28" s="15">
        <v>0.5</v>
      </c>
      <c r="T28" s="15">
        <v>5.6000000000000001E-2</v>
      </c>
      <c r="U28" s="15">
        <v>10</v>
      </c>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Abercynrig 2</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20.504449999999999</v>
      </c>
      <c r="E31" s="77">
        <f>(IF(E$27="%w/w SAR",((E$28*10)*$B31),IF(E$27="%w/w DM",(((E$28*10)*($B$28/100))*$B31),IF(E$27="kg/t SAR",(E$28*$B31),IF(E$27="kg/t DM",((E$28*($B$28/100))*$B31),IF(E$27="mg/kg SAR",((E$28*0.001)*$B31),IF(E$27="mg/kg DM",(((E$28*0.001)*($B$28/100))*$B31),"0")))))))*1.205</f>
        <v>3.0125000000000002</v>
      </c>
      <c r="F31" s="77">
        <f>(IF(F$27="%w/w SAR",((F$28*10)*$B31),IF(F$27="%w/w DM",(((F$28*10)*($B$28/100))*$B31),IF(F$27="kg/t SAR",(F$28*$B31),IF(F$27="kg/t DM",((F$28*($B$28/100))*$B31),IF(F$27="mg/kg SAR",((F$28*0.001)*$B31),IF(F$27="mg/kg DM",(((F$28*0.001)*($B$28/100))*$B31),"0")))))))*1.658</f>
        <v>4.1449999999999996</v>
      </c>
      <c r="G31" s="77">
        <f t="shared" ref="G31:P31" si="5">IF(G$27="%w/w SAR",((G$28*10)*$B31),IF(G$27="%w/w DM",(((G$28*10)*($B$28/100))*$B31),IF(G$27="kg/t SAR",(G$28*$B31),IF(G$27="kg/t DM",((G$28*($B$28/100))*$B31),IF(G$27="mg/kg SAR",((G$28*0.001)*$B31),IF(G$27="mg/kg DM",(((G$28*0.001)*($B$28/100))*$B31),0))))))</f>
        <v>0.185</v>
      </c>
      <c r="H31" s="77">
        <f t="shared" si="5"/>
        <v>0.84250000000000003</v>
      </c>
      <c r="I31" s="77">
        <f t="shared" si="5"/>
        <v>0.125</v>
      </c>
      <c r="J31" s="77">
        <f t="shared" si="5"/>
        <v>4.0000000000000001E-3</v>
      </c>
      <c r="K31" s="77">
        <f t="shared" si="5"/>
        <v>1.2500000000000001E-2</v>
      </c>
      <c r="L31" s="77">
        <f t="shared" si="5"/>
        <v>0.193</v>
      </c>
      <c r="M31" s="77">
        <f t="shared" si="5"/>
        <v>0.22875000000000001</v>
      </c>
      <c r="N31" s="77">
        <f t="shared" si="5"/>
        <v>11.75</v>
      </c>
      <c r="O31" s="77">
        <f t="shared" si="5"/>
        <v>2670.2500000000005</v>
      </c>
      <c r="P31" s="77">
        <f t="shared" si="5"/>
        <v>2.5</v>
      </c>
      <c r="Q31" s="77">
        <f>(IF(Q$27="%w/w SAR",((Q$28*10)*$B31),IF(Q$27="%w/w DM",(((Q$28*10)*($B$28/100))*$B31),IF(Q$27="kg/t SAR",(Q$28*$B31),IF(Q$27="kg/t DM",((Q$28*($B$28/100))*$B31),IF(Q$27="mg/kg SAR",((Q$28*0.001)*$B31),IF(Q$27="mg/kg DM",(((Q$28*0.001)*($B$28/100))*$B31),0)))))))*2.5</f>
        <v>51.625</v>
      </c>
      <c r="R31" s="77">
        <f>IF(R$27="%w/w SAR",((R$28*10)*$B31),IF(R$27="%w/w DM",(((R$28*10)*($B$28/100))*$B31),IF(R$27="kg/t SAR",(R$28*$B31),IF(R$27="kg/t DM",((R$28*($B$28/100))*$B31),IF(R$27="mg/kg SAR",((R$28*0.001)*$B31),IF(R$27="mg/kg DM",(((R$28*0.001)*($B$28/100))*$B31),0))))))</f>
        <v>1.575E-2</v>
      </c>
      <c r="S31" s="77">
        <f>IF(S$27="%w/w SAR",((S$28*10)*$B31),IF(S$27="%w/w DM",(((S$28*10)*($B$28/100))*$B31),IF(S$27="kg/t SAR",(S$28*$B31),IF(S$27="kg/t DM",((S$28*($B$28/100))*$B31),IF(S$27="mg/kg SAR",((S$28*0.001)*$B31),IF(S$27="mg/kg DM",(((S$28*0.001)*($B$28/100))*$B31),0))))))</f>
        <v>0.125</v>
      </c>
      <c r="T31" s="77">
        <f>IF(T$27="%w/w SAR",((T$28*10)*$B31),IF(T$27="%w/w DM",(((T$28*10)*($B$28/100))*$B31),IF(T$27="kg/t SAR",(T$28*$B31),IF(T$27="kg/t DM",((T$28*($B$28/100))*$B31),IF(T$27="mg/kg SAR",((T$28*0.001)*$B31),IF(T$27="mg/kg DM",(((T$28*0.001)*($B$28/100))*$B31),0))))))</f>
        <v>1.4E-2</v>
      </c>
      <c r="U31" s="77">
        <f>IF(U$27="%w/w SAR",((U$28*10)*$B31),IF(U$27="%w/w DM",(((U$28*10)*($B$28/100))*$B31),IF(U$27="kg/t SAR",(U$28*$B31),IF(U$27="kg/t DM",((U$28*($B$28/100))*$B31),IF(U$27="mg/kg SAR",((U$28*0.001)*$B31),IF(U$27="mg/kg DM",(((U$28*0.001)*($B$28/100))*$B31),0))))))</f>
        <v>2.5</v>
      </c>
      <c r="AB31" s="59"/>
      <c r="AC31" s="59"/>
      <c r="AD31" s="59"/>
      <c r="AE31" s="59"/>
      <c r="AF31" s="59"/>
      <c r="AG31" s="59"/>
      <c r="AH31" s="59"/>
      <c r="AI31" s="59"/>
    </row>
    <row r="32" spans="1:40" s="72" customFormat="1" ht="13" x14ac:dyDescent="0.35">
      <c r="A32" s="13" t="str">
        <f>D8</f>
        <v>Abercynrig 10</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20.504449999999999</v>
      </c>
      <c r="E32" s="77">
        <f t="shared" ref="E32:E50" si="8">(IF(E$27="%w/w SAR",((E$28*10)*$B32),IF(E$27="%w/w DM",(((E$28*10)*($B$28/100))*$B32),IF(E$27="kg/t SAR",(E$28*$B32),IF(E$27="kg/t DM",((E$28*($B$28/100))*$B32),IF(E$27="mg/kg SAR",((E$28*0.001)*$B32),IF(E$27="mg/kg DM",(((E$28*0.001)*($B$28/100))*$B32),"0")))))))*1.205</f>
        <v>3.0125000000000002</v>
      </c>
      <c r="F32" s="77">
        <f t="shared" ref="F32:F50" si="9">(IF(F$27="%w/w SAR",((F$28*10)*$B32),IF(F$27="%w/w DM",(((F$28*10)*($B$28/100))*$B32),IF(F$27="kg/t SAR",(F$28*$B32),IF(F$27="kg/t DM",((F$28*($B$28/100))*$B32),IF(F$27="mg/kg SAR",((F$28*0.001)*$B32),IF(F$27="mg/kg DM",(((F$28*0.001)*($B$28/100))*$B32),"0")))))))*1.658</f>
        <v>4.1449999999999996</v>
      </c>
      <c r="G32" s="77">
        <f t="shared" ref="G32:P50" si="10">IF(G$27="%w/w SAR",((G$28*10)*$B32),IF(G$27="%w/w DM",(((G$28*10)*($B$28/100))*$B32),IF(G$27="kg/t SAR",(G$28*$B32),IF(G$27="kg/t DM",((G$28*($B$28/100))*$B32),IF(G$27="mg/kg SAR",((G$28*0.001)*$B32),IF(G$27="mg/kg DM",(((G$28*0.001)*($B$28/100))*$B32),0))))))</f>
        <v>0.185</v>
      </c>
      <c r="H32" s="77">
        <f t="shared" si="10"/>
        <v>0.84250000000000003</v>
      </c>
      <c r="I32" s="77">
        <f t="shared" si="10"/>
        <v>0.125</v>
      </c>
      <c r="J32" s="77">
        <f t="shared" si="10"/>
        <v>4.0000000000000001E-3</v>
      </c>
      <c r="K32" s="77">
        <f t="shared" si="10"/>
        <v>1.2500000000000001E-2</v>
      </c>
      <c r="L32" s="77">
        <f t="shared" si="10"/>
        <v>0.193</v>
      </c>
      <c r="M32" s="77">
        <f t="shared" si="10"/>
        <v>0.22875000000000001</v>
      </c>
      <c r="N32" s="77">
        <f t="shared" si="10"/>
        <v>11.75</v>
      </c>
      <c r="O32" s="77">
        <f t="shared" si="10"/>
        <v>2670.2500000000005</v>
      </c>
      <c r="P32" s="77">
        <f t="shared" si="10"/>
        <v>2.5</v>
      </c>
      <c r="Q32" s="77">
        <f t="shared" ref="Q32:Q50" si="11">(IF(Q$27="%w/w SAR",((Q$28*10)*$B32),IF(Q$27="%w/w DM",(((Q$28*10)*($B$28/100))*$B32),IF(Q$27="kg/t SAR",(Q$28*$B32),IF(Q$27="kg/t DM",((Q$28*($B$28/100))*$B32),IF(Q$27="mg/kg SAR",((Q$28*0.001)*$B32),IF(Q$27="mg/kg DM",(((Q$28*0.001)*($B$28/100))*$B32),0)))))))*2.5</f>
        <v>51.625</v>
      </c>
      <c r="R32" s="77">
        <f t="shared" ref="R32:U50" si="12">IF(R$27="%w/w SAR",((R$28*10)*$B32),IF(R$27="%w/w DM",(((R$28*10)*($B$28/100))*$B32),IF(R$27="kg/t SAR",(R$28*$B32),IF(R$27="kg/t DM",((R$28*($B$28/100))*$B32),IF(R$27="mg/kg SAR",((R$28*0.001)*$B32),IF(R$27="mg/kg DM",(((R$28*0.001)*($B$28/100))*$B32),0))))))</f>
        <v>1.575E-2</v>
      </c>
      <c r="S32" s="77">
        <f t="shared" si="12"/>
        <v>0.125</v>
      </c>
      <c r="T32" s="77">
        <f t="shared" si="12"/>
        <v>1.4E-2</v>
      </c>
      <c r="U32" s="77">
        <f t="shared" si="12"/>
        <v>2.5</v>
      </c>
      <c r="AB32" s="59"/>
      <c r="AC32" s="59"/>
      <c r="AD32" s="59"/>
      <c r="AE32" s="59"/>
      <c r="AF32" s="59"/>
      <c r="AG32" s="59"/>
      <c r="AH32" s="59"/>
      <c r="AI32" s="59"/>
    </row>
    <row r="33" spans="1:35" s="72" customFormat="1" ht="13" x14ac:dyDescent="0.35">
      <c r="A33" s="13">
        <f>E8</f>
        <v>1</v>
      </c>
      <c r="B33" s="15">
        <v>250</v>
      </c>
      <c r="C33" s="77">
        <f t="shared" si="6"/>
        <v>50</v>
      </c>
      <c r="D33" s="77">
        <f t="shared" si="7"/>
        <v>20.504449999999999</v>
      </c>
      <c r="E33" s="77">
        <f t="shared" si="8"/>
        <v>3.0125000000000002</v>
      </c>
      <c r="F33" s="77">
        <f t="shared" si="9"/>
        <v>4.1449999999999996</v>
      </c>
      <c r="G33" s="77">
        <f t="shared" si="10"/>
        <v>0.185</v>
      </c>
      <c r="H33" s="77">
        <f t="shared" si="10"/>
        <v>0.84250000000000003</v>
      </c>
      <c r="I33" s="77">
        <f t="shared" si="10"/>
        <v>0.125</v>
      </c>
      <c r="J33" s="77">
        <f t="shared" si="10"/>
        <v>4.0000000000000001E-3</v>
      </c>
      <c r="K33" s="77">
        <f t="shared" si="10"/>
        <v>1.2500000000000001E-2</v>
      </c>
      <c r="L33" s="77">
        <f t="shared" si="10"/>
        <v>0.193</v>
      </c>
      <c r="M33" s="77">
        <f t="shared" si="10"/>
        <v>0.22875000000000001</v>
      </c>
      <c r="N33" s="77">
        <f t="shared" si="10"/>
        <v>11.75</v>
      </c>
      <c r="O33" s="77">
        <f t="shared" si="10"/>
        <v>2670.2500000000005</v>
      </c>
      <c r="P33" s="77">
        <f t="shared" si="10"/>
        <v>2.5</v>
      </c>
      <c r="Q33" s="77">
        <f t="shared" si="11"/>
        <v>51.625</v>
      </c>
      <c r="R33" s="77">
        <f t="shared" si="12"/>
        <v>1.575E-2</v>
      </c>
      <c r="S33" s="77">
        <f t="shared" si="12"/>
        <v>0.125</v>
      </c>
      <c r="T33" s="77">
        <f t="shared" si="12"/>
        <v>1.4E-2</v>
      </c>
      <c r="U33" s="77">
        <f t="shared" si="12"/>
        <v>2.5</v>
      </c>
      <c r="AB33" s="59"/>
      <c r="AC33" s="59"/>
      <c r="AD33" s="59"/>
      <c r="AE33" s="59"/>
      <c r="AF33" s="59"/>
      <c r="AG33" s="59"/>
      <c r="AH33" s="59"/>
      <c r="AI33" s="59"/>
    </row>
    <row r="34" spans="1:35" s="72" customFormat="1" ht="13" x14ac:dyDescent="0.35">
      <c r="A34" s="13">
        <f>F8</f>
        <v>2</v>
      </c>
      <c r="B34" s="15">
        <v>250</v>
      </c>
      <c r="C34" s="77">
        <f t="shared" si="6"/>
        <v>50</v>
      </c>
      <c r="D34" s="77">
        <f t="shared" si="7"/>
        <v>20.504449999999999</v>
      </c>
      <c r="E34" s="77">
        <f t="shared" si="8"/>
        <v>3.0125000000000002</v>
      </c>
      <c r="F34" s="77">
        <f t="shared" si="9"/>
        <v>4.1449999999999996</v>
      </c>
      <c r="G34" s="77">
        <f t="shared" si="10"/>
        <v>0.185</v>
      </c>
      <c r="H34" s="77">
        <f t="shared" si="10"/>
        <v>0.84250000000000003</v>
      </c>
      <c r="I34" s="77">
        <f t="shared" si="10"/>
        <v>0.125</v>
      </c>
      <c r="J34" s="77">
        <f t="shared" si="10"/>
        <v>4.0000000000000001E-3</v>
      </c>
      <c r="K34" s="77">
        <f t="shared" si="10"/>
        <v>1.2500000000000001E-2</v>
      </c>
      <c r="L34" s="77">
        <f t="shared" si="10"/>
        <v>0.193</v>
      </c>
      <c r="M34" s="77">
        <f t="shared" si="10"/>
        <v>0.22875000000000001</v>
      </c>
      <c r="N34" s="77">
        <f t="shared" si="10"/>
        <v>11.75</v>
      </c>
      <c r="O34" s="77">
        <f t="shared" si="10"/>
        <v>2670.2500000000005</v>
      </c>
      <c r="P34" s="77">
        <f t="shared" si="10"/>
        <v>2.5</v>
      </c>
      <c r="Q34" s="77">
        <f t="shared" si="11"/>
        <v>51.625</v>
      </c>
      <c r="R34" s="77">
        <f t="shared" si="12"/>
        <v>1.575E-2</v>
      </c>
      <c r="S34" s="77">
        <f t="shared" si="12"/>
        <v>0.125</v>
      </c>
      <c r="T34" s="77">
        <f t="shared" si="12"/>
        <v>1.4E-2</v>
      </c>
      <c r="U34" s="77">
        <f t="shared" si="12"/>
        <v>2.5</v>
      </c>
      <c r="AB34" s="59"/>
      <c r="AC34" s="59"/>
      <c r="AD34" s="59"/>
      <c r="AE34" s="59"/>
      <c r="AF34" s="59"/>
      <c r="AG34" s="59"/>
      <c r="AH34" s="59"/>
      <c r="AI34" s="59"/>
    </row>
    <row r="35" spans="1:35" s="72" customFormat="1" ht="13" x14ac:dyDescent="0.35">
      <c r="A35" s="13">
        <f>G8</f>
        <v>10</v>
      </c>
      <c r="B35" s="15">
        <v>250</v>
      </c>
      <c r="C35" s="77">
        <f t="shared" si="6"/>
        <v>50</v>
      </c>
      <c r="D35" s="77">
        <f t="shared" si="7"/>
        <v>20.504449999999999</v>
      </c>
      <c r="E35" s="77">
        <f t="shared" si="8"/>
        <v>3.0125000000000002</v>
      </c>
      <c r="F35" s="77">
        <f t="shared" si="9"/>
        <v>4.1449999999999996</v>
      </c>
      <c r="G35" s="77">
        <f t="shared" si="10"/>
        <v>0.185</v>
      </c>
      <c r="H35" s="77">
        <f t="shared" si="10"/>
        <v>0.84250000000000003</v>
      </c>
      <c r="I35" s="77">
        <f t="shared" si="10"/>
        <v>0.125</v>
      </c>
      <c r="J35" s="77">
        <f t="shared" si="10"/>
        <v>4.0000000000000001E-3</v>
      </c>
      <c r="K35" s="77">
        <f t="shared" si="10"/>
        <v>1.2500000000000001E-2</v>
      </c>
      <c r="L35" s="77">
        <f t="shared" si="10"/>
        <v>0.193</v>
      </c>
      <c r="M35" s="77">
        <f t="shared" si="10"/>
        <v>0.22875000000000001</v>
      </c>
      <c r="N35" s="77">
        <f t="shared" si="10"/>
        <v>11.75</v>
      </c>
      <c r="O35" s="77">
        <f t="shared" si="10"/>
        <v>2670.2500000000005</v>
      </c>
      <c r="P35" s="77">
        <f t="shared" si="10"/>
        <v>2.5</v>
      </c>
      <c r="Q35" s="77">
        <f t="shared" si="11"/>
        <v>51.625</v>
      </c>
      <c r="R35" s="77">
        <f t="shared" si="12"/>
        <v>1.575E-2</v>
      </c>
      <c r="S35" s="77">
        <f t="shared" si="12"/>
        <v>0.125</v>
      </c>
      <c r="T35" s="77">
        <f t="shared" si="12"/>
        <v>1.4E-2</v>
      </c>
      <c r="U35" s="77">
        <f t="shared" si="12"/>
        <v>2.5</v>
      </c>
      <c r="AB35" s="59"/>
      <c r="AC35" s="59"/>
      <c r="AD35" s="59"/>
      <c r="AE35" s="59"/>
      <c r="AF35" s="59"/>
      <c r="AG35" s="59"/>
      <c r="AH35" s="59"/>
      <c r="AI35" s="59"/>
    </row>
    <row r="36" spans="1:35" s="72" customFormat="1" ht="13" x14ac:dyDescent="0.35">
      <c r="A36" s="13">
        <f>H8</f>
        <v>11</v>
      </c>
      <c r="B36" s="15">
        <v>250</v>
      </c>
      <c r="C36" s="77">
        <f t="shared" si="6"/>
        <v>50</v>
      </c>
      <c r="D36" s="77">
        <f t="shared" si="7"/>
        <v>20.504449999999999</v>
      </c>
      <c r="E36" s="77">
        <f t="shared" si="8"/>
        <v>3.0125000000000002</v>
      </c>
      <c r="F36" s="77">
        <f t="shared" si="9"/>
        <v>4.1449999999999996</v>
      </c>
      <c r="G36" s="77">
        <f t="shared" si="10"/>
        <v>0.185</v>
      </c>
      <c r="H36" s="77">
        <f t="shared" si="10"/>
        <v>0.84250000000000003</v>
      </c>
      <c r="I36" s="77">
        <f t="shared" si="10"/>
        <v>0.125</v>
      </c>
      <c r="J36" s="77">
        <f t="shared" si="10"/>
        <v>4.0000000000000001E-3</v>
      </c>
      <c r="K36" s="77">
        <f t="shared" si="10"/>
        <v>1.2500000000000001E-2</v>
      </c>
      <c r="L36" s="77">
        <f t="shared" si="10"/>
        <v>0.193</v>
      </c>
      <c r="M36" s="77">
        <f t="shared" si="10"/>
        <v>0.22875000000000001</v>
      </c>
      <c r="N36" s="77">
        <f t="shared" si="10"/>
        <v>11.75</v>
      </c>
      <c r="O36" s="77">
        <f t="shared" si="10"/>
        <v>2670.2500000000005</v>
      </c>
      <c r="P36" s="77">
        <f t="shared" si="10"/>
        <v>2.5</v>
      </c>
      <c r="Q36" s="77">
        <f t="shared" si="11"/>
        <v>51.625</v>
      </c>
      <c r="R36" s="77">
        <f t="shared" si="12"/>
        <v>1.575E-2</v>
      </c>
      <c r="S36" s="77">
        <f t="shared" si="12"/>
        <v>0.125</v>
      </c>
      <c r="T36" s="77">
        <f t="shared" si="12"/>
        <v>1.4E-2</v>
      </c>
      <c r="U36" s="77">
        <f t="shared" si="12"/>
        <v>2.5</v>
      </c>
      <c r="AB36" s="59"/>
      <c r="AC36" s="59"/>
      <c r="AD36" s="59"/>
      <c r="AE36" s="59"/>
      <c r="AF36" s="59"/>
      <c r="AG36" s="59"/>
      <c r="AH36" s="59"/>
      <c r="AI36" s="59"/>
    </row>
    <row r="37" spans="1:35" s="72" customFormat="1" ht="13" x14ac:dyDescent="0.35">
      <c r="A37" s="13">
        <f>I8</f>
        <v>16</v>
      </c>
      <c r="B37" s="15">
        <v>250</v>
      </c>
      <c r="C37" s="77">
        <f t="shared" si="6"/>
        <v>50</v>
      </c>
      <c r="D37" s="77">
        <f t="shared" si="7"/>
        <v>20.504449999999999</v>
      </c>
      <c r="E37" s="77">
        <f t="shared" si="8"/>
        <v>3.0125000000000002</v>
      </c>
      <c r="F37" s="77">
        <f t="shared" si="9"/>
        <v>4.1449999999999996</v>
      </c>
      <c r="G37" s="77">
        <f t="shared" si="10"/>
        <v>0.185</v>
      </c>
      <c r="H37" s="77">
        <f t="shared" si="10"/>
        <v>0.84250000000000003</v>
      </c>
      <c r="I37" s="77">
        <f t="shared" si="10"/>
        <v>0.125</v>
      </c>
      <c r="J37" s="77">
        <f t="shared" si="10"/>
        <v>4.0000000000000001E-3</v>
      </c>
      <c r="K37" s="77">
        <f t="shared" si="10"/>
        <v>1.2500000000000001E-2</v>
      </c>
      <c r="L37" s="77">
        <f t="shared" si="10"/>
        <v>0.193</v>
      </c>
      <c r="M37" s="77">
        <f t="shared" si="10"/>
        <v>0.22875000000000001</v>
      </c>
      <c r="N37" s="77">
        <f t="shared" si="10"/>
        <v>11.75</v>
      </c>
      <c r="O37" s="77">
        <f t="shared" si="10"/>
        <v>2670.2500000000005</v>
      </c>
      <c r="P37" s="77">
        <f t="shared" si="10"/>
        <v>2.5</v>
      </c>
      <c r="Q37" s="77">
        <f t="shared" si="11"/>
        <v>51.625</v>
      </c>
      <c r="R37" s="77">
        <f t="shared" si="12"/>
        <v>1.575E-2</v>
      </c>
      <c r="S37" s="77">
        <f t="shared" si="12"/>
        <v>0.125</v>
      </c>
      <c r="T37" s="77">
        <f t="shared" si="12"/>
        <v>1.4E-2</v>
      </c>
      <c r="U37" s="77">
        <f t="shared" si="12"/>
        <v>2.5</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"&amp;(VLOOKUP(C14,Table24[],6,FALSE))</f>
        <v>Medium/Clay I Grass</v>
      </c>
      <c r="C58" s="13" t="str">
        <f>D16&amp;" I "&amp;(VLOOKUP(D14,Table24[],6,FALSE))</f>
        <v>Medium/Clay I Grass</v>
      </c>
      <c r="D58" s="13" t="str">
        <f>E16&amp;" I "&amp;(VLOOKUP(E14,Table24[],6,FALSE))</f>
        <v>Medium/Clay I Arable</v>
      </c>
      <c r="E58" s="13" t="str">
        <f>F16&amp;" I "&amp;(VLOOKUP(F14,Table24[],6,FALSE))</f>
        <v>Medium/Clay I Arable</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133</v>
      </c>
      <c r="B59" s="76">
        <f>VLOOKUP(C$14,Table24[],5,FALSE)</f>
        <v>6.2</v>
      </c>
      <c r="C59" s="76">
        <f>VLOOKUP(D$14,Table24[],5,FALSE)</f>
        <v>6.2</v>
      </c>
      <c r="D59" s="76">
        <f>VLOOKUP(E$14,Table24[],5,FALSE)</f>
        <v>6.7</v>
      </c>
      <c r="E59" s="76">
        <f>VLOOKUP(F$14,Table24[],5,FALSE)</f>
        <v>6.7</v>
      </c>
      <c r="F59" s="76">
        <f>VLOOKUP(G$14,Table24[],5,FALSE)</f>
        <v>6.2</v>
      </c>
      <c r="G59" s="76">
        <f>VLOOKUP(H$14,Table24[],5,FALSE)</f>
        <v>6.2</v>
      </c>
      <c r="H59" s="76">
        <f>VLOOKUP(I$14,Table24[],5,FALSE)</f>
        <v>6.2</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6.2</v>
      </c>
      <c r="C60" s="76">
        <f t="shared" ref="C60:U60" si="14">D10</f>
        <v>5.2</v>
      </c>
      <c r="D60" s="76" t="str">
        <f t="shared" si="14"/>
        <v>5..5</v>
      </c>
      <c r="E60" s="76">
        <f t="shared" si="14"/>
        <v>5</v>
      </c>
      <c r="F60" s="76">
        <f t="shared" si="14"/>
        <v>5.5</v>
      </c>
      <c r="G60" s="76">
        <f t="shared" si="14"/>
        <v>5.4</v>
      </c>
      <c r="H60" s="76">
        <f t="shared" si="14"/>
        <v>5.5</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v>
      </c>
      <c r="C64" s="77">
        <f t="shared" ref="C64:U64" si="17">(C59-C60)*C61</f>
        <v>6</v>
      </c>
      <c r="D64" s="77" t="e">
        <f t="shared" si="17"/>
        <v>#VALUE!</v>
      </c>
      <c r="E64" s="77">
        <f t="shared" si="17"/>
        <v>13.600000000000001</v>
      </c>
      <c r="F64" s="77">
        <f t="shared" si="17"/>
        <v>4.2000000000000011</v>
      </c>
      <c r="G64" s="77">
        <f t="shared" si="17"/>
        <v>4.7999999999999989</v>
      </c>
      <c r="H64" s="77">
        <f t="shared" si="17"/>
        <v>4.2000000000000011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v>
      </c>
      <c r="C65" s="77">
        <f t="shared" ref="C65:U65" si="18">C63-C64</f>
        <v>-6</v>
      </c>
      <c r="D65" s="77" t="e">
        <f t="shared" si="18"/>
        <v>#VALUE!</v>
      </c>
      <c r="E65" s="77">
        <f t="shared" si="18"/>
        <v>-13.600000000000001</v>
      </c>
      <c r="F65" s="77">
        <f t="shared" si="18"/>
        <v>-4.2000000000000011</v>
      </c>
      <c r="G65" s="77">
        <f t="shared" si="18"/>
        <v>-4.7999999999999989</v>
      </c>
      <c r="H65" s="77">
        <f t="shared" si="18"/>
        <v>-4.2000000000000011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UNDER</v>
      </c>
      <c r="D66" s="78" t="e">
        <f t="shared" si="19"/>
        <v>#VALUE!</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9rnDjTJrizefQk332zixbHq90Xnv5q24Gt9H6oUr2N6a0eozLbyN0EqVp6un5E9+GlaS/maHwN7KL87ddGdC/Q==" saltValue="O0drBGkvHueLI97HLOkDf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9"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Bryngwyn!C1:D1</f>
        <v>PAN-015421</v>
      </c>
      <c r="D1" s="140"/>
      <c r="E1" s="93" t="s">
        <v>45</v>
      </c>
      <c r="F1" s="39" t="str">
        <f>Bryngwyn!F1</f>
        <v>46.9 ha</v>
      </c>
      <c r="G1" s="119" t="s">
        <v>43</v>
      </c>
      <c r="H1" s="120"/>
      <c r="I1" s="96">
        <v>6</v>
      </c>
      <c r="J1" s="118" t="s">
        <v>154</v>
      </c>
      <c r="K1" s="118"/>
      <c r="L1" s="97">
        <v>213</v>
      </c>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Bryngwyn!C2:D2</f>
        <v>EPR/GP3792SK</v>
      </c>
      <c r="D2" s="142"/>
      <c r="E2" s="93" t="s">
        <v>109</v>
      </c>
      <c r="F2" s="96" t="s">
        <v>171</v>
      </c>
      <c r="G2" s="137" t="s">
        <v>110</v>
      </c>
      <c r="H2" s="138"/>
      <c r="I2" s="96"/>
      <c r="J2" s="118" t="s">
        <v>159</v>
      </c>
      <c r="K2" s="118"/>
      <c r="L2" s="97">
        <v>0.41499999999999998</v>
      </c>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Bryngwyn!C3:D3</f>
        <v>ByProduct Recovery Limited</v>
      </c>
      <c r="D3" s="142"/>
      <c r="E3" s="93" t="s">
        <v>108</v>
      </c>
      <c r="F3" s="31" t="s">
        <v>78</v>
      </c>
      <c r="G3" s="119" t="s">
        <v>111</v>
      </c>
      <c r="H3" s="120"/>
      <c r="I3" s="96"/>
      <c r="J3" s="119" t="s">
        <v>155</v>
      </c>
      <c r="K3" s="120"/>
      <c r="L3" s="97">
        <f>(L1/(L2*10000))*100</f>
        <v>5.1325301204819276</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f>Bryngwyn!C4:D4</f>
        <v>0</v>
      </c>
      <c r="D4" s="140"/>
      <c r="E4" s="94" t="s">
        <v>1</v>
      </c>
      <c r="F4" s="96" t="s">
        <v>172</v>
      </c>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Bryngwyn!C5:D5</f>
        <v>Rhiannon Smith</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Bryngwyn!C8</f>
        <v>Abercynrig 2</v>
      </c>
      <c r="D8" s="60" t="str">
        <f>Bryngwyn!D8</f>
        <v>Abercynrig 10</v>
      </c>
      <c r="E8" s="60">
        <f>Bryngwyn!E8</f>
        <v>1</v>
      </c>
      <c r="F8" s="60">
        <f>Bryngwyn!F8</f>
        <v>2</v>
      </c>
      <c r="G8" s="60">
        <f>Bryngwyn!G8</f>
        <v>10</v>
      </c>
      <c r="H8" s="60">
        <f>Bryngwyn!H8</f>
        <v>11</v>
      </c>
      <c r="I8" s="60">
        <f>Bryngwyn!I8</f>
        <v>16</v>
      </c>
      <c r="J8" s="60">
        <f>Bryngwyn!J8</f>
        <v>0</v>
      </c>
      <c r="K8" s="60">
        <f>Bryngwyn!K8</f>
        <v>0</v>
      </c>
      <c r="L8" s="60">
        <f>Bryngwyn!L8</f>
        <v>0</v>
      </c>
      <c r="M8" s="60">
        <f>Bryngwyn!M8</f>
        <v>0</v>
      </c>
      <c r="N8" s="60">
        <f>Bryngwyn!N8</f>
        <v>0</v>
      </c>
      <c r="O8" s="60">
        <f>Bryngwyn!O8</f>
        <v>0</v>
      </c>
      <c r="P8" s="60">
        <f>Bryngwyn!P8</f>
        <v>0</v>
      </c>
      <c r="Q8" s="60">
        <f>Bryngwyn!Q8</f>
        <v>0</v>
      </c>
      <c r="R8" s="60">
        <f>Bryngwyn!R8</f>
        <v>0</v>
      </c>
      <c r="S8" s="60">
        <f>Bryngwyn!S8</f>
        <v>0</v>
      </c>
      <c r="T8" s="60">
        <f>Bryngwyn!T8</f>
        <v>0</v>
      </c>
      <c r="U8" s="60">
        <f>Bryngwyn!U8</f>
        <v>0</v>
      </c>
      <c r="V8" s="60">
        <f>Bryngwyn!V8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Bryngwyn!C9</f>
        <v>M</v>
      </c>
      <c r="D9" s="60" t="str">
        <f>Bryngwyn!D9</f>
        <v>m</v>
      </c>
      <c r="E9" s="60">
        <f>Bryngwyn!E9</f>
        <v>1</v>
      </c>
      <c r="F9" s="60">
        <f>Bryngwyn!F9</f>
        <v>1</v>
      </c>
      <c r="G9" s="60" t="str">
        <f>Bryngwyn!G9</f>
        <v>M</v>
      </c>
      <c r="H9" s="60" t="str">
        <f>Bryngwyn!H9</f>
        <v>M</v>
      </c>
      <c r="I9" s="60" t="str">
        <f>Bryngwyn!I9</f>
        <v>M</v>
      </c>
      <c r="J9" s="60">
        <f>Bryngwyn!J9</f>
        <v>0</v>
      </c>
      <c r="K9" s="60">
        <f>Bryngwyn!K9</f>
        <v>0</v>
      </c>
      <c r="L9" s="60">
        <f>Bryngwyn!L9</f>
        <v>0</v>
      </c>
      <c r="M9" s="60">
        <f>Bryngwyn!M9</f>
        <v>0</v>
      </c>
      <c r="N9" s="60">
        <f>Bryngwyn!N9</f>
        <v>0</v>
      </c>
      <c r="O9" s="60">
        <f>Bryngwyn!O9</f>
        <v>0</v>
      </c>
      <c r="P9" s="60">
        <f>Bryngwyn!P9</f>
        <v>0</v>
      </c>
      <c r="Q9" s="60">
        <f>Bryngwyn!Q9</f>
        <v>0</v>
      </c>
      <c r="R9" s="60">
        <f>Bryngwyn!R9</f>
        <v>0</v>
      </c>
      <c r="S9" s="60">
        <f>Bryngwyn!S9</f>
        <v>0</v>
      </c>
      <c r="T9" s="60">
        <f>Bryngwyn!T9</f>
        <v>0</v>
      </c>
      <c r="U9" s="60">
        <f>Bryngwyn!U9</f>
        <v>0</v>
      </c>
      <c r="V9" s="60">
        <f>Bryngwyn!V9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Bryngwyn!C10</f>
        <v>6.2</v>
      </c>
      <c r="D10" s="60">
        <f>Bryngwyn!D10</f>
        <v>5.2</v>
      </c>
      <c r="E10" s="60" t="str">
        <f>Bryngwyn!E10</f>
        <v>5..5</v>
      </c>
      <c r="F10" s="60">
        <f>Bryngwyn!F10</f>
        <v>5</v>
      </c>
      <c r="G10" s="60">
        <f>Bryngwyn!G10</f>
        <v>5.5</v>
      </c>
      <c r="H10" s="60">
        <f>Bryngwyn!H10</f>
        <v>5.4</v>
      </c>
      <c r="I10" s="60">
        <f>Bryngwyn!I10</f>
        <v>5.5</v>
      </c>
      <c r="J10" s="60">
        <f>Bryngwyn!J10</f>
        <v>0</v>
      </c>
      <c r="K10" s="60">
        <f>Bryngwyn!K10</f>
        <v>0</v>
      </c>
      <c r="L10" s="60">
        <f>Bryngwyn!L10</f>
        <v>0</v>
      </c>
      <c r="M10" s="60">
        <f>Bryngwyn!M10</f>
        <v>0</v>
      </c>
      <c r="N10" s="60">
        <f>Bryngwyn!N10</f>
        <v>0</v>
      </c>
      <c r="O10" s="60">
        <f>Bryngwyn!O10</f>
        <v>0</v>
      </c>
      <c r="P10" s="60">
        <f>Bryngwyn!P10</f>
        <v>0</v>
      </c>
      <c r="Q10" s="60">
        <f>Bryngwyn!Q10</f>
        <v>0</v>
      </c>
      <c r="R10" s="60">
        <f>Bryngwyn!R10</f>
        <v>0</v>
      </c>
      <c r="S10" s="60">
        <f>Bryngwyn!S10</f>
        <v>0</v>
      </c>
      <c r="T10" s="60">
        <f>Bryngwyn!T10</f>
        <v>0</v>
      </c>
      <c r="U10" s="60">
        <f>Bryngwyn!U10</f>
        <v>0</v>
      </c>
      <c r="V10" s="60">
        <f>Bryngwyn!V10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Bryngwyn!C11</f>
        <v>3</v>
      </c>
      <c r="D11" s="60">
        <f>Bryngwyn!D11</f>
        <v>3</v>
      </c>
      <c r="E11" s="60">
        <f>Bryngwyn!E11</f>
        <v>3</v>
      </c>
      <c r="F11" s="60">
        <f>Bryngwyn!F11</f>
        <v>4</v>
      </c>
      <c r="G11" s="60">
        <f>Bryngwyn!G11</f>
        <v>2</v>
      </c>
      <c r="H11" s="60">
        <f>Bryngwyn!H11</f>
        <v>2</v>
      </c>
      <c r="I11" s="60">
        <f>Bryngwyn!I11</f>
        <v>3</v>
      </c>
      <c r="J11" s="60">
        <f>Bryngwyn!J11</f>
        <v>0</v>
      </c>
      <c r="K11" s="60">
        <f>Bryngwyn!K11</f>
        <v>0</v>
      </c>
      <c r="L11" s="60">
        <f>Bryngwyn!L11</f>
        <v>0</v>
      </c>
      <c r="M11" s="60">
        <f>Bryngwyn!M11</f>
        <v>0</v>
      </c>
      <c r="N11" s="60">
        <f>Bryngwyn!N11</f>
        <v>0</v>
      </c>
      <c r="O11" s="60">
        <f>Bryngwyn!O11</f>
        <v>0</v>
      </c>
      <c r="P11" s="60">
        <f>Bryngwyn!P11</f>
        <v>0</v>
      </c>
      <c r="Q11" s="60">
        <f>Bryngwyn!Q11</f>
        <v>0</v>
      </c>
      <c r="R11" s="60">
        <f>Bryngwyn!R11</f>
        <v>0</v>
      </c>
      <c r="S11" s="60">
        <f>Bryngwyn!S11</f>
        <v>0</v>
      </c>
      <c r="T11" s="60">
        <f>Bryngwyn!T11</f>
        <v>0</v>
      </c>
      <c r="U11" s="60">
        <f>Bryngwyn!U11</f>
        <v>0</v>
      </c>
      <c r="V11" s="60">
        <f>Bryngwyn!V11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Bryngwyn!C12</f>
        <v>2</v>
      </c>
      <c r="D12" s="60">
        <f>Bryngwyn!D12</f>
        <v>1</v>
      </c>
      <c r="E12" s="60">
        <f>Bryngwyn!E12</f>
        <v>2</v>
      </c>
      <c r="F12" s="60">
        <f>Bryngwyn!F12</f>
        <v>1</v>
      </c>
      <c r="G12" s="60">
        <f>Bryngwyn!G12</f>
        <v>1</v>
      </c>
      <c r="H12" s="60">
        <f>Bryngwyn!H12</f>
        <v>1</v>
      </c>
      <c r="I12" s="60">
        <f>Bryngwyn!I12</f>
        <v>1</v>
      </c>
      <c r="J12" s="60">
        <f>Bryngwyn!J12</f>
        <v>0</v>
      </c>
      <c r="K12" s="60">
        <f>Bryngwyn!K12</f>
        <v>0</v>
      </c>
      <c r="L12" s="60">
        <f>Bryngwyn!L12</f>
        <v>0</v>
      </c>
      <c r="M12" s="60">
        <f>Bryngwyn!M12</f>
        <v>0</v>
      </c>
      <c r="N12" s="60">
        <f>Bryngwyn!N12</f>
        <v>0</v>
      </c>
      <c r="O12" s="60">
        <f>Bryngwyn!O12</f>
        <v>0</v>
      </c>
      <c r="P12" s="60">
        <f>Bryngwyn!P12</f>
        <v>0</v>
      </c>
      <c r="Q12" s="60">
        <f>Bryngwyn!Q12</f>
        <v>0</v>
      </c>
      <c r="R12" s="60">
        <f>Bryngwyn!R12</f>
        <v>0</v>
      </c>
      <c r="S12" s="60">
        <f>Bryngwyn!S12</f>
        <v>0</v>
      </c>
      <c r="T12" s="60">
        <f>Bryngwyn!T12</f>
        <v>0</v>
      </c>
      <c r="U12" s="60">
        <f>Bryngwyn!U12</f>
        <v>0</v>
      </c>
      <c r="V12" s="60">
        <f>Bryngwyn!V12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Bryngwyn!C13</f>
        <v>3</v>
      </c>
      <c r="D13" s="60">
        <f>Bryngwyn!D13</f>
        <v>2</v>
      </c>
      <c r="E13" s="60">
        <f>Bryngwyn!E13</f>
        <v>3</v>
      </c>
      <c r="F13" s="60">
        <f>Bryngwyn!F13</f>
        <v>2</v>
      </c>
      <c r="G13" s="60">
        <f>Bryngwyn!G13</f>
        <v>2</v>
      </c>
      <c r="H13" s="60">
        <f>Bryngwyn!H13</f>
        <v>2</v>
      </c>
      <c r="I13" s="60">
        <f>Bryngwyn!I13</f>
        <v>3</v>
      </c>
      <c r="J13" s="60">
        <f>Bryngwyn!J13</f>
        <v>0</v>
      </c>
      <c r="K13" s="60">
        <f>Bryngwyn!K13</f>
        <v>0</v>
      </c>
      <c r="L13" s="60">
        <f>Bryngwyn!L13</f>
        <v>0</v>
      </c>
      <c r="M13" s="60">
        <f>Bryngwyn!M13</f>
        <v>0</v>
      </c>
      <c r="N13" s="60">
        <f>Bryngwyn!N13</f>
        <v>0</v>
      </c>
      <c r="O13" s="60">
        <f>Bryngwyn!O13</f>
        <v>0</v>
      </c>
      <c r="P13" s="60">
        <f>Bryngwyn!P13</f>
        <v>0</v>
      </c>
      <c r="Q13" s="60">
        <f>Bryngwyn!Q13</f>
        <v>0</v>
      </c>
      <c r="R13" s="60">
        <f>Bryngwyn!R13</f>
        <v>0</v>
      </c>
      <c r="S13" s="60">
        <f>Bryngwyn!S13</f>
        <v>0</v>
      </c>
      <c r="T13" s="60">
        <f>Bryngwyn!T13</f>
        <v>0</v>
      </c>
      <c r="U13" s="60">
        <f>Bryngwyn!U13</f>
        <v>0</v>
      </c>
      <c r="V13" s="60">
        <f>Bryngwyn!V13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Bryngwyn!C14</f>
        <v xml:space="preserve">Grass Silage (25% DM) </v>
      </c>
      <c r="D14" s="102" t="str">
        <f>Bryngwyn!D14</f>
        <v xml:space="preserve">Grass Silage (25% DM) </v>
      </c>
      <c r="E14" s="102" t="str">
        <f>Bryngwyn!E14</f>
        <v>Winter barley/triticale/rye</v>
      </c>
      <c r="F14" s="102" t="str">
        <f>Bryngwyn!F14</f>
        <v>Winter barley/triticale/rye</v>
      </c>
      <c r="G14" s="102" t="str">
        <f>Bryngwyn!G14</f>
        <v xml:space="preserve">Grass Silage (25% DM) </v>
      </c>
      <c r="H14" s="102" t="str">
        <f>Bryngwyn!H14</f>
        <v xml:space="preserve">Grass Silage (25% DM) </v>
      </c>
      <c r="I14" s="102" t="str">
        <f>Bryngwyn!I14</f>
        <v xml:space="preserve">Grass Silage (25% DM) </v>
      </c>
      <c r="J14" s="102">
        <f>Bryngwyn!J14</f>
        <v>0</v>
      </c>
      <c r="K14" s="102">
        <f>Bryngwyn!K14</f>
        <v>0</v>
      </c>
      <c r="L14" s="102">
        <f>Bryngwyn!L14</f>
        <v>0</v>
      </c>
      <c r="M14" s="102">
        <f>Bryngwyn!M14</f>
        <v>0</v>
      </c>
      <c r="N14" s="102">
        <f>Bryngwyn!N14</f>
        <v>0</v>
      </c>
      <c r="O14" s="102">
        <f>Bryngwyn!O14</f>
        <v>0</v>
      </c>
      <c r="P14" s="102">
        <f>Bryngwyn!P14</f>
        <v>0</v>
      </c>
      <c r="Q14" s="102">
        <f>Bryngwyn!Q14</f>
        <v>0</v>
      </c>
      <c r="R14" s="102">
        <f>Bryngwyn!R14</f>
        <v>0</v>
      </c>
      <c r="S14" s="102">
        <f>Bryngwyn!S14</f>
        <v>0</v>
      </c>
      <c r="T14" s="102">
        <f>Bryngwyn!T14</f>
        <v>0</v>
      </c>
      <c r="U14" s="102">
        <f>Bryngwyn!U14</f>
        <v>0</v>
      </c>
      <c r="V14" s="102">
        <f>Bryngwyn!V14</f>
        <v>0</v>
      </c>
      <c r="AD14" s="30" t="s">
        <v>139</v>
      </c>
      <c r="AE14" s="30">
        <v>6</v>
      </c>
      <c r="AI14" s="53" t="s">
        <v>120</v>
      </c>
      <c r="AJ14" s="54">
        <v>0.8</v>
      </c>
      <c r="AK14" s="55">
        <v>1.7</v>
      </c>
      <c r="AL14" s="11">
        <v>12</v>
      </c>
      <c r="AM14" s="11">
        <v>6.7</v>
      </c>
      <c r="AN14" s="11" t="s">
        <v>136</v>
      </c>
    </row>
    <row r="15" spans="1:41" ht="13" x14ac:dyDescent="0.25">
      <c r="A15" s="129" t="s">
        <v>9</v>
      </c>
      <c r="B15" s="129"/>
      <c r="C15" s="60">
        <f>Bryngwyn!C15</f>
        <v>38</v>
      </c>
      <c r="D15" s="60">
        <f>Bryngwyn!D15</f>
        <v>38</v>
      </c>
      <c r="E15" s="60">
        <f>Bryngwyn!E15</f>
        <v>6.5</v>
      </c>
      <c r="F15" s="60">
        <f>Bryngwyn!F15</f>
        <v>6.5</v>
      </c>
      <c r="G15" s="60">
        <f>Bryngwyn!G15</f>
        <v>38</v>
      </c>
      <c r="H15" s="60">
        <f>Bryngwyn!H15</f>
        <v>38</v>
      </c>
      <c r="I15" s="60">
        <f>Bryngwyn!I15</f>
        <v>38</v>
      </c>
      <c r="J15" s="60">
        <f>Bryngwyn!J15</f>
        <v>0</v>
      </c>
      <c r="K15" s="60">
        <f>Bryngwyn!K15</f>
        <v>0</v>
      </c>
      <c r="L15" s="60">
        <f>Bryngwyn!L15</f>
        <v>0</v>
      </c>
      <c r="M15" s="60">
        <f>Bryngwyn!M15</f>
        <v>0</v>
      </c>
      <c r="N15" s="60">
        <f>Bryngwyn!N15</f>
        <v>0</v>
      </c>
      <c r="O15" s="60">
        <f>Bryngwyn!O15</f>
        <v>0</v>
      </c>
      <c r="P15" s="60">
        <f>Bryngwyn!P15</f>
        <v>0</v>
      </c>
      <c r="Q15" s="60">
        <f>Bryngwyn!Q15</f>
        <v>0</v>
      </c>
      <c r="R15" s="60">
        <f>Bryngwyn!R15</f>
        <v>0</v>
      </c>
      <c r="S15" s="60">
        <f>Bryngwyn!S15</f>
        <v>0</v>
      </c>
      <c r="T15" s="60">
        <f>Bryngwyn!T15</f>
        <v>0</v>
      </c>
      <c r="U15" s="60">
        <f>Bryngwyn!U15</f>
        <v>0</v>
      </c>
      <c r="V15" s="60">
        <f>Bryngwyn!V15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Bryngwyn!C16</f>
        <v>Medium/Clay</v>
      </c>
      <c r="D16" s="103" t="str">
        <f>Bryngwyn!D16</f>
        <v>Medium/Clay</v>
      </c>
      <c r="E16" s="103" t="str">
        <f>Bryngwyn!E16</f>
        <v>Medium/Clay</v>
      </c>
      <c r="F16" s="103" t="str">
        <f>Bryngwyn!F16</f>
        <v>Medium/Clay</v>
      </c>
      <c r="G16" s="103" t="str">
        <f>Bryngwyn!G16</f>
        <v>Medium/Clay</v>
      </c>
      <c r="H16" s="103" t="str">
        <f>Bryngwyn!H16</f>
        <v>Medium/Clay</v>
      </c>
      <c r="I16" s="103" t="str">
        <f>Bryngwyn!I16</f>
        <v>Medium/Clay</v>
      </c>
      <c r="J16" s="103">
        <f>Bryngwyn!J16</f>
        <v>0</v>
      </c>
      <c r="K16" s="103">
        <f>Bryngwyn!K16</f>
        <v>0</v>
      </c>
      <c r="L16" s="103">
        <f>Bryngwyn!L16</f>
        <v>0</v>
      </c>
      <c r="M16" s="103">
        <f>Bryngwyn!M16</f>
        <v>0</v>
      </c>
      <c r="N16" s="103">
        <f>Bryngwyn!N16</f>
        <v>0</v>
      </c>
      <c r="O16" s="103">
        <f>Bryngwyn!O16</f>
        <v>0</v>
      </c>
      <c r="P16" s="103">
        <f>Bryngwyn!P16</f>
        <v>0</v>
      </c>
      <c r="Q16" s="103">
        <f>Bryngwyn!Q16</f>
        <v>0</v>
      </c>
      <c r="R16" s="103">
        <f>Bryngwyn!R16</f>
        <v>0</v>
      </c>
      <c r="S16" s="103">
        <f>Bryngwyn!S16</f>
        <v>0</v>
      </c>
      <c r="T16" s="103">
        <f>Bryngwyn!T16</f>
        <v>0</v>
      </c>
      <c r="U16" s="103">
        <f>Bryngwyn!U16</f>
        <v>0</v>
      </c>
      <c r="V16" s="103">
        <f>Bryngwyn!V16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64.599999999999994</v>
      </c>
      <c r="D17" s="28">
        <f t="shared" ref="D17:V17" si="0">(VLOOKUP(D$14,$AI2:$AK26,2,FALSE))*D$15</f>
        <v>64.599999999999994</v>
      </c>
      <c r="E17" s="28">
        <f t="shared" si="0"/>
        <v>55.25</v>
      </c>
      <c r="F17" s="28">
        <f t="shared" si="0"/>
        <v>55.25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24.247943999999997</v>
      </c>
      <c r="D18" s="16">
        <f>$D32</f>
        <v>24.247943999999997</v>
      </c>
      <c r="E18" s="16">
        <f>$D33</f>
        <v>24.247943999999997</v>
      </c>
      <c r="F18" s="16">
        <f>$D34</f>
        <v>24.247943999999997</v>
      </c>
      <c r="G18" s="16">
        <f>$D35</f>
        <v>24.247943999999997</v>
      </c>
      <c r="H18" s="16">
        <f>$D36</f>
        <v>24.247943999999997</v>
      </c>
      <c r="I18" s="16">
        <f>$D37</f>
        <v>24.247943999999997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-40.352055999999997</v>
      </c>
      <c r="D19" s="16">
        <f t="shared" ref="D19:V19" si="1">D18-D17</f>
        <v>-40.352055999999997</v>
      </c>
      <c r="E19" s="16">
        <f t="shared" si="1"/>
        <v>-31.002056000000003</v>
      </c>
      <c r="F19" s="16">
        <f t="shared" si="1"/>
        <v>-31.002056000000003</v>
      </c>
      <c r="G19" s="16">
        <f t="shared" si="1"/>
        <v>-40.352055999999997</v>
      </c>
      <c r="H19" s="16">
        <f t="shared" si="1"/>
        <v>-40.352055999999997</v>
      </c>
      <c r="I19" s="16">
        <f t="shared" si="1"/>
        <v>-40.352055999999997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228</v>
      </c>
      <c r="D21" s="28">
        <f t="shared" ref="D21:V21" si="2">(VLOOKUP(D$14,$AI2:$AK26,3,FALSE))*D$15</f>
        <v>228</v>
      </c>
      <c r="E21" s="28">
        <f t="shared" si="2"/>
        <v>68.25</v>
      </c>
      <c r="F21" s="28">
        <f t="shared" si="2"/>
        <v>68.25</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9.1965599999999998</v>
      </c>
      <c r="D22" s="16">
        <f>$E32</f>
        <v>9.1965599999999998</v>
      </c>
      <c r="E22" s="16">
        <f>$E33</f>
        <v>9.1965599999999998</v>
      </c>
      <c r="F22" s="16">
        <f>$E34</f>
        <v>9.1965599999999998</v>
      </c>
      <c r="G22" s="16">
        <f>$E35</f>
        <v>9.1965599999999998</v>
      </c>
      <c r="H22" s="16">
        <f>$E36</f>
        <v>9.1965599999999998</v>
      </c>
      <c r="I22" s="16">
        <f>$E37</f>
        <v>9.1965599999999998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-218.80343999999999</v>
      </c>
      <c r="D23" s="16">
        <f t="shared" ref="D23:V23" si="3">D22-D21</f>
        <v>-218.80343999999999</v>
      </c>
      <c r="E23" s="16">
        <f t="shared" si="3"/>
        <v>-59.053440000000002</v>
      </c>
      <c r="F23" s="16">
        <f t="shared" si="3"/>
        <v>-59.053440000000002</v>
      </c>
      <c r="G23" s="16">
        <f t="shared" si="3"/>
        <v>-218.80343999999999</v>
      </c>
      <c r="H23" s="16">
        <f t="shared" si="3"/>
        <v>-218.80343999999999</v>
      </c>
      <c r="I23" s="16">
        <f t="shared" si="3"/>
        <v>-218.80343999999999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2.88</v>
      </c>
      <c r="C28" s="15">
        <v>0.41499999999999998</v>
      </c>
      <c r="D28" s="15">
        <v>0.14699999999999999</v>
      </c>
      <c r="E28" s="15">
        <v>0.106</v>
      </c>
      <c r="F28" s="15">
        <v>1740</v>
      </c>
      <c r="G28" s="15">
        <v>48</v>
      </c>
      <c r="H28" s="15">
        <v>503</v>
      </c>
      <c r="I28" s="15">
        <v>217.7</v>
      </c>
      <c r="J28" s="15">
        <v>0.33</v>
      </c>
      <c r="K28" s="23">
        <v>0.7</v>
      </c>
      <c r="L28" s="15">
        <v>12</v>
      </c>
      <c r="M28" s="15">
        <v>12.7</v>
      </c>
      <c r="N28" s="15">
        <v>7680</v>
      </c>
      <c r="O28" s="15">
        <v>351000</v>
      </c>
      <c r="P28" s="15"/>
      <c r="Q28" s="15">
        <v>2830</v>
      </c>
      <c r="R28" s="15"/>
      <c r="S28" s="15">
        <v>15.9</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Abercynrig 2</v>
      </c>
      <c r="B31" s="15">
        <v>250</v>
      </c>
      <c r="C31" s="77">
        <f>IF(C$27="%w/w SAR",((C$28*10)*$B31),IF(C$27="%w/w DM",(((C$28*10)*($B$28/100))*$B31),IF(C$27="kg/t SAR",(C$28*$B31),IF(C$27="kg/t DM",((C$28*($B$28/100))*$B31),IF(C$27="mg/kg SAR",((C$28*0.001)*$B31),IF(C$27="mg/kg DM",(((C$28*0.001)*($B$28/100))*$B31),0))))))</f>
        <v>29.879999999999995</v>
      </c>
      <c r="D31" s="77">
        <f>(IF(D$27="%w/w SAR",((D$28*10)*$B31),IF(D$27="%w/w DM",(((D$28*10)*($B$28/100))*$B31),IF(D$27="kg/t SAR",(D$28*$B31),IF(D$27="kg/t DM",((D$28*($B$28/100))*$B31),IF(D$27="mg/kg SAR",((D$28*0.001)*$B31),IF(D$27="mg/kg DM",(((D$28*0.001)*($B$28/100))*$B31),"0")))))))*2.291</f>
        <v>24.247943999999997</v>
      </c>
      <c r="E31" s="77">
        <f>(IF(E$27="%w/w SAR",((E$28*10)*$B31),IF(E$27="%w/w DM",(((E$28*10)*($B$28/100))*$B31),IF(E$27="kg/t SAR",(E$28*$B31),IF(E$27="kg/t DM",((E$28*($B$28/100))*$B31),IF(E$27="mg/kg SAR",((E$28*0.001)*$B31),IF(E$27="mg/kg DM",(((E$28*0.001)*($B$28/100))*$B31),"0")))))))*1.205</f>
        <v>9.1965599999999998</v>
      </c>
      <c r="F31" s="77">
        <f>(IF(F$27="%w/w SAR",((F$28*10)*$B31),IF(F$27="%w/w DM",(((F$28*10)*($B$28/100))*$B31),IF(F$27="kg/t SAR",(F$28*$B31),IF(F$27="kg/t DM",((F$28*($B$28/100))*$B31),IF(F$27="mg/kg SAR",((F$28*0.001)*$B31),IF(F$27="mg/kg DM",(((F$28*0.001)*($B$28/100))*$B31),"0")))))))*1.658</f>
        <v>20.771423999999996</v>
      </c>
      <c r="G31" s="77">
        <f t="shared" ref="G31:P46" si="5">IF(G$27="%w/w SAR",((G$28*10)*$B31),IF(G$27="%w/w DM",(((G$28*10)*($B$28/100))*$B31),IF(G$27="kg/t SAR",(G$28*$B31),IF(G$27="kg/t DM",((G$28*($B$28/100))*$B31),IF(G$27="mg/kg SAR",((G$28*0.001)*$B31),IF(G$27="mg/kg DM",(((G$28*0.001)*($B$28/100))*$B31),0))))))</f>
        <v>0.34560000000000002</v>
      </c>
      <c r="H31" s="77">
        <f t="shared" si="5"/>
        <v>3.6215999999999999</v>
      </c>
      <c r="I31" s="77">
        <f t="shared" si="5"/>
        <v>1.5674399999999999</v>
      </c>
      <c r="J31" s="77">
        <f t="shared" si="5"/>
        <v>2.3759999999999996E-3</v>
      </c>
      <c r="K31" s="77">
        <f t="shared" si="5"/>
        <v>5.0400000000000002E-3</v>
      </c>
      <c r="L31" s="77">
        <f t="shared" si="5"/>
        <v>8.6400000000000005E-2</v>
      </c>
      <c r="M31" s="77">
        <f t="shared" si="5"/>
        <v>9.1439999999999994E-2</v>
      </c>
      <c r="N31" s="77">
        <f t="shared" si="5"/>
        <v>55.295999999999999</v>
      </c>
      <c r="O31" s="77">
        <f t="shared" si="5"/>
        <v>2527.2000000000003</v>
      </c>
      <c r="P31" s="77">
        <f t="shared" si="5"/>
        <v>0</v>
      </c>
      <c r="Q31" s="77">
        <f>(IF(Q$27="%w/w SAR",((Q$28*10)*$B31),IF(Q$27="%w/w DM",(((Q$28*10)*($B$28/100))*$B31),IF(Q$27="kg/t SAR",(Q$28*$B31),IF(Q$27="kg/t DM",((Q$28*($B$28/100))*$B31),IF(Q$27="mg/kg SAR",((Q$28*0.001)*$B31),IF(Q$27="mg/kg DM",(((Q$28*0.001)*($B$28/100))*$B31),0)))))))*2.5</f>
        <v>50.94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0.11448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Abercynrig 10</v>
      </c>
      <c r="B32" s="15">
        <v>250</v>
      </c>
      <c r="C32" s="77">
        <f t="shared" ref="C32:C50" si="6">IF(C$27="%w/w SAR",((C$28*10)*$B32),IF(C$27="%w/w DM",(((C$28*10)*($B$28/100))*$B32),IF(C$27="kg/t SAR",(C$28*$B32),IF(C$27="kg/t DM",((C$28*($B$28/100))*$B32),IF(C$27="mg/kg SAR",((C$28*0.001)*$B32),IF(C$27="mg/kg DM",(((C$28*0.001)*($B$28/100))*$B32),0))))))</f>
        <v>29.879999999999995</v>
      </c>
      <c r="D32" s="77">
        <f t="shared" ref="D32:D50" si="7">(IF(D$27="%w/w SAR",((D$28*10)*$B32),IF(D$27="%w/w DM",(((D$28*10)*($B$28/100))*$B32),IF(D$27="kg/t SAR",(D$28*$B32),IF(D$27="kg/t DM",((D$28*($B$28/100))*$B32),IF(D$27="mg/kg SAR",((D$28*0.001)*$B32),IF(D$27="mg/kg DM",(((D$28*0.001)*($B$28/100))*$B32),"0")))))))*2.291</f>
        <v>24.247943999999997</v>
      </c>
      <c r="E32" s="77">
        <f t="shared" ref="E32:E50" si="8">(IF(E$27="%w/w SAR",((E$28*10)*$B32),IF(E$27="%w/w DM",(((E$28*10)*($B$28/100))*$B32),IF(E$27="kg/t SAR",(E$28*$B32),IF(E$27="kg/t DM",((E$28*($B$28/100))*$B32),IF(E$27="mg/kg SAR",((E$28*0.001)*$B32),IF(E$27="mg/kg DM",(((E$28*0.001)*($B$28/100))*$B32),"0")))))))*1.205</f>
        <v>9.1965599999999998</v>
      </c>
      <c r="F32" s="77">
        <f t="shared" ref="F32:F50" si="9">(IF(F$27="%w/w SAR",((F$28*10)*$B32),IF(F$27="%w/w DM",(((F$28*10)*($B$28/100))*$B32),IF(F$27="kg/t SAR",(F$28*$B32),IF(F$27="kg/t DM",((F$28*($B$28/100))*$B32),IF(F$27="mg/kg SAR",((F$28*0.001)*$B32),IF(F$27="mg/kg DM",(((F$28*0.001)*($B$28/100))*$B32),"0")))))))*1.658</f>
        <v>20.771423999999996</v>
      </c>
      <c r="G32" s="77">
        <f t="shared" si="5"/>
        <v>0.34560000000000002</v>
      </c>
      <c r="H32" s="77">
        <f t="shared" si="5"/>
        <v>3.6215999999999999</v>
      </c>
      <c r="I32" s="77">
        <f t="shared" si="5"/>
        <v>1.5674399999999999</v>
      </c>
      <c r="J32" s="77">
        <f t="shared" si="5"/>
        <v>2.3759999999999996E-3</v>
      </c>
      <c r="K32" s="77">
        <f t="shared" si="5"/>
        <v>5.0400000000000002E-3</v>
      </c>
      <c r="L32" s="77">
        <f t="shared" si="5"/>
        <v>8.6400000000000005E-2</v>
      </c>
      <c r="M32" s="77">
        <f t="shared" si="5"/>
        <v>9.1439999999999994E-2</v>
      </c>
      <c r="N32" s="77">
        <f t="shared" si="5"/>
        <v>55.295999999999999</v>
      </c>
      <c r="O32" s="77">
        <f t="shared" si="5"/>
        <v>2527.2000000000003</v>
      </c>
      <c r="P32" s="77">
        <f t="shared" si="5"/>
        <v>0</v>
      </c>
      <c r="Q32" s="77">
        <f t="shared" ref="Q32:Q50" si="10">(IF(Q$27="%w/w SAR",((Q$28*10)*$B32),IF(Q$27="%w/w DM",(((Q$28*10)*($B$28/100))*$B32),IF(Q$27="kg/t SAR",(Q$28*$B32),IF(Q$27="kg/t DM",((Q$28*($B$28/100))*$B32),IF(Q$27="mg/kg SAR",((Q$28*0.001)*$B32),IF(Q$27="mg/kg DM",(((Q$28*0.001)*($B$28/100))*$B32),0)))))))*2.5</f>
        <v>50.94</v>
      </c>
      <c r="R32" s="77">
        <f t="shared" ref="R32:U50" si="11">IF(R$27="%w/w SAR",((R$28*10)*$B32),IF(R$27="%w/w DM",(((R$28*10)*($B$28/100))*$B32),IF(R$27="kg/t SAR",(R$28*$B32),IF(R$27="kg/t DM",((R$28*($B$28/100))*$B32),IF(R$27="mg/kg SAR",((R$28*0.001)*$B32),IF(R$27="mg/kg DM",(((R$28*0.001)*($B$28/100))*$B32),0))))))</f>
        <v>0</v>
      </c>
      <c r="S32" s="77">
        <f t="shared" si="11"/>
        <v>0.11448</v>
      </c>
      <c r="T32" s="77">
        <f t="shared" si="11"/>
        <v>0</v>
      </c>
      <c r="U32" s="77">
        <f t="shared" si="11"/>
        <v>0</v>
      </c>
      <c r="AB32" s="59"/>
      <c r="AC32" s="59"/>
      <c r="AD32" s="59"/>
      <c r="AE32" s="59"/>
      <c r="AF32" s="59"/>
      <c r="AG32" s="59"/>
      <c r="AH32" s="59"/>
      <c r="AI32" s="59"/>
    </row>
    <row r="33" spans="1:35" s="72" customFormat="1" ht="13" x14ac:dyDescent="0.35">
      <c r="A33" s="13">
        <f>E8</f>
        <v>1</v>
      </c>
      <c r="B33" s="15">
        <v>250</v>
      </c>
      <c r="C33" s="77">
        <f t="shared" si="6"/>
        <v>29.879999999999995</v>
      </c>
      <c r="D33" s="77">
        <f t="shared" si="7"/>
        <v>24.247943999999997</v>
      </c>
      <c r="E33" s="77">
        <f t="shared" si="8"/>
        <v>9.1965599999999998</v>
      </c>
      <c r="F33" s="77">
        <f t="shared" si="9"/>
        <v>20.771423999999996</v>
      </c>
      <c r="G33" s="77">
        <f t="shared" si="5"/>
        <v>0.34560000000000002</v>
      </c>
      <c r="H33" s="77">
        <f t="shared" si="5"/>
        <v>3.6215999999999999</v>
      </c>
      <c r="I33" s="77">
        <f t="shared" si="5"/>
        <v>1.5674399999999999</v>
      </c>
      <c r="J33" s="77">
        <f t="shared" si="5"/>
        <v>2.3759999999999996E-3</v>
      </c>
      <c r="K33" s="77">
        <f t="shared" si="5"/>
        <v>5.0400000000000002E-3</v>
      </c>
      <c r="L33" s="77">
        <f t="shared" si="5"/>
        <v>8.6400000000000005E-2</v>
      </c>
      <c r="M33" s="77">
        <f t="shared" si="5"/>
        <v>9.1439999999999994E-2</v>
      </c>
      <c r="N33" s="77">
        <f t="shared" si="5"/>
        <v>55.295999999999999</v>
      </c>
      <c r="O33" s="77">
        <f t="shared" si="5"/>
        <v>2527.2000000000003</v>
      </c>
      <c r="P33" s="77">
        <f t="shared" si="5"/>
        <v>0</v>
      </c>
      <c r="Q33" s="77">
        <f t="shared" si="10"/>
        <v>50.94</v>
      </c>
      <c r="R33" s="77">
        <f t="shared" si="11"/>
        <v>0</v>
      </c>
      <c r="S33" s="77">
        <f t="shared" si="11"/>
        <v>0.11448</v>
      </c>
      <c r="T33" s="77">
        <f t="shared" si="11"/>
        <v>0</v>
      </c>
      <c r="U33" s="77">
        <f t="shared" si="11"/>
        <v>0</v>
      </c>
      <c r="AB33" s="59"/>
      <c r="AC33" s="59"/>
      <c r="AD33" s="59"/>
      <c r="AE33" s="59"/>
      <c r="AF33" s="59"/>
      <c r="AG33" s="59"/>
      <c r="AH33" s="59"/>
      <c r="AI33" s="59"/>
    </row>
    <row r="34" spans="1:35" s="72" customFormat="1" ht="13" x14ac:dyDescent="0.35">
      <c r="A34" s="13">
        <f>F8</f>
        <v>2</v>
      </c>
      <c r="B34" s="15">
        <v>250</v>
      </c>
      <c r="C34" s="77">
        <f t="shared" si="6"/>
        <v>29.879999999999995</v>
      </c>
      <c r="D34" s="77">
        <f t="shared" si="7"/>
        <v>24.247943999999997</v>
      </c>
      <c r="E34" s="77">
        <f t="shared" si="8"/>
        <v>9.1965599999999998</v>
      </c>
      <c r="F34" s="77">
        <f t="shared" si="9"/>
        <v>20.771423999999996</v>
      </c>
      <c r="G34" s="77">
        <f t="shared" si="5"/>
        <v>0.34560000000000002</v>
      </c>
      <c r="H34" s="77">
        <f t="shared" si="5"/>
        <v>3.6215999999999999</v>
      </c>
      <c r="I34" s="77">
        <f t="shared" si="5"/>
        <v>1.5674399999999999</v>
      </c>
      <c r="J34" s="77">
        <f t="shared" si="5"/>
        <v>2.3759999999999996E-3</v>
      </c>
      <c r="K34" s="77">
        <f t="shared" si="5"/>
        <v>5.0400000000000002E-3</v>
      </c>
      <c r="L34" s="77">
        <f t="shared" si="5"/>
        <v>8.6400000000000005E-2</v>
      </c>
      <c r="M34" s="77">
        <f t="shared" si="5"/>
        <v>9.1439999999999994E-2</v>
      </c>
      <c r="N34" s="77">
        <f t="shared" si="5"/>
        <v>55.295999999999999</v>
      </c>
      <c r="O34" s="77">
        <f t="shared" si="5"/>
        <v>2527.2000000000003</v>
      </c>
      <c r="P34" s="77">
        <f t="shared" si="5"/>
        <v>0</v>
      </c>
      <c r="Q34" s="77">
        <f t="shared" si="10"/>
        <v>50.94</v>
      </c>
      <c r="R34" s="77">
        <f t="shared" si="11"/>
        <v>0</v>
      </c>
      <c r="S34" s="77">
        <f t="shared" si="11"/>
        <v>0.11448</v>
      </c>
      <c r="T34" s="77">
        <f t="shared" si="11"/>
        <v>0</v>
      </c>
      <c r="U34" s="77">
        <f t="shared" si="11"/>
        <v>0</v>
      </c>
      <c r="AB34" s="59"/>
      <c r="AC34" s="59"/>
      <c r="AD34" s="59"/>
      <c r="AE34" s="59"/>
      <c r="AF34" s="59"/>
      <c r="AG34" s="59"/>
      <c r="AH34" s="59"/>
      <c r="AI34" s="59"/>
    </row>
    <row r="35" spans="1:35" s="72" customFormat="1" ht="13" x14ac:dyDescent="0.35">
      <c r="A35" s="13">
        <f>G8</f>
        <v>10</v>
      </c>
      <c r="B35" s="15">
        <v>250</v>
      </c>
      <c r="C35" s="77">
        <f t="shared" si="6"/>
        <v>29.879999999999995</v>
      </c>
      <c r="D35" s="77">
        <f t="shared" si="7"/>
        <v>24.247943999999997</v>
      </c>
      <c r="E35" s="77">
        <f t="shared" si="8"/>
        <v>9.1965599999999998</v>
      </c>
      <c r="F35" s="77">
        <f t="shared" si="9"/>
        <v>20.771423999999996</v>
      </c>
      <c r="G35" s="77">
        <f t="shared" si="5"/>
        <v>0.34560000000000002</v>
      </c>
      <c r="H35" s="77">
        <f t="shared" si="5"/>
        <v>3.6215999999999999</v>
      </c>
      <c r="I35" s="77">
        <f t="shared" si="5"/>
        <v>1.5674399999999999</v>
      </c>
      <c r="J35" s="77">
        <f t="shared" si="5"/>
        <v>2.3759999999999996E-3</v>
      </c>
      <c r="K35" s="77">
        <f t="shared" si="5"/>
        <v>5.0400000000000002E-3</v>
      </c>
      <c r="L35" s="77">
        <f t="shared" si="5"/>
        <v>8.6400000000000005E-2</v>
      </c>
      <c r="M35" s="77">
        <f t="shared" si="5"/>
        <v>9.1439999999999994E-2</v>
      </c>
      <c r="N35" s="77">
        <f t="shared" si="5"/>
        <v>55.295999999999999</v>
      </c>
      <c r="O35" s="77">
        <f t="shared" si="5"/>
        <v>2527.2000000000003</v>
      </c>
      <c r="P35" s="77">
        <f t="shared" si="5"/>
        <v>0</v>
      </c>
      <c r="Q35" s="77">
        <f t="shared" si="10"/>
        <v>50.94</v>
      </c>
      <c r="R35" s="77">
        <f t="shared" si="11"/>
        <v>0</v>
      </c>
      <c r="S35" s="77">
        <f t="shared" si="11"/>
        <v>0.11448</v>
      </c>
      <c r="T35" s="77">
        <f t="shared" si="11"/>
        <v>0</v>
      </c>
      <c r="U35" s="77">
        <f t="shared" si="11"/>
        <v>0</v>
      </c>
      <c r="AB35" s="59"/>
      <c r="AC35" s="59"/>
      <c r="AD35" s="59"/>
      <c r="AE35" s="59"/>
      <c r="AF35" s="59"/>
      <c r="AG35" s="59"/>
      <c r="AH35" s="59"/>
      <c r="AI35" s="59"/>
    </row>
    <row r="36" spans="1:35" s="72" customFormat="1" ht="13" x14ac:dyDescent="0.35">
      <c r="A36" s="13">
        <f>H8</f>
        <v>11</v>
      </c>
      <c r="B36" s="15">
        <v>250</v>
      </c>
      <c r="C36" s="77">
        <f t="shared" si="6"/>
        <v>29.879999999999995</v>
      </c>
      <c r="D36" s="77">
        <f t="shared" si="7"/>
        <v>24.247943999999997</v>
      </c>
      <c r="E36" s="77">
        <f t="shared" si="8"/>
        <v>9.1965599999999998</v>
      </c>
      <c r="F36" s="77">
        <f t="shared" si="9"/>
        <v>20.771423999999996</v>
      </c>
      <c r="G36" s="77">
        <f t="shared" si="5"/>
        <v>0.34560000000000002</v>
      </c>
      <c r="H36" s="77">
        <f t="shared" si="5"/>
        <v>3.6215999999999999</v>
      </c>
      <c r="I36" s="77">
        <f t="shared" si="5"/>
        <v>1.5674399999999999</v>
      </c>
      <c r="J36" s="77">
        <f t="shared" si="5"/>
        <v>2.3759999999999996E-3</v>
      </c>
      <c r="K36" s="77">
        <f t="shared" si="5"/>
        <v>5.0400000000000002E-3</v>
      </c>
      <c r="L36" s="77">
        <f t="shared" si="5"/>
        <v>8.6400000000000005E-2</v>
      </c>
      <c r="M36" s="77">
        <f t="shared" si="5"/>
        <v>9.1439999999999994E-2</v>
      </c>
      <c r="N36" s="77">
        <f t="shared" si="5"/>
        <v>55.295999999999999</v>
      </c>
      <c r="O36" s="77">
        <f t="shared" si="5"/>
        <v>2527.2000000000003</v>
      </c>
      <c r="P36" s="77">
        <f t="shared" si="5"/>
        <v>0</v>
      </c>
      <c r="Q36" s="77">
        <f t="shared" si="10"/>
        <v>50.94</v>
      </c>
      <c r="R36" s="77">
        <f t="shared" si="11"/>
        <v>0</v>
      </c>
      <c r="S36" s="77">
        <f t="shared" si="11"/>
        <v>0.11448</v>
      </c>
      <c r="T36" s="77">
        <f t="shared" si="11"/>
        <v>0</v>
      </c>
      <c r="U36" s="77">
        <f t="shared" si="11"/>
        <v>0</v>
      </c>
      <c r="AB36" s="59"/>
      <c r="AC36" s="59"/>
      <c r="AD36" s="59"/>
      <c r="AE36" s="59"/>
      <c r="AF36" s="59"/>
      <c r="AG36" s="59"/>
      <c r="AH36" s="59"/>
      <c r="AI36" s="59"/>
    </row>
    <row r="37" spans="1:35" s="72" customFormat="1" ht="13" x14ac:dyDescent="0.35">
      <c r="A37" s="13">
        <f>I8</f>
        <v>16</v>
      </c>
      <c r="B37" s="15">
        <v>250</v>
      </c>
      <c r="C37" s="77">
        <f t="shared" si="6"/>
        <v>29.879999999999995</v>
      </c>
      <c r="D37" s="77">
        <f t="shared" si="7"/>
        <v>24.247943999999997</v>
      </c>
      <c r="E37" s="77">
        <f t="shared" si="8"/>
        <v>9.1965599999999998</v>
      </c>
      <c r="F37" s="77">
        <f t="shared" si="9"/>
        <v>20.771423999999996</v>
      </c>
      <c r="G37" s="77">
        <f t="shared" si="5"/>
        <v>0.34560000000000002</v>
      </c>
      <c r="H37" s="77">
        <f t="shared" si="5"/>
        <v>3.6215999999999999</v>
      </c>
      <c r="I37" s="77">
        <f t="shared" si="5"/>
        <v>1.5674399999999999</v>
      </c>
      <c r="J37" s="77">
        <f t="shared" si="5"/>
        <v>2.3759999999999996E-3</v>
      </c>
      <c r="K37" s="77">
        <f t="shared" si="5"/>
        <v>5.0400000000000002E-3</v>
      </c>
      <c r="L37" s="77">
        <f t="shared" si="5"/>
        <v>8.6400000000000005E-2</v>
      </c>
      <c r="M37" s="77">
        <f t="shared" si="5"/>
        <v>9.1439999999999994E-2</v>
      </c>
      <c r="N37" s="77">
        <f t="shared" si="5"/>
        <v>55.295999999999999</v>
      </c>
      <c r="O37" s="77">
        <f t="shared" si="5"/>
        <v>2527.2000000000003</v>
      </c>
      <c r="P37" s="77">
        <f t="shared" si="5"/>
        <v>0</v>
      </c>
      <c r="Q37" s="77">
        <f t="shared" si="10"/>
        <v>50.94</v>
      </c>
      <c r="R37" s="77">
        <f t="shared" si="11"/>
        <v>0</v>
      </c>
      <c r="S37" s="77">
        <f t="shared" si="11"/>
        <v>0.11448</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"&amp;(VLOOKUP(C14,Table245[],6,FALSE))</f>
        <v>Medium/Clay I Grass</v>
      </c>
      <c r="C58" s="13" t="str">
        <f>D16&amp;" I "&amp;(VLOOKUP(D14,Table245[],6,FALSE))</f>
        <v>Medium/Clay I Grass</v>
      </c>
      <c r="D58" s="13" t="str">
        <f>E16&amp;" I "&amp;(VLOOKUP(E14,Table245[],6,FALSE))</f>
        <v>Medium/Clay I Arable</v>
      </c>
      <c r="E58" s="13" t="str">
        <f>F16&amp;" I "&amp;(VLOOKUP(F14,Table245[],6,FALSE))</f>
        <v>Medium/Clay I Arable</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133</v>
      </c>
      <c r="B59" s="76">
        <f>VLOOKUP(C$14,Table245[],5,FALSE)</f>
        <v>6.2</v>
      </c>
      <c r="C59" s="76">
        <f>VLOOKUP(D$14,Table245[],5,FALSE)</f>
        <v>6.2</v>
      </c>
      <c r="D59" s="76">
        <f>VLOOKUP(E$14,Table245[],5,FALSE)</f>
        <v>6.7</v>
      </c>
      <c r="E59" s="76">
        <f>VLOOKUP(F$14,Table245[],5,FALSE)</f>
        <v>6.7</v>
      </c>
      <c r="F59" s="76">
        <f>VLOOKUP(G$14,Table245[],5,FALSE)</f>
        <v>6.2</v>
      </c>
      <c r="G59" s="76">
        <f>VLOOKUP(H$14,Table245[],5,FALSE)</f>
        <v>6.2</v>
      </c>
      <c r="H59" s="76">
        <f>VLOOKUP(I$14,Table245[],5,FALSE)</f>
        <v>6.2</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6.2</v>
      </c>
      <c r="C60" s="76">
        <f t="shared" ref="C60:U60" si="14">D10</f>
        <v>5.2</v>
      </c>
      <c r="D60" s="76" t="str">
        <f t="shared" si="14"/>
        <v>5..5</v>
      </c>
      <c r="E60" s="76">
        <f t="shared" si="14"/>
        <v>5</v>
      </c>
      <c r="F60" s="76">
        <f t="shared" si="14"/>
        <v>5.5</v>
      </c>
      <c r="G60" s="76">
        <f t="shared" si="14"/>
        <v>5.4</v>
      </c>
      <c r="H60" s="76">
        <f t="shared" si="14"/>
        <v>5.5</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v>
      </c>
      <c r="C64" s="77">
        <f t="shared" ref="C64:U64" si="17">(C59-C60)*C61</f>
        <v>6</v>
      </c>
      <c r="D64" s="77" t="e">
        <f t="shared" si="17"/>
        <v>#VALUE!</v>
      </c>
      <c r="E64" s="77">
        <f t="shared" si="17"/>
        <v>13.600000000000001</v>
      </c>
      <c r="F64" s="77">
        <f t="shared" si="17"/>
        <v>4.2000000000000011</v>
      </c>
      <c r="G64" s="77">
        <f t="shared" si="17"/>
        <v>4.7999999999999989</v>
      </c>
      <c r="H64" s="77">
        <f t="shared" si="17"/>
        <v>4.2000000000000011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v>
      </c>
      <c r="C65" s="77">
        <f t="shared" ref="C65:U65" si="18">C63-C64</f>
        <v>-6</v>
      </c>
      <c r="D65" s="77" t="e">
        <f t="shared" si="18"/>
        <v>#VALUE!</v>
      </c>
      <c r="E65" s="77">
        <f t="shared" si="18"/>
        <v>-13.600000000000001</v>
      </c>
      <c r="F65" s="77">
        <f t="shared" si="18"/>
        <v>-4.2000000000000011</v>
      </c>
      <c r="G65" s="77">
        <f t="shared" si="18"/>
        <v>-4.7999999999999989</v>
      </c>
      <c r="H65" s="77">
        <f t="shared" si="18"/>
        <v>-4.2000000000000011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UNDER</v>
      </c>
      <c r="D66" s="78" t="e">
        <f t="shared" si="19"/>
        <v>#VALUE!</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vBiMcEtqyPBR/30u4j+UYq0pFj0THaV/DCn7Hw2/icBnuxKEU7vA5ipSwuWEPBjVUCwKw+7Fon/c/sVOwOJx/w==" saltValue="S5o+gPk9Z1A3sBMJh+ngF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4" operator="equal">
      <formula>"DECREASE"</formula>
    </cfRule>
    <cfRule type="cellIs" dxfId="376" priority="35" operator="equal">
      <formula>"INCREASE"</formula>
    </cfRule>
  </conditionalFormatting>
  <conditionalFormatting sqref="B31:B50 B62:U66">
    <cfRule type="cellIs" dxfId="375" priority="33" operator="greaterThan">
      <formula>$B$51</formula>
    </cfRule>
  </conditionalFormatting>
  <conditionalFormatting sqref="C31:C50">
    <cfRule type="cellIs" dxfId="374" priority="32" operator="greaterThan">
      <formula>$C$51</formula>
    </cfRule>
  </conditionalFormatting>
  <conditionalFormatting sqref="C18:V18">
    <cfRule type="cellIs" dxfId="373" priority="31" operator="equal">
      <formula>0</formula>
    </cfRule>
  </conditionalFormatting>
  <conditionalFormatting sqref="C17:V17">
    <cfRule type="cellIs" dxfId="372" priority="30" operator="equal">
      <formula>0</formula>
    </cfRule>
  </conditionalFormatting>
  <conditionalFormatting sqref="C19:V19">
    <cfRule type="cellIs" dxfId="371" priority="29" operator="equal">
      <formula>0</formula>
    </cfRule>
  </conditionalFormatting>
  <conditionalFormatting sqref="G31:G50">
    <cfRule type="cellIs" dxfId="370" priority="28" operator="greaterThan">
      <formula>$G$51</formula>
    </cfRule>
  </conditionalFormatting>
  <conditionalFormatting sqref="H31:H50">
    <cfRule type="cellIs" dxfId="369" priority="27" operator="greaterThan">
      <formula>$H$51</formula>
    </cfRule>
  </conditionalFormatting>
  <conditionalFormatting sqref="I31:I50">
    <cfRule type="cellIs" dxfId="368" priority="26" operator="greaterThan">
      <formula>$I$51</formula>
    </cfRule>
  </conditionalFormatting>
  <conditionalFormatting sqref="K31:K50">
    <cfRule type="cellIs" dxfId="367" priority="25" operator="greaterThan">
      <formula>$K$51</formula>
    </cfRule>
  </conditionalFormatting>
  <conditionalFormatting sqref="L31:L50">
    <cfRule type="cellIs" dxfId="366" priority="24" operator="greaterThan">
      <formula>$L$51</formula>
    </cfRule>
  </conditionalFormatting>
  <conditionalFormatting sqref="M31:M50">
    <cfRule type="cellIs" dxfId="365" priority="23" operator="greaterThan">
      <formula>$M$51</formula>
    </cfRule>
  </conditionalFormatting>
  <conditionalFormatting sqref="P31:P50">
    <cfRule type="cellIs" dxfId="364" priority="22" operator="greaterThan">
      <formula>$P$51</formula>
    </cfRule>
  </conditionalFormatting>
  <conditionalFormatting sqref="R31:R50">
    <cfRule type="cellIs" dxfId="363" priority="21" operator="greaterThan">
      <formula>$R$51</formula>
    </cfRule>
  </conditionalFormatting>
  <conditionalFormatting sqref="S31:S50">
    <cfRule type="cellIs" dxfId="362" priority="20" operator="greaterThan">
      <formula>$S$51</formula>
    </cfRule>
  </conditionalFormatting>
  <conditionalFormatting sqref="T31:T50">
    <cfRule type="cellIs" dxfId="361" priority="19" operator="greaterThan">
      <formula>$T$51</formula>
    </cfRule>
  </conditionalFormatting>
  <conditionalFormatting sqref="U31:U50">
    <cfRule type="cellIs" dxfId="360" priority="18" operator="greaterThan">
      <formula>$U$51</formula>
    </cfRule>
  </conditionalFormatting>
  <conditionalFormatting sqref="C22:V22">
    <cfRule type="cellIs" dxfId="359" priority="17" operator="equal">
      <formula>0</formula>
    </cfRule>
  </conditionalFormatting>
  <conditionalFormatting sqref="C24:V24">
    <cfRule type="cellIs" dxfId="358" priority="15" operator="equal">
      <formula>"DECREASE"</formula>
    </cfRule>
    <cfRule type="cellIs" dxfId="357" priority="16" operator="equal">
      <formula>"INCREASE"</formula>
    </cfRule>
  </conditionalFormatting>
  <conditionalFormatting sqref="C23:V23">
    <cfRule type="cellIs" dxfId="356" priority="14" operator="equal">
      <formula>0</formula>
    </cfRule>
  </conditionalFormatting>
  <conditionalFormatting sqref="I1">
    <cfRule type="cellIs" dxfId="355" priority="13" operator="lessThan">
      <formula>5</formula>
    </cfRule>
  </conditionalFormatting>
  <conditionalFormatting sqref="C21:V21">
    <cfRule type="cellIs" dxfId="354" priority="10" operator="equal">
      <formula>0</formula>
    </cfRule>
  </conditionalFormatting>
  <conditionalFormatting sqref="B66:U66">
    <cfRule type="cellIs" dxfId="353" priority="8" operator="equal">
      <formula>"UNDER"</formula>
    </cfRule>
    <cfRule type="cellIs" dxfId="352" priority="9" operator="equal">
      <formula>"OVER"</formula>
    </cfRule>
  </conditionalFormatting>
  <conditionalFormatting sqref="I2">
    <cfRule type="cellIs" dxfId="351" priority="7" operator="greaterThan">
      <formula>5000.1</formula>
    </cfRule>
  </conditionalFormatting>
  <conditionalFormatting sqref="I3">
    <cfRule type="cellIs" dxfId="350" priority="6" operator="greaterThan">
      <formula>4.1</formula>
    </cfRule>
  </conditionalFormatting>
  <conditionalFormatting sqref="J31:J50">
    <cfRule type="cellIs" dxfId="349" priority="5"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5" zoomScale="90" zoomScaleNormal="90" workbookViewId="0">
      <selection activeCell="G33" sqref="G3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Bryngwyn!C1:D1</f>
        <v>PAN-015421</v>
      </c>
      <c r="D1" s="140"/>
      <c r="E1" s="93" t="s">
        <v>45</v>
      </c>
      <c r="F1" s="39" t="str">
        <f>Bryngwyn!F1</f>
        <v>46.9 ha</v>
      </c>
      <c r="G1" s="119" t="s">
        <v>43</v>
      </c>
      <c r="H1" s="120"/>
      <c r="I1" s="96">
        <v>6.2</v>
      </c>
      <c r="J1" s="118" t="s">
        <v>154</v>
      </c>
      <c r="K1" s="118"/>
      <c r="L1" s="97">
        <v>250</v>
      </c>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Bryngwyn!C2:D2</f>
        <v>EPR/GP3792SK</v>
      </c>
      <c r="D2" s="142"/>
      <c r="E2" s="93" t="s">
        <v>109</v>
      </c>
      <c r="F2" s="96" t="s">
        <v>173</v>
      </c>
      <c r="G2" s="137" t="s">
        <v>110</v>
      </c>
      <c r="H2" s="138"/>
      <c r="I2" s="96"/>
      <c r="J2" s="118" t="s">
        <v>159</v>
      </c>
      <c r="K2" s="118"/>
      <c r="L2" s="97">
        <v>0.98799999999999999</v>
      </c>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Bryngwyn!C3:D3</f>
        <v>ByProduct Recovery Limited</v>
      </c>
      <c r="D3" s="142"/>
      <c r="E3" s="93" t="s">
        <v>108</v>
      </c>
      <c r="F3" s="31" t="s">
        <v>78</v>
      </c>
      <c r="G3" s="119" t="s">
        <v>111</v>
      </c>
      <c r="H3" s="120"/>
      <c r="I3" s="96"/>
      <c r="J3" s="119" t="s">
        <v>155</v>
      </c>
      <c r="K3" s="120"/>
      <c r="L3" s="97">
        <f>(L1/(L2*10000))*100</f>
        <v>2.5303643724696356</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f>Bryngwyn!C4:D4</f>
        <v>0</v>
      </c>
      <c r="D4" s="140"/>
      <c r="E4" s="94" t="s">
        <v>1</v>
      </c>
      <c r="F4" s="96" t="s">
        <v>174</v>
      </c>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Bryngwyn!C5:D5</f>
        <v>Rhiannon Smith</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Bryngwyn!C8</f>
        <v>Abercynrig 2</v>
      </c>
      <c r="D8" s="60" t="str">
        <f>Bryngwyn!D8</f>
        <v>Abercynrig 10</v>
      </c>
      <c r="E8" s="60">
        <f>Bryngwyn!E8</f>
        <v>1</v>
      </c>
      <c r="F8" s="60">
        <f>Bryngwyn!F8</f>
        <v>2</v>
      </c>
      <c r="G8" s="60">
        <f>Bryngwyn!G8</f>
        <v>10</v>
      </c>
      <c r="H8" s="60">
        <f>Bryngwyn!H8</f>
        <v>11</v>
      </c>
      <c r="I8" s="60">
        <f>Bryngwyn!I8</f>
        <v>16</v>
      </c>
      <c r="J8" s="60">
        <f>Bryngwyn!J8</f>
        <v>0</v>
      </c>
      <c r="K8" s="60">
        <f>Bryngwyn!K8</f>
        <v>0</v>
      </c>
      <c r="L8" s="60">
        <f>Bryngwyn!L8</f>
        <v>0</v>
      </c>
      <c r="M8" s="60">
        <f>Bryngwyn!M8</f>
        <v>0</v>
      </c>
      <c r="N8" s="60">
        <f>Bryngwyn!N8</f>
        <v>0</v>
      </c>
      <c r="O8" s="60">
        <f>Bryngwyn!O8</f>
        <v>0</v>
      </c>
      <c r="P8" s="60">
        <f>Bryngwyn!P8</f>
        <v>0</v>
      </c>
      <c r="Q8" s="60">
        <f>Bryngwyn!Q8</f>
        <v>0</v>
      </c>
      <c r="R8" s="60">
        <f>Bryngwyn!R8</f>
        <v>0</v>
      </c>
      <c r="S8" s="60">
        <f>Bryngwyn!S8</f>
        <v>0</v>
      </c>
      <c r="T8" s="60">
        <f>Bryngwyn!T8</f>
        <v>0</v>
      </c>
      <c r="U8" s="60">
        <f>Bryngwyn!U8</f>
        <v>0</v>
      </c>
      <c r="V8" s="60">
        <f>Bryngwyn!V8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Bryngwyn!C9</f>
        <v>M</v>
      </c>
      <c r="D9" s="60" t="str">
        <f>Bryngwyn!D9</f>
        <v>m</v>
      </c>
      <c r="E9" s="60">
        <f>Bryngwyn!E9</f>
        <v>1</v>
      </c>
      <c r="F9" s="60">
        <f>Bryngwyn!F9</f>
        <v>1</v>
      </c>
      <c r="G9" s="60" t="str">
        <f>Bryngwyn!G9</f>
        <v>M</v>
      </c>
      <c r="H9" s="60" t="str">
        <f>Bryngwyn!H9</f>
        <v>M</v>
      </c>
      <c r="I9" s="60" t="str">
        <f>Bryngwyn!I9</f>
        <v>M</v>
      </c>
      <c r="J9" s="60">
        <f>Bryngwyn!J9</f>
        <v>0</v>
      </c>
      <c r="K9" s="60">
        <f>Bryngwyn!K9</f>
        <v>0</v>
      </c>
      <c r="L9" s="60">
        <f>Bryngwyn!L9</f>
        <v>0</v>
      </c>
      <c r="M9" s="60">
        <f>Bryngwyn!M9</f>
        <v>0</v>
      </c>
      <c r="N9" s="60">
        <f>Bryngwyn!N9</f>
        <v>0</v>
      </c>
      <c r="O9" s="60">
        <f>Bryngwyn!O9</f>
        <v>0</v>
      </c>
      <c r="P9" s="60">
        <f>Bryngwyn!P9</f>
        <v>0</v>
      </c>
      <c r="Q9" s="60">
        <f>Bryngwyn!Q9</f>
        <v>0</v>
      </c>
      <c r="R9" s="60">
        <f>Bryngwyn!R9</f>
        <v>0</v>
      </c>
      <c r="S9" s="60">
        <f>Bryngwyn!S9</f>
        <v>0</v>
      </c>
      <c r="T9" s="60">
        <f>Bryngwyn!T9</f>
        <v>0</v>
      </c>
      <c r="U9" s="60">
        <f>Bryngwyn!U9</f>
        <v>0</v>
      </c>
      <c r="V9" s="60">
        <f>Bryngwyn!V9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Bryngwyn!C10</f>
        <v>6.2</v>
      </c>
      <c r="D10" s="60">
        <f>Bryngwyn!D10</f>
        <v>5.2</v>
      </c>
      <c r="E10" s="60" t="str">
        <f>Bryngwyn!E10</f>
        <v>5..5</v>
      </c>
      <c r="F10" s="60">
        <f>Bryngwyn!F10</f>
        <v>5</v>
      </c>
      <c r="G10" s="60">
        <f>Bryngwyn!G10</f>
        <v>5.5</v>
      </c>
      <c r="H10" s="60">
        <f>Bryngwyn!H10</f>
        <v>5.4</v>
      </c>
      <c r="I10" s="60">
        <f>Bryngwyn!I10</f>
        <v>5.5</v>
      </c>
      <c r="J10" s="60">
        <f>Bryngwyn!J10</f>
        <v>0</v>
      </c>
      <c r="K10" s="60">
        <f>Bryngwyn!K10</f>
        <v>0</v>
      </c>
      <c r="L10" s="60">
        <f>Bryngwyn!L10</f>
        <v>0</v>
      </c>
      <c r="M10" s="60">
        <f>Bryngwyn!M10</f>
        <v>0</v>
      </c>
      <c r="N10" s="60">
        <f>Bryngwyn!N10</f>
        <v>0</v>
      </c>
      <c r="O10" s="60">
        <f>Bryngwyn!O10</f>
        <v>0</v>
      </c>
      <c r="P10" s="60">
        <f>Bryngwyn!P10</f>
        <v>0</v>
      </c>
      <c r="Q10" s="60">
        <f>Bryngwyn!Q10</f>
        <v>0</v>
      </c>
      <c r="R10" s="60">
        <f>Bryngwyn!R10</f>
        <v>0</v>
      </c>
      <c r="S10" s="60">
        <f>Bryngwyn!S10</f>
        <v>0</v>
      </c>
      <c r="T10" s="60">
        <f>Bryngwyn!T10</f>
        <v>0</v>
      </c>
      <c r="U10" s="60">
        <f>Bryngwyn!U10</f>
        <v>0</v>
      </c>
      <c r="V10" s="60">
        <f>Bryngwyn!V10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Bryngwyn!C11</f>
        <v>3</v>
      </c>
      <c r="D11" s="60">
        <f>Bryngwyn!D11</f>
        <v>3</v>
      </c>
      <c r="E11" s="60">
        <f>Bryngwyn!E11</f>
        <v>3</v>
      </c>
      <c r="F11" s="60">
        <f>Bryngwyn!F11</f>
        <v>4</v>
      </c>
      <c r="G11" s="60">
        <f>Bryngwyn!G11</f>
        <v>2</v>
      </c>
      <c r="H11" s="60">
        <f>Bryngwyn!H11</f>
        <v>2</v>
      </c>
      <c r="I11" s="60">
        <f>Bryngwyn!I11</f>
        <v>3</v>
      </c>
      <c r="J11" s="60">
        <f>Bryngwyn!J11</f>
        <v>0</v>
      </c>
      <c r="K11" s="60">
        <f>Bryngwyn!K11</f>
        <v>0</v>
      </c>
      <c r="L11" s="60">
        <f>Bryngwyn!L11</f>
        <v>0</v>
      </c>
      <c r="M11" s="60">
        <f>Bryngwyn!M11</f>
        <v>0</v>
      </c>
      <c r="N11" s="60">
        <f>Bryngwyn!N11</f>
        <v>0</v>
      </c>
      <c r="O11" s="60">
        <f>Bryngwyn!O11</f>
        <v>0</v>
      </c>
      <c r="P11" s="60">
        <f>Bryngwyn!P11</f>
        <v>0</v>
      </c>
      <c r="Q11" s="60">
        <f>Bryngwyn!Q11</f>
        <v>0</v>
      </c>
      <c r="R11" s="60">
        <f>Bryngwyn!R11</f>
        <v>0</v>
      </c>
      <c r="S11" s="60">
        <f>Bryngwyn!S11</f>
        <v>0</v>
      </c>
      <c r="T11" s="60">
        <f>Bryngwyn!T11</f>
        <v>0</v>
      </c>
      <c r="U11" s="60">
        <f>Bryngwyn!U11</f>
        <v>0</v>
      </c>
      <c r="V11" s="60">
        <f>Bryngwyn!V11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Bryngwyn!C12</f>
        <v>2</v>
      </c>
      <c r="D12" s="60">
        <f>Bryngwyn!D12</f>
        <v>1</v>
      </c>
      <c r="E12" s="60">
        <f>Bryngwyn!E12</f>
        <v>2</v>
      </c>
      <c r="F12" s="60">
        <f>Bryngwyn!F12</f>
        <v>1</v>
      </c>
      <c r="G12" s="60">
        <f>Bryngwyn!G12</f>
        <v>1</v>
      </c>
      <c r="H12" s="60">
        <f>Bryngwyn!H12</f>
        <v>1</v>
      </c>
      <c r="I12" s="60">
        <f>Bryngwyn!I12</f>
        <v>1</v>
      </c>
      <c r="J12" s="60">
        <f>Bryngwyn!J12</f>
        <v>0</v>
      </c>
      <c r="K12" s="60">
        <f>Bryngwyn!K12</f>
        <v>0</v>
      </c>
      <c r="L12" s="60">
        <f>Bryngwyn!L12</f>
        <v>0</v>
      </c>
      <c r="M12" s="60">
        <f>Bryngwyn!M12</f>
        <v>0</v>
      </c>
      <c r="N12" s="60">
        <f>Bryngwyn!N12</f>
        <v>0</v>
      </c>
      <c r="O12" s="60">
        <f>Bryngwyn!O12</f>
        <v>0</v>
      </c>
      <c r="P12" s="60">
        <f>Bryngwyn!P12</f>
        <v>0</v>
      </c>
      <c r="Q12" s="60">
        <f>Bryngwyn!Q12</f>
        <v>0</v>
      </c>
      <c r="R12" s="60">
        <f>Bryngwyn!R12</f>
        <v>0</v>
      </c>
      <c r="S12" s="60">
        <f>Bryngwyn!S12</f>
        <v>0</v>
      </c>
      <c r="T12" s="60">
        <f>Bryngwyn!T12</f>
        <v>0</v>
      </c>
      <c r="U12" s="60">
        <f>Bryngwyn!U12</f>
        <v>0</v>
      </c>
      <c r="V12" s="60">
        <f>Bryngwyn!V12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Bryngwyn!C13</f>
        <v>3</v>
      </c>
      <c r="D13" s="60">
        <f>Bryngwyn!D13</f>
        <v>2</v>
      </c>
      <c r="E13" s="60">
        <f>Bryngwyn!E13</f>
        <v>3</v>
      </c>
      <c r="F13" s="60">
        <f>Bryngwyn!F13</f>
        <v>2</v>
      </c>
      <c r="G13" s="60">
        <f>Bryngwyn!G13</f>
        <v>2</v>
      </c>
      <c r="H13" s="60">
        <f>Bryngwyn!H13</f>
        <v>2</v>
      </c>
      <c r="I13" s="60">
        <f>Bryngwyn!I13</f>
        <v>3</v>
      </c>
      <c r="J13" s="60">
        <f>Bryngwyn!J13</f>
        <v>0</v>
      </c>
      <c r="K13" s="60">
        <f>Bryngwyn!K13</f>
        <v>0</v>
      </c>
      <c r="L13" s="60">
        <f>Bryngwyn!L13</f>
        <v>0</v>
      </c>
      <c r="M13" s="60">
        <f>Bryngwyn!M13</f>
        <v>0</v>
      </c>
      <c r="N13" s="60">
        <f>Bryngwyn!N13</f>
        <v>0</v>
      </c>
      <c r="O13" s="60">
        <f>Bryngwyn!O13</f>
        <v>0</v>
      </c>
      <c r="P13" s="60">
        <f>Bryngwyn!P13</f>
        <v>0</v>
      </c>
      <c r="Q13" s="60">
        <f>Bryngwyn!Q13</f>
        <v>0</v>
      </c>
      <c r="R13" s="60">
        <f>Bryngwyn!R13</f>
        <v>0</v>
      </c>
      <c r="S13" s="60">
        <f>Bryngwyn!S13</f>
        <v>0</v>
      </c>
      <c r="T13" s="60">
        <f>Bryngwyn!T13</f>
        <v>0</v>
      </c>
      <c r="U13" s="60">
        <f>Bryngwyn!U13</f>
        <v>0</v>
      </c>
      <c r="V13" s="60">
        <f>Bryngwyn!V13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Bryngwyn!C14</f>
        <v xml:space="preserve">Grass Silage (25% DM) </v>
      </c>
      <c r="D14" s="102" t="str">
        <f>Bryngwyn!D14</f>
        <v xml:space="preserve">Grass Silage (25% DM) </v>
      </c>
      <c r="E14" s="102" t="str">
        <f>Bryngwyn!E14</f>
        <v>Winter barley/triticale/rye</v>
      </c>
      <c r="F14" s="102" t="str">
        <f>Bryngwyn!F14</f>
        <v>Winter barley/triticale/rye</v>
      </c>
      <c r="G14" s="102" t="str">
        <f>Bryngwyn!G14</f>
        <v xml:space="preserve">Grass Silage (25% DM) </v>
      </c>
      <c r="H14" s="102" t="str">
        <f>Bryngwyn!H14</f>
        <v xml:space="preserve">Grass Silage (25% DM) </v>
      </c>
      <c r="I14" s="102" t="str">
        <f>Bryngwyn!I14</f>
        <v xml:space="preserve">Grass Silage (25% DM) </v>
      </c>
      <c r="J14" s="102">
        <f>Bryngwyn!J14</f>
        <v>0</v>
      </c>
      <c r="K14" s="102">
        <f>Bryngwyn!K14</f>
        <v>0</v>
      </c>
      <c r="L14" s="102">
        <f>Bryngwyn!L14</f>
        <v>0</v>
      </c>
      <c r="M14" s="102">
        <f>Bryngwyn!M14</f>
        <v>0</v>
      </c>
      <c r="N14" s="102">
        <f>Bryngwyn!N14</f>
        <v>0</v>
      </c>
      <c r="O14" s="102">
        <f>Bryngwyn!O14</f>
        <v>0</v>
      </c>
      <c r="P14" s="102">
        <f>Bryngwyn!P14</f>
        <v>0</v>
      </c>
      <c r="Q14" s="102">
        <f>Bryngwyn!Q14</f>
        <v>0</v>
      </c>
      <c r="R14" s="102">
        <f>Bryngwyn!R14</f>
        <v>0</v>
      </c>
      <c r="S14" s="102">
        <f>Bryngwyn!S14</f>
        <v>0</v>
      </c>
      <c r="T14" s="102">
        <f>Bryngwyn!T14</f>
        <v>0</v>
      </c>
      <c r="U14" s="102">
        <f>Bryngwyn!U14</f>
        <v>0</v>
      </c>
      <c r="V14" s="102">
        <f>Bryngwyn!V14</f>
        <v>0</v>
      </c>
      <c r="AD14" s="30" t="s">
        <v>139</v>
      </c>
      <c r="AE14" s="30">
        <v>6</v>
      </c>
      <c r="AI14" s="53" t="s">
        <v>120</v>
      </c>
      <c r="AJ14" s="54">
        <v>0.8</v>
      </c>
      <c r="AK14" s="55">
        <v>1.7</v>
      </c>
      <c r="AL14" s="11">
        <v>12</v>
      </c>
      <c r="AM14" s="11">
        <v>6.7</v>
      </c>
      <c r="AN14" s="11" t="s">
        <v>136</v>
      </c>
    </row>
    <row r="15" spans="1:41" ht="13" x14ac:dyDescent="0.25">
      <c r="A15" s="129" t="s">
        <v>9</v>
      </c>
      <c r="B15" s="129"/>
      <c r="C15" s="60">
        <f>Bryngwyn!C15</f>
        <v>38</v>
      </c>
      <c r="D15" s="60">
        <f>Bryngwyn!D15</f>
        <v>38</v>
      </c>
      <c r="E15" s="60">
        <f>Bryngwyn!E15</f>
        <v>6.5</v>
      </c>
      <c r="F15" s="60">
        <f>Bryngwyn!F15</f>
        <v>6.5</v>
      </c>
      <c r="G15" s="60">
        <f>Bryngwyn!G15</f>
        <v>38</v>
      </c>
      <c r="H15" s="60">
        <f>Bryngwyn!H15</f>
        <v>38</v>
      </c>
      <c r="I15" s="60">
        <f>Bryngwyn!I15</f>
        <v>38</v>
      </c>
      <c r="J15" s="60">
        <f>Bryngwyn!J15</f>
        <v>0</v>
      </c>
      <c r="K15" s="60">
        <f>Bryngwyn!K15</f>
        <v>0</v>
      </c>
      <c r="L15" s="60">
        <f>Bryngwyn!L15</f>
        <v>0</v>
      </c>
      <c r="M15" s="60">
        <f>Bryngwyn!M15</f>
        <v>0</v>
      </c>
      <c r="N15" s="60">
        <f>Bryngwyn!N15</f>
        <v>0</v>
      </c>
      <c r="O15" s="60">
        <f>Bryngwyn!O15</f>
        <v>0</v>
      </c>
      <c r="P15" s="60">
        <f>Bryngwyn!P15</f>
        <v>0</v>
      </c>
      <c r="Q15" s="60">
        <f>Bryngwyn!Q15</f>
        <v>0</v>
      </c>
      <c r="R15" s="60">
        <f>Bryngwyn!R15</f>
        <v>0</v>
      </c>
      <c r="S15" s="60">
        <f>Bryngwyn!S15</f>
        <v>0</v>
      </c>
      <c r="T15" s="60">
        <f>Bryngwyn!T15</f>
        <v>0</v>
      </c>
      <c r="U15" s="60">
        <f>Bryngwyn!U15</f>
        <v>0</v>
      </c>
      <c r="V15" s="60">
        <f>Bryngwyn!V15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Bryngwyn!C16</f>
        <v>Medium/Clay</v>
      </c>
      <c r="D16" s="103" t="str">
        <f>Bryngwyn!D16</f>
        <v>Medium/Clay</v>
      </c>
      <c r="E16" s="103" t="str">
        <f>Bryngwyn!E16</f>
        <v>Medium/Clay</v>
      </c>
      <c r="F16" s="103" t="str">
        <f>Bryngwyn!F16</f>
        <v>Medium/Clay</v>
      </c>
      <c r="G16" s="103" t="str">
        <f>Bryngwyn!G16</f>
        <v>Medium/Clay</v>
      </c>
      <c r="H16" s="103" t="str">
        <f>Bryngwyn!H16</f>
        <v>Medium/Clay</v>
      </c>
      <c r="I16" s="103" t="str">
        <f>Bryngwyn!I16</f>
        <v>Medium/Clay</v>
      </c>
      <c r="J16" s="103">
        <f>Bryngwyn!J16</f>
        <v>0</v>
      </c>
      <c r="K16" s="103">
        <f>Bryngwyn!K16</f>
        <v>0</v>
      </c>
      <c r="L16" s="103">
        <f>Bryngwyn!L16</f>
        <v>0</v>
      </c>
      <c r="M16" s="103">
        <f>Bryngwyn!M16</f>
        <v>0</v>
      </c>
      <c r="N16" s="103">
        <f>Bryngwyn!N16</f>
        <v>0</v>
      </c>
      <c r="O16" s="103">
        <f>Bryngwyn!O16</f>
        <v>0</v>
      </c>
      <c r="P16" s="103">
        <f>Bryngwyn!P16</f>
        <v>0</v>
      </c>
      <c r="Q16" s="103">
        <f>Bryngwyn!Q16</f>
        <v>0</v>
      </c>
      <c r="R16" s="103">
        <f>Bryngwyn!R16</f>
        <v>0</v>
      </c>
      <c r="S16" s="103">
        <f>Bryngwyn!S16</f>
        <v>0</v>
      </c>
      <c r="T16" s="103">
        <f>Bryngwyn!T16</f>
        <v>0</v>
      </c>
      <c r="U16" s="103">
        <f>Bryngwyn!U16</f>
        <v>0</v>
      </c>
      <c r="V16" s="103">
        <f>Bryngwyn!V16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64.599999999999994</v>
      </c>
      <c r="D17" s="28">
        <f t="shared" ref="D17:V17" si="0">(VLOOKUP(D$14,$AI2:$AK26,2,FALSE))*D$15</f>
        <v>64.599999999999994</v>
      </c>
      <c r="E17" s="28">
        <f t="shared" si="0"/>
        <v>55.25</v>
      </c>
      <c r="F17" s="28">
        <f t="shared" si="0"/>
        <v>55.25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7.3463778749999991</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-57.253622124999993</v>
      </c>
      <c r="D19" s="16">
        <f t="shared" ref="D19:V19" si="1">D18-D17</f>
        <v>-64.599999999999994</v>
      </c>
      <c r="E19" s="16">
        <f t="shared" si="1"/>
        <v>-55.25</v>
      </c>
      <c r="F19" s="16">
        <f t="shared" si="1"/>
        <v>-55.25</v>
      </c>
      <c r="G19" s="16">
        <f t="shared" si="1"/>
        <v>-64.599999999999994</v>
      </c>
      <c r="H19" s="16">
        <f t="shared" si="1"/>
        <v>-64.599999999999994</v>
      </c>
      <c r="I19" s="16">
        <f t="shared" si="1"/>
        <v>-64.599999999999994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228</v>
      </c>
      <c r="D21" s="28">
        <f t="shared" ref="D21:V21" si="2">(VLOOKUP(D$14,$AI2:$AK24,3,FALSE))*D$15</f>
        <v>228</v>
      </c>
      <c r="E21" s="28">
        <f t="shared" si="2"/>
        <v>68.25</v>
      </c>
      <c r="F21" s="28">
        <f t="shared" si="2"/>
        <v>68.25</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5.2544025000000003</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-222.7455975</v>
      </c>
      <c r="D23" s="16">
        <f t="shared" ref="D23:V23" si="3">D22-D21</f>
        <v>-228</v>
      </c>
      <c r="E23" s="16">
        <f t="shared" si="3"/>
        <v>-68.25</v>
      </c>
      <c r="F23" s="16">
        <f t="shared" si="3"/>
        <v>-68.25</v>
      </c>
      <c r="G23" s="16">
        <f t="shared" si="3"/>
        <v>-228</v>
      </c>
      <c r="H23" s="16">
        <f t="shared" si="3"/>
        <v>-228</v>
      </c>
      <c r="I23" s="16">
        <f t="shared" si="3"/>
        <v>-228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2.5499999999999998</v>
      </c>
      <c r="C28" s="15">
        <v>0.98799999999999999</v>
      </c>
      <c r="D28" s="15">
        <v>5.0299999999999997E-2</v>
      </c>
      <c r="E28" s="15">
        <v>6.8400000000000002E-2</v>
      </c>
      <c r="F28" s="15">
        <v>141</v>
      </c>
      <c r="G28" s="15">
        <v>31.2</v>
      </c>
      <c r="H28" s="15">
        <v>79.5</v>
      </c>
      <c r="I28" s="15">
        <v>5.08</v>
      </c>
      <c r="J28" s="15">
        <v>0.5</v>
      </c>
      <c r="K28" s="23">
        <v>0.79</v>
      </c>
      <c r="L28" s="15">
        <v>3.36</v>
      </c>
      <c r="M28" s="15">
        <v>2.66</v>
      </c>
      <c r="N28" s="15">
        <v>170000</v>
      </c>
      <c r="O28" s="15">
        <v>6660</v>
      </c>
      <c r="P28" s="15"/>
      <c r="Q28" s="15">
        <v>11600</v>
      </c>
      <c r="R28" s="15"/>
      <c r="S28" s="15">
        <v>56</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Abercynrig 2</v>
      </c>
      <c r="B31" s="15">
        <v>250</v>
      </c>
      <c r="C31" s="77">
        <f>IF(C$27="%w/w SAR",((C$28*10)*$B31),IF(C$27="%w/w DM",(((C$28*10)*($B$28/100))*$B31),IF(C$27="kg/t SAR",(C$28*$B31),IF(C$27="kg/t DM",((C$28*($B$28/100))*$B31),IF(C$27="mg/kg SAR",((C$28*0.001)*$B31),IF(C$27="mg/kg DM",(((C$28*0.001)*($B$28/100))*$B31),0))))))</f>
        <v>62.984999999999985</v>
      </c>
      <c r="D31" s="77">
        <f>(IF(D$27="%w/w SAR",((D$28*10)*$B31),IF(D$27="%w/w DM",(((D$28*10)*($B$28/100))*$B31),IF(D$27="kg/t SAR",(D$28*$B31),IF(D$27="kg/t DM",((D$28*($B$28/100))*$B31),IF(D$27="mg/kg SAR",((D$28*0.001)*$B31),IF(D$27="mg/kg DM",(((D$28*0.001)*($B$28/100))*$B31),"0")))))))*2.291</f>
        <v>7.3463778749999991</v>
      </c>
      <c r="E31" s="77">
        <f>(IF(E$27="%w/w SAR",((E$28*10)*$B31),IF(E$27="%w/w DM",(((E$28*10)*($B$28/100))*$B31),IF(E$27="kg/t SAR",(E$28*$B31),IF(E$27="kg/t DM",((E$28*($B$28/100))*$B31),IF(E$27="mg/kg SAR",((E$28*0.001)*$B31),IF(E$27="mg/kg DM",(((E$28*0.001)*($B$28/100))*$B31),"0")))))))*1.205</f>
        <v>5.2544025000000003</v>
      </c>
      <c r="F31" s="77">
        <f>(IF(F$27="%w/w SAR",((F$28*10)*$B31),IF(F$27="%w/w DM",(((F$28*10)*($B$28/100))*$B31),IF(F$27="kg/t SAR",(F$28*$B31),IF(F$27="kg/t DM",((F$28*($B$28/100))*$B31),IF(F$27="mg/kg SAR",((F$28*0.001)*$B31),IF(F$27="mg/kg DM",(((F$28*0.001)*($B$28/100))*$B31),"0")))))))*1.658</f>
        <v>1.4903347500000002</v>
      </c>
      <c r="G31" s="77">
        <f t="shared" ref="G31:P46" si="5">IF(G$27="%w/w SAR",((G$28*10)*$B31),IF(G$27="%w/w DM",(((G$28*10)*($B$28/100))*$B31),IF(G$27="kg/t SAR",(G$28*$B31),IF(G$27="kg/t DM",((G$28*($B$28/100))*$B31),IF(G$27="mg/kg SAR",((G$28*0.001)*$B31),IF(G$27="mg/kg DM",(((G$28*0.001)*($B$28/100))*$B31),0))))))</f>
        <v>0.19889999999999999</v>
      </c>
      <c r="H31" s="77">
        <f t="shared" si="5"/>
        <v>0.5068125</v>
      </c>
      <c r="I31" s="77">
        <f t="shared" si="5"/>
        <v>3.2385000000000004E-2</v>
      </c>
      <c r="J31" s="77">
        <f t="shared" si="5"/>
        <v>3.1874999999999998E-3</v>
      </c>
      <c r="K31" s="77">
        <f t="shared" si="5"/>
        <v>5.0362499999999991E-3</v>
      </c>
      <c r="L31" s="77">
        <f t="shared" si="5"/>
        <v>2.1419999999999998E-2</v>
      </c>
      <c r="M31" s="77">
        <f t="shared" si="5"/>
        <v>1.6957499999999997E-2</v>
      </c>
      <c r="N31" s="77">
        <f t="shared" si="5"/>
        <v>1083.75</v>
      </c>
      <c r="O31" s="77">
        <f t="shared" si="5"/>
        <v>42.457499999999996</v>
      </c>
      <c r="P31" s="77">
        <f t="shared" si="5"/>
        <v>0</v>
      </c>
      <c r="Q31" s="77">
        <f>(IF(Q$27="%w/w SAR",((Q$28*10)*$B31),IF(Q$27="%w/w DM",(((Q$28*10)*($B$28/100))*$B31),IF(Q$27="kg/t SAR",(Q$28*$B31),IF(Q$27="kg/t DM",((Q$28*($B$28/100))*$B31),IF(Q$27="mg/kg SAR",((Q$28*0.001)*$B31),IF(Q$27="mg/kg DM",(((Q$28*0.001)*($B$28/100))*$B31),0)))))))*2.5</f>
        <v>184.87499999999997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0.35699999999999998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Abercynrig 10</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2</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10</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11</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16</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"&amp;(VLOOKUP(C14,Table245811[],6,FALSE))</f>
        <v>Medium/Clay I Grass</v>
      </c>
      <c r="C58" s="13" t="str">
        <f>D16&amp;" I "&amp;(VLOOKUP(D14,Table245811[],6,FALSE))</f>
        <v>Medium/Clay I Grass</v>
      </c>
      <c r="D58" s="13" t="str">
        <f>E16&amp;" I "&amp;(VLOOKUP(E14,Table245811[],6,FALSE))</f>
        <v>Medium/Clay I Arable</v>
      </c>
      <c r="E58" s="13" t="str">
        <f>F16&amp;" I "&amp;(VLOOKUP(F14,Table245811[],6,FALSE))</f>
        <v>Medium/Clay I Arable</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133</v>
      </c>
      <c r="B59" s="76">
        <f>VLOOKUP(C$14,Table245811[],5,FALSE)</f>
        <v>6.2</v>
      </c>
      <c r="C59" s="76">
        <f>VLOOKUP(D$14,Table245811[],5,FALSE)</f>
        <v>6.2</v>
      </c>
      <c r="D59" s="76">
        <f>VLOOKUP(E$14,Table245811[],5,FALSE)</f>
        <v>6.7</v>
      </c>
      <c r="E59" s="76">
        <f>VLOOKUP(F$14,Table245811[],5,FALSE)</f>
        <v>6.7</v>
      </c>
      <c r="F59" s="76">
        <f>VLOOKUP(G$14,Table245811[],5,FALSE)</f>
        <v>6.2</v>
      </c>
      <c r="G59" s="76">
        <f>VLOOKUP(H$14,Table245811[],5,FALSE)</f>
        <v>6.2</v>
      </c>
      <c r="H59" s="76">
        <f>VLOOKUP(I$14,Table245811[],5,FALSE)</f>
        <v>6.2</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6.2</v>
      </c>
      <c r="C60" s="76">
        <f t="shared" ref="C60:U60" si="14">D10</f>
        <v>5.2</v>
      </c>
      <c r="D60" s="76" t="str">
        <f t="shared" si="14"/>
        <v>5..5</v>
      </c>
      <c r="E60" s="76">
        <f t="shared" si="14"/>
        <v>5</v>
      </c>
      <c r="F60" s="76">
        <f t="shared" si="14"/>
        <v>5.5</v>
      </c>
      <c r="G60" s="76">
        <f t="shared" si="14"/>
        <v>5.4</v>
      </c>
      <c r="H60" s="76">
        <f t="shared" si="14"/>
        <v>5.5</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v>
      </c>
      <c r="C64" s="77">
        <f t="shared" ref="C64:U64" si="17">(C59-C60)*C61</f>
        <v>6</v>
      </c>
      <c r="D64" s="77" t="e">
        <f t="shared" si="17"/>
        <v>#VALUE!</v>
      </c>
      <c r="E64" s="77">
        <f t="shared" si="17"/>
        <v>13.600000000000001</v>
      </c>
      <c r="F64" s="77">
        <f t="shared" si="17"/>
        <v>4.2000000000000011</v>
      </c>
      <c r="G64" s="77">
        <f t="shared" si="17"/>
        <v>4.7999999999999989</v>
      </c>
      <c r="H64" s="77">
        <f t="shared" si="17"/>
        <v>4.2000000000000011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v>
      </c>
      <c r="C65" s="77">
        <f t="shared" ref="C65:U65" si="18">C63-C64</f>
        <v>-6</v>
      </c>
      <c r="D65" s="77" t="e">
        <f t="shared" si="18"/>
        <v>#VALUE!</v>
      </c>
      <c r="E65" s="77">
        <f t="shared" si="18"/>
        <v>-13.600000000000001</v>
      </c>
      <c r="F65" s="77">
        <f t="shared" si="18"/>
        <v>-4.2000000000000011</v>
      </c>
      <c r="G65" s="77">
        <f t="shared" si="18"/>
        <v>-4.7999999999999989</v>
      </c>
      <c r="H65" s="77">
        <f t="shared" si="18"/>
        <v>-4.2000000000000011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UNDER</v>
      </c>
      <c r="D66" s="78" t="e">
        <f t="shared" si="19"/>
        <v>#VALUE!</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rQVfhBVHddd6JqhpN8InFYKgxgzAmTccGwwqeHyGg+EguSvswIy4tAcJYKasXF+9FBV0BkW81oHjHtr8CYGwEA==" saltValue="DcD2r7lTZTYhbAqDw4lLO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4" operator="equal">
      <formula>"DECREASE"</formula>
    </cfRule>
    <cfRule type="cellIs" dxfId="334" priority="35" operator="equal">
      <formula>"INCREASE"</formula>
    </cfRule>
  </conditionalFormatting>
  <conditionalFormatting sqref="B31:B50 B62:U66">
    <cfRule type="cellIs" dxfId="333" priority="33" operator="greaterThan">
      <formula>$B$51</formula>
    </cfRule>
  </conditionalFormatting>
  <conditionalFormatting sqref="C31:C50">
    <cfRule type="cellIs" dxfId="332" priority="32" operator="greaterThan">
      <formula>$C$51</formula>
    </cfRule>
  </conditionalFormatting>
  <conditionalFormatting sqref="C18:V18">
    <cfRule type="cellIs" dxfId="331" priority="31" operator="equal">
      <formula>0</formula>
    </cfRule>
  </conditionalFormatting>
  <conditionalFormatting sqref="C17:V17">
    <cfRule type="cellIs" dxfId="330" priority="30" operator="equal">
      <formula>0</formula>
    </cfRule>
  </conditionalFormatting>
  <conditionalFormatting sqref="C19:V19">
    <cfRule type="cellIs" dxfId="329" priority="29" operator="equal">
      <formula>0</formula>
    </cfRule>
  </conditionalFormatting>
  <conditionalFormatting sqref="G31:G50">
    <cfRule type="cellIs" dxfId="328" priority="28" operator="greaterThan">
      <formula>$G$51</formula>
    </cfRule>
  </conditionalFormatting>
  <conditionalFormatting sqref="H31:H50">
    <cfRule type="cellIs" dxfId="327" priority="27" operator="greaterThan">
      <formula>$H$51</formula>
    </cfRule>
  </conditionalFormatting>
  <conditionalFormatting sqref="I31:I50">
    <cfRule type="cellIs" dxfId="326" priority="26" operator="greaterThan">
      <formula>$I$51</formula>
    </cfRule>
  </conditionalFormatting>
  <conditionalFormatting sqref="K31:K50">
    <cfRule type="cellIs" dxfId="325" priority="25" operator="greaterThan">
      <formula>$K$51</formula>
    </cfRule>
  </conditionalFormatting>
  <conditionalFormatting sqref="L31:L50">
    <cfRule type="cellIs" dxfId="324" priority="24" operator="greaterThan">
      <formula>$L$51</formula>
    </cfRule>
  </conditionalFormatting>
  <conditionalFormatting sqref="M31:M50">
    <cfRule type="cellIs" dxfId="323" priority="23" operator="greaterThan">
      <formula>$M$51</formula>
    </cfRule>
  </conditionalFormatting>
  <conditionalFormatting sqref="P31:P50">
    <cfRule type="cellIs" dxfId="322" priority="22" operator="greaterThan">
      <formula>$P$51</formula>
    </cfRule>
  </conditionalFormatting>
  <conditionalFormatting sqref="R31:R50">
    <cfRule type="cellIs" dxfId="321" priority="21" operator="greaterThan">
      <formula>$R$51</formula>
    </cfRule>
  </conditionalFormatting>
  <conditionalFormatting sqref="S31:S50">
    <cfRule type="cellIs" dxfId="320" priority="20" operator="greaterThan">
      <formula>$S$51</formula>
    </cfRule>
  </conditionalFormatting>
  <conditionalFormatting sqref="T31:T50">
    <cfRule type="cellIs" dxfId="319" priority="19" operator="greaterThan">
      <formula>$T$51</formula>
    </cfRule>
  </conditionalFormatting>
  <conditionalFormatting sqref="U31:U50">
    <cfRule type="cellIs" dxfId="318" priority="18" operator="greaterThan">
      <formula>$U$51</formula>
    </cfRule>
  </conditionalFormatting>
  <conditionalFormatting sqref="C22:V22">
    <cfRule type="cellIs" dxfId="317" priority="17" operator="equal">
      <formula>0</formula>
    </cfRule>
  </conditionalFormatting>
  <conditionalFormatting sqref="C24:V24">
    <cfRule type="cellIs" dxfId="316" priority="15" operator="equal">
      <formula>"DECREASE"</formula>
    </cfRule>
    <cfRule type="cellIs" dxfId="315" priority="16" operator="equal">
      <formula>"INCREASE"</formula>
    </cfRule>
  </conditionalFormatting>
  <conditionalFormatting sqref="C23:V23">
    <cfRule type="cellIs" dxfId="314" priority="14" operator="equal">
      <formula>0</formula>
    </cfRule>
  </conditionalFormatting>
  <conditionalFormatting sqref="I1">
    <cfRule type="cellIs" dxfId="313" priority="13" operator="lessThan">
      <formula>5</formula>
    </cfRule>
  </conditionalFormatting>
  <conditionalFormatting sqref="C21:V21">
    <cfRule type="cellIs" dxfId="312" priority="10" operator="equal">
      <formula>0</formula>
    </cfRule>
  </conditionalFormatting>
  <conditionalFormatting sqref="B66:U66">
    <cfRule type="cellIs" dxfId="311" priority="8" operator="equal">
      <formula>"UNDER"</formula>
    </cfRule>
    <cfRule type="cellIs" dxfId="310" priority="9" operator="equal">
      <formula>"OVER"</formula>
    </cfRule>
  </conditionalFormatting>
  <conditionalFormatting sqref="I2">
    <cfRule type="cellIs" dxfId="309" priority="7" operator="greaterThan">
      <formula>5000.1</formula>
    </cfRule>
  </conditionalFormatting>
  <conditionalFormatting sqref="I3">
    <cfRule type="cellIs" dxfId="308" priority="6" operator="greaterThan">
      <formula>4.1</formula>
    </cfRule>
  </conditionalFormatting>
  <conditionalFormatting sqref="J31:J50">
    <cfRule type="cellIs" dxfId="307" priority="5"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31" zoomScale="90" zoomScaleNormal="90" workbookViewId="0">
      <selection activeCell="E29" sqref="E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Bryngwyn!C1:D1</f>
        <v>PAN-015421</v>
      </c>
      <c r="D1" s="140"/>
      <c r="E1" s="93" t="s">
        <v>45</v>
      </c>
      <c r="F1" s="39" t="str">
        <f>Bryngwyn!F1</f>
        <v>46.9 ha</v>
      </c>
      <c r="G1" s="119" t="s">
        <v>43</v>
      </c>
      <c r="H1" s="120"/>
      <c r="I1" s="96">
        <v>5.8</v>
      </c>
      <c r="J1" s="118" t="s">
        <v>154</v>
      </c>
      <c r="K1" s="118"/>
      <c r="L1" s="97">
        <v>231</v>
      </c>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Bryngwyn!C2:D2</f>
        <v>EPR/GP3792SK</v>
      </c>
      <c r="D2" s="142"/>
      <c r="E2" s="93" t="s">
        <v>109</v>
      </c>
      <c r="F2" s="96" t="s">
        <v>171</v>
      </c>
      <c r="G2" s="137" t="s">
        <v>110</v>
      </c>
      <c r="H2" s="138"/>
      <c r="I2" s="96"/>
      <c r="J2" s="118" t="s">
        <v>159</v>
      </c>
      <c r="K2" s="118"/>
      <c r="L2" s="97">
        <v>0.77800000000000002</v>
      </c>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Bryngwyn!C3:D3</f>
        <v>ByProduct Recovery Limited</v>
      </c>
      <c r="D3" s="142"/>
      <c r="E3" s="93" t="s">
        <v>108</v>
      </c>
      <c r="F3" s="31" t="s">
        <v>78</v>
      </c>
      <c r="G3" s="119" t="s">
        <v>111</v>
      </c>
      <c r="H3" s="120"/>
      <c r="I3" s="96"/>
      <c r="J3" s="119" t="s">
        <v>155</v>
      </c>
      <c r="K3" s="120"/>
      <c r="L3" s="97">
        <f>(L1/(L2*10000))*100</f>
        <v>2.969151670951157</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f>Bryngwyn!C4:D4</f>
        <v>0</v>
      </c>
      <c r="D4" s="140"/>
      <c r="E4" s="94" t="s">
        <v>1</v>
      </c>
      <c r="F4" s="96" t="s">
        <v>175</v>
      </c>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Bryngwyn!C5:D5</f>
        <v>Rhiannon Smith</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Bryngwyn!C8</f>
        <v>Abercynrig 2</v>
      </c>
      <c r="D8" s="60" t="str">
        <f>Bryngwyn!D8</f>
        <v>Abercynrig 10</v>
      </c>
      <c r="E8" s="60">
        <f>Bryngwyn!E8</f>
        <v>1</v>
      </c>
      <c r="F8" s="60">
        <f>Bryngwyn!F8</f>
        <v>2</v>
      </c>
      <c r="G8" s="60">
        <f>Bryngwyn!G8</f>
        <v>10</v>
      </c>
      <c r="H8" s="60">
        <f>Bryngwyn!H8</f>
        <v>11</v>
      </c>
      <c r="I8" s="60">
        <f>Bryngwyn!I8</f>
        <v>16</v>
      </c>
      <c r="J8" s="60">
        <f>Bryngwyn!J8</f>
        <v>0</v>
      </c>
      <c r="K8" s="60">
        <f>Bryngwyn!K8</f>
        <v>0</v>
      </c>
      <c r="L8" s="60">
        <f>Bryngwyn!L8</f>
        <v>0</v>
      </c>
      <c r="M8" s="60">
        <f>Bryngwyn!M8</f>
        <v>0</v>
      </c>
      <c r="N8" s="60">
        <f>Bryngwyn!N8</f>
        <v>0</v>
      </c>
      <c r="O8" s="60">
        <f>Bryngwyn!O8</f>
        <v>0</v>
      </c>
      <c r="P8" s="60">
        <f>Bryngwyn!P8</f>
        <v>0</v>
      </c>
      <c r="Q8" s="60">
        <f>Bryngwyn!Q8</f>
        <v>0</v>
      </c>
      <c r="R8" s="60">
        <f>Bryngwyn!R8</f>
        <v>0</v>
      </c>
      <c r="S8" s="60">
        <f>Bryngwyn!S8</f>
        <v>0</v>
      </c>
      <c r="T8" s="60">
        <f>Bryngwyn!T8</f>
        <v>0</v>
      </c>
      <c r="U8" s="60">
        <f>Bryngwyn!U8</f>
        <v>0</v>
      </c>
      <c r="V8" s="60">
        <f>Bryngwyn!V8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Bryngwyn!C9</f>
        <v>M</v>
      </c>
      <c r="D9" s="60" t="str">
        <f>Bryngwyn!D9</f>
        <v>m</v>
      </c>
      <c r="E9" s="60">
        <f>Bryngwyn!E9</f>
        <v>1</v>
      </c>
      <c r="F9" s="60">
        <f>Bryngwyn!F9</f>
        <v>1</v>
      </c>
      <c r="G9" s="60" t="str">
        <f>Bryngwyn!G9</f>
        <v>M</v>
      </c>
      <c r="H9" s="60" t="str">
        <f>Bryngwyn!H9</f>
        <v>M</v>
      </c>
      <c r="I9" s="60" t="str">
        <f>Bryngwyn!I9</f>
        <v>M</v>
      </c>
      <c r="J9" s="60">
        <f>Bryngwyn!J9</f>
        <v>0</v>
      </c>
      <c r="K9" s="60">
        <f>Bryngwyn!K9</f>
        <v>0</v>
      </c>
      <c r="L9" s="60">
        <f>Bryngwyn!L9</f>
        <v>0</v>
      </c>
      <c r="M9" s="60">
        <f>Bryngwyn!M9</f>
        <v>0</v>
      </c>
      <c r="N9" s="60">
        <f>Bryngwyn!N9</f>
        <v>0</v>
      </c>
      <c r="O9" s="60">
        <f>Bryngwyn!O9</f>
        <v>0</v>
      </c>
      <c r="P9" s="60">
        <f>Bryngwyn!P9</f>
        <v>0</v>
      </c>
      <c r="Q9" s="60">
        <f>Bryngwyn!Q9</f>
        <v>0</v>
      </c>
      <c r="R9" s="60">
        <f>Bryngwyn!R9</f>
        <v>0</v>
      </c>
      <c r="S9" s="60">
        <f>Bryngwyn!S9</f>
        <v>0</v>
      </c>
      <c r="T9" s="60">
        <f>Bryngwyn!T9</f>
        <v>0</v>
      </c>
      <c r="U9" s="60">
        <f>Bryngwyn!U9</f>
        <v>0</v>
      </c>
      <c r="V9" s="60">
        <f>Bryngwyn!V9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Bryngwyn!C10</f>
        <v>6.2</v>
      </c>
      <c r="D10" s="60">
        <f>Bryngwyn!D10</f>
        <v>5.2</v>
      </c>
      <c r="E10" s="60" t="str">
        <f>Bryngwyn!E10</f>
        <v>5..5</v>
      </c>
      <c r="F10" s="60">
        <f>Bryngwyn!F10</f>
        <v>5</v>
      </c>
      <c r="G10" s="60">
        <f>Bryngwyn!G10</f>
        <v>5.5</v>
      </c>
      <c r="H10" s="60">
        <f>Bryngwyn!H10</f>
        <v>5.4</v>
      </c>
      <c r="I10" s="60">
        <f>Bryngwyn!I10</f>
        <v>5.5</v>
      </c>
      <c r="J10" s="60">
        <f>Bryngwyn!J10</f>
        <v>0</v>
      </c>
      <c r="K10" s="60">
        <f>Bryngwyn!K10</f>
        <v>0</v>
      </c>
      <c r="L10" s="60">
        <f>Bryngwyn!L10</f>
        <v>0</v>
      </c>
      <c r="M10" s="60">
        <f>Bryngwyn!M10</f>
        <v>0</v>
      </c>
      <c r="N10" s="60">
        <f>Bryngwyn!N10</f>
        <v>0</v>
      </c>
      <c r="O10" s="60">
        <f>Bryngwyn!O10</f>
        <v>0</v>
      </c>
      <c r="P10" s="60">
        <f>Bryngwyn!P10</f>
        <v>0</v>
      </c>
      <c r="Q10" s="60">
        <f>Bryngwyn!Q10</f>
        <v>0</v>
      </c>
      <c r="R10" s="60">
        <f>Bryngwyn!R10</f>
        <v>0</v>
      </c>
      <c r="S10" s="60">
        <f>Bryngwyn!S10</f>
        <v>0</v>
      </c>
      <c r="T10" s="60">
        <f>Bryngwyn!T10</f>
        <v>0</v>
      </c>
      <c r="U10" s="60">
        <f>Bryngwyn!U10</f>
        <v>0</v>
      </c>
      <c r="V10" s="60">
        <f>Bryngwyn!V10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Bryngwyn!C11</f>
        <v>3</v>
      </c>
      <c r="D11" s="60">
        <f>Bryngwyn!D11</f>
        <v>3</v>
      </c>
      <c r="E11" s="60">
        <f>Bryngwyn!E11</f>
        <v>3</v>
      </c>
      <c r="F11" s="60">
        <f>Bryngwyn!F11</f>
        <v>4</v>
      </c>
      <c r="G11" s="60">
        <f>Bryngwyn!G11</f>
        <v>2</v>
      </c>
      <c r="H11" s="60">
        <f>Bryngwyn!H11</f>
        <v>2</v>
      </c>
      <c r="I11" s="60">
        <f>Bryngwyn!I11</f>
        <v>3</v>
      </c>
      <c r="J11" s="60">
        <f>Bryngwyn!J11</f>
        <v>0</v>
      </c>
      <c r="K11" s="60">
        <f>Bryngwyn!K11</f>
        <v>0</v>
      </c>
      <c r="L11" s="60">
        <f>Bryngwyn!L11</f>
        <v>0</v>
      </c>
      <c r="M11" s="60">
        <f>Bryngwyn!M11</f>
        <v>0</v>
      </c>
      <c r="N11" s="60">
        <f>Bryngwyn!N11</f>
        <v>0</v>
      </c>
      <c r="O11" s="60">
        <f>Bryngwyn!O11</f>
        <v>0</v>
      </c>
      <c r="P11" s="60">
        <f>Bryngwyn!P11</f>
        <v>0</v>
      </c>
      <c r="Q11" s="60">
        <f>Bryngwyn!Q11</f>
        <v>0</v>
      </c>
      <c r="R11" s="60">
        <f>Bryngwyn!R11</f>
        <v>0</v>
      </c>
      <c r="S11" s="60">
        <f>Bryngwyn!S11</f>
        <v>0</v>
      </c>
      <c r="T11" s="60">
        <f>Bryngwyn!T11</f>
        <v>0</v>
      </c>
      <c r="U11" s="60">
        <f>Bryngwyn!U11</f>
        <v>0</v>
      </c>
      <c r="V11" s="60">
        <f>Bryngwyn!V11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Bryngwyn!C12</f>
        <v>2</v>
      </c>
      <c r="D12" s="60">
        <f>Bryngwyn!D12</f>
        <v>1</v>
      </c>
      <c r="E12" s="60">
        <f>Bryngwyn!E12</f>
        <v>2</v>
      </c>
      <c r="F12" s="60">
        <f>Bryngwyn!F12</f>
        <v>1</v>
      </c>
      <c r="G12" s="60">
        <f>Bryngwyn!G12</f>
        <v>1</v>
      </c>
      <c r="H12" s="60">
        <f>Bryngwyn!H12</f>
        <v>1</v>
      </c>
      <c r="I12" s="60">
        <f>Bryngwyn!I12</f>
        <v>1</v>
      </c>
      <c r="J12" s="60">
        <f>Bryngwyn!J12</f>
        <v>0</v>
      </c>
      <c r="K12" s="60">
        <f>Bryngwyn!K12</f>
        <v>0</v>
      </c>
      <c r="L12" s="60">
        <f>Bryngwyn!L12</f>
        <v>0</v>
      </c>
      <c r="M12" s="60">
        <f>Bryngwyn!M12</f>
        <v>0</v>
      </c>
      <c r="N12" s="60">
        <f>Bryngwyn!N12</f>
        <v>0</v>
      </c>
      <c r="O12" s="60">
        <f>Bryngwyn!O12</f>
        <v>0</v>
      </c>
      <c r="P12" s="60">
        <f>Bryngwyn!P12</f>
        <v>0</v>
      </c>
      <c r="Q12" s="60">
        <f>Bryngwyn!Q12</f>
        <v>0</v>
      </c>
      <c r="R12" s="60">
        <f>Bryngwyn!R12</f>
        <v>0</v>
      </c>
      <c r="S12" s="60">
        <f>Bryngwyn!S12</f>
        <v>0</v>
      </c>
      <c r="T12" s="60">
        <f>Bryngwyn!T12</f>
        <v>0</v>
      </c>
      <c r="U12" s="60">
        <f>Bryngwyn!U12</f>
        <v>0</v>
      </c>
      <c r="V12" s="60">
        <f>Bryngwyn!V12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Bryngwyn!C13</f>
        <v>3</v>
      </c>
      <c r="D13" s="60">
        <f>Bryngwyn!D13</f>
        <v>2</v>
      </c>
      <c r="E13" s="60">
        <f>Bryngwyn!E13</f>
        <v>3</v>
      </c>
      <c r="F13" s="60">
        <f>Bryngwyn!F13</f>
        <v>2</v>
      </c>
      <c r="G13" s="60">
        <f>Bryngwyn!G13</f>
        <v>2</v>
      </c>
      <c r="H13" s="60">
        <f>Bryngwyn!H13</f>
        <v>2</v>
      </c>
      <c r="I13" s="60">
        <f>Bryngwyn!I13</f>
        <v>3</v>
      </c>
      <c r="J13" s="60">
        <f>Bryngwyn!J13</f>
        <v>0</v>
      </c>
      <c r="K13" s="60">
        <f>Bryngwyn!K13</f>
        <v>0</v>
      </c>
      <c r="L13" s="60">
        <f>Bryngwyn!L13</f>
        <v>0</v>
      </c>
      <c r="M13" s="60">
        <f>Bryngwyn!M13</f>
        <v>0</v>
      </c>
      <c r="N13" s="60">
        <f>Bryngwyn!N13</f>
        <v>0</v>
      </c>
      <c r="O13" s="60">
        <f>Bryngwyn!O13</f>
        <v>0</v>
      </c>
      <c r="P13" s="60">
        <f>Bryngwyn!P13</f>
        <v>0</v>
      </c>
      <c r="Q13" s="60">
        <f>Bryngwyn!Q13</f>
        <v>0</v>
      </c>
      <c r="R13" s="60">
        <f>Bryngwyn!R13</f>
        <v>0</v>
      </c>
      <c r="S13" s="60">
        <f>Bryngwyn!S13</f>
        <v>0</v>
      </c>
      <c r="T13" s="60">
        <f>Bryngwyn!T13</f>
        <v>0</v>
      </c>
      <c r="U13" s="60">
        <f>Bryngwyn!U13</f>
        <v>0</v>
      </c>
      <c r="V13" s="60">
        <f>Bryngwyn!V13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Bryngwyn!C14</f>
        <v xml:space="preserve">Grass Silage (25% DM) </v>
      </c>
      <c r="D14" s="102" t="str">
        <f>Bryngwyn!D14</f>
        <v xml:space="preserve">Grass Silage (25% DM) </v>
      </c>
      <c r="E14" s="102" t="str">
        <f>Bryngwyn!E14</f>
        <v>Winter barley/triticale/rye</v>
      </c>
      <c r="F14" s="102" t="str">
        <f>Bryngwyn!F14</f>
        <v>Winter barley/triticale/rye</v>
      </c>
      <c r="G14" s="102" t="str">
        <f>Bryngwyn!G14</f>
        <v xml:space="preserve">Grass Silage (25% DM) </v>
      </c>
      <c r="H14" s="102" t="str">
        <f>Bryngwyn!H14</f>
        <v xml:space="preserve">Grass Silage (25% DM) </v>
      </c>
      <c r="I14" s="102" t="str">
        <f>Bryngwyn!I14</f>
        <v xml:space="preserve">Grass Silage (25% DM) </v>
      </c>
      <c r="J14" s="102">
        <f>Bryngwyn!J14</f>
        <v>0</v>
      </c>
      <c r="K14" s="102">
        <f>Bryngwyn!K14</f>
        <v>0</v>
      </c>
      <c r="L14" s="102">
        <f>Bryngwyn!L14</f>
        <v>0</v>
      </c>
      <c r="M14" s="102">
        <f>Bryngwyn!M14</f>
        <v>0</v>
      </c>
      <c r="N14" s="102">
        <f>Bryngwyn!N14</f>
        <v>0</v>
      </c>
      <c r="O14" s="102">
        <f>Bryngwyn!O14</f>
        <v>0</v>
      </c>
      <c r="P14" s="102">
        <f>Bryngwyn!P14</f>
        <v>0</v>
      </c>
      <c r="Q14" s="102">
        <f>Bryngwyn!Q14</f>
        <v>0</v>
      </c>
      <c r="R14" s="102">
        <f>Bryngwyn!R14</f>
        <v>0</v>
      </c>
      <c r="S14" s="102">
        <f>Bryngwyn!S14</f>
        <v>0</v>
      </c>
      <c r="T14" s="102">
        <f>Bryngwyn!T14</f>
        <v>0</v>
      </c>
      <c r="U14" s="102">
        <f>Bryngwyn!U14</f>
        <v>0</v>
      </c>
      <c r="V14" s="102">
        <f>Bryngwyn!V14</f>
        <v>0</v>
      </c>
      <c r="AD14" s="30" t="s">
        <v>139</v>
      </c>
      <c r="AE14" s="30">
        <v>6</v>
      </c>
      <c r="AI14" s="53" t="s">
        <v>120</v>
      </c>
      <c r="AJ14" s="54">
        <v>0.8</v>
      </c>
      <c r="AK14" s="55">
        <v>1.7</v>
      </c>
      <c r="AL14" s="11">
        <v>12</v>
      </c>
      <c r="AM14" s="11">
        <v>6.7</v>
      </c>
      <c r="AN14" s="11" t="s">
        <v>136</v>
      </c>
    </row>
    <row r="15" spans="1:41" ht="13" x14ac:dyDescent="0.25">
      <c r="A15" s="129" t="s">
        <v>9</v>
      </c>
      <c r="B15" s="129"/>
      <c r="C15" s="60">
        <f>Bryngwyn!C15</f>
        <v>38</v>
      </c>
      <c r="D15" s="60">
        <f>Bryngwyn!D15</f>
        <v>38</v>
      </c>
      <c r="E15" s="60">
        <f>Bryngwyn!E15</f>
        <v>6.5</v>
      </c>
      <c r="F15" s="60">
        <f>Bryngwyn!F15</f>
        <v>6.5</v>
      </c>
      <c r="G15" s="60">
        <f>Bryngwyn!G15</f>
        <v>38</v>
      </c>
      <c r="H15" s="60">
        <f>Bryngwyn!H15</f>
        <v>38</v>
      </c>
      <c r="I15" s="60">
        <f>Bryngwyn!I15</f>
        <v>38</v>
      </c>
      <c r="J15" s="60">
        <f>Bryngwyn!J15</f>
        <v>0</v>
      </c>
      <c r="K15" s="60">
        <f>Bryngwyn!K15</f>
        <v>0</v>
      </c>
      <c r="L15" s="60">
        <f>Bryngwyn!L15</f>
        <v>0</v>
      </c>
      <c r="M15" s="60">
        <f>Bryngwyn!M15</f>
        <v>0</v>
      </c>
      <c r="N15" s="60">
        <f>Bryngwyn!N15</f>
        <v>0</v>
      </c>
      <c r="O15" s="60">
        <f>Bryngwyn!O15</f>
        <v>0</v>
      </c>
      <c r="P15" s="60">
        <f>Bryngwyn!P15</f>
        <v>0</v>
      </c>
      <c r="Q15" s="60">
        <f>Bryngwyn!Q15</f>
        <v>0</v>
      </c>
      <c r="R15" s="60">
        <f>Bryngwyn!R15</f>
        <v>0</v>
      </c>
      <c r="S15" s="60">
        <f>Bryngwyn!S15</f>
        <v>0</v>
      </c>
      <c r="T15" s="60">
        <f>Bryngwyn!T15</f>
        <v>0</v>
      </c>
      <c r="U15" s="60">
        <f>Bryngwyn!U15</f>
        <v>0</v>
      </c>
      <c r="V15" s="60">
        <f>Bryngwyn!V15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Bryngwyn!C16</f>
        <v>Medium/Clay</v>
      </c>
      <c r="D16" s="103" t="str">
        <f>Bryngwyn!D16</f>
        <v>Medium/Clay</v>
      </c>
      <c r="E16" s="103" t="str">
        <f>Bryngwyn!E16</f>
        <v>Medium/Clay</v>
      </c>
      <c r="F16" s="103" t="str">
        <f>Bryngwyn!F16</f>
        <v>Medium/Clay</v>
      </c>
      <c r="G16" s="103" t="str">
        <f>Bryngwyn!G16</f>
        <v>Medium/Clay</v>
      </c>
      <c r="H16" s="103" t="str">
        <f>Bryngwyn!H16</f>
        <v>Medium/Clay</v>
      </c>
      <c r="I16" s="103" t="str">
        <f>Bryngwyn!I16</f>
        <v>Medium/Clay</v>
      </c>
      <c r="J16" s="103">
        <f>Bryngwyn!J16</f>
        <v>0</v>
      </c>
      <c r="K16" s="103">
        <f>Bryngwyn!K16</f>
        <v>0</v>
      </c>
      <c r="L16" s="103">
        <f>Bryngwyn!L16</f>
        <v>0</v>
      </c>
      <c r="M16" s="103">
        <f>Bryngwyn!M16</f>
        <v>0</v>
      </c>
      <c r="N16" s="103">
        <f>Bryngwyn!N16</f>
        <v>0</v>
      </c>
      <c r="O16" s="103">
        <f>Bryngwyn!O16</f>
        <v>0</v>
      </c>
      <c r="P16" s="103">
        <f>Bryngwyn!P16</f>
        <v>0</v>
      </c>
      <c r="Q16" s="103">
        <f>Bryngwyn!Q16</f>
        <v>0</v>
      </c>
      <c r="R16" s="103">
        <f>Bryngwyn!R16</f>
        <v>0</v>
      </c>
      <c r="S16" s="103">
        <f>Bryngwyn!S16</f>
        <v>0</v>
      </c>
      <c r="T16" s="103">
        <f>Bryngwyn!T16</f>
        <v>0</v>
      </c>
      <c r="U16" s="103">
        <f>Bryngwyn!U16</f>
        <v>0</v>
      </c>
      <c r="V16" s="103">
        <f>Bryngwyn!V16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64.599999999999994</v>
      </c>
      <c r="D17" s="28">
        <f t="shared" ref="D17:V17" si="0">(VLOOKUP(D$14,$AI2:$AK26,2,FALSE))*D$15</f>
        <v>64.599999999999994</v>
      </c>
      <c r="E17" s="28">
        <f t="shared" si="0"/>
        <v>55.25</v>
      </c>
      <c r="F17" s="28">
        <f t="shared" si="0"/>
        <v>55.25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12.369968125000002</v>
      </c>
      <c r="D18" s="16">
        <f>$D32</f>
        <v>12.369968125000002</v>
      </c>
      <c r="E18" s="16">
        <f>$D33</f>
        <v>12.369968125000002</v>
      </c>
      <c r="F18" s="16">
        <f>$D34</f>
        <v>12.369968125000002</v>
      </c>
      <c r="G18" s="16">
        <f>$D35</f>
        <v>12.369968125000002</v>
      </c>
      <c r="H18" s="16">
        <f>$D36</f>
        <v>12.369968125000002</v>
      </c>
      <c r="I18" s="16">
        <f>$D37</f>
        <v>12.369968125000002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-52.230031874999995</v>
      </c>
      <c r="D19" s="16">
        <f t="shared" ref="D19:V19" si="1">D18-D17</f>
        <v>-52.230031874999995</v>
      </c>
      <c r="E19" s="16">
        <f t="shared" si="1"/>
        <v>-42.880031875</v>
      </c>
      <c r="F19" s="16">
        <f t="shared" si="1"/>
        <v>-42.880031875</v>
      </c>
      <c r="G19" s="16">
        <f t="shared" si="1"/>
        <v>-52.230031874999995</v>
      </c>
      <c r="H19" s="16">
        <f t="shared" si="1"/>
        <v>-52.230031874999995</v>
      </c>
      <c r="I19" s="16">
        <f t="shared" si="1"/>
        <v>-52.230031874999995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228</v>
      </c>
      <c r="D21" s="28">
        <f t="shared" ref="D21:V21" si="2">(VLOOKUP(D$14,$AI2:$AK26,3,FALSE))*D$15</f>
        <v>228</v>
      </c>
      <c r="E21" s="28">
        <f t="shared" si="2"/>
        <v>68.25</v>
      </c>
      <c r="F21" s="28">
        <f t="shared" si="2"/>
        <v>68.25</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5.8117150000000004</v>
      </c>
      <c r="D22" s="16">
        <f>$E32</f>
        <v>5.8117150000000004</v>
      </c>
      <c r="E22" s="16">
        <f>$E33</f>
        <v>5.8117150000000004</v>
      </c>
      <c r="F22" s="16">
        <f>$E34</f>
        <v>5.8117150000000004</v>
      </c>
      <c r="G22" s="16">
        <f>$E35</f>
        <v>5.8117150000000004</v>
      </c>
      <c r="H22" s="16">
        <f>$E36</f>
        <v>5.8117150000000004</v>
      </c>
      <c r="I22" s="16">
        <f>$E37</f>
        <v>5.8117150000000004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-222.18828500000001</v>
      </c>
      <c r="D23" s="16">
        <f t="shared" ref="D23:V23" si="3">D22-D21</f>
        <v>-222.18828500000001</v>
      </c>
      <c r="E23" s="16">
        <f t="shared" si="3"/>
        <v>-62.438285</v>
      </c>
      <c r="F23" s="16">
        <f t="shared" si="3"/>
        <v>-62.438285</v>
      </c>
      <c r="G23" s="16">
        <f t="shared" si="3"/>
        <v>-222.18828500000001</v>
      </c>
      <c r="H23" s="16">
        <f t="shared" si="3"/>
        <v>-222.18828500000001</v>
      </c>
      <c r="I23" s="16">
        <f t="shared" si="3"/>
        <v>-222.18828500000001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2.65</v>
      </c>
      <c r="C28" s="15">
        <v>0.77800000000000002</v>
      </c>
      <c r="D28" s="15">
        <v>8.1500000000000003E-2</v>
      </c>
      <c r="E28" s="15">
        <v>7.2800000000000004E-2</v>
      </c>
      <c r="F28" s="15">
        <v>477</v>
      </c>
      <c r="G28" s="15">
        <v>21.1</v>
      </c>
      <c r="H28" s="15">
        <v>146</v>
      </c>
      <c r="I28" s="15">
        <v>36.700000000000003</v>
      </c>
      <c r="J28" s="15">
        <v>0.59</v>
      </c>
      <c r="K28" s="23">
        <v>0.76</v>
      </c>
      <c r="L28" s="15">
        <v>13.1</v>
      </c>
      <c r="M28" s="15">
        <v>7.38</v>
      </c>
      <c r="N28" s="15">
        <v>3490</v>
      </c>
      <c r="O28" s="15">
        <v>389000</v>
      </c>
      <c r="P28" s="15"/>
      <c r="Q28" s="15">
        <v>4710</v>
      </c>
      <c r="R28" s="15"/>
      <c r="S28" s="15">
        <v>45.7</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Abercynrig 2</v>
      </c>
      <c r="B31" s="15">
        <v>250</v>
      </c>
      <c r="C31" s="77">
        <f>IF(C$27="%w/w SAR",((C$28*10)*$B31),IF(C$27="%w/w DM",(((C$28*10)*($B$28/100))*$B31),IF(C$27="kg/t SAR",(C$28*$B31),IF(C$27="kg/t DM",((C$28*($B$28/100))*$B31),IF(C$27="mg/kg SAR",((C$28*0.001)*$B31),IF(C$27="mg/kg DM",(((C$28*0.001)*($B$28/100))*$B31),0))))))</f>
        <v>51.542499999999997</v>
      </c>
      <c r="D31" s="77">
        <f>(IF(D$27="%w/w SAR",((D$28*10)*$B31),IF(D$27="%w/w DM",(((D$28*10)*($B$28/100))*$B31),IF(D$27="kg/t SAR",(D$28*$B31),IF(D$27="kg/t DM",((D$28*($B$28/100))*$B31),IF(D$27="mg/kg SAR",((D$28*0.001)*$B31),IF(D$27="mg/kg DM",(((D$28*0.001)*($B$28/100))*$B31),"0")))))))*2.291</f>
        <v>12.369968125000002</v>
      </c>
      <c r="E31" s="77">
        <f>(IF(E$27="%w/w SAR",((E$28*10)*$B31),IF(E$27="%w/w DM",(((E$28*10)*($B$28/100))*$B31),IF(E$27="kg/t SAR",(E$28*$B31),IF(E$27="kg/t DM",((E$28*($B$28/100))*$B31),IF(E$27="mg/kg SAR",((E$28*0.001)*$B31),IF(E$27="mg/kg DM",(((E$28*0.001)*($B$28/100))*$B31),"0")))))))*1.205</f>
        <v>5.8117150000000004</v>
      </c>
      <c r="F31" s="77">
        <f>(IF(F$27="%w/w SAR",((F$28*10)*$B31),IF(F$27="%w/w DM",(((F$28*10)*($B$28/100))*$B31),IF(F$27="kg/t SAR",(F$28*$B31),IF(F$27="kg/t DM",((F$28*($B$28/100))*$B31),IF(F$27="mg/kg SAR",((F$28*0.001)*$B31),IF(F$27="mg/kg DM",(((F$28*0.001)*($B$28/100))*$B31),"0")))))))*1.658</f>
        <v>5.2394872499999998</v>
      </c>
      <c r="G31" s="77">
        <f t="shared" ref="G31:P46" si="5">IF(G$27="%w/w SAR",((G$28*10)*$B31),IF(G$27="%w/w DM",(((G$28*10)*($B$28/100))*$B31),IF(G$27="kg/t SAR",(G$28*$B31),IF(G$27="kg/t DM",((G$28*($B$28/100))*$B31),IF(G$27="mg/kg SAR",((G$28*0.001)*$B31),IF(G$27="mg/kg DM",(((G$28*0.001)*($B$28/100))*$B31),0))))))</f>
        <v>0.13978750000000001</v>
      </c>
      <c r="H31" s="77">
        <f t="shared" si="5"/>
        <v>0.96724999999999994</v>
      </c>
      <c r="I31" s="77">
        <f t="shared" si="5"/>
        <v>0.24313750000000003</v>
      </c>
      <c r="J31" s="77">
        <f t="shared" si="5"/>
        <v>3.9087500000000008E-3</v>
      </c>
      <c r="K31" s="77">
        <f t="shared" si="5"/>
        <v>5.0350000000000004E-3</v>
      </c>
      <c r="L31" s="77">
        <f t="shared" si="5"/>
        <v>8.6787500000000004E-2</v>
      </c>
      <c r="M31" s="77">
        <f t="shared" si="5"/>
        <v>4.8892499999999998E-2</v>
      </c>
      <c r="N31" s="77">
        <f t="shared" si="5"/>
        <v>23.12125</v>
      </c>
      <c r="O31" s="77">
        <f t="shared" si="5"/>
        <v>2577.125</v>
      </c>
      <c r="P31" s="77">
        <f t="shared" si="5"/>
        <v>0</v>
      </c>
      <c r="Q31" s="77">
        <f>(IF(Q$27="%w/w SAR",((Q$28*10)*$B31),IF(Q$27="%w/w DM",(((Q$28*10)*($B$28/100))*$B31),IF(Q$27="kg/t SAR",(Q$28*$B31),IF(Q$27="kg/t DM",((Q$28*($B$28/100))*$B31),IF(Q$27="mg/kg SAR",((Q$28*0.001)*$B31),IF(Q$27="mg/kg DM",(((Q$28*0.001)*($B$28/100))*$B31),0)))))))*2.5</f>
        <v>78.009375000000006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0.30276250000000005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Abercynrig 10</v>
      </c>
      <c r="B32" s="15">
        <v>250</v>
      </c>
      <c r="C32" s="77">
        <f t="shared" ref="C32:C50" si="6">IF(C$27="%w/w SAR",((C$28*10)*$B32),IF(C$27="%w/w DM",(((C$28*10)*($B$28/100))*$B32),IF(C$27="kg/t SAR",(C$28*$B32),IF(C$27="kg/t DM",((C$28*($B$28/100))*$B32),IF(C$27="mg/kg SAR",((C$28*0.001)*$B32),IF(C$27="mg/kg DM",(((C$28*0.001)*($B$28/100))*$B32),0))))))</f>
        <v>51.542499999999997</v>
      </c>
      <c r="D32" s="77">
        <f t="shared" ref="D32:D50" si="7">(IF(D$27="%w/w SAR",((D$28*10)*$B32),IF(D$27="%w/w DM",(((D$28*10)*($B$28/100))*$B32),IF(D$27="kg/t SAR",(D$28*$B32),IF(D$27="kg/t DM",((D$28*($B$28/100))*$B32),IF(D$27="mg/kg SAR",((D$28*0.001)*$B32),IF(D$27="mg/kg DM",(((D$28*0.001)*($B$28/100))*$B32),"0")))))))*2.291</f>
        <v>12.369968125000002</v>
      </c>
      <c r="E32" s="77">
        <f t="shared" ref="E32:E50" si="8">(IF(E$27="%w/w SAR",((E$28*10)*$B32),IF(E$27="%w/w DM",(((E$28*10)*($B$28/100))*$B32),IF(E$27="kg/t SAR",(E$28*$B32),IF(E$27="kg/t DM",((E$28*($B$28/100))*$B32),IF(E$27="mg/kg SAR",((E$28*0.001)*$B32),IF(E$27="mg/kg DM",(((E$28*0.001)*($B$28/100))*$B32),"0")))))))*1.205</f>
        <v>5.8117150000000004</v>
      </c>
      <c r="F32" s="77">
        <f t="shared" ref="F32:F50" si="9">(IF(F$27="%w/w SAR",((F$28*10)*$B32),IF(F$27="%w/w DM",(((F$28*10)*($B$28/100))*$B32),IF(F$27="kg/t SAR",(F$28*$B32),IF(F$27="kg/t DM",((F$28*($B$28/100))*$B32),IF(F$27="mg/kg SAR",((F$28*0.001)*$B32),IF(F$27="mg/kg DM",(((F$28*0.001)*($B$28/100))*$B32),"0")))))))*1.658</f>
        <v>5.2394872499999998</v>
      </c>
      <c r="G32" s="77">
        <f t="shared" si="5"/>
        <v>0.13978750000000001</v>
      </c>
      <c r="H32" s="77">
        <f t="shared" si="5"/>
        <v>0.96724999999999994</v>
      </c>
      <c r="I32" s="77">
        <f t="shared" si="5"/>
        <v>0.24313750000000003</v>
      </c>
      <c r="J32" s="77">
        <f t="shared" si="5"/>
        <v>3.9087500000000008E-3</v>
      </c>
      <c r="K32" s="77">
        <f t="shared" si="5"/>
        <v>5.0350000000000004E-3</v>
      </c>
      <c r="L32" s="77">
        <f t="shared" si="5"/>
        <v>8.6787500000000004E-2</v>
      </c>
      <c r="M32" s="77">
        <f t="shared" si="5"/>
        <v>4.8892499999999998E-2</v>
      </c>
      <c r="N32" s="77">
        <f t="shared" si="5"/>
        <v>23.12125</v>
      </c>
      <c r="O32" s="77">
        <f t="shared" si="5"/>
        <v>2577.125</v>
      </c>
      <c r="P32" s="77">
        <f t="shared" si="5"/>
        <v>0</v>
      </c>
      <c r="Q32" s="77">
        <f t="shared" ref="Q32:Q50" si="10">(IF(Q$27="%w/w SAR",((Q$28*10)*$B32),IF(Q$27="%w/w DM",(((Q$28*10)*($B$28/100))*$B32),IF(Q$27="kg/t SAR",(Q$28*$B32),IF(Q$27="kg/t DM",((Q$28*($B$28/100))*$B32),IF(Q$27="mg/kg SAR",((Q$28*0.001)*$B32),IF(Q$27="mg/kg DM",(((Q$28*0.001)*($B$28/100))*$B32),0)))))))*2.5</f>
        <v>78.009375000000006</v>
      </c>
      <c r="R32" s="77">
        <f t="shared" ref="R32:U50" si="11">IF(R$27="%w/w SAR",((R$28*10)*$B32),IF(R$27="%w/w DM",(((R$28*10)*($B$28/100))*$B32),IF(R$27="kg/t SAR",(R$28*$B32),IF(R$27="kg/t DM",((R$28*($B$28/100))*$B32),IF(R$27="mg/kg SAR",((R$28*0.001)*$B32),IF(R$27="mg/kg DM",(((R$28*0.001)*($B$28/100))*$B32),0))))))</f>
        <v>0</v>
      </c>
      <c r="S32" s="77">
        <f t="shared" si="11"/>
        <v>0.30276250000000005</v>
      </c>
      <c r="T32" s="77">
        <f t="shared" si="11"/>
        <v>0</v>
      </c>
      <c r="U32" s="77">
        <f t="shared" si="11"/>
        <v>0</v>
      </c>
      <c r="AB32" s="59"/>
      <c r="AC32" s="59"/>
      <c r="AD32" s="59"/>
      <c r="AE32" s="59"/>
      <c r="AF32" s="59"/>
      <c r="AG32" s="59"/>
      <c r="AH32" s="59"/>
      <c r="AI32" s="59"/>
    </row>
    <row r="33" spans="1:35" s="72" customFormat="1" ht="13" x14ac:dyDescent="0.35">
      <c r="A33" s="13">
        <f>E8</f>
        <v>1</v>
      </c>
      <c r="B33" s="15">
        <v>250</v>
      </c>
      <c r="C33" s="77">
        <f t="shared" si="6"/>
        <v>51.542499999999997</v>
      </c>
      <c r="D33" s="77">
        <f t="shared" si="7"/>
        <v>12.369968125000002</v>
      </c>
      <c r="E33" s="77">
        <f t="shared" si="8"/>
        <v>5.8117150000000004</v>
      </c>
      <c r="F33" s="77">
        <f t="shared" si="9"/>
        <v>5.2394872499999998</v>
      </c>
      <c r="G33" s="77">
        <f t="shared" si="5"/>
        <v>0.13978750000000001</v>
      </c>
      <c r="H33" s="77">
        <f t="shared" si="5"/>
        <v>0.96724999999999994</v>
      </c>
      <c r="I33" s="77">
        <f t="shared" si="5"/>
        <v>0.24313750000000003</v>
      </c>
      <c r="J33" s="77">
        <f t="shared" si="5"/>
        <v>3.9087500000000008E-3</v>
      </c>
      <c r="K33" s="77">
        <f t="shared" si="5"/>
        <v>5.0350000000000004E-3</v>
      </c>
      <c r="L33" s="77">
        <f t="shared" si="5"/>
        <v>8.6787500000000004E-2</v>
      </c>
      <c r="M33" s="77">
        <f t="shared" si="5"/>
        <v>4.8892499999999998E-2</v>
      </c>
      <c r="N33" s="77">
        <f t="shared" si="5"/>
        <v>23.12125</v>
      </c>
      <c r="O33" s="77">
        <f t="shared" si="5"/>
        <v>2577.125</v>
      </c>
      <c r="P33" s="77">
        <f t="shared" si="5"/>
        <v>0</v>
      </c>
      <c r="Q33" s="77">
        <f t="shared" si="10"/>
        <v>78.009375000000006</v>
      </c>
      <c r="R33" s="77">
        <f t="shared" si="11"/>
        <v>0</v>
      </c>
      <c r="S33" s="77">
        <f t="shared" si="11"/>
        <v>0.30276250000000005</v>
      </c>
      <c r="T33" s="77">
        <f t="shared" si="11"/>
        <v>0</v>
      </c>
      <c r="U33" s="77">
        <f t="shared" si="11"/>
        <v>0</v>
      </c>
      <c r="AB33" s="59"/>
      <c r="AC33" s="59"/>
      <c r="AD33" s="59"/>
      <c r="AE33" s="59"/>
      <c r="AF33" s="59"/>
      <c r="AG33" s="59"/>
      <c r="AH33" s="59"/>
      <c r="AI33" s="59"/>
    </row>
    <row r="34" spans="1:35" s="72" customFormat="1" ht="13" x14ac:dyDescent="0.35">
      <c r="A34" s="13">
        <f>F8</f>
        <v>2</v>
      </c>
      <c r="B34" s="15">
        <v>250</v>
      </c>
      <c r="C34" s="77">
        <f t="shared" si="6"/>
        <v>51.542499999999997</v>
      </c>
      <c r="D34" s="77">
        <f t="shared" si="7"/>
        <v>12.369968125000002</v>
      </c>
      <c r="E34" s="77">
        <f t="shared" si="8"/>
        <v>5.8117150000000004</v>
      </c>
      <c r="F34" s="77">
        <f t="shared" si="9"/>
        <v>5.2394872499999998</v>
      </c>
      <c r="G34" s="77">
        <f t="shared" si="5"/>
        <v>0.13978750000000001</v>
      </c>
      <c r="H34" s="77">
        <f t="shared" si="5"/>
        <v>0.96724999999999994</v>
      </c>
      <c r="I34" s="77">
        <f t="shared" si="5"/>
        <v>0.24313750000000003</v>
      </c>
      <c r="J34" s="77">
        <f t="shared" si="5"/>
        <v>3.9087500000000008E-3</v>
      </c>
      <c r="K34" s="77">
        <f t="shared" si="5"/>
        <v>5.0350000000000004E-3</v>
      </c>
      <c r="L34" s="77">
        <f t="shared" si="5"/>
        <v>8.6787500000000004E-2</v>
      </c>
      <c r="M34" s="77">
        <f t="shared" si="5"/>
        <v>4.8892499999999998E-2</v>
      </c>
      <c r="N34" s="77">
        <f t="shared" si="5"/>
        <v>23.12125</v>
      </c>
      <c r="O34" s="77">
        <f t="shared" si="5"/>
        <v>2577.125</v>
      </c>
      <c r="P34" s="77">
        <f t="shared" si="5"/>
        <v>0</v>
      </c>
      <c r="Q34" s="77">
        <f t="shared" si="10"/>
        <v>78.009375000000006</v>
      </c>
      <c r="R34" s="77">
        <f t="shared" si="11"/>
        <v>0</v>
      </c>
      <c r="S34" s="77">
        <f t="shared" si="11"/>
        <v>0.30276250000000005</v>
      </c>
      <c r="T34" s="77">
        <f t="shared" si="11"/>
        <v>0</v>
      </c>
      <c r="U34" s="77">
        <f t="shared" si="11"/>
        <v>0</v>
      </c>
      <c r="AB34" s="59"/>
      <c r="AC34" s="59"/>
      <c r="AD34" s="59"/>
      <c r="AE34" s="59"/>
      <c r="AF34" s="59"/>
      <c r="AG34" s="59"/>
      <c r="AH34" s="59"/>
      <c r="AI34" s="59"/>
    </row>
    <row r="35" spans="1:35" s="72" customFormat="1" ht="13" x14ac:dyDescent="0.35">
      <c r="A35" s="13">
        <f>G8</f>
        <v>10</v>
      </c>
      <c r="B35" s="15">
        <v>250</v>
      </c>
      <c r="C35" s="77">
        <f t="shared" si="6"/>
        <v>51.542499999999997</v>
      </c>
      <c r="D35" s="77">
        <f t="shared" si="7"/>
        <v>12.369968125000002</v>
      </c>
      <c r="E35" s="77">
        <f t="shared" si="8"/>
        <v>5.8117150000000004</v>
      </c>
      <c r="F35" s="77">
        <f t="shared" si="9"/>
        <v>5.2394872499999998</v>
      </c>
      <c r="G35" s="77">
        <f t="shared" si="5"/>
        <v>0.13978750000000001</v>
      </c>
      <c r="H35" s="77">
        <f t="shared" si="5"/>
        <v>0.96724999999999994</v>
      </c>
      <c r="I35" s="77">
        <f t="shared" si="5"/>
        <v>0.24313750000000003</v>
      </c>
      <c r="J35" s="77">
        <f t="shared" si="5"/>
        <v>3.9087500000000008E-3</v>
      </c>
      <c r="K35" s="77">
        <f t="shared" si="5"/>
        <v>5.0350000000000004E-3</v>
      </c>
      <c r="L35" s="77">
        <f t="shared" si="5"/>
        <v>8.6787500000000004E-2</v>
      </c>
      <c r="M35" s="77">
        <f t="shared" si="5"/>
        <v>4.8892499999999998E-2</v>
      </c>
      <c r="N35" s="77">
        <f t="shared" si="5"/>
        <v>23.12125</v>
      </c>
      <c r="O35" s="77">
        <f t="shared" si="5"/>
        <v>2577.125</v>
      </c>
      <c r="P35" s="77">
        <f t="shared" si="5"/>
        <v>0</v>
      </c>
      <c r="Q35" s="77">
        <f t="shared" si="10"/>
        <v>78.009375000000006</v>
      </c>
      <c r="R35" s="77">
        <f t="shared" si="11"/>
        <v>0</v>
      </c>
      <c r="S35" s="77">
        <f t="shared" si="11"/>
        <v>0.30276250000000005</v>
      </c>
      <c r="T35" s="77">
        <f t="shared" si="11"/>
        <v>0</v>
      </c>
      <c r="U35" s="77">
        <f t="shared" si="11"/>
        <v>0</v>
      </c>
      <c r="AB35" s="59"/>
      <c r="AC35" s="59"/>
      <c r="AD35" s="59"/>
      <c r="AE35" s="59"/>
      <c r="AF35" s="59"/>
      <c r="AG35" s="59"/>
      <c r="AH35" s="59"/>
      <c r="AI35" s="59"/>
    </row>
    <row r="36" spans="1:35" s="72" customFormat="1" ht="13" x14ac:dyDescent="0.35">
      <c r="A36" s="13">
        <f>H8</f>
        <v>11</v>
      </c>
      <c r="B36" s="15">
        <v>250</v>
      </c>
      <c r="C36" s="77">
        <f t="shared" si="6"/>
        <v>51.542499999999997</v>
      </c>
      <c r="D36" s="77">
        <f t="shared" si="7"/>
        <v>12.369968125000002</v>
      </c>
      <c r="E36" s="77">
        <f t="shared" si="8"/>
        <v>5.8117150000000004</v>
      </c>
      <c r="F36" s="77">
        <f t="shared" si="9"/>
        <v>5.2394872499999998</v>
      </c>
      <c r="G36" s="77">
        <f t="shared" si="5"/>
        <v>0.13978750000000001</v>
      </c>
      <c r="H36" s="77">
        <f t="shared" si="5"/>
        <v>0.96724999999999994</v>
      </c>
      <c r="I36" s="77">
        <f t="shared" si="5"/>
        <v>0.24313750000000003</v>
      </c>
      <c r="J36" s="77">
        <f t="shared" si="5"/>
        <v>3.9087500000000008E-3</v>
      </c>
      <c r="K36" s="77">
        <f t="shared" si="5"/>
        <v>5.0350000000000004E-3</v>
      </c>
      <c r="L36" s="77">
        <f t="shared" si="5"/>
        <v>8.6787500000000004E-2</v>
      </c>
      <c r="M36" s="77">
        <f t="shared" si="5"/>
        <v>4.8892499999999998E-2</v>
      </c>
      <c r="N36" s="77">
        <f t="shared" si="5"/>
        <v>23.12125</v>
      </c>
      <c r="O36" s="77">
        <f t="shared" si="5"/>
        <v>2577.125</v>
      </c>
      <c r="P36" s="77">
        <f t="shared" si="5"/>
        <v>0</v>
      </c>
      <c r="Q36" s="77">
        <f t="shared" si="10"/>
        <v>78.009375000000006</v>
      </c>
      <c r="R36" s="77">
        <f t="shared" si="11"/>
        <v>0</v>
      </c>
      <c r="S36" s="77">
        <f t="shared" si="11"/>
        <v>0.30276250000000005</v>
      </c>
      <c r="T36" s="77">
        <f t="shared" si="11"/>
        <v>0</v>
      </c>
      <c r="U36" s="77">
        <f t="shared" si="11"/>
        <v>0</v>
      </c>
      <c r="AB36" s="59"/>
      <c r="AC36" s="59"/>
      <c r="AD36" s="59"/>
      <c r="AE36" s="59"/>
      <c r="AF36" s="59"/>
      <c r="AG36" s="59"/>
      <c r="AH36" s="59"/>
      <c r="AI36" s="59"/>
    </row>
    <row r="37" spans="1:35" s="72" customFormat="1" ht="13" x14ac:dyDescent="0.35">
      <c r="A37" s="13">
        <f>I8</f>
        <v>16</v>
      </c>
      <c r="B37" s="15">
        <v>250</v>
      </c>
      <c r="C37" s="77">
        <f t="shared" si="6"/>
        <v>51.542499999999997</v>
      </c>
      <c r="D37" s="77">
        <f t="shared" si="7"/>
        <v>12.369968125000002</v>
      </c>
      <c r="E37" s="77">
        <f t="shared" si="8"/>
        <v>5.8117150000000004</v>
      </c>
      <c r="F37" s="77">
        <f t="shared" si="9"/>
        <v>5.2394872499999998</v>
      </c>
      <c r="G37" s="77">
        <f t="shared" si="5"/>
        <v>0.13978750000000001</v>
      </c>
      <c r="H37" s="77">
        <f t="shared" si="5"/>
        <v>0.96724999999999994</v>
      </c>
      <c r="I37" s="77">
        <f t="shared" si="5"/>
        <v>0.24313750000000003</v>
      </c>
      <c r="J37" s="77">
        <f t="shared" si="5"/>
        <v>3.9087500000000008E-3</v>
      </c>
      <c r="K37" s="77">
        <f t="shared" si="5"/>
        <v>5.0350000000000004E-3</v>
      </c>
      <c r="L37" s="77">
        <f t="shared" si="5"/>
        <v>8.6787500000000004E-2</v>
      </c>
      <c r="M37" s="77">
        <f t="shared" si="5"/>
        <v>4.8892499999999998E-2</v>
      </c>
      <c r="N37" s="77">
        <f t="shared" si="5"/>
        <v>23.12125</v>
      </c>
      <c r="O37" s="77">
        <f t="shared" si="5"/>
        <v>2577.125</v>
      </c>
      <c r="P37" s="77">
        <f t="shared" si="5"/>
        <v>0</v>
      </c>
      <c r="Q37" s="77">
        <f t="shared" si="10"/>
        <v>78.009375000000006</v>
      </c>
      <c r="R37" s="77">
        <f t="shared" si="11"/>
        <v>0</v>
      </c>
      <c r="S37" s="77">
        <f t="shared" si="11"/>
        <v>0.30276250000000005</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"&amp;(VLOOKUP(C14,Table24581112[],6,FALSE))</f>
        <v>Medium/Clay I Grass</v>
      </c>
      <c r="C58" s="13" t="str">
        <f>D16&amp;" I "&amp;(VLOOKUP(D14,Table24581112[],6,FALSE))</f>
        <v>Medium/Clay I Grass</v>
      </c>
      <c r="D58" s="13" t="str">
        <f>E16&amp;" I "&amp;(VLOOKUP(E14,Table24581112[],6,FALSE))</f>
        <v>Medium/Clay I Arable</v>
      </c>
      <c r="E58" s="13" t="str">
        <f>F16&amp;" I "&amp;(VLOOKUP(F14,Table24581112[],6,FALSE))</f>
        <v>Medium/Clay I Arable</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133</v>
      </c>
      <c r="B59" s="76">
        <f>VLOOKUP(C$14,Table24581112[],5,FALSE)</f>
        <v>6.2</v>
      </c>
      <c r="C59" s="76">
        <f>VLOOKUP(D$14,Table24581112[],5,FALSE)</f>
        <v>6.2</v>
      </c>
      <c r="D59" s="76">
        <f>VLOOKUP(E$14,Table24581112[],5,FALSE)</f>
        <v>6.7</v>
      </c>
      <c r="E59" s="76">
        <f>VLOOKUP(F$14,Table24581112[],5,FALSE)</f>
        <v>6.7</v>
      </c>
      <c r="F59" s="76">
        <f>VLOOKUP(G$14,Table24581112[],5,FALSE)</f>
        <v>6.2</v>
      </c>
      <c r="G59" s="76">
        <f>VLOOKUP(H$14,Table24581112[],5,FALSE)</f>
        <v>6.2</v>
      </c>
      <c r="H59" s="76">
        <f>VLOOKUP(I$14,Table24581112[],5,FALSE)</f>
        <v>6.2</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6.2</v>
      </c>
      <c r="C60" s="76">
        <f t="shared" ref="C60:U60" si="14">D10</f>
        <v>5.2</v>
      </c>
      <c r="D60" s="76" t="str">
        <f t="shared" si="14"/>
        <v>5..5</v>
      </c>
      <c r="E60" s="76">
        <f t="shared" si="14"/>
        <v>5</v>
      </c>
      <c r="F60" s="76">
        <f t="shared" si="14"/>
        <v>5.5</v>
      </c>
      <c r="G60" s="76">
        <f t="shared" si="14"/>
        <v>5.4</v>
      </c>
      <c r="H60" s="76">
        <f t="shared" si="14"/>
        <v>5.5</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v>
      </c>
      <c r="C64" s="77">
        <f t="shared" ref="C64:U64" si="17">(C59-C60)*C61</f>
        <v>6</v>
      </c>
      <c r="D64" s="77" t="e">
        <f t="shared" si="17"/>
        <v>#VALUE!</v>
      </c>
      <c r="E64" s="77">
        <f t="shared" si="17"/>
        <v>13.600000000000001</v>
      </c>
      <c r="F64" s="77">
        <f t="shared" si="17"/>
        <v>4.2000000000000011</v>
      </c>
      <c r="G64" s="77">
        <f t="shared" si="17"/>
        <v>4.7999999999999989</v>
      </c>
      <c r="H64" s="77">
        <f t="shared" si="17"/>
        <v>4.2000000000000011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v>
      </c>
      <c r="C65" s="77">
        <f t="shared" ref="C65:U65" si="18">C63-C64</f>
        <v>-6</v>
      </c>
      <c r="D65" s="77" t="e">
        <f t="shared" si="18"/>
        <v>#VALUE!</v>
      </c>
      <c r="E65" s="77">
        <f t="shared" si="18"/>
        <v>-13.600000000000001</v>
      </c>
      <c r="F65" s="77">
        <f t="shared" si="18"/>
        <v>-4.2000000000000011</v>
      </c>
      <c r="G65" s="77">
        <f t="shared" si="18"/>
        <v>-4.7999999999999989</v>
      </c>
      <c r="H65" s="77">
        <f t="shared" si="18"/>
        <v>-4.2000000000000011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UNDER</v>
      </c>
      <c r="D66" s="78" t="e">
        <f t="shared" si="19"/>
        <v>#VALUE!</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i1LHcadkRSeCwKw17LHj6YnEJcnV68oxEAWOm75M5cnOCgyGwGZuA6+k7ke3hhHWNpu/IiUCnVNeaWXtsm2rzw==" saltValue="Zml9eWuNDbD+4BqQKWFlj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4" operator="equal">
      <formula>"DECREASE"</formula>
    </cfRule>
    <cfRule type="cellIs" dxfId="292" priority="35" operator="equal">
      <formula>"INCREASE"</formula>
    </cfRule>
  </conditionalFormatting>
  <conditionalFormatting sqref="B31:B50 B62:U66">
    <cfRule type="cellIs" dxfId="291" priority="33" operator="greaterThan">
      <formula>$B$51</formula>
    </cfRule>
  </conditionalFormatting>
  <conditionalFormatting sqref="C31:C50">
    <cfRule type="cellIs" dxfId="290" priority="32" operator="greaterThan">
      <formula>$C$51</formula>
    </cfRule>
  </conditionalFormatting>
  <conditionalFormatting sqref="C18:V18">
    <cfRule type="cellIs" dxfId="289" priority="31" operator="equal">
      <formula>0</formula>
    </cfRule>
  </conditionalFormatting>
  <conditionalFormatting sqref="C17:V17">
    <cfRule type="cellIs" dxfId="288" priority="30" operator="equal">
      <formula>0</formula>
    </cfRule>
  </conditionalFormatting>
  <conditionalFormatting sqref="C19:V19">
    <cfRule type="cellIs" dxfId="287" priority="29" operator="equal">
      <formula>0</formula>
    </cfRule>
  </conditionalFormatting>
  <conditionalFormatting sqref="G31:G50">
    <cfRule type="cellIs" dxfId="286" priority="28" operator="greaterThan">
      <formula>$G$51</formula>
    </cfRule>
  </conditionalFormatting>
  <conditionalFormatting sqref="H31:H50">
    <cfRule type="cellIs" dxfId="285" priority="27" operator="greaterThan">
      <formula>$H$51</formula>
    </cfRule>
  </conditionalFormatting>
  <conditionalFormatting sqref="I31:I50">
    <cfRule type="cellIs" dxfId="284" priority="26" operator="greaterThan">
      <formula>$I$51</formula>
    </cfRule>
  </conditionalFormatting>
  <conditionalFormatting sqref="K31:K50">
    <cfRule type="cellIs" dxfId="283" priority="25" operator="greaterThan">
      <formula>$K$51</formula>
    </cfRule>
  </conditionalFormatting>
  <conditionalFormatting sqref="L31:L50">
    <cfRule type="cellIs" dxfId="282" priority="24" operator="greaterThan">
      <formula>$L$51</formula>
    </cfRule>
  </conditionalFormatting>
  <conditionalFormatting sqref="M31:M50">
    <cfRule type="cellIs" dxfId="281" priority="23" operator="greaterThan">
      <formula>$M$51</formula>
    </cfRule>
  </conditionalFormatting>
  <conditionalFormatting sqref="P31:P50">
    <cfRule type="cellIs" dxfId="280" priority="22" operator="greaterThan">
      <formula>$P$51</formula>
    </cfRule>
  </conditionalFormatting>
  <conditionalFormatting sqref="R31:R50">
    <cfRule type="cellIs" dxfId="279" priority="21" operator="greaterThan">
      <formula>$R$51</formula>
    </cfRule>
  </conditionalFormatting>
  <conditionalFormatting sqref="S31:S50">
    <cfRule type="cellIs" dxfId="278" priority="20" operator="greaterThan">
      <formula>$S$51</formula>
    </cfRule>
  </conditionalFormatting>
  <conditionalFormatting sqref="T31:T50">
    <cfRule type="cellIs" dxfId="277" priority="19" operator="greaterThan">
      <formula>$T$51</formula>
    </cfRule>
  </conditionalFormatting>
  <conditionalFormatting sqref="U31:U50">
    <cfRule type="cellIs" dxfId="276" priority="18" operator="greaterThan">
      <formula>$U$51</formula>
    </cfRule>
  </conditionalFormatting>
  <conditionalFormatting sqref="C22:V22">
    <cfRule type="cellIs" dxfId="275" priority="17" operator="equal">
      <formula>0</formula>
    </cfRule>
  </conditionalFormatting>
  <conditionalFormatting sqref="C24:V24">
    <cfRule type="cellIs" dxfId="274" priority="15" operator="equal">
      <formula>"DECREASE"</formula>
    </cfRule>
    <cfRule type="cellIs" dxfId="273" priority="16" operator="equal">
      <formula>"INCREASE"</formula>
    </cfRule>
  </conditionalFormatting>
  <conditionalFormatting sqref="C23:V23">
    <cfRule type="cellIs" dxfId="272" priority="14" operator="equal">
      <formula>0</formula>
    </cfRule>
  </conditionalFormatting>
  <conditionalFormatting sqref="I1">
    <cfRule type="cellIs" dxfId="271" priority="13" operator="lessThan">
      <formula>5</formula>
    </cfRule>
  </conditionalFormatting>
  <conditionalFormatting sqref="C21:V21">
    <cfRule type="cellIs" dxfId="270" priority="10" operator="equal">
      <formula>0</formula>
    </cfRule>
  </conditionalFormatting>
  <conditionalFormatting sqref="B66:U66">
    <cfRule type="cellIs" dxfId="269" priority="8" operator="equal">
      <formula>"UNDER"</formula>
    </cfRule>
    <cfRule type="cellIs" dxfId="268" priority="9" operator="equal">
      <formula>"OVER"</formula>
    </cfRule>
  </conditionalFormatting>
  <conditionalFormatting sqref="I2">
    <cfRule type="cellIs" dxfId="267" priority="7" operator="greaterThan">
      <formula>5000.1</formula>
    </cfRule>
  </conditionalFormatting>
  <conditionalFormatting sqref="I3">
    <cfRule type="cellIs" dxfId="266" priority="6" operator="greaterThan">
      <formula>4.1</formula>
    </cfRule>
  </conditionalFormatting>
  <conditionalFormatting sqref="J31:J50">
    <cfRule type="cellIs" dxfId="265" priority="5"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abSelected="1" topLeftCell="A20" zoomScale="92" zoomScaleNormal="92" workbookViewId="0">
      <selection activeCell="E30" sqref="E3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8" t="s">
        <v>41</v>
      </c>
      <c r="B1" s="118"/>
      <c r="C1" s="139" t="str">
        <f>Bryngwyn!C1:D1</f>
        <v>PAN-015421</v>
      </c>
      <c r="D1" s="140"/>
      <c r="E1" s="93" t="s">
        <v>45</v>
      </c>
      <c r="F1" s="39" t="str">
        <f>Bryngwyn!F1</f>
        <v>46.9 ha</v>
      </c>
      <c r="G1" s="119" t="s">
        <v>43</v>
      </c>
      <c r="H1" s="120"/>
      <c r="I1" s="96">
        <v>5.9</v>
      </c>
      <c r="J1" s="118" t="s">
        <v>154</v>
      </c>
      <c r="K1" s="118"/>
      <c r="L1" s="97">
        <v>142</v>
      </c>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Bryngwyn!C2:D2</f>
        <v>EPR/GP3792SK</v>
      </c>
      <c r="D2" s="142"/>
      <c r="E2" s="93" t="s">
        <v>109</v>
      </c>
      <c r="F2" s="96" t="s">
        <v>171</v>
      </c>
      <c r="G2" s="137" t="s">
        <v>110</v>
      </c>
      <c r="H2" s="138"/>
      <c r="I2" s="96"/>
      <c r="J2" s="118" t="s">
        <v>159</v>
      </c>
      <c r="K2" s="118"/>
      <c r="L2" s="97">
        <v>0.89800000000000002</v>
      </c>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Bryngwyn!C3:D3</f>
        <v>ByProduct Recovery Limited</v>
      </c>
      <c r="D3" s="142"/>
      <c r="E3" s="93" t="s">
        <v>108</v>
      </c>
      <c r="F3" s="31" t="s">
        <v>78</v>
      </c>
      <c r="G3" s="119" t="s">
        <v>111</v>
      </c>
      <c r="H3" s="120"/>
      <c r="I3" s="96"/>
      <c r="J3" s="119" t="s">
        <v>155</v>
      </c>
      <c r="K3" s="120"/>
      <c r="L3" s="97">
        <f>(L1/(L2*10000))*100</f>
        <v>1.581291759465479</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f>Bryngwyn!C4:D4</f>
        <v>0</v>
      </c>
      <c r="D4" s="140"/>
      <c r="E4" s="94" t="s">
        <v>1</v>
      </c>
      <c r="F4" s="96" t="s">
        <v>176</v>
      </c>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Bryngwyn!C5:D5</f>
        <v>Rhiannon Smith</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Bryngwyn!C8</f>
        <v>Abercynrig 2</v>
      </c>
      <c r="D8" s="60" t="str">
        <f>Bryngwyn!D8</f>
        <v>Abercynrig 10</v>
      </c>
      <c r="E8" s="60">
        <f>Bryngwyn!E8</f>
        <v>1</v>
      </c>
      <c r="F8" s="60">
        <f>Bryngwyn!F8</f>
        <v>2</v>
      </c>
      <c r="G8" s="60">
        <f>Bryngwyn!G8</f>
        <v>10</v>
      </c>
      <c r="H8" s="60">
        <f>Bryngwyn!H8</f>
        <v>11</v>
      </c>
      <c r="I8" s="60">
        <f>Bryngwyn!I8</f>
        <v>16</v>
      </c>
      <c r="J8" s="60">
        <f>Bryngwyn!J8</f>
        <v>0</v>
      </c>
      <c r="K8" s="60">
        <f>Bryngwyn!K8</f>
        <v>0</v>
      </c>
      <c r="L8" s="60">
        <f>Bryngwyn!L8</f>
        <v>0</v>
      </c>
      <c r="M8" s="60">
        <f>Bryngwyn!M8</f>
        <v>0</v>
      </c>
      <c r="N8" s="60">
        <f>Bryngwyn!N8</f>
        <v>0</v>
      </c>
      <c r="O8" s="60">
        <f>Bryngwyn!O8</f>
        <v>0</v>
      </c>
      <c r="P8" s="60">
        <f>Bryngwyn!P8</f>
        <v>0</v>
      </c>
      <c r="Q8" s="60">
        <f>Bryngwyn!Q8</f>
        <v>0</v>
      </c>
      <c r="R8" s="60">
        <f>Bryngwyn!R8</f>
        <v>0</v>
      </c>
      <c r="S8" s="60">
        <f>Bryngwyn!S8</f>
        <v>0</v>
      </c>
      <c r="T8" s="60">
        <f>Bryngwyn!T8</f>
        <v>0</v>
      </c>
      <c r="U8" s="60">
        <f>Bryngwyn!U8</f>
        <v>0</v>
      </c>
      <c r="V8" s="60">
        <f>Bryngwyn!V8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Bryngwyn!C9</f>
        <v>M</v>
      </c>
      <c r="D9" s="60" t="str">
        <f>Bryngwyn!D9</f>
        <v>m</v>
      </c>
      <c r="E9" s="60">
        <f>Bryngwyn!E9</f>
        <v>1</v>
      </c>
      <c r="F9" s="60">
        <f>Bryngwyn!F9</f>
        <v>1</v>
      </c>
      <c r="G9" s="60" t="str">
        <f>Bryngwyn!G9</f>
        <v>M</v>
      </c>
      <c r="H9" s="60" t="str">
        <f>Bryngwyn!H9</f>
        <v>M</v>
      </c>
      <c r="I9" s="60" t="str">
        <f>Bryngwyn!I9</f>
        <v>M</v>
      </c>
      <c r="J9" s="60">
        <f>Bryngwyn!J9</f>
        <v>0</v>
      </c>
      <c r="K9" s="60">
        <f>Bryngwyn!K9</f>
        <v>0</v>
      </c>
      <c r="L9" s="60">
        <f>Bryngwyn!L9</f>
        <v>0</v>
      </c>
      <c r="M9" s="60">
        <f>Bryngwyn!M9</f>
        <v>0</v>
      </c>
      <c r="N9" s="60">
        <f>Bryngwyn!N9</f>
        <v>0</v>
      </c>
      <c r="O9" s="60">
        <f>Bryngwyn!O9</f>
        <v>0</v>
      </c>
      <c r="P9" s="60">
        <f>Bryngwyn!P9</f>
        <v>0</v>
      </c>
      <c r="Q9" s="60">
        <f>Bryngwyn!Q9</f>
        <v>0</v>
      </c>
      <c r="R9" s="60">
        <f>Bryngwyn!R9</f>
        <v>0</v>
      </c>
      <c r="S9" s="60">
        <f>Bryngwyn!S9</f>
        <v>0</v>
      </c>
      <c r="T9" s="60">
        <f>Bryngwyn!T9</f>
        <v>0</v>
      </c>
      <c r="U9" s="60">
        <f>Bryngwyn!U9</f>
        <v>0</v>
      </c>
      <c r="V9" s="60">
        <f>Bryngwyn!V9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Bryngwyn!C10</f>
        <v>6.2</v>
      </c>
      <c r="D10" s="60">
        <f>Bryngwyn!D10</f>
        <v>5.2</v>
      </c>
      <c r="E10" s="60" t="str">
        <f>Bryngwyn!E10</f>
        <v>5..5</v>
      </c>
      <c r="F10" s="60">
        <f>Bryngwyn!F10</f>
        <v>5</v>
      </c>
      <c r="G10" s="60">
        <f>Bryngwyn!G10</f>
        <v>5.5</v>
      </c>
      <c r="H10" s="60">
        <f>Bryngwyn!H10</f>
        <v>5.4</v>
      </c>
      <c r="I10" s="60">
        <f>Bryngwyn!I10</f>
        <v>5.5</v>
      </c>
      <c r="J10" s="60">
        <f>Bryngwyn!J10</f>
        <v>0</v>
      </c>
      <c r="K10" s="60">
        <f>Bryngwyn!K10</f>
        <v>0</v>
      </c>
      <c r="L10" s="60">
        <f>Bryngwyn!L10</f>
        <v>0</v>
      </c>
      <c r="M10" s="60">
        <f>Bryngwyn!M10</f>
        <v>0</v>
      </c>
      <c r="N10" s="60">
        <f>Bryngwyn!N10</f>
        <v>0</v>
      </c>
      <c r="O10" s="60">
        <f>Bryngwyn!O10</f>
        <v>0</v>
      </c>
      <c r="P10" s="60">
        <f>Bryngwyn!P10</f>
        <v>0</v>
      </c>
      <c r="Q10" s="60">
        <f>Bryngwyn!Q10</f>
        <v>0</v>
      </c>
      <c r="R10" s="60">
        <f>Bryngwyn!R10</f>
        <v>0</v>
      </c>
      <c r="S10" s="60">
        <f>Bryngwyn!S10</f>
        <v>0</v>
      </c>
      <c r="T10" s="60">
        <f>Bryngwyn!T10</f>
        <v>0</v>
      </c>
      <c r="U10" s="60">
        <f>Bryngwyn!U10</f>
        <v>0</v>
      </c>
      <c r="V10" s="60">
        <f>Bryngwyn!V10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Bryngwyn!C11</f>
        <v>3</v>
      </c>
      <c r="D11" s="60">
        <f>Bryngwyn!D11</f>
        <v>3</v>
      </c>
      <c r="E11" s="60">
        <f>Bryngwyn!E11</f>
        <v>3</v>
      </c>
      <c r="F11" s="60">
        <f>Bryngwyn!F11</f>
        <v>4</v>
      </c>
      <c r="G11" s="60">
        <f>Bryngwyn!G11</f>
        <v>2</v>
      </c>
      <c r="H11" s="60">
        <f>Bryngwyn!H11</f>
        <v>2</v>
      </c>
      <c r="I11" s="60">
        <f>Bryngwyn!I11</f>
        <v>3</v>
      </c>
      <c r="J11" s="60">
        <f>Bryngwyn!J11</f>
        <v>0</v>
      </c>
      <c r="K11" s="60">
        <f>Bryngwyn!K11</f>
        <v>0</v>
      </c>
      <c r="L11" s="60">
        <f>Bryngwyn!L11</f>
        <v>0</v>
      </c>
      <c r="M11" s="60">
        <f>Bryngwyn!M11</f>
        <v>0</v>
      </c>
      <c r="N11" s="60">
        <f>Bryngwyn!N11</f>
        <v>0</v>
      </c>
      <c r="O11" s="60">
        <f>Bryngwyn!O11</f>
        <v>0</v>
      </c>
      <c r="P11" s="60">
        <f>Bryngwyn!P11</f>
        <v>0</v>
      </c>
      <c r="Q11" s="60">
        <f>Bryngwyn!Q11</f>
        <v>0</v>
      </c>
      <c r="R11" s="60">
        <f>Bryngwyn!R11</f>
        <v>0</v>
      </c>
      <c r="S11" s="60">
        <f>Bryngwyn!S11</f>
        <v>0</v>
      </c>
      <c r="T11" s="60">
        <f>Bryngwyn!T11</f>
        <v>0</v>
      </c>
      <c r="U11" s="60">
        <f>Bryngwyn!U11</f>
        <v>0</v>
      </c>
      <c r="V11" s="60">
        <f>Bryngwyn!V11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Bryngwyn!C12</f>
        <v>2</v>
      </c>
      <c r="D12" s="60">
        <f>Bryngwyn!D12</f>
        <v>1</v>
      </c>
      <c r="E12" s="60">
        <f>Bryngwyn!E12</f>
        <v>2</v>
      </c>
      <c r="F12" s="60">
        <f>Bryngwyn!F12</f>
        <v>1</v>
      </c>
      <c r="G12" s="60">
        <f>Bryngwyn!G12</f>
        <v>1</v>
      </c>
      <c r="H12" s="60">
        <f>Bryngwyn!H12</f>
        <v>1</v>
      </c>
      <c r="I12" s="60">
        <f>Bryngwyn!I12</f>
        <v>1</v>
      </c>
      <c r="J12" s="60">
        <f>Bryngwyn!J12</f>
        <v>0</v>
      </c>
      <c r="K12" s="60">
        <f>Bryngwyn!K12</f>
        <v>0</v>
      </c>
      <c r="L12" s="60">
        <f>Bryngwyn!L12</f>
        <v>0</v>
      </c>
      <c r="M12" s="60">
        <f>Bryngwyn!M12</f>
        <v>0</v>
      </c>
      <c r="N12" s="60">
        <f>Bryngwyn!N12</f>
        <v>0</v>
      </c>
      <c r="O12" s="60">
        <f>Bryngwyn!O12</f>
        <v>0</v>
      </c>
      <c r="P12" s="60">
        <f>Bryngwyn!P12</f>
        <v>0</v>
      </c>
      <c r="Q12" s="60">
        <f>Bryngwyn!Q12</f>
        <v>0</v>
      </c>
      <c r="R12" s="60">
        <f>Bryngwyn!R12</f>
        <v>0</v>
      </c>
      <c r="S12" s="60">
        <f>Bryngwyn!S12</f>
        <v>0</v>
      </c>
      <c r="T12" s="60">
        <f>Bryngwyn!T12</f>
        <v>0</v>
      </c>
      <c r="U12" s="60">
        <f>Bryngwyn!U12</f>
        <v>0</v>
      </c>
      <c r="V12" s="60">
        <f>Bryngwyn!V12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Bryngwyn!C13</f>
        <v>3</v>
      </c>
      <c r="D13" s="60">
        <f>Bryngwyn!D13</f>
        <v>2</v>
      </c>
      <c r="E13" s="60">
        <f>Bryngwyn!E13</f>
        <v>3</v>
      </c>
      <c r="F13" s="60">
        <f>Bryngwyn!F13</f>
        <v>2</v>
      </c>
      <c r="G13" s="60">
        <f>Bryngwyn!G13</f>
        <v>2</v>
      </c>
      <c r="H13" s="60">
        <f>Bryngwyn!H13</f>
        <v>2</v>
      </c>
      <c r="I13" s="60">
        <f>Bryngwyn!I13</f>
        <v>3</v>
      </c>
      <c r="J13" s="60">
        <f>Bryngwyn!J13</f>
        <v>0</v>
      </c>
      <c r="K13" s="60">
        <f>Bryngwyn!K13</f>
        <v>0</v>
      </c>
      <c r="L13" s="60">
        <f>Bryngwyn!L13</f>
        <v>0</v>
      </c>
      <c r="M13" s="60">
        <f>Bryngwyn!M13</f>
        <v>0</v>
      </c>
      <c r="N13" s="60">
        <f>Bryngwyn!N13</f>
        <v>0</v>
      </c>
      <c r="O13" s="60">
        <f>Bryngwyn!O13</f>
        <v>0</v>
      </c>
      <c r="P13" s="60">
        <f>Bryngwyn!P13</f>
        <v>0</v>
      </c>
      <c r="Q13" s="60">
        <f>Bryngwyn!Q13</f>
        <v>0</v>
      </c>
      <c r="R13" s="60">
        <f>Bryngwyn!R13</f>
        <v>0</v>
      </c>
      <c r="S13" s="60">
        <f>Bryngwyn!S13</f>
        <v>0</v>
      </c>
      <c r="T13" s="60">
        <f>Bryngwyn!T13</f>
        <v>0</v>
      </c>
      <c r="U13" s="60">
        <f>Bryngwyn!U13</f>
        <v>0</v>
      </c>
      <c r="V13" s="60">
        <f>Bryngwyn!V13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Bryngwyn!C14</f>
        <v xml:space="preserve">Grass Silage (25% DM) </v>
      </c>
      <c r="D14" s="102" t="str">
        <f>Bryngwyn!D14</f>
        <v xml:space="preserve">Grass Silage (25% DM) </v>
      </c>
      <c r="E14" s="102" t="str">
        <f>Bryngwyn!E14</f>
        <v>Winter barley/triticale/rye</v>
      </c>
      <c r="F14" s="102" t="str">
        <f>Bryngwyn!F14</f>
        <v>Winter barley/triticale/rye</v>
      </c>
      <c r="G14" s="102" t="str">
        <f>Bryngwyn!G14</f>
        <v xml:space="preserve">Grass Silage (25% DM) </v>
      </c>
      <c r="H14" s="102" t="str">
        <f>Bryngwyn!H14</f>
        <v xml:space="preserve">Grass Silage (25% DM) </v>
      </c>
      <c r="I14" s="102" t="str">
        <f>Bryngwyn!I14</f>
        <v xml:space="preserve">Grass Silage (25% DM) </v>
      </c>
      <c r="J14" s="102">
        <f>Bryngwyn!J14</f>
        <v>0</v>
      </c>
      <c r="K14" s="102">
        <f>Bryngwyn!K14</f>
        <v>0</v>
      </c>
      <c r="L14" s="102">
        <f>Bryngwyn!L14</f>
        <v>0</v>
      </c>
      <c r="M14" s="102">
        <f>Bryngwyn!M14</f>
        <v>0</v>
      </c>
      <c r="N14" s="102">
        <f>Bryngwyn!N14</f>
        <v>0</v>
      </c>
      <c r="O14" s="102">
        <f>Bryngwyn!O14</f>
        <v>0</v>
      </c>
      <c r="P14" s="102">
        <f>Bryngwyn!P14</f>
        <v>0</v>
      </c>
      <c r="Q14" s="102">
        <f>Bryngwyn!Q14</f>
        <v>0</v>
      </c>
      <c r="R14" s="102">
        <f>Bryngwyn!R14</f>
        <v>0</v>
      </c>
      <c r="S14" s="102">
        <f>Bryngwyn!S14</f>
        <v>0</v>
      </c>
      <c r="T14" s="102">
        <f>Bryngwyn!T14</f>
        <v>0</v>
      </c>
      <c r="U14" s="102">
        <f>Bryngwyn!U14</f>
        <v>0</v>
      </c>
      <c r="V14" s="102">
        <f>Bryngwyn!V14</f>
        <v>0</v>
      </c>
      <c r="AD14" s="30" t="s">
        <v>139</v>
      </c>
      <c r="AE14" s="30">
        <v>6</v>
      </c>
      <c r="AI14" s="53" t="s">
        <v>120</v>
      </c>
      <c r="AJ14" s="54">
        <v>0.8</v>
      </c>
      <c r="AK14" s="55">
        <v>1.7</v>
      </c>
      <c r="AL14" s="11">
        <v>12</v>
      </c>
      <c r="AM14" s="11">
        <v>6.7</v>
      </c>
      <c r="AN14" s="11" t="s">
        <v>136</v>
      </c>
    </row>
    <row r="15" spans="1:41" ht="13" x14ac:dyDescent="0.25">
      <c r="A15" s="129" t="s">
        <v>9</v>
      </c>
      <c r="B15" s="129"/>
      <c r="C15" s="60">
        <f>Bryngwyn!C15</f>
        <v>38</v>
      </c>
      <c r="D15" s="60">
        <f>Bryngwyn!D15</f>
        <v>38</v>
      </c>
      <c r="E15" s="60">
        <f>Bryngwyn!E15</f>
        <v>6.5</v>
      </c>
      <c r="F15" s="60">
        <f>Bryngwyn!F15</f>
        <v>6.5</v>
      </c>
      <c r="G15" s="60">
        <f>Bryngwyn!G15</f>
        <v>38</v>
      </c>
      <c r="H15" s="60">
        <f>Bryngwyn!H15</f>
        <v>38</v>
      </c>
      <c r="I15" s="60">
        <f>Bryngwyn!I15</f>
        <v>38</v>
      </c>
      <c r="J15" s="60">
        <f>Bryngwyn!J15</f>
        <v>0</v>
      </c>
      <c r="K15" s="60">
        <f>Bryngwyn!K15</f>
        <v>0</v>
      </c>
      <c r="L15" s="60">
        <f>Bryngwyn!L15</f>
        <v>0</v>
      </c>
      <c r="M15" s="60">
        <f>Bryngwyn!M15</f>
        <v>0</v>
      </c>
      <c r="N15" s="60">
        <f>Bryngwyn!N15</f>
        <v>0</v>
      </c>
      <c r="O15" s="60">
        <f>Bryngwyn!O15</f>
        <v>0</v>
      </c>
      <c r="P15" s="60">
        <f>Bryngwyn!P15</f>
        <v>0</v>
      </c>
      <c r="Q15" s="60">
        <f>Bryngwyn!Q15</f>
        <v>0</v>
      </c>
      <c r="R15" s="60">
        <f>Bryngwyn!R15</f>
        <v>0</v>
      </c>
      <c r="S15" s="60">
        <f>Bryngwyn!S15</f>
        <v>0</v>
      </c>
      <c r="T15" s="60">
        <f>Bryngwyn!T15</f>
        <v>0</v>
      </c>
      <c r="U15" s="60">
        <f>Bryngwyn!U15</f>
        <v>0</v>
      </c>
      <c r="V15" s="60">
        <f>Bryngwyn!V15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Bryngwyn!C16</f>
        <v>Medium/Clay</v>
      </c>
      <c r="D16" s="103" t="str">
        <f>Bryngwyn!D16</f>
        <v>Medium/Clay</v>
      </c>
      <c r="E16" s="103" t="str">
        <f>Bryngwyn!E16</f>
        <v>Medium/Clay</v>
      </c>
      <c r="F16" s="103" t="str">
        <f>Bryngwyn!F16</f>
        <v>Medium/Clay</v>
      </c>
      <c r="G16" s="103" t="str">
        <f>Bryngwyn!G16</f>
        <v>Medium/Clay</v>
      </c>
      <c r="H16" s="103" t="str">
        <f>Bryngwyn!H16</f>
        <v>Medium/Clay</v>
      </c>
      <c r="I16" s="103" t="str">
        <f>Bryngwyn!I16</f>
        <v>Medium/Clay</v>
      </c>
      <c r="J16" s="103">
        <f>Bryngwyn!J16</f>
        <v>0</v>
      </c>
      <c r="K16" s="103">
        <f>Bryngwyn!K16</f>
        <v>0</v>
      </c>
      <c r="L16" s="103">
        <f>Bryngwyn!L16</f>
        <v>0</v>
      </c>
      <c r="M16" s="103">
        <f>Bryngwyn!M16</f>
        <v>0</v>
      </c>
      <c r="N16" s="103">
        <f>Bryngwyn!N16</f>
        <v>0</v>
      </c>
      <c r="O16" s="103">
        <f>Bryngwyn!O16</f>
        <v>0</v>
      </c>
      <c r="P16" s="103">
        <f>Bryngwyn!P16</f>
        <v>0</v>
      </c>
      <c r="Q16" s="103">
        <f>Bryngwyn!Q16</f>
        <v>0</v>
      </c>
      <c r="R16" s="103">
        <f>Bryngwyn!R16</f>
        <v>0</v>
      </c>
      <c r="S16" s="103">
        <f>Bryngwyn!S16</f>
        <v>0</v>
      </c>
      <c r="T16" s="103">
        <f>Bryngwyn!T16</f>
        <v>0</v>
      </c>
      <c r="U16" s="103">
        <f>Bryngwyn!U16</f>
        <v>0</v>
      </c>
      <c r="V16" s="103">
        <f>Bryngwyn!V16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64.599999999999994</v>
      </c>
      <c r="D17" s="28">
        <f t="shared" ref="D17:V17" si="0">(VLOOKUP(D$14,$AI2:$AK26,2,FALSE))*D$15</f>
        <v>64.599999999999994</v>
      </c>
      <c r="E17" s="28">
        <f t="shared" si="0"/>
        <v>55.25</v>
      </c>
      <c r="F17" s="28">
        <f t="shared" si="0"/>
        <v>55.25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21.845257749999995</v>
      </c>
      <c r="D18" s="16">
        <f>$D32</f>
        <v>21.845257749999995</v>
      </c>
      <c r="E18" s="16">
        <f>$D33</f>
        <v>21.845257749999995</v>
      </c>
      <c r="F18" s="16">
        <f>$D34</f>
        <v>21.845257749999995</v>
      </c>
      <c r="G18" s="16">
        <f>$D35</f>
        <v>21.845257749999995</v>
      </c>
      <c r="H18" s="16">
        <f>$D36</f>
        <v>21.845257749999995</v>
      </c>
      <c r="I18" s="16">
        <f>$D37</f>
        <v>21.845257749999995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-42.75474225</v>
      </c>
      <c r="D19" s="16">
        <f t="shared" ref="D19:V19" si="1">D18-D17</f>
        <v>-42.75474225</v>
      </c>
      <c r="E19" s="16">
        <f t="shared" si="1"/>
        <v>-33.404742250000005</v>
      </c>
      <c r="F19" s="16">
        <f t="shared" si="1"/>
        <v>-33.404742250000005</v>
      </c>
      <c r="G19" s="16">
        <f t="shared" si="1"/>
        <v>-42.75474225</v>
      </c>
      <c r="H19" s="16">
        <f t="shared" si="1"/>
        <v>-42.75474225</v>
      </c>
      <c r="I19" s="16">
        <f t="shared" si="1"/>
        <v>-42.75474225</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228</v>
      </c>
      <c r="D21" s="28">
        <f t="shared" ref="D21:V21" si="2">(VLOOKUP(D$14,$AI2:$AK26,3,FALSE))*D$15</f>
        <v>228</v>
      </c>
      <c r="E21" s="28">
        <f t="shared" si="2"/>
        <v>68.25</v>
      </c>
      <c r="F21" s="28">
        <f t="shared" si="2"/>
        <v>68.25</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13.601437500000001</v>
      </c>
      <c r="D22" s="16">
        <f>$E32</f>
        <v>13.601437500000001</v>
      </c>
      <c r="E22" s="16">
        <f>$E33</f>
        <v>13.601437500000001</v>
      </c>
      <c r="F22" s="16">
        <f>$E34</f>
        <v>13.601437500000001</v>
      </c>
      <c r="G22" s="16">
        <f>$E35</f>
        <v>13.601437500000001</v>
      </c>
      <c r="H22" s="16">
        <f>$E36</f>
        <v>13.601437500000001</v>
      </c>
      <c r="I22" s="16">
        <f>$E37</f>
        <v>13.601437500000001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-214.3985625</v>
      </c>
      <c r="D23" s="16">
        <f t="shared" ref="D23:V23" si="3">D22-D21</f>
        <v>-214.3985625</v>
      </c>
      <c r="E23" s="16">
        <f t="shared" si="3"/>
        <v>-54.648562499999997</v>
      </c>
      <c r="F23" s="16">
        <f t="shared" si="3"/>
        <v>-54.648562499999997</v>
      </c>
      <c r="G23" s="16">
        <f t="shared" si="3"/>
        <v>-214.3985625</v>
      </c>
      <c r="H23" s="16">
        <f t="shared" si="3"/>
        <v>-214.3985625</v>
      </c>
      <c r="I23" s="16">
        <f t="shared" si="3"/>
        <v>-214.3985625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4.3</v>
      </c>
      <c r="C28" s="15">
        <v>0.89800000000000002</v>
      </c>
      <c r="D28" s="15">
        <v>8.8700000000000001E-2</v>
      </c>
      <c r="E28" s="15">
        <v>0.105</v>
      </c>
      <c r="F28" s="15">
        <v>2500</v>
      </c>
      <c r="G28" s="15">
        <v>23.8</v>
      </c>
      <c r="H28" s="15">
        <v>160</v>
      </c>
      <c r="I28" s="15">
        <v>44.7</v>
      </c>
      <c r="J28" s="15">
        <v>0.28000000000000003</v>
      </c>
      <c r="K28" s="23">
        <v>0.47</v>
      </c>
      <c r="L28" s="15">
        <v>7.7</v>
      </c>
      <c r="M28" s="15">
        <v>8.34</v>
      </c>
      <c r="N28" s="15">
        <v>3370</v>
      </c>
      <c r="O28" s="15">
        <v>280000</v>
      </c>
      <c r="P28" s="15"/>
      <c r="Q28" s="15">
        <v>5560</v>
      </c>
      <c r="R28" s="15"/>
      <c r="S28" s="15">
        <v>49.9</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Abercynrig 2</v>
      </c>
      <c r="B31" s="15">
        <v>250</v>
      </c>
      <c r="C31" s="77">
        <f>IF(C$27="%w/w SAR",((C$28*10)*$B31),IF(C$27="%w/w DM",(((C$28*10)*($B$28/100))*$B31),IF(C$27="kg/t SAR",(C$28*$B31),IF(C$27="kg/t DM",((C$28*($B$28/100))*$B31),IF(C$27="mg/kg SAR",((C$28*0.001)*$B31),IF(C$27="mg/kg DM",(((C$28*0.001)*($B$28/100))*$B31),0))))))</f>
        <v>96.534999999999997</v>
      </c>
      <c r="D31" s="77">
        <f>(IF(D$27="%w/w SAR",((D$28*10)*$B31),IF(D$27="%w/w DM",(((D$28*10)*($B$28/100))*$B31),IF(D$27="kg/t SAR",(D$28*$B31),IF(D$27="kg/t DM",((D$28*($B$28/100))*$B31),IF(D$27="mg/kg SAR",((D$28*0.001)*$B31),IF(D$27="mg/kg DM",(((D$28*0.001)*($B$28/100))*$B31),"0")))))))*2.291</f>
        <v>21.845257749999995</v>
      </c>
      <c r="E31" s="77">
        <f>(IF(E$27="%w/w SAR",((E$28*10)*$B31),IF(E$27="%w/w DM",(((E$28*10)*($B$28/100))*$B31),IF(E$27="kg/t SAR",(E$28*$B31),IF(E$27="kg/t DM",((E$28*($B$28/100))*$B31),IF(E$27="mg/kg SAR",((E$28*0.001)*$B31),IF(E$27="mg/kg DM",(((E$28*0.001)*($B$28/100))*$B31),"0")))))))*1.205</f>
        <v>13.601437500000001</v>
      </c>
      <c r="F31" s="77">
        <f>(IF(F$27="%w/w SAR",((F$28*10)*$B31),IF(F$27="%w/w DM",(((F$28*10)*($B$28/100))*$B31),IF(F$27="kg/t SAR",(F$28*$B31),IF(F$27="kg/t DM",((F$28*($B$28/100))*$B31),IF(F$27="mg/kg SAR",((F$28*0.001)*$B31),IF(F$27="mg/kg DM",(((F$28*0.001)*($B$28/100))*$B31),"0")))))))*1.658</f>
        <v>44.558749999999989</v>
      </c>
      <c r="G31" s="77">
        <f t="shared" ref="G31:P46" si="5">IF(G$27="%w/w SAR",((G$28*10)*$B31),IF(G$27="%w/w DM",(((G$28*10)*($B$28/100))*$B31),IF(G$27="kg/t SAR",(G$28*$B31),IF(G$27="kg/t DM",((G$28*($B$28/100))*$B31),IF(G$27="mg/kg SAR",((G$28*0.001)*$B31),IF(G$27="mg/kg DM",(((G$28*0.001)*($B$28/100))*$B31),0))))))</f>
        <v>0.25585000000000002</v>
      </c>
      <c r="H31" s="77">
        <f t="shared" si="5"/>
        <v>1.72</v>
      </c>
      <c r="I31" s="77">
        <f t="shared" si="5"/>
        <v>0.48052499999999998</v>
      </c>
      <c r="J31" s="77">
        <f t="shared" si="5"/>
        <v>3.0100000000000001E-3</v>
      </c>
      <c r="K31" s="77">
        <f t="shared" si="5"/>
        <v>5.0524999999999997E-3</v>
      </c>
      <c r="L31" s="77">
        <f t="shared" si="5"/>
        <v>8.2774999999999987E-2</v>
      </c>
      <c r="M31" s="77">
        <f t="shared" si="5"/>
        <v>8.9654999999999999E-2</v>
      </c>
      <c r="N31" s="77">
        <f t="shared" si="5"/>
        <v>36.227499999999999</v>
      </c>
      <c r="O31" s="77">
        <f t="shared" si="5"/>
        <v>3010</v>
      </c>
      <c r="P31" s="77">
        <f t="shared" si="5"/>
        <v>0</v>
      </c>
      <c r="Q31" s="77">
        <f>(IF(Q$27="%w/w SAR",((Q$28*10)*$B31),IF(Q$27="%w/w DM",(((Q$28*10)*($B$28/100))*$B31),IF(Q$27="kg/t SAR",(Q$28*$B31),IF(Q$27="kg/t DM",((Q$28*($B$28/100))*$B31),IF(Q$27="mg/kg SAR",((Q$28*0.001)*$B31),IF(Q$27="mg/kg DM",(((Q$28*0.001)*($B$28/100))*$B31),0)))))))*2.5</f>
        <v>149.42500000000001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0.53642500000000004</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Abercynrig 10</v>
      </c>
      <c r="B32" s="15">
        <v>250</v>
      </c>
      <c r="C32" s="77">
        <f t="shared" ref="C32:C50" si="6">IF(C$27="%w/w SAR",((C$28*10)*$B32),IF(C$27="%w/w DM",(((C$28*10)*($B$28/100))*$B32),IF(C$27="kg/t SAR",(C$28*$B32),IF(C$27="kg/t DM",((C$28*($B$28/100))*$B32),IF(C$27="mg/kg SAR",((C$28*0.001)*$B32),IF(C$27="mg/kg DM",(((C$28*0.001)*($B$28/100))*$B32),0))))))</f>
        <v>96.534999999999997</v>
      </c>
      <c r="D32" s="77">
        <f t="shared" ref="D32:D50" si="7">(IF(D$27="%w/w SAR",((D$28*10)*$B32),IF(D$27="%w/w DM",(((D$28*10)*($B$28/100))*$B32),IF(D$27="kg/t SAR",(D$28*$B32),IF(D$27="kg/t DM",((D$28*($B$28/100))*$B32),IF(D$27="mg/kg SAR",((D$28*0.001)*$B32),IF(D$27="mg/kg DM",(((D$28*0.001)*($B$28/100))*$B32),"0")))))))*2.291</f>
        <v>21.845257749999995</v>
      </c>
      <c r="E32" s="77">
        <f t="shared" ref="E32:E50" si="8">(IF(E$27="%w/w SAR",((E$28*10)*$B32),IF(E$27="%w/w DM",(((E$28*10)*($B$28/100))*$B32),IF(E$27="kg/t SAR",(E$28*$B32),IF(E$27="kg/t DM",((E$28*($B$28/100))*$B32),IF(E$27="mg/kg SAR",((E$28*0.001)*$B32),IF(E$27="mg/kg DM",(((E$28*0.001)*($B$28/100))*$B32),"0")))))))*1.205</f>
        <v>13.601437500000001</v>
      </c>
      <c r="F32" s="77">
        <f t="shared" ref="F32:F50" si="9">(IF(F$27="%w/w SAR",((F$28*10)*$B32),IF(F$27="%w/w DM",(((F$28*10)*($B$28/100))*$B32),IF(F$27="kg/t SAR",(F$28*$B32),IF(F$27="kg/t DM",((F$28*($B$28/100))*$B32),IF(F$27="mg/kg SAR",((F$28*0.001)*$B32),IF(F$27="mg/kg DM",(((F$28*0.001)*($B$28/100))*$B32),"0")))))))*1.658</f>
        <v>44.558749999999989</v>
      </c>
      <c r="G32" s="77">
        <f t="shared" si="5"/>
        <v>0.25585000000000002</v>
      </c>
      <c r="H32" s="77">
        <f t="shared" si="5"/>
        <v>1.72</v>
      </c>
      <c r="I32" s="77">
        <f t="shared" si="5"/>
        <v>0.48052499999999998</v>
      </c>
      <c r="J32" s="77">
        <f t="shared" si="5"/>
        <v>3.0100000000000001E-3</v>
      </c>
      <c r="K32" s="77">
        <f t="shared" si="5"/>
        <v>5.0524999999999997E-3</v>
      </c>
      <c r="L32" s="77">
        <f t="shared" si="5"/>
        <v>8.2774999999999987E-2</v>
      </c>
      <c r="M32" s="77">
        <f t="shared" si="5"/>
        <v>8.9654999999999999E-2</v>
      </c>
      <c r="N32" s="77">
        <f t="shared" si="5"/>
        <v>36.227499999999999</v>
      </c>
      <c r="O32" s="77">
        <f t="shared" si="5"/>
        <v>3010</v>
      </c>
      <c r="P32" s="77">
        <f t="shared" si="5"/>
        <v>0</v>
      </c>
      <c r="Q32" s="77">
        <f t="shared" ref="Q32:Q50" si="10">(IF(Q$27="%w/w SAR",((Q$28*10)*$B32),IF(Q$27="%w/w DM",(((Q$28*10)*($B$28/100))*$B32),IF(Q$27="kg/t SAR",(Q$28*$B32),IF(Q$27="kg/t DM",((Q$28*($B$28/100))*$B32),IF(Q$27="mg/kg SAR",((Q$28*0.001)*$B32),IF(Q$27="mg/kg DM",(((Q$28*0.001)*($B$28/100))*$B32),0)))))))*2.5</f>
        <v>149.42500000000001</v>
      </c>
      <c r="R32" s="77">
        <f t="shared" ref="R32:U50" si="11">IF(R$27="%w/w SAR",((R$28*10)*$B32),IF(R$27="%w/w DM",(((R$28*10)*($B$28/100))*$B32),IF(R$27="kg/t SAR",(R$28*$B32),IF(R$27="kg/t DM",((R$28*($B$28/100))*$B32),IF(R$27="mg/kg SAR",((R$28*0.001)*$B32),IF(R$27="mg/kg DM",(((R$28*0.001)*($B$28/100))*$B32),0))))))</f>
        <v>0</v>
      </c>
      <c r="S32" s="77">
        <f t="shared" si="11"/>
        <v>0.53642500000000004</v>
      </c>
      <c r="T32" s="77">
        <f t="shared" si="11"/>
        <v>0</v>
      </c>
      <c r="U32" s="77">
        <f t="shared" si="11"/>
        <v>0</v>
      </c>
      <c r="AB32" s="59"/>
      <c r="AC32" s="59"/>
      <c r="AD32" s="59"/>
      <c r="AE32" s="59"/>
      <c r="AF32" s="59"/>
      <c r="AG32" s="59"/>
      <c r="AH32" s="59"/>
      <c r="AI32" s="59"/>
    </row>
    <row r="33" spans="1:35" s="72" customFormat="1" ht="13" x14ac:dyDescent="0.35">
      <c r="A33" s="13">
        <f>E8</f>
        <v>1</v>
      </c>
      <c r="B33" s="15">
        <v>250</v>
      </c>
      <c r="C33" s="77">
        <f t="shared" si="6"/>
        <v>96.534999999999997</v>
      </c>
      <c r="D33" s="77">
        <f t="shared" si="7"/>
        <v>21.845257749999995</v>
      </c>
      <c r="E33" s="77">
        <f t="shared" si="8"/>
        <v>13.601437500000001</v>
      </c>
      <c r="F33" s="77">
        <f t="shared" si="9"/>
        <v>44.558749999999989</v>
      </c>
      <c r="G33" s="77">
        <f t="shared" si="5"/>
        <v>0.25585000000000002</v>
      </c>
      <c r="H33" s="77">
        <f t="shared" si="5"/>
        <v>1.72</v>
      </c>
      <c r="I33" s="77">
        <f t="shared" si="5"/>
        <v>0.48052499999999998</v>
      </c>
      <c r="J33" s="77">
        <f t="shared" si="5"/>
        <v>3.0100000000000001E-3</v>
      </c>
      <c r="K33" s="77">
        <f t="shared" si="5"/>
        <v>5.0524999999999997E-3</v>
      </c>
      <c r="L33" s="77">
        <f t="shared" si="5"/>
        <v>8.2774999999999987E-2</v>
      </c>
      <c r="M33" s="77">
        <f t="shared" si="5"/>
        <v>8.9654999999999999E-2</v>
      </c>
      <c r="N33" s="77">
        <f t="shared" si="5"/>
        <v>36.227499999999999</v>
      </c>
      <c r="O33" s="77">
        <f t="shared" si="5"/>
        <v>3010</v>
      </c>
      <c r="P33" s="77">
        <f t="shared" si="5"/>
        <v>0</v>
      </c>
      <c r="Q33" s="77">
        <f t="shared" si="10"/>
        <v>149.42500000000001</v>
      </c>
      <c r="R33" s="77">
        <f t="shared" si="11"/>
        <v>0</v>
      </c>
      <c r="S33" s="77">
        <f t="shared" si="11"/>
        <v>0.53642500000000004</v>
      </c>
      <c r="T33" s="77">
        <f t="shared" si="11"/>
        <v>0</v>
      </c>
      <c r="U33" s="77">
        <f t="shared" si="11"/>
        <v>0</v>
      </c>
      <c r="AB33" s="59"/>
      <c r="AC33" s="59"/>
      <c r="AD33" s="59"/>
      <c r="AE33" s="59"/>
      <c r="AF33" s="59"/>
      <c r="AG33" s="59"/>
      <c r="AH33" s="59"/>
      <c r="AI33" s="59"/>
    </row>
    <row r="34" spans="1:35" s="72" customFormat="1" ht="13" x14ac:dyDescent="0.35">
      <c r="A34" s="13">
        <f>F8</f>
        <v>2</v>
      </c>
      <c r="B34" s="15">
        <v>250</v>
      </c>
      <c r="C34" s="77">
        <f t="shared" si="6"/>
        <v>96.534999999999997</v>
      </c>
      <c r="D34" s="77">
        <f t="shared" si="7"/>
        <v>21.845257749999995</v>
      </c>
      <c r="E34" s="77">
        <f t="shared" si="8"/>
        <v>13.601437500000001</v>
      </c>
      <c r="F34" s="77">
        <f t="shared" si="9"/>
        <v>44.558749999999989</v>
      </c>
      <c r="G34" s="77">
        <f t="shared" si="5"/>
        <v>0.25585000000000002</v>
      </c>
      <c r="H34" s="77">
        <f t="shared" si="5"/>
        <v>1.72</v>
      </c>
      <c r="I34" s="77">
        <f t="shared" si="5"/>
        <v>0.48052499999999998</v>
      </c>
      <c r="J34" s="77">
        <f t="shared" si="5"/>
        <v>3.0100000000000001E-3</v>
      </c>
      <c r="K34" s="77">
        <f t="shared" si="5"/>
        <v>5.0524999999999997E-3</v>
      </c>
      <c r="L34" s="77">
        <f t="shared" si="5"/>
        <v>8.2774999999999987E-2</v>
      </c>
      <c r="M34" s="77">
        <f t="shared" si="5"/>
        <v>8.9654999999999999E-2</v>
      </c>
      <c r="N34" s="77">
        <f t="shared" si="5"/>
        <v>36.227499999999999</v>
      </c>
      <c r="O34" s="77">
        <f t="shared" si="5"/>
        <v>3010</v>
      </c>
      <c r="P34" s="77">
        <f t="shared" si="5"/>
        <v>0</v>
      </c>
      <c r="Q34" s="77">
        <f t="shared" si="10"/>
        <v>149.42500000000001</v>
      </c>
      <c r="R34" s="77">
        <f t="shared" si="11"/>
        <v>0</v>
      </c>
      <c r="S34" s="77">
        <f t="shared" si="11"/>
        <v>0.53642500000000004</v>
      </c>
      <c r="T34" s="77">
        <f t="shared" si="11"/>
        <v>0</v>
      </c>
      <c r="U34" s="77">
        <f t="shared" si="11"/>
        <v>0</v>
      </c>
      <c r="AB34" s="59"/>
      <c r="AC34" s="59"/>
      <c r="AD34" s="59"/>
      <c r="AE34" s="59"/>
      <c r="AF34" s="59"/>
      <c r="AG34" s="59"/>
      <c r="AH34" s="59"/>
      <c r="AI34" s="59"/>
    </row>
    <row r="35" spans="1:35" s="72" customFormat="1" ht="13" x14ac:dyDescent="0.35">
      <c r="A35" s="13">
        <f>G8</f>
        <v>10</v>
      </c>
      <c r="B35" s="15">
        <v>250</v>
      </c>
      <c r="C35" s="77">
        <f t="shared" si="6"/>
        <v>96.534999999999997</v>
      </c>
      <c r="D35" s="77">
        <f t="shared" si="7"/>
        <v>21.845257749999995</v>
      </c>
      <c r="E35" s="77">
        <f t="shared" si="8"/>
        <v>13.601437500000001</v>
      </c>
      <c r="F35" s="77">
        <f t="shared" si="9"/>
        <v>44.558749999999989</v>
      </c>
      <c r="G35" s="77">
        <f t="shared" si="5"/>
        <v>0.25585000000000002</v>
      </c>
      <c r="H35" s="77">
        <f t="shared" si="5"/>
        <v>1.72</v>
      </c>
      <c r="I35" s="77">
        <f t="shared" si="5"/>
        <v>0.48052499999999998</v>
      </c>
      <c r="J35" s="77">
        <f t="shared" si="5"/>
        <v>3.0100000000000001E-3</v>
      </c>
      <c r="K35" s="77">
        <f t="shared" si="5"/>
        <v>5.0524999999999997E-3</v>
      </c>
      <c r="L35" s="77">
        <f t="shared" si="5"/>
        <v>8.2774999999999987E-2</v>
      </c>
      <c r="M35" s="77">
        <f t="shared" si="5"/>
        <v>8.9654999999999999E-2</v>
      </c>
      <c r="N35" s="77">
        <f t="shared" si="5"/>
        <v>36.227499999999999</v>
      </c>
      <c r="O35" s="77">
        <f t="shared" si="5"/>
        <v>3010</v>
      </c>
      <c r="P35" s="77">
        <f t="shared" si="5"/>
        <v>0</v>
      </c>
      <c r="Q35" s="77">
        <f t="shared" si="10"/>
        <v>149.42500000000001</v>
      </c>
      <c r="R35" s="77">
        <f t="shared" si="11"/>
        <v>0</v>
      </c>
      <c r="S35" s="77">
        <f t="shared" si="11"/>
        <v>0.53642500000000004</v>
      </c>
      <c r="T35" s="77">
        <f t="shared" si="11"/>
        <v>0</v>
      </c>
      <c r="U35" s="77">
        <f t="shared" si="11"/>
        <v>0</v>
      </c>
      <c r="AB35" s="59"/>
      <c r="AC35" s="59"/>
      <c r="AD35" s="59"/>
      <c r="AE35" s="59"/>
      <c r="AF35" s="59"/>
      <c r="AG35" s="59"/>
      <c r="AH35" s="59"/>
      <c r="AI35" s="59"/>
    </row>
    <row r="36" spans="1:35" s="72" customFormat="1" ht="13" x14ac:dyDescent="0.35">
      <c r="A36" s="13">
        <f>H8</f>
        <v>11</v>
      </c>
      <c r="B36" s="15">
        <v>250</v>
      </c>
      <c r="C36" s="77">
        <f t="shared" si="6"/>
        <v>96.534999999999997</v>
      </c>
      <c r="D36" s="77">
        <f t="shared" si="7"/>
        <v>21.845257749999995</v>
      </c>
      <c r="E36" s="77">
        <f t="shared" si="8"/>
        <v>13.601437500000001</v>
      </c>
      <c r="F36" s="77">
        <f t="shared" si="9"/>
        <v>44.558749999999989</v>
      </c>
      <c r="G36" s="77">
        <f t="shared" si="5"/>
        <v>0.25585000000000002</v>
      </c>
      <c r="H36" s="77">
        <f t="shared" si="5"/>
        <v>1.72</v>
      </c>
      <c r="I36" s="77">
        <f t="shared" si="5"/>
        <v>0.48052499999999998</v>
      </c>
      <c r="J36" s="77">
        <f t="shared" si="5"/>
        <v>3.0100000000000001E-3</v>
      </c>
      <c r="K36" s="77">
        <f t="shared" si="5"/>
        <v>5.0524999999999997E-3</v>
      </c>
      <c r="L36" s="77">
        <f t="shared" si="5"/>
        <v>8.2774999999999987E-2</v>
      </c>
      <c r="M36" s="77">
        <f t="shared" si="5"/>
        <v>8.9654999999999999E-2</v>
      </c>
      <c r="N36" s="77">
        <f t="shared" si="5"/>
        <v>36.227499999999999</v>
      </c>
      <c r="O36" s="77">
        <f t="shared" si="5"/>
        <v>3010</v>
      </c>
      <c r="P36" s="77">
        <f t="shared" si="5"/>
        <v>0</v>
      </c>
      <c r="Q36" s="77">
        <f t="shared" si="10"/>
        <v>149.42500000000001</v>
      </c>
      <c r="R36" s="77">
        <f t="shared" si="11"/>
        <v>0</v>
      </c>
      <c r="S36" s="77">
        <f t="shared" si="11"/>
        <v>0.53642500000000004</v>
      </c>
      <c r="T36" s="77">
        <f t="shared" si="11"/>
        <v>0</v>
      </c>
      <c r="U36" s="77">
        <f t="shared" si="11"/>
        <v>0</v>
      </c>
      <c r="AB36" s="59"/>
      <c r="AC36" s="59"/>
      <c r="AD36" s="59"/>
      <c r="AE36" s="59"/>
      <c r="AF36" s="59"/>
      <c r="AG36" s="59"/>
      <c r="AH36" s="59"/>
      <c r="AI36" s="59"/>
    </row>
    <row r="37" spans="1:35" s="72" customFormat="1" ht="13" x14ac:dyDescent="0.35">
      <c r="A37" s="13">
        <f>I8</f>
        <v>16</v>
      </c>
      <c r="B37" s="15">
        <v>250</v>
      </c>
      <c r="C37" s="77">
        <f t="shared" si="6"/>
        <v>96.534999999999997</v>
      </c>
      <c r="D37" s="77">
        <f t="shared" si="7"/>
        <v>21.845257749999995</v>
      </c>
      <c r="E37" s="77">
        <f t="shared" si="8"/>
        <v>13.601437500000001</v>
      </c>
      <c r="F37" s="77">
        <f t="shared" si="9"/>
        <v>44.558749999999989</v>
      </c>
      <c r="G37" s="77">
        <f t="shared" si="5"/>
        <v>0.25585000000000002</v>
      </c>
      <c r="H37" s="77">
        <f t="shared" si="5"/>
        <v>1.72</v>
      </c>
      <c r="I37" s="77">
        <f t="shared" si="5"/>
        <v>0.48052499999999998</v>
      </c>
      <c r="J37" s="77">
        <f t="shared" si="5"/>
        <v>3.0100000000000001E-3</v>
      </c>
      <c r="K37" s="77">
        <f t="shared" si="5"/>
        <v>5.0524999999999997E-3</v>
      </c>
      <c r="L37" s="77">
        <f t="shared" si="5"/>
        <v>8.2774999999999987E-2</v>
      </c>
      <c r="M37" s="77">
        <f t="shared" si="5"/>
        <v>8.9654999999999999E-2</v>
      </c>
      <c r="N37" s="77">
        <f t="shared" si="5"/>
        <v>36.227499999999999</v>
      </c>
      <c r="O37" s="77">
        <f t="shared" si="5"/>
        <v>3010</v>
      </c>
      <c r="P37" s="77">
        <f t="shared" si="5"/>
        <v>0</v>
      </c>
      <c r="Q37" s="77">
        <f t="shared" si="10"/>
        <v>149.42500000000001</v>
      </c>
      <c r="R37" s="77">
        <f t="shared" si="11"/>
        <v>0</v>
      </c>
      <c r="S37" s="77">
        <f t="shared" si="11"/>
        <v>0.53642500000000004</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"&amp;(VLOOKUP(C14,Table24581114[],6,FALSE))</f>
        <v>Medium/Clay I Grass</v>
      </c>
      <c r="C58" s="13" t="str">
        <f>D16&amp;" I "&amp;(VLOOKUP(D14,Table24581114[],6,FALSE))</f>
        <v>Medium/Clay I Grass</v>
      </c>
      <c r="D58" s="13" t="str">
        <f>E16&amp;" I "&amp;(VLOOKUP(E14,Table24581114[],6,FALSE))</f>
        <v>Medium/Clay I Arable</v>
      </c>
      <c r="E58" s="13" t="str">
        <f>F16&amp;" I "&amp;(VLOOKUP(F14,Table24581114[],6,FALSE))</f>
        <v>Medium/Clay I Arable</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133</v>
      </c>
      <c r="B59" s="76">
        <f>VLOOKUP(C$14,Table24581114[],5,FALSE)</f>
        <v>6.2</v>
      </c>
      <c r="C59" s="76">
        <f>VLOOKUP(D$14,Table24581114[],5,FALSE)</f>
        <v>6.2</v>
      </c>
      <c r="D59" s="76">
        <f>VLOOKUP(E$14,Table24581114[],5,FALSE)</f>
        <v>6.7</v>
      </c>
      <c r="E59" s="76">
        <f>VLOOKUP(F$14,Table24581114[],5,FALSE)</f>
        <v>6.7</v>
      </c>
      <c r="F59" s="76">
        <f>VLOOKUP(G$14,Table24581114[],5,FALSE)</f>
        <v>6.2</v>
      </c>
      <c r="G59" s="76">
        <f>VLOOKUP(H$14,Table24581114[],5,FALSE)</f>
        <v>6.2</v>
      </c>
      <c r="H59" s="76">
        <f>VLOOKUP(I$14,Table24581114[],5,FALSE)</f>
        <v>6.2</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6.2</v>
      </c>
      <c r="C60" s="76">
        <f t="shared" ref="C60:U60" si="14">D10</f>
        <v>5.2</v>
      </c>
      <c r="D60" s="76" t="str">
        <f t="shared" si="14"/>
        <v>5..5</v>
      </c>
      <c r="E60" s="76">
        <f t="shared" si="14"/>
        <v>5</v>
      </c>
      <c r="F60" s="76">
        <f t="shared" si="14"/>
        <v>5.5</v>
      </c>
      <c r="G60" s="76">
        <f t="shared" si="14"/>
        <v>5.4</v>
      </c>
      <c r="H60" s="76">
        <f t="shared" si="14"/>
        <v>5.5</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v>
      </c>
      <c r="C64" s="77">
        <f t="shared" ref="C64:U64" si="17">(C59-C60)*C61</f>
        <v>6</v>
      </c>
      <c r="D64" s="77" t="e">
        <f t="shared" si="17"/>
        <v>#VALUE!</v>
      </c>
      <c r="E64" s="77">
        <f t="shared" si="17"/>
        <v>13.600000000000001</v>
      </c>
      <c r="F64" s="77">
        <f t="shared" si="17"/>
        <v>4.2000000000000011</v>
      </c>
      <c r="G64" s="77">
        <f t="shared" si="17"/>
        <v>4.7999999999999989</v>
      </c>
      <c r="H64" s="77">
        <f t="shared" si="17"/>
        <v>4.2000000000000011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v>
      </c>
      <c r="C65" s="77">
        <f t="shared" ref="C65:U65" si="18">C63-C64</f>
        <v>-6</v>
      </c>
      <c r="D65" s="77" t="e">
        <f t="shared" si="18"/>
        <v>#VALUE!</v>
      </c>
      <c r="E65" s="77">
        <f t="shared" si="18"/>
        <v>-13.600000000000001</v>
      </c>
      <c r="F65" s="77">
        <f t="shared" si="18"/>
        <v>-4.2000000000000011</v>
      </c>
      <c r="G65" s="77">
        <f t="shared" si="18"/>
        <v>-4.7999999999999989</v>
      </c>
      <c r="H65" s="77">
        <f t="shared" si="18"/>
        <v>-4.2000000000000011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UNDER</v>
      </c>
      <c r="D66" s="78" t="e">
        <f t="shared" si="19"/>
        <v>#VALUE!</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JuBHWJzdQwnBrLFsmmsqUImJlnfuCNcAqJI3bXG7O0ZOItlGf6Ju+plnTWPjxSRLers+OuqTLOPxaOjbfhOd2Q==" saltValue="MtKXnPhZnoQ9eO3Zns+Gj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4" operator="equal">
      <formula>"DECREASE"</formula>
    </cfRule>
    <cfRule type="cellIs" dxfId="250" priority="35" operator="equal">
      <formula>"INCREASE"</formula>
    </cfRule>
  </conditionalFormatting>
  <conditionalFormatting sqref="B31:B50 B62:U66">
    <cfRule type="cellIs" dxfId="249" priority="33" operator="greaterThan">
      <formula>$B$51</formula>
    </cfRule>
  </conditionalFormatting>
  <conditionalFormatting sqref="C31:C50">
    <cfRule type="cellIs" dxfId="248" priority="32" operator="greaterThan">
      <formula>$C$51</formula>
    </cfRule>
  </conditionalFormatting>
  <conditionalFormatting sqref="C18:V18">
    <cfRule type="cellIs" dxfId="247" priority="31" operator="equal">
      <formula>0</formula>
    </cfRule>
  </conditionalFormatting>
  <conditionalFormatting sqref="C17:V17">
    <cfRule type="cellIs" dxfId="246" priority="30" operator="equal">
      <formula>0</formula>
    </cfRule>
  </conditionalFormatting>
  <conditionalFormatting sqref="C19:V19">
    <cfRule type="cellIs" dxfId="245" priority="29" operator="equal">
      <formula>0</formula>
    </cfRule>
  </conditionalFormatting>
  <conditionalFormatting sqref="G31:G50">
    <cfRule type="cellIs" dxfId="244" priority="28" operator="greaterThan">
      <formula>$G$51</formula>
    </cfRule>
  </conditionalFormatting>
  <conditionalFormatting sqref="H31:H50">
    <cfRule type="cellIs" dxfId="243" priority="27" operator="greaterThan">
      <formula>$H$51</formula>
    </cfRule>
  </conditionalFormatting>
  <conditionalFormatting sqref="I31:I50">
    <cfRule type="cellIs" dxfId="242" priority="26" operator="greaterThan">
      <formula>$I$51</formula>
    </cfRule>
  </conditionalFormatting>
  <conditionalFormatting sqref="K31:K50">
    <cfRule type="cellIs" dxfId="241" priority="25" operator="greaterThan">
      <formula>$K$51</formula>
    </cfRule>
  </conditionalFormatting>
  <conditionalFormatting sqref="L31:L50">
    <cfRule type="cellIs" dxfId="240" priority="24" operator="greaterThan">
      <formula>$L$51</formula>
    </cfRule>
  </conditionalFormatting>
  <conditionalFormatting sqref="M31:M50">
    <cfRule type="cellIs" dxfId="239" priority="23" operator="greaterThan">
      <formula>$M$51</formula>
    </cfRule>
  </conditionalFormatting>
  <conditionalFormatting sqref="P31:P50">
    <cfRule type="cellIs" dxfId="238" priority="22" operator="greaterThan">
      <formula>$P$51</formula>
    </cfRule>
  </conditionalFormatting>
  <conditionalFormatting sqref="R31:R50">
    <cfRule type="cellIs" dxfId="237" priority="21" operator="greaterThan">
      <formula>$R$51</formula>
    </cfRule>
  </conditionalFormatting>
  <conditionalFormatting sqref="S31:S50">
    <cfRule type="cellIs" dxfId="236" priority="20" operator="greaterThan">
      <formula>$S$51</formula>
    </cfRule>
  </conditionalFormatting>
  <conditionalFormatting sqref="T31:T50">
    <cfRule type="cellIs" dxfId="235" priority="19" operator="greaterThan">
      <formula>$T$51</formula>
    </cfRule>
  </conditionalFormatting>
  <conditionalFormatting sqref="U31:U50">
    <cfRule type="cellIs" dxfId="234" priority="18" operator="greaterThan">
      <formula>$U$51</formula>
    </cfRule>
  </conditionalFormatting>
  <conditionalFormatting sqref="C22:V22">
    <cfRule type="cellIs" dxfId="233" priority="17" operator="equal">
      <formula>0</formula>
    </cfRule>
  </conditionalFormatting>
  <conditionalFormatting sqref="C24:V24">
    <cfRule type="cellIs" dxfId="232" priority="15" operator="equal">
      <formula>"DECREASE"</formula>
    </cfRule>
    <cfRule type="cellIs" dxfId="231" priority="16" operator="equal">
      <formula>"INCREASE"</formula>
    </cfRule>
  </conditionalFormatting>
  <conditionalFormatting sqref="C23:V23">
    <cfRule type="cellIs" dxfId="230" priority="14" operator="equal">
      <formula>0</formula>
    </cfRule>
  </conditionalFormatting>
  <conditionalFormatting sqref="I1">
    <cfRule type="cellIs" dxfId="229" priority="13" operator="lessThan">
      <formula>5</formula>
    </cfRule>
  </conditionalFormatting>
  <conditionalFormatting sqref="C21:V21">
    <cfRule type="cellIs" dxfId="228" priority="10" operator="equal">
      <formula>0</formula>
    </cfRule>
  </conditionalFormatting>
  <conditionalFormatting sqref="B66:U66">
    <cfRule type="cellIs" dxfId="227" priority="8" operator="equal">
      <formula>"UNDER"</formula>
    </cfRule>
    <cfRule type="cellIs" dxfId="226" priority="9" operator="equal">
      <formula>"OVER"</formula>
    </cfRule>
  </conditionalFormatting>
  <conditionalFormatting sqref="I2">
    <cfRule type="cellIs" dxfId="225" priority="7" operator="greaterThan">
      <formula>5000.1</formula>
    </cfRule>
  </conditionalFormatting>
  <conditionalFormatting sqref="I3">
    <cfRule type="cellIs" dxfId="224" priority="6" operator="greaterThan">
      <formula>4.1</formula>
    </cfRule>
  </conditionalFormatting>
  <conditionalFormatting sqref="J31:J50">
    <cfRule type="cellIs" dxfId="223" priority="5"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Bryngwyn!C1:D1</f>
        <v>PAN-015421</v>
      </c>
      <c r="D1" s="140"/>
      <c r="E1" s="93" t="s">
        <v>45</v>
      </c>
      <c r="F1" s="39" t="str">
        <f>Bryngwyn!F1</f>
        <v>46.9 ha</v>
      </c>
      <c r="G1" s="119" t="s">
        <v>43</v>
      </c>
      <c r="H1" s="120"/>
      <c r="I1" s="96">
        <v>6.6</v>
      </c>
      <c r="J1" s="118" t="s">
        <v>154</v>
      </c>
      <c r="K1" s="118"/>
      <c r="L1" s="97">
        <v>244</v>
      </c>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Bryngwyn!C2:D2</f>
        <v>EPR/GP3792SK</v>
      </c>
      <c r="D2" s="142"/>
      <c r="E2" s="93" t="s">
        <v>109</v>
      </c>
      <c r="F2" s="96" t="s">
        <v>173</v>
      </c>
      <c r="G2" s="137" t="s">
        <v>110</v>
      </c>
      <c r="H2" s="138"/>
      <c r="I2" s="96"/>
      <c r="J2" s="118" t="s">
        <v>159</v>
      </c>
      <c r="K2" s="118"/>
      <c r="L2" s="97">
        <v>0.86</v>
      </c>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Bryngwyn!C3:D3</f>
        <v>ByProduct Recovery Limited</v>
      </c>
      <c r="D3" s="142"/>
      <c r="E3" s="93" t="s">
        <v>108</v>
      </c>
      <c r="F3" s="31" t="s">
        <v>78</v>
      </c>
      <c r="G3" s="119" t="s">
        <v>111</v>
      </c>
      <c r="H3" s="120"/>
      <c r="I3" s="96"/>
      <c r="J3" s="119" t="s">
        <v>155</v>
      </c>
      <c r="K3" s="120"/>
      <c r="L3" s="97">
        <f>(L1/(L2*10000))*100</f>
        <v>2.8372093023255816</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f>Bryngwyn!C4:D4</f>
        <v>0</v>
      </c>
      <c r="D4" s="140"/>
      <c r="E4" s="94" t="s">
        <v>1</v>
      </c>
      <c r="F4" s="96" t="s">
        <v>177</v>
      </c>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Bryngwyn!C5:D5</f>
        <v>Rhiannon Smith</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Bryngwyn!C8</f>
        <v>Abercynrig 2</v>
      </c>
      <c r="D8" s="60" t="str">
        <f>Bryngwyn!D8</f>
        <v>Abercynrig 10</v>
      </c>
      <c r="E8" s="60">
        <f>Bryngwyn!E8</f>
        <v>1</v>
      </c>
      <c r="F8" s="60">
        <f>Bryngwyn!F8</f>
        <v>2</v>
      </c>
      <c r="G8" s="60">
        <f>Bryngwyn!G8</f>
        <v>10</v>
      </c>
      <c r="H8" s="60">
        <f>Bryngwyn!H8</f>
        <v>11</v>
      </c>
      <c r="I8" s="60">
        <f>Bryngwyn!I8</f>
        <v>16</v>
      </c>
      <c r="J8" s="60">
        <f>Bryngwyn!J8</f>
        <v>0</v>
      </c>
      <c r="K8" s="60">
        <f>Bryngwyn!K8</f>
        <v>0</v>
      </c>
      <c r="L8" s="60">
        <f>Bryngwyn!L8</f>
        <v>0</v>
      </c>
      <c r="M8" s="60">
        <f>Bryngwyn!M8</f>
        <v>0</v>
      </c>
      <c r="N8" s="60">
        <f>Bryngwyn!N8</f>
        <v>0</v>
      </c>
      <c r="O8" s="60">
        <f>Bryngwyn!O8</f>
        <v>0</v>
      </c>
      <c r="P8" s="60">
        <f>Bryngwyn!P8</f>
        <v>0</v>
      </c>
      <c r="Q8" s="60">
        <f>Bryngwyn!Q8</f>
        <v>0</v>
      </c>
      <c r="R8" s="60">
        <f>Bryngwyn!R8</f>
        <v>0</v>
      </c>
      <c r="S8" s="60">
        <f>Bryngwyn!S8</f>
        <v>0</v>
      </c>
      <c r="T8" s="60">
        <f>Bryngwyn!T8</f>
        <v>0</v>
      </c>
      <c r="U8" s="60">
        <f>Bryngwyn!U8</f>
        <v>0</v>
      </c>
      <c r="V8" s="60">
        <f>Bryngwyn!V8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Bryngwyn!C9</f>
        <v>M</v>
      </c>
      <c r="D9" s="60" t="str">
        <f>Bryngwyn!D9</f>
        <v>m</v>
      </c>
      <c r="E9" s="60">
        <f>Bryngwyn!E9</f>
        <v>1</v>
      </c>
      <c r="F9" s="60">
        <f>Bryngwyn!F9</f>
        <v>1</v>
      </c>
      <c r="G9" s="60" t="str">
        <f>Bryngwyn!G9</f>
        <v>M</v>
      </c>
      <c r="H9" s="60" t="str">
        <f>Bryngwyn!H9</f>
        <v>M</v>
      </c>
      <c r="I9" s="60" t="str">
        <f>Bryngwyn!I9</f>
        <v>M</v>
      </c>
      <c r="J9" s="60">
        <f>Bryngwyn!J9</f>
        <v>0</v>
      </c>
      <c r="K9" s="60">
        <f>Bryngwyn!K9</f>
        <v>0</v>
      </c>
      <c r="L9" s="60">
        <f>Bryngwyn!L9</f>
        <v>0</v>
      </c>
      <c r="M9" s="60">
        <f>Bryngwyn!M9</f>
        <v>0</v>
      </c>
      <c r="N9" s="60">
        <f>Bryngwyn!N9</f>
        <v>0</v>
      </c>
      <c r="O9" s="60">
        <f>Bryngwyn!O9</f>
        <v>0</v>
      </c>
      <c r="P9" s="60">
        <f>Bryngwyn!P9</f>
        <v>0</v>
      </c>
      <c r="Q9" s="60">
        <f>Bryngwyn!Q9</f>
        <v>0</v>
      </c>
      <c r="R9" s="60">
        <f>Bryngwyn!R9</f>
        <v>0</v>
      </c>
      <c r="S9" s="60">
        <f>Bryngwyn!S9</f>
        <v>0</v>
      </c>
      <c r="T9" s="60">
        <f>Bryngwyn!T9</f>
        <v>0</v>
      </c>
      <c r="U9" s="60">
        <f>Bryngwyn!U9</f>
        <v>0</v>
      </c>
      <c r="V9" s="60">
        <f>Bryngwyn!V9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Bryngwyn!C10</f>
        <v>6.2</v>
      </c>
      <c r="D10" s="60">
        <f>Bryngwyn!D10</f>
        <v>5.2</v>
      </c>
      <c r="E10" s="60" t="str">
        <f>Bryngwyn!E10</f>
        <v>5..5</v>
      </c>
      <c r="F10" s="60">
        <f>Bryngwyn!F10</f>
        <v>5</v>
      </c>
      <c r="G10" s="60">
        <f>Bryngwyn!G10</f>
        <v>5.5</v>
      </c>
      <c r="H10" s="60">
        <f>Bryngwyn!H10</f>
        <v>5.4</v>
      </c>
      <c r="I10" s="60">
        <f>Bryngwyn!I10</f>
        <v>5.5</v>
      </c>
      <c r="J10" s="60">
        <f>Bryngwyn!J10</f>
        <v>0</v>
      </c>
      <c r="K10" s="60">
        <f>Bryngwyn!K10</f>
        <v>0</v>
      </c>
      <c r="L10" s="60">
        <f>Bryngwyn!L10</f>
        <v>0</v>
      </c>
      <c r="M10" s="60">
        <f>Bryngwyn!M10</f>
        <v>0</v>
      </c>
      <c r="N10" s="60">
        <f>Bryngwyn!N10</f>
        <v>0</v>
      </c>
      <c r="O10" s="60">
        <f>Bryngwyn!O10</f>
        <v>0</v>
      </c>
      <c r="P10" s="60">
        <f>Bryngwyn!P10</f>
        <v>0</v>
      </c>
      <c r="Q10" s="60">
        <f>Bryngwyn!Q10</f>
        <v>0</v>
      </c>
      <c r="R10" s="60">
        <f>Bryngwyn!R10</f>
        <v>0</v>
      </c>
      <c r="S10" s="60">
        <f>Bryngwyn!S10</f>
        <v>0</v>
      </c>
      <c r="T10" s="60">
        <f>Bryngwyn!T10</f>
        <v>0</v>
      </c>
      <c r="U10" s="60">
        <f>Bryngwyn!U10</f>
        <v>0</v>
      </c>
      <c r="V10" s="60">
        <f>Bryngwyn!V10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Bryngwyn!C11</f>
        <v>3</v>
      </c>
      <c r="D11" s="60">
        <f>Bryngwyn!D11</f>
        <v>3</v>
      </c>
      <c r="E11" s="60">
        <f>Bryngwyn!E11</f>
        <v>3</v>
      </c>
      <c r="F11" s="60">
        <f>Bryngwyn!F11</f>
        <v>4</v>
      </c>
      <c r="G11" s="60">
        <f>Bryngwyn!G11</f>
        <v>2</v>
      </c>
      <c r="H11" s="60">
        <f>Bryngwyn!H11</f>
        <v>2</v>
      </c>
      <c r="I11" s="60">
        <f>Bryngwyn!I11</f>
        <v>3</v>
      </c>
      <c r="J11" s="60">
        <f>Bryngwyn!J11</f>
        <v>0</v>
      </c>
      <c r="K11" s="60">
        <f>Bryngwyn!K11</f>
        <v>0</v>
      </c>
      <c r="L11" s="60">
        <f>Bryngwyn!L11</f>
        <v>0</v>
      </c>
      <c r="M11" s="60">
        <f>Bryngwyn!M11</f>
        <v>0</v>
      </c>
      <c r="N11" s="60">
        <f>Bryngwyn!N11</f>
        <v>0</v>
      </c>
      <c r="O11" s="60">
        <f>Bryngwyn!O11</f>
        <v>0</v>
      </c>
      <c r="P11" s="60">
        <f>Bryngwyn!P11</f>
        <v>0</v>
      </c>
      <c r="Q11" s="60">
        <f>Bryngwyn!Q11</f>
        <v>0</v>
      </c>
      <c r="R11" s="60">
        <f>Bryngwyn!R11</f>
        <v>0</v>
      </c>
      <c r="S11" s="60">
        <f>Bryngwyn!S11</f>
        <v>0</v>
      </c>
      <c r="T11" s="60">
        <f>Bryngwyn!T11</f>
        <v>0</v>
      </c>
      <c r="U11" s="60">
        <f>Bryngwyn!U11</f>
        <v>0</v>
      </c>
      <c r="V11" s="60">
        <f>Bryngwyn!V11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Bryngwyn!C12</f>
        <v>2</v>
      </c>
      <c r="D12" s="60">
        <f>Bryngwyn!D12</f>
        <v>1</v>
      </c>
      <c r="E12" s="60">
        <f>Bryngwyn!E12</f>
        <v>2</v>
      </c>
      <c r="F12" s="60">
        <f>Bryngwyn!F12</f>
        <v>1</v>
      </c>
      <c r="G12" s="60">
        <f>Bryngwyn!G12</f>
        <v>1</v>
      </c>
      <c r="H12" s="60">
        <f>Bryngwyn!H12</f>
        <v>1</v>
      </c>
      <c r="I12" s="60">
        <f>Bryngwyn!I12</f>
        <v>1</v>
      </c>
      <c r="J12" s="60">
        <f>Bryngwyn!J12</f>
        <v>0</v>
      </c>
      <c r="K12" s="60">
        <f>Bryngwyn!K12</f>
        <v>0</v>
      </c>
      <c r="L12" s="60">
        <f>Bryngwyn!L12</f>
        <v>0</v>
      </c>
      <c r="M12" s="60">
        <f>Bryngwyn!M12</f>
        <v>0</v>
      </c>
      <c r="N12" s="60">
        <f>Bryngwyn!N12</f>
        <v>0</v>
      </c>
      <c r="O12" s="60">
        <f>Bryngwyn!O12</f>
        <v>0</v>
      </c>
      <c r="P12" s="60">
        <f>Bryngwyn!P12</f>
        <v>0</v>
      </c>
      <c r="Q12" s="60">
        <f>Bryngwyn!Q12</f>
        <v>0</v>
      </c>
      <c r="R12" s="60">
        <f>Bryngwyn!R12</f>
        <v>0</v>
      </c>
      <c r="S12" s="60">
        <f>Bryngwyn!S12</f>
        <v>0</v>
      </c>
      <c r="T12" s="60">
        <f>Bryngwyn!T12</f>
        <v>0</v>
      </c>
      <c r="U12" s="60">
        <f>Bryngwyn!U12</f>
        <v>0</v>
      </c>
      <c r="V12" s="60">
        <f>Bryngwyn!V12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Bryngwyn!C13</f>
        <v>3</v>
      </c>
      <c r="D13" s="60">
        <f>Bryngwyn!D13</f>
        <v>2</v>
      </c>
      <c r="E13" s="60">
        <f>Bryngwyn!E13</f>
        <v>3</v>
      </c>
      <c r="F13" s="60">
        <f>Bryngwyn!F13</f>
        <v>2</v>
      </c>
      <c r="G13" s="60">
        <f>Bryngwyn!G13</f>
        <v>2</v>
      </c>
      <c r="H13" s="60">
        <f>Bryngwyn!H13</f>
        <v>2</v>
      </c>
      <c r="I13" s="60">
        <f>Bryngwyn!I13</f>
        <v>3</v>
      </c>
      <c r="J13" s="60">
        <f>Bryngwyn!J13</f>
        <v>0</v>
      </c>
      <c r="K13" s="60">
        <f>Bryngwyn!K13</f>
        <v>0</v>
      </c>
      <c r="L13" s="60">
        <f>Bryngwyn!L13</f>
        <v>0</v>
      </c>
      <c r="M13" s="60">
        <f>Bryngwyn!M13</f>
        <v>0</v>
      </c>
      <c r="N13" s="60">
        <f>Bryngwyn!N13</f>
        <v>0</v>
      </c>
      <c r="O13" s="60">
        <f>Bryngwyn!O13</f>
        <v>0</v>
      </c>
      <c r="P13" s="60">
        <f>Bryngwyn!P13</f>
        <v>0</v>
      </c>
      <c r="Q13" s="60">
        <f>Bryngwyn!Q13</f>
        <v>0</v>
      </c>
      <c r="R13" s="60">
        <f>Bryngwyn!R13</f>
        <v>0</v>
      </c>
      <c r="S13" s="60">
        <f>Bryngwyn!S13</f>
        <v>0</v>
      </c>
      <c r="T13" s="60">
        <f>Bryngwyn!T13</f>
        <v>0</v>
      </c>
      <c r="U13" s="60">
        <f>Bryngwyn!U13</f>
        <v>0</v>
      </c>
      <c r="V13" s="60">
        <f>Bryngwyn!V13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Bryngwyn!C14</f>
        <v xml:space="preserve">Grass Silage (25% DM) </v>
      </c>
      <c r="D14" s="102" t="str">
        <f>Bryngwyn!D14</f>
        <v xml:space="preserve">Grass Silage (25% DM) </v>
      </c>
      <c r="E14" s="102" t="str">
        <f>Bryngwyn!E14</f>
        <v>Winter barley/triticale/rye</v>
      </c>
      <c r="F14" s="102" t="str">
        <f>Bryngwyn!F14</f>
        <v>Winter barley/triticale/rye</v>
      </c>
      <c r="G14" s="102" t="str">
        <f>Bryngwyn!G14</f>
        <v xml:space="preserve">Grass Silage (25% DM) </v>
      </c>
      <c r="H14" s="102" t="str">
        <f>Bryngwyn!H14</f>
        <v xml:space="preserve">Grass Silage (25% DM) </v>
      </c>
      <c r="I14" s="102" t="str">
        <f>Bryngwyn!I14</f>
        <v xml:space="preserve">Grass Silage (25% DM) </v>
      </c>
      <c r="J14" s="102">
        <f>Bryngwyn!J14</f>
        <v>0</v>
      </c>
      <c r="K14" s="102">
        <f>Bryngwyn!K14</f>
        <v>0</v>
      </c>
      <c r="L14" s="102">
        <f>Bryngwyn!L14</f>
        <v>0</v>
      </c>
      <c r="M14" s="102">
        <f>Bryngwyn!M14</f>
        <v>0</v>
      </c>
      <c r="N14" s="102">
        <f>Bryngwyn!N14</f>
        <v>0</v>
      </c>
      <c r="O14" s="102">
        <f>Bryngwyn!O14</f>
        <v>0</v>
      </c>
      <c r="P14" s="102">
        <f>Bryngwyn!P14</f>
        <v>0</v>
      </c>
      <c r="Q14" s="102">
        <f>Bryngwyn!Q14</f>
        <v>0</v>
      </c>
      <c r="R14" s="102">
        <f>Bryngwyn!R14</f>
        <v>0</v>
      </c>
      <c r="S14" s="102">
        <f>Bryngwyn!S14</f>
        <v>0</v>
      </c>
      <c r="T14" s="102">
        <f>Bryngwyn!T14</f>
        <v>0</v>
      </c>
      <c r="U14" s="102">
        <f>Bryngwyn!U14</f>
        <v>0</v>
      </c>
      <c r="V14" s="102">
        <f>Bryngwyn!V14</f>
        <v>0</v>
      </c>
      <c r="AD14" s="30" t="s">
        <v>139</v>
      </c>
      <c r="AE14" s="30">
        <v>6</v>
      </c>
      <c r="AI14" s="53" t="s">
        <v>120</v>
      </c>
      <c r="AJ14" s="54">
        <v>0.8</v>
      </c>
      <c r="AK14" s="55">
        <v>1.7</v>
      </c>
      <c r="AL14" s="11">
        <v>12</v>
      </c>
      <c r="AM14" s="11">
        <v>6.7</v>
      </c>
      <c r="AN14" s="11" t="s">
        <v>136</v>
      </c>
    </row>
    <row r="15" spans="1:41" ht="13" x14ac:dyDescent="0.25">
      <c r="A15" s="129" t="s">
        <v>9</v>
      </c>
      <c r="B15" s="129"/>
      <c r="C15" s="60">
        <f>Bryngwyn!C15</f>
        <v>38</v>
      </c>
      <c r="D15" s="60">
        <f>Bryngwyn!D15</f>
        <v>38</v>
      </c>
      <c r="E15" s="60">
        <f>Bryngwyn!E15</f>
        <v>6.5</v>
      </c>
      <c r="F15" s="60">
        <f>Bryngwyn!F15</f>
        <v>6.5</v>
      </c>
      <c r="G15" s="60">
        <f>Bryngwyn!G15</f>
        <v>38</v>
      </c>
      <c r="H15" s="60">
        <f>Bryngwyn!H15</f>
        <v>38</v>
      </c>
      <c r="I15" s="60">
        <f>Bryngwyn!I15</f>
        <v>38</v>
      </c>
      <c r="J15" s="60">
        <f>Bryngwyn!J15</f>
        <v>0</v>
      </c>
      <c r="K15" s="60">
        <f>Bryngwyn!K15</f>
        <v>0</v>
      </c>
      <c r="L15" s="60">
        <f>Bryngwyn!L15</f>
        <v>0</v>
      </c>
      <c r="M15" s="60">
        <f>Bryngwyn!M15</f>
        <v>0</v>
      </c>
      <c r="N15" s="60">
        <f>Bryngwyn!N15</f>
        <v>0</v>
      </c>
      <c r="O15" s="60">
        <f>Bryngwyn!O15</f>
        <v>0</v>
      </c>
      <c r="P15" s="60">
        <f>Bryngwyn!P15</f>
        <v>0</v>
      </c>
      <c r="Q15" s="60">
        <f>Bryngwyn!Q15</f>
        <v>0</v>
      </c>
      <c r="R15" s="60">
        <f>Bryngwyn!R15</f>
        <v>0</v>
      </c>
      <c r="S15" s="60">
        <f>Bryngwyn!S15</f>
        <v>0</v>
      </c>
      <c r="T15" s="60">
        <f>Bryngwyn!T15</f>
        <v>0</v>
      </c>
      <c r="U15" s="60">
        <f>Bryngwyn!U15</f>
        <v>0</v>
      </c>
      <c r="V15" s="60">
        <f>Bryngwyn!V15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Bryngwyn!C16</f>
        <v>Medium/Clay</v>
      </c>
      <c r="D16" s="103" t="str">
        <f>Bryngwyn!D16</f>
        <v>Medium/Clay</v>
      </c>
      <c r="E16" s="103" t="str">
        <f>Bryngwyn!E16</f>
        <v>Medium/Clay</v>
      </c>
      <c r="F16" s="103" t="str">
        <f>Bryngwyn!F16</f>
        <v>Medium/Clay</v>
      </c>
      <c r="G16" s="103" t="str">
        <f>Bryngwyn!G16</f>
        <v>Medium/Clay</v>
      </c>
      <c r="H16" s="103" t="str">
        <f>Bryngwyn!H16</f>
        <v>Medium/Clay</v>
      </c>
      <c r="I16" s="103" t="str">
        <f>Bryngwyn!I16</f>
        <v>Medium/Clay</v>
      </c>
      <c r="J16" s="103">
        <f>Bryngwyn!J16</f>
        <v>0</v>
      </c>
      <c r="K16" s="103">
        <f>Bryngwyn!K16</f>
        <v>0</v>
      </c>
      <c r="L16" s="103">
        <f>Bryngwyn!L16</f>
        <v>0</v>
      </c>
      <c r="M16" s="103">
        <f>Bryngwyn!M16</f>
        <v>0</v>
      </c>
      <c r="N16" s="103">
        <f>Bryngwyn!N16</f>
        <v>0</v>
      </c>
      <c r="O16" s="103">
        <f>Bryngwyn!O16</f>
        <v>0</v>
      </c>
      <c r="P16" s="103">
        <f>Bryngwyn!P16</f>
        <v>0</v>
      </c>
      <c r="Q16" s="103">
        <f>Bryngwyn!Q16</f>
        <v>0</v>
      </c>
      <c r="R16" s="103">
        <f>Bryngwyn!R16</f>
        <v>0</v>
      </c>
      <c r="S16" s="103">
        <f>Bryngwyn!S16</f>
        <v>0</v>
      </c>
      <c r="T16" s="103">
        <f>Bryngwyn!T16</f>
        <v>0</v>
      </c>
      <c r="U16" s="103">
        <f>Bryngwyn!U16</f>
        <v>0</v>
      </c>
      <c r="V16" s="103">
        <f>Bryngwyn!V16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64.599999999999994</v>
      </c>
      <c r="D17" s="28">
        <f t="shared" ref="D17:V17" si="0">(VLOOKUP(D$14,$AI2:$AK26,2,FALSE))*D$15</f>
        <v>64.599999999999994</v>
      </c>
      <c r="E17" s="28">
        <f t="shared" si="0"/>
        <v>55.25</v>
      </c>
      <c r="F17" s="28">
        <f t="shared" si="0"/>
        <v>55.25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10.6105374</v>
      </c>
      <c r="D18" s="16">
        <f>$D32</f>
        <v>10.6105374</v>
      </c>
      <c r="E18" s="16">
        <f>$D33</f>
        <v>10.6105374</v>
      </c>
      <c r="F18" s="16">
        <f>$D34</f>
        <v>10.6105374</v>
      </c>
      <c r="G18" s="16">
        <f>$D35</f>
        <v>10.6105374</v>
      </c>
      <c r="H18" s="16">
        <f>$D36</f>
        <v>10.6105374</v>
      </c>
      <c r="I18" s="16">
        <f>$D37</f>
        <v>10.6105374</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-53.989462599999996</v>
      </c>
      <c r="D19" s="16">
        <f t="shared" ref="D19:V19" si="1">D18-D17</f>
        <v>-53.989462599999996</v>
      </c>
      <c r="E19" s="16">
        <f t="shared" si="1"/>
        <v>-44.639462600000002</v>
      </c>
      <c r="F19" s="16">
        <f t="shared" si="1"/>
        <v>-44.639462600000002</v>
      </c>
      <c r="G19" s="16">
        <f t="shared" si="1"/>
        <v>-53.989462599999996</v>
      </c>
      <c r="H19" s="16">
        <f t="shared" si="1"/>
        <v>-53.989462599999996</v>
      </c>
      <c r="I19" s="16">
        <f t="shared" si="1"/>
        <v>-53.989462599999996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228</v>
      </c>
      <c r="D21" s="28">
        <f t="shared" ref="D21:V21" si="2">(VLOOKUP(D$14,$AI2:$AK26,3,FALSE))*D$15</f>
        <v>228</v>
      </c>
      <c r="E21" s="28">
        <f t="shared" si="2"/>
        <v>68.25</v>
      </c>
      <c r="F21" s="28">
        <f t="shared" si="2"/>
        <v>68.25</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2.3103465000000001</v>
      </c>
      <c r="D22" s="16">
        <f>$E32</f>
        <v>2.3103465000000001</v>
      </c>
      <c r="E22" s="16">
        <f>$E33</f>
        <v>2.3103465000000001</v>
      </c>
      <c r="F22" s="16">
        <f>$E34</f>
        <v>2.3103465000000001</v>
      </c>
      <c r="G22" s="16">
        <f>$E35</f>
        <v>2.3103465000000001</v>
      </c>
      <c r="H22" s="16">
        <f>$E36</f>
        <v>2.3103465000000001</v>
      </c>
      <c r="I22" s="16">
        <f>$E37</f>
        <v>2.3103465000000001</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-225.68965349999999</v>
      </c>
      <c r="D23" s="16">
        <f t="shared" ref="D23:V23" si="3">D22-D21</f>
        <v>-225.68965349999999</v>
      </c>
      <c r="E23" s="16">
        <f t="shared" si="3"/>
        <v>-65.939653500000006</v>
      </c>
      <c r="F23" s="16">
        <f t="shared" si="3"/>
        <v>-65.939653500000006</v>
      </c>
      <c r="G23" s="16">
        <f t="shared" si="3"/>
        <v>-225.68965349999999</v>
      </c>
      <c r="H23" s="16">
        <f t="shared" si="3"/>
        <v>-225.68965349999999</v>
      </c>
      <c r="I23" s="16">
        <f t="shared" si="3"/>
        <v>-225.68965349999999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2.4900000000000002</v>
      </c>
      <c r="C28" s="15">
        <v>0.86</v>
      </c>
      <c r="D28" s="15">
        <v>7.4399999999999994E-2</v>
      </c>
      <c r="E28" s="15">
        <v>3.0800000000000001E-2</v>
      </c>
      <c r="F28" s="15">
        <v>622</v>
      </c>
      <c r="G28" s="15">
        <v>40.700000000000003</v>
      </c>
      <c r="H28" s="15">
        <v>222</v>
      </c>
      <c r="I28" s="15">
        <v>24.5</v>
      </c>
      <c r="J28" s="15">
        <v>0.87</v>
      </c>
      <c r="K28" s="23">
        <v>0.8</v>
      </c>
      <c r="L28" s="15">
        <v>14.6</v>
      </c>
      <c r="M28" s="15">
        <v>15.1</v>
      </c>
      <c r="N28" s="15">
        <v>2200</v>
      </c>
      <c r="O28" s="15">
        <v>379000</v>
      </c>
      <c r="P28" s="15"/>
      <c r="Q28" s="15">
        <v>5780</v>
      </c>
      <c r="R28" s="15"/>
      <c r="S28" s="15">
        <v>40.6</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Abercynrig 2</v>
      </c>
      <c r="B31" s="15">
        <v>250</v>
      </c>
      <c r="C31" s="77">
        <f>IF(C$27="%w/w SAR",((C$28*10)*$B31),IF(C$27="%w/w DM",(((C$28*10)*($B$28/100))*$B31),IF(C$27="kg/t SAR",(C$28*$B31),IF(C$27="kg/t DM",((C$28*($B$28/100))*$B31),IF(C$27="mg/kg SAR",((C$28*0.001)*$B31),IF(C$27="mg/kg DM",(((C$28*0.001)*($B$28/100))*$B31),0))))))</f>
        <v>53.534999999999997</v>
      </c>
      <c r="D31" s="77">
        <f>(IF(D$27="%w/w SAR",((D$28*10)*$B31),IF(D$27="%w/w DM",(((D$28*10)*($B$28/100))*$B31),IF(D$27="kg/t SAR",(D$28*$B31),IF(D$27="kg/t DM",((D$28*($B$28/100))*$B31),IF(D$27="mg/kg SAR",((D$28*0.001)*$B31),IF(D$27="mg/kg DM",(((D$28*0.001)*($B$28/100))*$B31),"0")))))))*2.291</f>
        <v>10.6105374</v>
      </c>
      <c r="E31" s="77">
        <f>(IF(E$27="%w/w SAR",((E$28*10)*$B31),IF(E$27="%w/w DM",(((E$28*10)*($B$28/100))*$B31),IF(E$27="kg/t SAR",(E$28*$B31),IF(E$27="kg/t DM",((E$28*($B$28/100))*$B31),IF(E$27="mg/kg SAR",((E$28*0.001)*$B31),IF(E$27="mg/kg DM",(((E$28*0.001)*($B$28/100))*$B31),"0")))))))*1.205</f>
        <v>2.3103465000000001</v>
      </c>
      <c r="F31" s="77">
        <f>(IF(F$27="%w/w SAR",((F$28*10)*$B31),IF(F$27="%w/w DM",(((F$28*10)*($B$28/100))*$B31),IF(F$27="kg/t SAR",(F$28*$B31),IF(F$27="kg/t DM",((F$28*($B$28/100))*$B31),IF(F$27="mg/kg SAR",((F$28*0.001)*$B31),IF(F$27="mg/kg DM",(((F$28*0.001)*($B$28/100))*$B31),"0")))))))*1.658</f>
        <v>6.4196931000000008</v>
      </c>
      <c r="G31" s="77">
        <f t="shared" ref="G31:P46" si="5">IF(G$27="%w/w SAR",((G$28*10)*$B31),IF(G$27="%w/w DM",(((G$28*10)*($B$28/100))*$B31),IF(G$27="kg/t SAR",(G$28*$B31),IF(G$27="kg/t DM",((G$28*($B$28/100))*$B31),IF(G$27="mg/kg SAR",((G$28*0.001)*$B31),IF(G$27="mg/kg DM",(((G$28*0.001)*($B$28/100))*$B31),0))))))</f>
        <v>0.25335750000000007</v>
      </c>
      <c r="H31" s="77">
        <f t="shared" si="5"/>
        <v>1.38195</v>
      </c>
      <c r="I31" s="77">
        <f t="shared" si="5"/>
        <v>0.15251250000000002</v>
      </c>
      <c r="J31" s="77">
        <f t="shared" si="5"/>
        <v>5.4157500000000004E-3</v>
      </c>
      <c r="K31" s="77">
        <f t="shared" si="5"/>
        <v>4.9800000000000009E-3</v>
      </c>
      <c r="L31" s="77">
        <f t="shared" si="5"/>
        <v>9.0885000000000007E-2</v>
      </c>
      <c r="M31" s="77">
        <f t="shared" si="5"/>
        <v>9.3997500000000012E-2</v>
      </c>
      <c r="N31" s="77">
        <f t="shared" si="5"/>
        <v>13.695000000000002</v>
      </c>
      <c r="O31" s="77">
        <f t="shared" si="5"/>
        <v>2359.2750000000001</v>
      </c>
      <c r="P31" s="77">
        <f t="shared" si="5"/>
        <v>0</v>
      </c>
      <c r="Q31" s="77">
        <f>(IF(Q$27="%w/w SAR",((Q$28*10)*$B31),IF(Q$27="%w/w DM",(((Q$28*10)*($B$28/100))*$B31),IF(Q$27="kg/t SAR",(Q$28*$B31),IF(Q$27="kg/t DM",((Q$28*($B$28/100))*$B31),IF(Q$27="mg/kg SAR",((Q$28*0.001)*$B31),IF(Q$27="mg/kg DM",(((Q$28*0.001)*($B$28/100))*$B31),0)))))))*2.5</f>
        <v>89.951250000000016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0.25273500000000004</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Abercynrig 10</v>
      </c>
      <c r="B32" s="15">
        <v>250</v>
      </c>
      <c r="C32" s="77">
        <f t="shared" ref="C32:C50" si="6">IF(C$27="%w/w SAR",((C$28*10)*$B32),IF(C$27="%w/w DM",(((C$28*10)*($B$28/100))*$B32),IF(C$27="kg/t SAR",(C$28*$B32),IF(C$27="kg/t DM",((C$28*($B$28/100))*$B32),IF(C$27="mg/kg SAR",((C$28*0.001)*$B32),IF(C$27="mg/kg DM",(((C$28*0.001)*($B$28/100))*$B32),0))))))</f>
        <v>53.534999999999997</v>
      </c>
      <c r="D32" s="77">
        <f t="shared" ref="D32:D50" si="7">(IF(D$27="%w/w SAR",((D$28*10)*$B32),IF(D$27="%w/w DM",(((D$28*10)*($B$28/100))*$B32),IF(D$27="kg/t SAR",(D$28*$B32),IF(D$27="kg/t DM",((D$28*($B$28/100))*$B32),IF(D$27="mg/kg SAR",((D$28*0.001)*$B32),IF(D$27="mg/kg DM",(((D$28*0.001)*($B$28/100))*$B32),"0")))))))*2.291</f>
        <v>10.6105374</v>
      </c>
      <c r="E32" s="77">
        <f t="shared" ref="E32:E50" si="8">(IF(E$27="%w/w SAR",((E$28*10)*$B32),IF(E$27="%w/w DM",(((E$28*10)*($B$28/100))*$B32),IF(E$27="kg/t SAR",(E$28*$B32),IF(E$27="kg/t DM",((E$28*($B$28/100))*$B32),IF(E$27="mg/kg SAR",((E$28*0.001)*$B32),IF(E$27="mg/kg DM",(((E$28*0.001)*($B$28/100))*$B32),"0")))))))*1.205</f>
        <v>2.3103465000000001</v>
      </c>
      <c r="F32" s="77">
        <f t="shared" ref="F32:F50" si="9">(IF(F$27="%w/w SAR",((F$28*10)*$B32),IF(F$27="%w/w DM",(((F$28*10)*($B$28/100))*$B32),IF(F$27="kg/t SAR",(F$28*$B32),IF(F$27="kg/t DM",((F$28*($B$28/100))*$B32),IF(F$27="mg/kg SAR",((F$28*0.001)*$B32),IF(F$27="mg/kg DM",(((F$28*0.001)*($B$28/100))*$B32),"0")))))))*1.658</f>
        <v>6.4196931000000008</v>
      </c>
      <c r="G32" s="77">
        <f t="shared" si="5"/>
        <v>0.25335750000000007</v>
      </c>
      <c r="H32" s="77">
        <f t="shared" si="5"/>
        <v>1.38195</v>
      </c>
      <c r="I32" s="77">
        <f t="shared" si="5"/>
        <v>0.15251250000000002</v>
      </c>
      <c r="J32" s="77">
        <f t="shared" si="5"/>
        <v>5.4157500000000004E-3</v>
      </c>
      <c r="K32" s="77">
        <f t="shared" si="5"/>
        <v>4.9800000000000009E-3</v>
      </c>
      <c r="L32" s="77">
        <f t="shared" si="5"/>
        <v>9.0885000000000007E-2</v>
      </c>
      <c r="M32" s="77">
        <f t="shared" si="5"/>
        <v>9.3997500000000012E-2</v>
      </c>
      <c r="N32" s="77">
        <f t="shared" si="5"/>
        <v>13.695000000000002</v>
      </c>
      <c r="O32" s="77">
        <f t="shared" si="5"/>
        <v>2359.2750000000001</v>
      </c>
      <c r="P32" s="77">
        <f t="shared" si="5"/>
        <v>0</v>
      </c>
      <c r="Q32" s="77">
        <f t="shared" ref="Q32:Q50" si="10">(IF(Q$27="%w/w SAR",((Q$28*10)*$B32),IF(Q$27="%w/w DM",(((Q$28*10)*($B$28/100))*$B32),IF(Q$27="kg/t SAR",(Q$28*$B32),IF(Q$27="kg/t DM",((Q$28*($B$28/100))*$B32),IF(Q$27="mg/kg SAR",((Q$28*0.001)*$B32),IF(Q$27="mg/kg DM",(((Q$28*0.001)*($B$28/100))*$B32),0)))))))*2.5</f>
        <v>89.951250000000016</v>
      </c>
      <c r="R32" s="77">
        <f t="shared" ref="R32:U50" si="11">IF(R$27="%w/w SAR",((R$28*10)*$B32),IF(R$27="%w/w DM",(((R$28*10)*($B$28/100))*$B32),IF(R$27="kg/t SAR",(R$28*$B32),IF(R$27="kg/t DM",((R$28*($B$28/100))*$B32),IF(R$27="mg/kg SAR",((R$28*0.001)*$B32),IF(R$27="mg/kg DM",(((R$28*0.001)*($B$28/100))*$B32),0))))))</f>
        <v>0</v>
      </c>
      <c r="S32" s="77">
        <f t="shared" si="11"/>
        <v>0.25273500000000004</v>
      </c>
      <c r="T32" s="77">
        <f t="shared" si="11"/>
        <v>0</v>
      </c>
      <c r="U32" s="77">
        <f t="shared" si="11"/>
        <v>0</v>
      </c>
      <c r="AB32" s="59"/>
      <c r="AC32" s="59"/>
      <c r="AD32" s="59"/>
      <c r="AE32" s="59"/>
      <c r="AF32" s="59"/>
      <c r="AG32" s="59"/>
      <c r="AH32" s="59"/>
      <c r="AI32" s="59"/>
    </row>
    <row r="33" spans="1:35" s="72" customFormat="1" ht="13" x14ac:dyDescent="0.35">
      <c r="A33" s="13">
        <f>E8</f>
        <v>1</v>
      </c>
      <c r="B33" s="15">
        <v>250</v>
      </c>
      <c r="C33" s="77">
        <f t="shared" si="6"/>
        <v>53.534999999999997</v>
      </c>
      <c r="D33" s="77">
        <f t="shared" si="7"/>
        <v>10.6105374</v>
      </c>
      <c r="E33" s="77">
        <f t="shared" si="8"/>
        <v>2.3103465000000001</v>
      </c>
      <c r="F33" s="77">
        <f t="shared" si="9"/>
        <v>6.4196931000000008</v>
      </c>
      <c r="G33" s="77">
        <f t="shared" si="5"/>
        <v>0.25335750000000007</v>
      </c>
      <c r="H33" s="77">
        <f t="shared" si="5"/>
        <v>1.38195</v>
      </c>
      <c r="I33" s="77">
        <f t="shared" si="5"/>
        <v>0.15251250000000002</v>
      </c>
      <c r="J33" s="77">
        <f t="shared" si="5"/>
        <v>5.4157500000000004E-3</v>
      </c>
      <c r="K33" s="77">
        <f t="shared" si="5"/>
        <v>4.9800000000000009E-3</v>
      </c>
      <c r="L33" s="77">
        <f t="shared" si="5"/>
        <v>9.0885000000000007E-2</v>
      </c>
      <c r="M33" s="77">
        <f t="shared" si="5"/>
        <v>9.3997500000000012E-2</v>
      </c>
      <c r="N33" s="77">
        <f t="shared" si="5"/>
        <v>13.695000000000002</v>
      </c>
      <c r="O33" s="77">
        <f t="shared" si="5"/>
        <v>2359.2750000000001</v>
      </c>
      <c r="P33" s="77">
        <f t="shared" si="5"/>
        <v>0</v>
      </c>
      <c r="Q33" s="77">
        <f t="shared" si="10"/>
        <v>89.951250000000016</v>
      </c>
      <c r="R33" s="77">
        <f t="shared" si="11"/>
        <v>0</v>
      </c>
      <c r="S33" s="77">
        <f t="shared" si="11"/>
        <v>0.25273500000000004</v>
      </c>
      <c r="T33" s="77">
        <f t="shared" si="11"/>
        <v>0</v>
      </c>
      <c r="U33" s="77">
        <f t="shared" si="11"/>
        <v>0</v>
      </c>
      <c r="AB33" s="59"/>
      <c r="AC33" s="59"/>
      <c r="AD33" s="59"/>
      <c r="AE33" s="59"/>
      <c r="AF33" s="59"/>
      <c r="AG33" s="59"/>
      <c r="AH33" s="59"/>
      <c r="AI33" s="59"/>
    </row>
    <row r="34" spans="1:35" s="72" customFormat="1" ht="13" x14ac:dyDescent="0.35">
      <c r="A34" s="13">
        <f>F8</f>
        <v>2</v>
      </c>
      <c r="B34" s="15">
        <v>250</v>
      </c>
      <c r="C34" s="77">
        <f t="shared" si="6"/>
        <v>53.534999999999997</v>
      </c>
      <c r="D34" s="77">
        <f t="shared" si="7"/>
        <v>10.6105374</v>
      </c>
      <c r="E34" s="77">
        <f t="shared" si="8"/>
        <v>2.3103465000000001</v>
      </c>
      <c r="F34" s="77">
        <f t="shared" si="9"/>
        <v>6.4196931000000008</v>
      </c>
      <c r="G34" s="77">
        <f t="shared" si="5"/>
        <v>0.25335750000000007</v>
      </c>
      <c r="H34" s="77">
        <f t="shared" si="5"/>
        <v>1.38195</v>
      </c>
      <c r="I34" s="77">
        <f t="shared" si="5"/>
        <v>0.15251250000000002</v>
      </c>
      <c r="J34" s="77">
        <f t="shared" si="5"/>
        <v>5.4157500000000004E-3</v>
      </c>
      <c r="K34" s="77">
        <f t="shared" si="5"/>
        <v>4.9800000000000009E-3</v>
      </c>
      <c r="L34" s="77">
        <f t="shared" si="5"/>
        <v>9.0885000000000007E-2</v>
      </c>
      <c r="M34" s="77">
        <f t="shared" si="5"/>
        <v>9.3997500000000012E-2</v>
      </c>
      <c r="N34" s="77">
        <f t="shared" si="5"/>
        <v>13.695000000000002</v>
      </c>
      <c r="O34" s="77">
        <f t="shared" si="5"/>
        <v>2359.2750000000001</v>
      </c>
      <c r="P34" s="77">
        <f t="shared" si="5"/>
        <v>0</v>
      </c>
      <c r="Q34" s="77">
        <f t="shared" si="10"/>
        <v>89.951250000000016</v>
      </c>
      <c r="R34" s="77">
        <f t="shared" si="11"/>
        <v>0</v>
      </c>
      <c r="S34" s="77">
        <f t="shared" si="11"/>
        <v>0.25273500000000004</v>
      </c>
      <c r="T34" s="77">
        <f t="shared" si="11"/>
        <v>0</v>
      </c>
      <c r="U34" s="77">
        <f t="shared" si="11"/>
        <v>0</v>
      </c>
      <c r="AB34" s="59"/>
      <c r="AC34" s="59"/>
      <c r="AD34" s="59"/>
      <c r="AE34" s="59"/>
      <c r="AF34" s="59"/>
      <c r="AG34" s="59"/>
      <c r="AH34" s="59"/>
      <c r="AI34" s="59"/>
    </row>
    <row r="35" spans="1:35" s="72" customFormat="1" ht="13" x14ac:dyDescent="0.35">
      <c r="A35" s="13">
        <f>G8</f>
        <v>10</v>
      </c>
      <c r="B35" s="15">
        <v>250</v>
      </c>
      <c r="C35" s="77">
        <f t="shared" si="6"/>
        <v>53.534999999999997</v>
      </c>
      <c r="D35" s="77">
        <f t="shared" si="7"/>
        <v>10.6105374</v>
      </c>
      <c r="E35" s="77">
        <f t="shared" si="8"/>
        <v>2.3103465000000001</v>
      </c>
      <c r="F35" s="77">
        <f t="shared" si="9"/>
        <v>6.4196931000000008</v>
      </c>
      <c r="G35" s="77">
        <f t="shared" si="5"/>
        <v>0.25335750000000007</v>
      </c>
      <c r="H35" s="77">
        <f t="shared" si="5"/>
        <v>1.38195</v>
      </c>
      <c r="I35" s="77">
        <f t="shared" si="5"/>
        <v>0.15251250000000002</v>
      </c>
      <c r="J35" s="77">
        <f t="shared" si="5"/>
        <v>5.4157500000000004E-3</v>
      </c>
      <c r="K35" s="77">
        <f t="shared" si="5"/>
        <v>4.9800000000000009E-3</v>
      </c>
      <c r="L35" s="77">
        <f t="shared" si="5"/>
        <v>9.0885000000000007E-2</v>
      </c>
      <c r="M35" s="77">
        <f t="shared" si="5"/>
        <v>9.3997500000000012E-2</v>
      </c>
      <c r="N35" s="77">
        <f t="shared" si="5"/>
        <v>13.695000000000002</v>
      </c>
      <c r="O35" s="77">
        <f t="shared" si="5"/>
        <v>2359.2750000000001</v>
      </c>
      <c r="P35" s="77">
        <f t="shared" si="5"/>
        <v>0</v>
      </c>
      <c r="Q35" s="77">
        <f t="shared" si="10"/>
        <v>89.951250000000016</v>
      </c>
      <c r="R35" s="77">
        <f t="shared" si="11"/>
        <v>0</v>
      </c>
      <c r="S35" s="77">
        <f t="shared" si="11"/>
        <v>0.25273500000000004</v>
      </c>
      <c r="T35" s="77">
        <f t="shared" si="11"/>
        <v>0</v>
      </c>
      <c r="U35" s="77">
        <f t="shared" si="11"/>
        <v>0</v>
      </c>
      <c r="AB35" s="59"/>
      <c r="AC35" s="59"/>
      <c r="AD35" s="59"/>
      <c r="AE35" s="59"/>
      <c r="AF35" s="59"/>
      <c r="AG35" s="59"/>
      <c r="AH35" s="59"/>
      <c r="AI35" s="59"/>
    </row>
    <row r="36" spans="1:35" s="72" customFormat="1" ht="13" x14ac:dyDescent="0.35">
      <c r="A36" s="13">
        <f>H8</f>
        <v>11</v>
      </c>
      <c r="B36" s="15">
        <v>250</v>
      </c>
      <c r="C36" s="77">
        <f t="shared" si="6"/>
        <v>53.534999999999997</v>
      </c>
      <c r="D36" s="77">
        <f t="shared" si="7"/>
        <v>10.6105374</v>
      </c>
      <c r="E36" s="77">
        <f t="shared" si="8"/>
        <v>2.3103465000000001</v>
      </c>
      <c r="F36" s="77">
        <f t="shared" si="9"/>
        <v>6.4196931000000008</v>
      </c>
      <c r="G36" s="77">
        <f t="shared" si="5"/>
        <v>0.25335750000000007</v>
      </c>
      <c r="H36" s="77">
        <f t="shared" si="5"/>
        <v>1.38195</v>
      </c>
      <c r="I36" s="77">
        <f t="shared" si="5"/>
        <v>0.15251250000000002</v>
      </c>
      <c r="J36" s="77">
        <f t="shared" si="5"/>
        <v>5.4157500000000004E-3</v>
      </c>
      <c r="K36" s="77">
        <f t="shared" si="5"/>
        <v>4.9800000000000009E-3</v>
      </c>
      <c r="L36" s="77">
        <f t="shared" si="5"/>
        <v>9.0885000000000007E-2</v>
      </c>
      <c r="M36" s="77">
        <f t="shared" si="5"/>
        <v>9.3997500000000012E-2</v>
      </c>
      <c r="N36" s="77">
        <f t="shared" si="5"/>
        <v>13.695000000000002</v>
      </c>
      <c r="O36" s="77">
        <f t="shared" si="5"/>
        <v>2359.2750000000001</v>
      </c>
      <c r="P36" s="77">
        <f t="shared" si="5"/>
        <v>0</v>
      </c>
      <c r="Q36" s="77">
        <f t="shared" si="10"/>
        <v>89.951250000000016</v>
      </c>
      <c r="R36" s="77">
        <f t="shared" si="11"/>
        <v>0</v>
      </c>
      <c r="S36" s="77">
        <f t="shared" si="11"/>
        <v>0.25273500000000004</v>
      </c>
      <c r="T36" s="77">
        <f t="shared" si="11"/>
        <v>0</v>
      </c>
      <c r="U36" s="77">
        <f t="shared" si="11"/>
        <v>0</v>
      </c>
      <c r="AB36" s="59"/>
      <c r="AC36" s="59"/>
      <c r="AD36" s="59"/>
      <c r="AE36" s="59"/>
      <c r="AF36" s="59"/>
      <c r="AG36" s="59"/>
      <c r="AH36" s="59"/>
      <c r="AI36" s="59"/>
    </row>
    <row r="37" spans="1:35" s="72" customFormat="1" ht="13" x14ac:dyDescent="0.35">
      <c r="A37" s="13">
        <f>I8</f>
        <v>16</v>
      </c>
      <c r="B37" s="15">
        <v>250</v>
      </c>
      <c r="C37" s="77">
        <f t="shared" si="6"/>
        <v>53.534999999999997</v>
      </c>
      <c r="D37" s="77">
        <f t="shared" si="7"/>
        <v>10.6105374</v>
      </c>
      <c r="E37" s="77">
        <f t="shared" si="8"/>
        <v>2.3103465000000001</v>
      </c>
      <c r="F37" s="77">
        <f t="shared" si="9"/>
        <v>6.4196931000000008</v>
      </c>
      <c r="G37" s="77">
        <f t="shared" si="5"/>
        <v>0.25335750000000007</v>
      </c>
      <c r="H37" s="77">
        <f t="shared" si="5"/>
        <v>1.38195</v>
      </c>
      <c r="I37" s="77">
        <f t="shared" si="5"/>
        <v>0.15251250000000002</v>
      </c>
      <c r="J37" s="77">
        <f t="shared" si="5"/>
        <v>5.4157500000000004E-3</v>
      </c>
      <c r="K37" s="77">
        <f t="shared" si="5"/>
        <v>4.9800000000000009E-3</v>
      </c>
      <c r="L37" s="77">
        <f t="shared" si="5"/>
        <v>9.0885000000000007E-2</v>
      </c>
      <c r="M37" s="77">
        <f t="shared" si="5"/>
        <v>9.3997500000000012E-2</v>
      </c>
      <c r="N37" s="77">
        <f t="shared" si="5"/>
        <v>13.695000000000002</v>
      </c>
      <c r="O37" s="77">
        <f t="shared" si="5"/>
        <v>2359.2750000000001</v>
      </c>
      <c r="P37" s="77">
        <f t="shared" si="5"/>
        <v>0</v>
      </c>
      <c r="Q37" s="77">
        <f t="shared" si="10"/>
        <v>89.951250000000016</v>
      </c>
      <c r="R37" s="77">
        <f t="shared" si="11"/>
        <v>0</v>
      </c>
      <c r="S37" s="77">
        <f t="shared" si="11"/>
        <v>0.25273500000000004</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"&amp;(VLOOKUP(C14,Table245810[],6,FALSE))</f>
        <v>Medium/Clay I Grass</v>
      </c>
      <c r="C58" s="13" t="str">
        <f>D16&amp;" I "&amp;(VLOOKUP(D14,Table245810[],6,FALSE))</f>
        <v>Medium/Clay I Grass</v>
      </c>
      <c r="D58" s="13" t="str">
        <f>E16&amp;" I "&amp;(VLOOKUP(E14,Table245810[],6,FALSE))</f>
        <v>Medium/Clay I Arable</v>
      </c>
      <c r="E58" s="13" t="str">
        <f>F16&amp;" I "&amp;(VLOOKUP(F14,Table245810[],6,FALSE))</f>
        <v>Medium/Clay I Arable</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133</v>
      </c>
      <c r="B59" s="76">
        <f>VLOOKUP(C$14,Table245810[],5,FALSE)</f>
        <v>6.2</v>
      </c>
      <c r="C59" s="76">
        <f>VLOOKUP(D$14,Table245810[],5,FALSE)</f>
        <v>6.2</v>
      </c>
      <c r="D59" s="76">
        <f>VLOOKUP(E$14,Table245810[],5,FALSE)</f>
        <v>6.7</v>
      </c>
      <c r="E59" s="76">
        <f>VLOOKUP(F$14,Table245810[],5,FALSE)</f>
        <v>6.7</v>
      </c>
      <c r="F59" s="76">
        <f>VLOOKUP(G$14,Table245810[],5,FALSE)</f>
        <v>6.2</v>
      </c>
      <c r="G59" s="76">
        <f>VLOOKUP(H$14,Table245810[],5,FALSE)</f>
        <v>6.2</v>
      </c>
      <c r="H59" s="76">
        <f>VLOOKUP(I$14,Table245810[],5,FALSE)</f>
        <v>6.2</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6.2</v>
      </c>
      <c r="C60" s="76">
        <f t="shared" ref="C60:U60" si="14">D10</f>
        <v>5.2</v>
      </c>
      <c r="D60" s="76" t="str">
        <f t="shared" si="14"/>
        <v>5..5</v>
      </c>
      <c r="E60" s="76">
        <f t="shared" si="14"/>
        <v>5</v>
      </c>
      <c r="F60" s="76">
        <f t="shared" si="14"/>
        <v>5.5</v>
      </c>
      <c r="G60" s="76">
        <f t="shared" si="14"/>
        <v>5.4</v>
      </c>
      <c r="H60" s="76">
        <f t="shared" si="14"/>
        <v>5.5</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v>
      </c>
      <c r="C64" s="77">
        <f t="shared" ref="C64:U64" si="17">(C59-C60)*C61</f>
        <v>6</v>
      </c>
      <c r="D64" s="77" t="e">
        <f t="shared" si="17"/>
        <v>#VALUE!</v>
      </c>
      <c r="E64" s="77">
        <f t="shared" si="17"/>
        <v>13.600000000000001</v>
      </c>
      <c r="F64" s="77">
        <f t="shared" si="17"/>
        <v>4.2000000000000011</v>
      </c>
      <c r="G64" s="77">
        <f t="shared" si="17"/>
        <v>4.7999999999999989</v>
      </c>
      <c r="H64" s="77">
        <f t="shared" si="17"/>
        <v>4.2000000000000011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v>
      </c>
      <c r="C65" s="77">
        <f t="shared" ref="C65:U65" si="18">C63-C64</f>
        <v>-6</v>
      </c>
      <c r="D65" s="77" t="e">
        <f t="shared" si="18"/>
        <v>#VALUE!</v>
      </c>
      <c r="E65" s="77">
        <f t="shared" si="18"/>
        <v>-13.600000000000001</v>
      </c>
      <c r="F65" s="77">
        <f t="shared" si="18"/>
        <v>-4.2000000000000011</v>
      </c>
      <c r="G65" s="77">
        <f t="shared" si="18"/>
        <v>-4.7999999999999989</v>
      </c>
      <c r="H65" s="77">
        <f t="shared" si="18"/>
        <v>-4.2000000000000011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UNDER</v>
      </c>
      <c r="D66" s="78" t="e">
        <f t="shared" si="19"/>
        <v>#VALUE!</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mH46SoT5wWqwaZU2iEWXCB+2vA94kMg1qiuy9fiyYQOrhBTTY9OqPvzeOqJKW31eUq4smtUZV87b3mJPrf9UQ==" saltValue="0xCI1FGB/4pJ3oldRcolN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4" operator="equal">
      <formula>"DECREASE"</formula>
    </cfRule>
    <cfRule type="cellIs" dxfId="208" priority="35" operator="equal">
      <formula>"INCREASE"</formula>
    </cfRule>
  </conditionalFormatting>
  <conditionalFormatting sqref="B31:B50 B62:U66">
    <cfRule type="cellIs" dxfId="207" priority="33" operator="greaterThan">
      <formula>$B$51</formula>
    </cfRule>
  </conditionalFormatting>
  <conditionalFormatting sqref="C31:C50">
    <cfRule type="cellIs" dxfId="206" priority="32" operator="greaterThan">
      <formula>$C$51</formula>
    </cfRule>
  </conditionalFormatting>
  <conditionalFormatting sqref="C18:V18">
    <cfRule type="cellIs" dxfId="205" priority="31" operator="equal">
      <formula>0</formula>
    </cfRule>
  </conditionalFormatting>
  <conditionalFormatting sqref="C17:V17">
    <cfRule type="cellIs" dxfId="204" priority="30" operator="equal">
      <formula>0</formula>
    </cfRule>
  </conditionalFormatting>
  <conditionalFormatting sqref="C19:V19">
    <cfRule type="cellIs" dxfId="203" priority="29" operator="equal">
      <formula>0</formula>
    </cfRule>
  </conditionalFormatting>
  <conditionalFormatting sqref="G31:G50">
    <cfRule type="cellIs" dxfId="202" priority="28" operator="greaterThan">
      <formula>$G$51</formula>
    </cfRule>
  </conditionalFormatting>
  <conditionalFormatting sqref="H31:H50">
    <cfRule type="cellIs" dxfId="201" priority="27" operator="greaterThan">
      <formula>$H$51</formula>
    </cfRule>
  </conditionalFormatting>
  <conditionalFormatting sqref="I31:I50">
    <cfRule type="cellIs" dxfId="200" priority="26" operator="greaterThan">
      <formula>$I$51</formula>
    </cfRule>
  </conditionalFormatting>
  <conditionalFormatting sqref="K31:K50">
    <cfRule type="cellIs" dxfId="199" priority="25" operator="greaterThan">
      <formula>$K$51</formula>
    </cfRule>
  </conditionalFormatting>
  <conditionalFormatting sqref="L31:L50">
    <cfRule type="cellIs" dxfId="198" priority="24" operator="greaterThan">
      <formula>$L$51</formula>
    </cfRule>
  </conditionalFormatting>
  <conditionalFormatting sqref="M31:M50">
    <cfRule type="cellIs" dxfId="197" priority="23" operator="greaterThan">
      <formula>$M$51</formula>
    </cfRule>
  </conditionalFormatting>
  <conditionalFormatting sqref="P31:P50">
    <cfRule type="cellIs" dxfId="196" priority="22" operator="greaterThan">
      <formula>$P$51</formula>
    </cfRule>
  </conditionalFormatting>
  <conditionalFormatting sqref="R31:R50">
    <cfRule type="cellIs" dxfId="195" priority="21" operator="greaterThan">
      <formula>$R$51</formula>
    </cfRule>
  </conditionalFormatting>
  <conditionalFormatting sqref="S31:S50">
    <cfRule type="cellIs" dxfId="194" priority="20" operator="greaterThan">
      <formula>$S$51</formula>
    </cfRule>
  </conditionalFormatting>
  <conditionalFormatting sqref="T31:T50">
    <cfRule type="cellIs" dxfId="193" priority="19" operator="greaterThan">
      <formula>$T$51</formula>
    </cfRule>
  </conditionalFormatting>
  <conditionalFormatting sqref="U31:U50">
    <cfRule type="cellIs" dxfId="192" priority="18" operator="greaterThan">
      <formula>$U$51</formula>
    </cfRule>
  </conditionalFormatting>
  <conditionalFormatting sqref="C22:V22">
    <cfRule type="cellIs" dxfId="191" priority="17" operator="equal">
      <formula>0</formula>
    </cfRule>
  </conditionalFormatting>
  <conditionalFormatting sqref="C24:V24">
    <cfRule type="cellIs" dxfId="190" priority="15" operator="equal">
      <formula>"DECREASE"</formula>
    </cfRule>
    <cfRule type="cellIs" dxfId="189" priority="16" operator="equal">
      <formula>"INCREASE"</formula>
    </cfRule>
  </conditionalFormatting>
  <conditionalFormatting sqref="C23:V23">
    <cfRule type="cellIs" dxfId="188" priority="14" operator="equal">
      <formula>0</formula>
    </cfRule>
  </conditionalFormatting>
  <conditionalFormatting sqref="I1">
    <cfRule type="cellIs" dxfId="187" priority="13" operator="lessThan">
      <formula>5</formula>
    </cfRule>
  </conditionalFormatting>
  <conditionalFormatting sqref="C21:V21">
    <cfRule type="cellIs" dxfId="186" priority="10" operator="equal">
      <formula>0</formula>
    </cfRule>
  </conditionalFormatting>
  <conditionalFormatting sqref="B66:U66">
    <cfRule type="cellIs" dxfId="185" priority="8" operator="equal">
      <formula>"UNDER"</formula>
    </cfRule>
    <cfRule type="cellIs" dxfId="184" priority="9" operator="equal">
      <formula>"OVER"</formula>
    </cfRule>
  </conditionalFormatting>
  <conditionalFormatting sqref="I2">
    <cfRule type="cellIs" dxfId="183" priority="7" operator="greaterThan">
      <formula>5000.1</formula>
    </cfRule>
  </conditionalFormatting>
  <conditionalFormatting sqref="I3">
    <cfRule type="cellIs" dxfId="182" priority="6" operator="greaterThan">
      <formula>4.1</formula>
    </cfRule>
  </conditionalFormatting>
  <conditionalFormatting sqref="J31:J50">
    <cfRule type="cellIs" dxfId="181" priority="5"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7"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Bryngwyn!C1:D1</f>
        <v>PAN-015421</v>
      </c>
      <c r="D1" s="140"/>
      <c r="E1" s="93" t="s">
        <v>45</v>
      </c>
      <c r="F1" s="39" t="str">
        <f>Bryngwyn!F1</f>
        <v>46.9 ha</v>
      </c>
      <c r="G1" s="119" t="s">
        <v>43</v>
      </c>
      <c r="H1" s="120"/>
      <c r="I1" s="96">
        <v>7</v>
      </c>
      <c r="J1" s="118" t="s">
        <v>154</v>
      </c>
      <c r="K1" s="118"/>
      <c r="L1" s="97">
        <v>233</v>
      </c>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Bryngwyn!C2:D2</f>
        <v>EPR/GP3792SK</v>
      </c>
      <c r="D2" s="142"/>
      <c r="E2" s="93" t="s">
        <v>109</v>
      </c>
      <c r="F2" s="96" t="s">
        <v>173</v>
      </c>
      <c r="G2" s="137" t="s">
        <v>110</v>
      </c>
      <c r="H2" s="138"/>
      <c r="I2" s="96"/>
      <c r="J2" s="118" t="s">
        <v>159</v>
      </c>
      <c r="K2" s="118"/>
      <c r="L2" s="97">
        <v>0.63600000000000001</v>
      </c>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Bryngwyn!C3:D3</f>
        <v>ByProduct Recovery Limited</v>
      </c>
      <c r="D3" s="142"/>
      <c r="E3" s="93" t="s">
        <v>108</v>
      </c>
      <c r="F3" s="31" t="s">
        <v>78</v>
      </c>
      <c r="G3" s="119" t="s">
        <v>111</v>
      </c>
      <c r="H3" s="120"/>
      <c r="I3" s="96"/>
      <c r="J3" s="119" t="s">
        <v>155</v>
      </c>
      <c r="K3" s="120"/>
      <c r="L3" s="97">
        <f>(L1/(L2*10000))*100</f>
        <v>3.6635220125786163</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f>Bryngwyn!C4:D4</f>
        <v>0</v>
      </c>
      <c r="D4" s="140"/>
      <c r="E4" s="94" t="s">
        <v>1</v>
      </c>
      <c r="F4" s="96" t="s">
        <v>178</v>
      </c>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Bryngwyn!C5:D5</f>
        <v>Rhiannon Smith</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Bryngwyn!C8</f>
        <v>Abercynrig 2</v>
      </c>
      <c r="D8" s="60" t="str">
        <f>Bryngwyn!D8</f>
        <v>Abercynrig 10</v>
      </c>
      <c r="E8" s="60">
        <f>Bryngwyn!E8</f>
        <v>1</v>
      </c>
      <c r="F8" s="60">
        <f>Bryngwyn!F8</f>
        <v>2</v>
      </c>
      <c r="G8" s="60">
        <f>Bryngwyn!G8</f>
        <v>10</v>
      </c>
      <c r="H8" s="60">
        <f>Bryngwyn!H8</f>
        <v>11</v>
      </c>
      <c r="I8" s="60">
        <f>Bryngwyn!I8</f>
        <v>16</v>
      </c>
      <c r="J8" s="60">
        <f>Bryngwyn!J8</f>
        <v>0</v>
      </c>
      <c r="K8" s="60">
        <f>Bryngwyn!K8</f>
        <v>0</v>
      </c>
      <c r="L8" s="60">
        <f>Bryngwyn!L8</f>
        <v>0</v>
      </c>
      <c r="M8" s="60">
        <f>Bryngwyn!M8</f>
        <v>0</v>
      </c>
      <c r="N8" s="60">
        <f>Bryngwyn!N8</f>
        <v>0</v>
      </c>
      <c r="O8" s="60">
        <f>Bryngwyn!O8</f>
        <v>0</v>
      </c>
      <c r="P8" s="60">
        <f>Bryngwyn!P8</f>
        <v>0</v>
      </c>
      <c r="Q8" s="60">
        <f>Bryngwyn!Q8</f>
        <v>0</v>
      </c>
      <c r="R8" s="60">
        <f>Bryngwyn!R8</f>
        <v>0</v>
      </c>
      <c r="S8" s="60">
        <f>Bryngwyn!S8</f>
        <v>0</v>
      </c>
      <c r="T8" s="60">
        <f>Bryngwyn!T8</f>
        <v>0</v>
      </c>
      <c r="U8" s="60">
        <f>Bryngwyn!U8</f>
        <v>0</v>
      </c>
      <c r="V8" s="60">
        <f>Bryngwyn!V8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Bryngwyn!C9</f>
        <v>M</v>
      </c>
      <c r="D9" s="60" t="str">
        <f>Bryngwyn!D9</f>
        <v>m</v>
      </c>
      <c r="E9" s="60">
        <f>Bryngwyn!E9</f>
        <v>1</v>
      </c>
      <c r="F9" s="60">
        <f>Bryngwyn!F9</f>
        <v>1</v>
      </c>
      <c r="G9" s="60" t="str">
        <f>Bryngwyn!G9</f>
        <v>M</v>
      </c>
      <c r="H9" s="60" t="str">
        <f>Bryngwyn!H9</f>
        <v>M</v>
      </c>
      <c r="I9" s="60" t="str">
        <f>Bryngwyn!I9</f>
        <v>M</v>
      </c>
      <c r="J9" s="60">
        <f>Bryngwyn!J9</f>
        <v>0</v>
      </c>
      <c r="K9" s="60">
        <f>Bryngwyn!K9</f>
        <v>0</v>
      </c>
      <c r="L9" s="60">
        <f>Bryngwyn!L9</f>
        <v>0</v>
      </c>
      <c r="M9" s="60">
        <f>Bryngwyn!M9</f>
        <v>0</v>
      </c>
      <c r="N9" s="60">
        <f>Bryngwyn!N9</f>
        <v>0</v>
      </c>
      <c r="O9" s="60">
        <f>Bryngwyn!O9</f>
        <v>0</v>
      </c>
      <c r="P9" s="60">
        <f>Bryngwyn!P9</f>
        <v>0</v>
      </c>
      <c r="Q9" s="60">
        <f>Bryngwyn!Q9</f>
        <v>0</v>
      </c>
      <c r="R9" s="60">
        <f>Bryngwyn!R9</f>
        <v>0</v>
      </c>
      <c r="S9" s="60">
        <f>Bryngwyn!S9</f>
        <v>0</v>
      </c>
      <c r="T9" s="60">
        <f>Bryngwyn!T9</f>
        <v>0</v>
      </c>
      <c r="U9" s="60">
        <f>Bryngwyn!U9</f>
        <v>0</v>
      </c>
      <c r="V9" s="60">
        <f>Bryngwyn!V9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Bryngwyn!C10</f>
        <v>6.2</v>
      </c>
      <c r="D10" s="60">
        <f>Bryngwyn!D10</f>
        <v>5.2</v>
      </c>
      <c r="E10" s="60" t="str">
        <f>Bryngwyn!E10</f>
        <v>5..5</v>
      </c>
      <c r="F10" s="60">
        <f>Bryngwyn!F10</f>
        <v>5</v>
      </c>
      <c r="G10" s="60">
        <f>Bryngwyn!G10</f>
        <v>5.5</v>
      </c>
      <c r="H10" s="60">
        <f>Bryngwyn!H10</f>
        <v>5.4</v>
      </c>
      <c r="I10" s="60">
        <f>Bryngwyn!I10</f>
        <v>5.5</v>
      </c>
      <c r="J10" s="60">
        <f>Bryngwyn!J10</f>
        <v>0</v>
      </c>
      <c r="K10" s="60">
        <f>Bryngwyn!K10</f>
        <v>0</v>
      </c>
      <c r="L10" s="60">
        <f>Bryngwyn!L10</f>
        <v>0</v>
      </c>
      <c r="M10" s="60">
        <f>Bryngwyn!M10</f>
        <v>0</v>
      </c>
      <c r="N10" s="60">
        <f>Bryngwyn!N10</f>
        <v>0</v>
      </c>
      <c r="O10" s="60">
        <f>Bryngwyn!O10</f>
        <v>0</v>
      </c>
      <c r="P10" s="60">
        <f>Bryngwyn!P10</f>
        <v>0</v>
      </c>
      <c r="Q10" s="60">
        <f>Bryngwyn!Q10</f>
        <v>0</v>
      </c>
      <c r="R10" s="60">
        <f>Bryngwyn!R10</f>
        <v>0</v>
      </c>
      <c r="S10" s="60">
        <f>Bryngwyn!S10</f>
        <v>0</v>
      </c>
      <c r="T10" s="60">
        <f>Bryngwyn!T10</f>
        <v>0</v>
      </c>
      <c r="U10" s="60">
        <f>Bryngwyn!U10</f>
        <v>0</v>
      </c>
      <c r="V10" s="60">
        <f>Bryngwyn!V10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Bryngwyn!C11</f>
        <v>3</v>
      </c>
      <c r="D11" s="60">
        <f>Bryngwyn!D11</f>
        <v>3</v>
      </c>
      <c r="E11" s="60">
        <f>Bryngwyn!E11</f>
        <v>3</v>
      </c>
      <c r="F11" s="60">
        <f>Bryngwyn!F11</f>
        <v>4</v>
      </c>
      <c r="G11" s="60">
        <f>Bryngwyn!G11</f>
        <v>2</v>
      </c>
      <c r="H11" s="60">
        <f>Bryngwyn!H11</f>
        <v>2</v>
      </c>
      <c r="I11" s="60">
        <f>Bryngwyn!I11</f>
        <v>3</v>
      </c>
      <c r="J11" s="60">
        <f>Bryngwyn!J11</f>
        <v>0</v>
      </c>
      <c r="K11" s="60">
        <f>Bryngwyn!K11</f>
        <v>0</v>
      </c>
      <c r="L11" s="60">
        <f>Bryngwyn!L11</f>
        <v>0</v>
      </c>
      <c r="M11" s="60">
        <f>Bryngwyn!M11</f>
        <v>0</v>
      </c>
      <c r="N11" s="60">
        <f>Bryngwyn!N11</f>
        <v>0</v>
      </c>
      <c r="O11" s="60">
        <f>Bryngwyn!O11</f>
        <v>0</v>
      </c>
      <c r="P11" s="60">
        <f>Bryngwyn!P11</f>
        <v>0</v>
      </c>
      <c r="Q11" s="60">
        <f>Bryngwyn!Q11</f>
        <v>0</v>
      </c>
      <c r="R11" s="60">
        <f>Bryngwyn!R11</f>
        <v>0</v>
      </c>
      <c r="S11" s="60">
        <f>Bryngwyn!S11</f>
        <v>0</v>
      </c>
      <c r="T11" s="60">
        <f>Bryngwyn!T11</f>
        <v>0</v>
      </c>
      <c r="U11" s="60">
        <f>Bryngwyn!U11</f>
        <v>0</v>
      </c>
      <c r="V11" s="60">
        <f>Bryngwyn!V11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Bryngwyn!C12</f>
        <v>2</v>
      </c>
      <c r="D12" s="60">
        <f>Bryngwyn!D12</f>
        <v>1</v>
      </c>
      <c r="E12" s="60">
        <f>Bryngwyn!E12</f>
        <v>2</v>
      </c>
      <c r="F12" s="60">
        <f>Bryngwyn!F12</f>
        <v>1</v>
      </c>
      <c r="G12" s="60">
        <f>Bryngwyn!G12</f>
        <v>1</v>
      </c>
      <c r="H12" s="60">
        <f>Bryngwyn!H12</f>
        <v>1</v>
      </c>
      <c r="I12" s="60">
        <f>Bryngwyn!I12</f>
        <v>1</v>
      </c>
      <c r="J12" s="60">
        <f>Bryngwyn!J12</f>
        <v>0</v>
      </c>
      <c r="K12" s="60">
        <f>Bryngwyn!K12</f>
        <v>0</v>
      </c>
      <c r="L12" s="60">
        <f>Bryngwyn!L12</f>
        <v>0</v>
      </c>
      <c r="M12" s="60">
        <f>Bryngwyn!M12</f>
        <v>0</v>
      </c>
      <c r="N12" s="60">
        <f>Bryngwyn!N12</f>
        <v>0</v>
      </c>
      <c r="O12" s="60">
        <f>Bryngwyn!O12</f>
        <v>0</v>
      </c>
      <c r="P12" s="60">
        <f>Bryngwyn!P12</f>
        <v>0</v>
      </c>
      <c r="Q12" s="60">
        <f>Bryngwyn!Q12</f>
        <v>0</v>
      </c>
      <c r="R12" s="60">
        <f>Bryngwyn!R12</f>
        <v>0</v>
      </c>
      <c r="S12" s="60">
        <f>Bryngwyn!S12</f>
        <v>0</v>
      </c>
      <c r="T12" s="60">
        <f>Bryngwyn!T12</f>
        <v>0</v>
      </c>
      <c r="U12" s="60">
        <f>Bryngwyn!U12</f>
        <v>0</v>
      </c>
      <c r="V12" s="60">
        <f>Bryngwyn!V12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Bryngwyn!C13</f>
        <v>3</v>
      </c>
      <c r="D13" s="60">
        <f>Bryngwyn!D13</f>
        <v>2</v>
      </c>
      <c r="E13" s="60">
        <f>Bryngwyn!E13</f>
        <v>3</v>
      </c>
      <c r="F13" s="60">
        <f>Bryngwyn!F13</f>
        <v>2</v>
      </c>
      <c r="G13" s="60">
        <f>Bryngwyn!G13</f>
        <v>2</v>
      </c>
      <c r="H13" s="60">
        <f>Bryngwyn!H13</f>
        <v>2</v>
      </c>
      <c r="I13" s="60">
        <f>Bryngwyn!I13</f>
        <v>3</v>
      </c>
      <c r="J13" s="60">
        <f>Bryngwyn!J13</f>
        <v>0</v>
      </c>
      <c r="K13" s="60">
        <f>Bryngwyn!K13</f>
        <v>0</v>
      </c>
      <c r="L13" s="60">
        <f>Bryngwyn!L13</f>
        <v>0</v>
      </c>
      <c r="M13" s="60">
        <f>Bryngwyn!M13</f>
        <v>0</v>
      </c>
      <c r="N13" s="60">
        <f>Bryngwyn!N13</f>
        <v>0</v>
      </c>
      <c r="O13" s="60">
        <f>Bryngwyn!O13</f>
        <v>0</v>
      </c>
      <c r="P13" s="60">
        <f>Bryngwyn!P13</f>
        <v>0</v>
      </c>
      <c r="Q13" s="60">
        <f>Bryngwyn!Q13</f>
        <v>0</v>
      </c>
      <c r="R13" s="60">
        <f>Bryngwyn!R13</f>
        <v>0</v>
      </c>
      <c r="S13" s="60">
        <f>Bryngwyn!S13</f>
        <v>0</v>
      </c>
      <c r="T13" s="60">
        <f>Bryngwyn!T13</f>
        <v>0</v>
      </c>
      <c r="U13" s="60">
        <f>Bryngwyn!U13</f>
        <v>0</v>
      </c>
      <c r="V13" s="60">
        <f>Bryngwyn!V13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Bryngwyn!C14</f>
        <v xml:space="preserve">Grass Silage (25% DM) </v>
      </c>
      <c r="D14" s="102" t="str">
        <f>Bryngwyn!D14</f>
        <v xml:space="preserve">Grass Silage (25% DM) </v>
      </c>
      <c r="E14" s="102" t="str">
        <f>Bryngwyn!E14</f>
        <v>Winter barley/triticale/rye</v>
      </c>
      <c r="F14" s="102" t="str">
        <f>Bryngwyn!F14</f>
        <v>Winter barley/triticale/rye</v>
      </c>
      <c r="G14" s="102" t="str">
        <f>Bryngwyn!G14</f>
        <v xml:space="preserve">Grass Silage (25% DM) </v>
      </c>
      <c r="H14" s="102" t="str">
        <f>Bryngwyn!H14</f>
        <v xml:space="preserve">Grass Silage (25% DM) </v>
      </c>
      <c r="I14" s="102" t="str">
        <f>Bryngwyn!I14</f>
        <v xml:space="preserve">Grass Silage (25% DM) </v>
      </c>
      <c r="J14" s="102">
        <f>Bryngwyn!J14</f>
        <v>0</v>
      </c>
      <c r="K14" s="102">
        <f>Bryngwyn!K14</f>
        <v>0</v>
      </c>
      <c r="L14" s="102">
        <f>Bryngwyn!L14</f>
        <v>0</v>
      </c>
      <c r="M14" s="102">
        <f>Bryngwyn!M14</f>
        <v>0</v>
      </c>
      <c r="N14" s="102">
        <f>Bryngwyn!N14</f>
        <v>0</v>
      </c>
      <c r="O14" s="102">
        <f>Bryngwyn!O14</f>
        <v>0</v>
      </c>
      <c r="P14" s="102">
        <f>Bryngwyn!P14</f>
        <v>0</v>
      </c>
      <c r="Q14" s="102">
        <f>Bryngwyn!Q14</f>
        <v>0</v>
      </c>
      <c r="R14" s="102">
        <f>Bryngwyn!R14</f>
        <v>0</v>
      </c>
      <c r="S14" s="102">
        <f>Bryngwyn!S14</f>
        <v>0</v>
      </c>
      <c r="T14" s="102">
        <f>Bryngwyn!T14</f>
        <v>0</v>
      </c>
      <c r="U14" s="102">
        <f>Bryngwyn!U14</f>
        <v>0</v>
      </c>
      <c r="V14" s="102">
        <f>Bryngwyn!V14</f>
        <v>0</v>
      </c>
      <c r="AD14" s="30" t="s">
        <v>139</v>
      </c>
      <c r="AE14" s="30">
        <v>6</v>
      </c>
      <c r="AI14" s="53" t="s">
        <v>120</v>
      </c>
      <c r="AJ14" s="54">
        <v>0.8</v>
      </c>
      <c r="AK14" s="55">
        <v>1.7</v>
      </c>
      <c r="AL14" s="11">
        <v>12</v>
      </c>
      <c r="AM14" s="11">
        <v>6.7</v>
      </c>
      <c r="AN14" s="11" t="s">
        <v>136</v>
      </c>
    </row>
    <row r="15" spans="1:41" ht="13" x14ac:dyDescent="0.25">
      <c r="A15" s="129" t="s">
        <v>9</v>
      </c>
      <c r="B15" s="129"/>
      <c r="C15" s="60">
        <f>Bryngwyn!C15</f>
        <v>38</v>
      </c>
      <c r="D15" s="60">
        <f>Bryngwyn!D15</f>
        <v>38</v>
      </c>
      <c r="E15" s="60">
        <f>Bryngwyn!E15</f>
        <v>6.5</v>
      </c>
      <c r="F15" s="60">
        <f>Bryngwyn!F15</f>
        <v>6.5</v>
      </c>
      <c r="G15" s="60">
        <f>Bryngwyn!G15</f>
        <v>38</v>
      </c>
      <c r="H15" s="60">
        <f>Bryngwyn!H15</f>
        <v>38</v>
      </c>
      <c r="I15" s="60">
        <f>Bryngwyn!I15</f>
        <v>38</v>
      </c>
      <c r="J15" s="60">
        <f>Bryngwyn!J15</f>
        <v>0</v>
      </c>
      <c r="K15" s="60">
        <f>Bryngwyn!K15</f>
        <v>0</v>
      </c>
      <c r="L15" s="60">
        <f>Bryngwyn!L15</f>
        <v>0</v>
      </c>
      <c r="M15" s="60">
        <f>Bryngwyn!M15</f>
        <v>0</v>
      </c>
      <c r="N15" s="60">
        <f>Bryngwyn!N15</f>
        <v>0</v>
      </c>
      <c r="O15" s="60">
        <f>Bryngwyn!O15</f>
        <v>0</v>
      </c>
      <c r="P15" s="60">
        <f>Bryngwyn!P15</f>
        <v>0</v>
      </c>
      <c r="Q15" s="60">
        <f>Bryngwyn!Q15</f>
        <v>0</v>
      </c>
      <c r="R15" s="60">
        <f>Bryngwyn!R15</f>
        <v>0</v>
      </c>
      <c r="S15" s="60">
        <f>Bryngwyn!S15</f>
        <v>0</v>
      </c>
      <c r="T15" s="60">
        <f>Bryngwyn!T15</f>
        <v>0</v>
      </c>
      <c r="U15" s="60">
        <f>Bryngwyn!U15</f>
        <v>0</v>
      </c>
      <c r="V15" s="60">
        <f>Bryngwyn!V15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Bryngwyn!C16</f>
        <v>Medium/Clay</v>
      </c>
      <c r="D16" s="103" t="str">
        <f>Bryngwyn!D16</f>
        <v>Medium/Clay</v>
      </c>
      <c r="E16" s="103" t="str">
        <f>Bryngwyn!E16</f>
        <v>Medium/Clay</v>
      </c>
      <c r="F16" s="103" t="str">
        <f>Bryngwyn!F16</f>
        <v>Medium/Clay</v>
      </c>
      <c r="G16" s="103" t="str">
        <f>Bryngwyn!G16</f>
        <v>Medium/Clay</v>
      </c>
      <c r="H16" s="103" t="str">
        <f>Bryngwyn!H16</f>
        <v>Medium/Clay</v>
      </c>
      <c r="I16" s="103" t="str">
        <f>Bryngwyn!I16</f>
        <v>Medium/Clay</v>
      </c>
      <c r="J16" s="103">
        <f>Bryngwyn!J16</f>
        <v>0</v>
      </c>
      <c r="K16" s="103">
        <f>Bryngwyn!K16</f>
        <v>0</v>
      </c>
      <c r="L16" s="103">
        <f>Bryngwyn!L16</f>
        <v>0</v>
      </c>
      <c r="M16" s="103">
        <f>Bryngwyn!M16</f>
        <v>0</v>
      </c>
      <c r="N16" s="103">
        <f>Bryngwyn!N16</f>
        <v>0</v>
      </c>
      <c r="O16" s="103">
        <f>Bryngwyn!O16</f>
        <v>0</v>
      </c>
      <c r="P16" s="103">
        <f>Bryngwyn!P16</f>
        <v>0</v>
      </c>
      <c r="Q16" s="103">
        <f>Bryngwyn!Q16</f>
        <v>0</v>
      </c>
      <c r="R16" s="103">
        <f>Bryngwyn!R16</f>
        <v>0</v>
      </c>
      <c r="S16" s="103">
        <f>Bryngwyn!S16</f>
        <v>0</v>
      </c>
      <c r="T16" s="103">
        <f>Bryngwyn!T16</f>
        <v>0</v>
      </c>
      <c r="U16" s="103">
        <f>Bryngwyn!U16</f>
        <v>0</v>
      </c>
      <c r="V16" s="103">
        <f>Bryngwyn!V16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64.599999999999994</v>
      </c>
      <c r="D17" s="28">
        <f t="shared" ref="D17:V17" si="0">(VLOOKUP(D$14,$AI2:$AK26,2,FALSE))*D$15</f>
        <v>64.599999999999994</v>
      </c>
      <c r="E17" s="28">
        <f t="shared" si="0"/>
        <v>55.25</v>
      </c>
      <c r="F17" s="28">
        <f t="shared" si="0"/>
        <v>55.25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22.213535999999998</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-42.386463999999997</v>
      </c>
      <c r="D19" s="16">
        <f t="shared" ref="D19:V19" si="1">D18-D17</f>
        <v>-64.599999999999994</v>
      </c>
      <c r="E19" s="16">
        <f t="shared" si="1"/>
        <v>-55.25</v>
      </c>
      <c r="F19" s="16">
        <f t="shared" si="1"/>
        <v>-55.25</v>
      </c>
      <c r="G19" s="16">
        <f t="shared" si="1"/>
        <v>-64.599999999999994</v>
      </c>
      <c r="H19" s="16">
        <f t="shared" si="1"/>
        <v>-64.599999999999994</v>
      </c>
      <c r="I19" s="16">
        <f t="shared" si="1"/>
        <v>-64.599999999999994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228</v>
      </c>
      <c r="D21" s="28">
        <f t="shared" ref="D21:V21" si="2">(VLOOKUP(D$14,$AI2:$AK26,3,FALSE))*D$15</f>
        <v>228</v>
      </c>
      <c r="E21" s="28">
        <f t="shared" si="2"/>
        <v>68.25</v>
      </c>
      <c r="F21" s="28">
        <f t="shared" si="2"/>
        <v>68.25</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5.1477599999999981</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-222.85223999999999</v>
      </c>
      <c r="D23" s="16">
        <f t="shared" ref="D23:V23" si="3">D22-D21</f>
        <v>-228</v>
      </c>
      <c r="E23" s="16">
        <f t="shared" si="3"/>
        <v>-68.25</v>
      </c>
      <c r="F23" s="16">
        <f t="shared" si="3"/>
        <v>-68.25</v>
      </c>
      <c r="G23" s="16">
        <f t="shared" si="3"/>
        <v>-228</v>
      </c>
      <c r="H23" s="16">
        <f t="shared" si="3"/>
        <v>-228</v>
      </c>
      <c r="I23" s="16">
        <f t="shared" si="3"/>
        <v>-228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3.84</v>
      </c>
      <c r="C28" s="15">
        <v>0.63600000000000001</v>
      </c>
      <c r="D28" s="15">
        <v>0.10100000000000001</v>
      </c>
      <c r="E28" s="15">
        <v>4.4499999999999998E-2</v>
      </c>
      <c r="F28" s="15">
        <v>1080</v>
      </c>
      <c r="G28" s="15">
        <v>21.1</v>
      </c>
      <c r="H28" s="15">
        <v>52.2</v>
      </c>
      <c r="I28" s="15">
        <v>6.2</v>
      </c>
      <c r="J28" s="15">
        <v>0.25</v>
      </c>
      <c r="K28" s="23">
        <v>0.53</v>
      </c>
      <c r="L28" s="15">
        <v>5.0999999999999996</v>
      </c>
      <c r="M28" s="15">
        <v>4.3</v>
      </c>
      <c r="N28" s="15">
        <v>104000</v>
      </c>
      <c r="O28" s="15">
        <v>7840</v>
      </c>
      <c r="P28" s="15"/>
      <c r="Q28" s="15">
        <v>3810</v>
      </c>
      <c r="R28" s="15"/>
      <c r="S28" s="15">
        <v>40.700000000000003</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Abercynrig 2</v>
      </c>
      <c r="B31" s="15">
        <v>250</v>
      </c>
      <c r="C31" s="77">
        <f>IF(C$27="%w/w SAR",((C$28*10)*$B31),IF(C$27="%w/w DM",(((C$28*10)*($B$28/100))*$B31),IF(C$27="kg/t SAR",(C$28*$B31),IF(C$27="kg/t DM",((C$28*($B$28/100))*$B31),IF(C$27="mg/kg SAR",((C$28*0.001)*$B31),IF(C$27="mg/kg DM",(((C$28*0.001)*($B$28/100))*$B31),0))))))</f>
        <v>61.055999999999997</v>
      </c>
      <c r="D31" s="77">
        <f>(IF(D$27="%w/w SAR",((D$28*10)*$B31),IF(D$27="%w/w DM",(((D$28*10)*($B$28/100))*$B31),IF(D$27="kg/t SAR",(D$28*$B31),IF(D$27="kg/t DM",((D$28*($B$28/100))*$B31),IF(D$27="mg/kg SAR",((D$28*0.001)*$B31),IF(D$27="mg/kg DM",(((D$28*0.001)*($B$28/100))*$B31),"0")))))))*2.291</f>
        <v>22.213535999999998</v>
      </c>
      <c r="E31" s="77">
        <f>(IF(E$27="%w/w SAR",((E$28*10)*$B31),IF(E$27="%w/w DM",(((E$28*10)*($B$28/100))*$B31),IF(E$27="kg/t SAR",(E$28*$B31),IF(E$27="kg/t DM",((E$28*($B$28/100))*$B31),IF(E$27="mg/kg SAR",((E$28*0.001)*$B31),IF(E$27="mg/kg DM",(((E$28*0.001)*($B$28/100))*$B31),"0")))))))*1.205</f>
        <v>5.1477599999999981</v>
      </c>
      <c r="F31" s="77">
        <f>(IF(F$27="%w/w SAR",((F$28*10)*$B31),IF(F$27="%w/w DM",(((F$28*10)*($B$28/100))*$B31),IF(F$27="kg/t SAR",(F$28*$B31),IF(F$27="kg/t DM",((F$28*($B$28/100))*$B31),IF(F$27="mg/kg SAR",((F$28*0.001)*$B31),IF(F$27="mg/kg DM",(((F$28*0.001)*($B$28/100))*$B31),"0")))))))*1.658</f>
        <v>17.190144</v>
      </c>
      <c r="G31" s="77">
        <f t="shared" ref="G31:P46" si="5">IF(G$27="%w/w SAR",((G$28*10)*$B31),IF(G$27="%w/w DM",(((G$28*10)*($B$28/100))*$B31),IF(G$27="kg/t SAR",(G$28*$B31),IF(G$27="kg/t DM",((G$28*($B$28/100))*$B31),IF(G$27="mg/kg SAR",((G$28*0.001)*$B31),IF(G$27="mg/kg DM",(((G$28*0.001)*($B$28/100))*$B31),0))))))</f>
        <v>0.20255999999999999</v>
      </c>
      <c r="H31" s="77">
        <f t="shared" si="5"/>
        <v>0.50112000000000001</v>
      </c>
      <c r="I31" s="77">
        <f t="shared" si="5"/>
        <v>5.9519999999999997E-2</v>
      </c>
      <c r="J31" s="77">
        <f t="shared" si="5"/>
        <v>2.3999999999999998E-3</v>
      </c>
      <c r="K31" s="77">
        <f t="shared" si="5"/>
        <v>5.0880000000000005E-3</v>
      </c>
      <c r="L31" s="77">
        <f t="shared" si="5"/>
        <v>4.895999999999999E-2</v>
      </c>
      <c r="M31" s="77">
        <f t="shared" si="5"/>
        <v>4.1279999999999997E-2</v>
      </c>
      <c r="N31" s="77">
        <f t="shared" si="5"/>
        <v>998.4</v>
      </c>
      <c r="O31" s="77">
        <f t="shared" si="5"/>
        <v>75.263999999999996</v>
      </c>
      <c r="P31" s="77">
        <f t="shared" si="5"/>
        <v>0</v>
      </c>
      <c r="Q31" s="77">
        <f>(IF(Q$27="%w/w SAR",((Q$28*10)*$B31),IF(Q$27="%w/w DM",(((Q$28*10)*($B$28/100))*$B31),IF(Q$27="kg/t SAR",(Q$28*$B31),IF(Q$27="kg/t DM",((Q$28*($B$28/100))*$B31),IF(Q$27="mg/kg SAR",((Q$28*0.001)*$B31),IF(Q$27="mg/kg DM",(((Q$28*0.001)*($B$28/100))*$B31),0)))))))*2.5</f>
        <v>91.44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0.39072000000000007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Abercynrig 10</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v>
      </c>
      <c r="B33" s="15">
        <v>0</v>
      </c>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2</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10</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11</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16</v>
      </c>
      <c r="B37" s="15">
        <v>0</v>
      </c>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"&amp;(VLOOKUP(C14,Table2458[],6,FALSE))</f>
        <v>Medium/Clay I Grass</v>
      </c>
      <c r="C58" s="13" t="str">
        <f>D16&amp;" I "&amp;(VLOOKUP(D14,Table2458[],6,FALSE))</f>
        <v>Medium/Clay I Grass</v>
      </c>
      <c r="D58" s="13" t="str">
        <f>E16&amp;" I "&amp;(VLOOKUP(E14,Table2458[],6,FALSE))</f>
        <v>Medium/Clay I Arable</v>
      </c>
      <c r="E58" s="13" t="str">
        <f>F16&amp;" I "&amp;(VLOOKUP(F14,Table2458[],6,FALSE))</f>
        <v>Medium/Clay I Arable</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133</v>
      </c>
      <c r="B59" s="76">
        <f>VLOOKUP(C$14,Table2458[],5,FALSE)</f>
        <v>6.2</v>
      </c>
      <c r="C59" s="76">
        <f>VLOOKUP(D$14,Table2458[],5,FALSE)</f>
        <v>6.2</v>
      </c>
      <c r="D59" s="76">
        <f>VLOOKUP(E$14,Table2458[],5,FALSE)</f>
        <v>6.7</v>
      </c>
      <c r="E59" s="76">
        <f>VLOOKUP(F$14,Table2458[],5,FALSE)</f>
        <v>6.7</v>
      </c>
      <c r="F59" s="76">
        <f>VLOOKUP(G$14,Table2458[],5,FALSE)</f>
        <v>6.2</v>
      </c>
      <c r="G59" s="76">
        <f>VLOOKUP(H$14,Table2458[],5,FALSE)</f>
        <v>6.2</v>
      </c>
      <c r="H59" s="76">
        <f>VLOOKUP(I$14,Table2458[],5,FALSE)</f>
        <v>6.2</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6.2</v>
      </c>
      <c r="C60" s="76">
        <f t="shared" ref="C60:U60" si="14">D10</f>
        <v>5.2</v>
      </c>
      <c r="D60" s="76" t="str">
        <f t="shared" si="14"/>
        <v>5..5</v>
      </c>
      <c r="E60" s="76">
        <f t="shared" si="14"/>
        <v>5</v>
      </c>
      <c r="F60" s="76">
        <f t="shared" si="14"/>
        <v>5.5</v>
      </c>
      <c r="G60" s="76">
        <f t="shared" si="14"/>
        <v>5.4</v>
      </c>
      <c r="H60" s="76">
        <f t="shared" si="14"/>
        <v>5.5</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v>
      </c>
      <c r="C64" s="77">
        <f t="shared" ref="C64:U64" si="17">(C59-C60)*C61</f>
        <v>6</v>
      </c>
      <c r="D64" s="77" t="e">
        <f t="shared" si="17"/>
        <v>#VALUE!</v>
      </c>
      <c r="E64" s="77">
        <f t="shared" si="17"/>
        <v>13.600000000000001</v>
      </c>
      <c r="F64" s="77">
        <f t="shared" si="17"/>
        <v>4.2000000000000011</v>
      </c>
      <c r="G64" s="77">
        <f t="shared" si="17"/>
        <v>4.7999999999999989</v>
      </c>
      <c r="H64" s="77">
        <f t="shared" si="17"/>
        <v>4.2000000000000011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v>
      </c>
      <c r="C65" s="77">
        <f t="shared" ref="C65:U65" si="18">C63-C64</f>
        <v>-6</v>
      </c>
      <c r="D65" s="77" t="e">
        <f t="shared" si="18"/>
        <v>#VALUE!</v>
      </c>
      <c r="E65" s="77">
        <f t="shared" si="18"/>
        <v>-13.600000000000001</v>
      </c>
      <c r="F65" s="77">
        <f t="shared" si="18"/>
        <v>-4.2000000000000011</v>
      </c>
      <c r="G65" s="77">
        <f t="shared" si="18"/>
        <v>-4.7999999999999989</v>
      </c>
      <c r="H65" s="77">
        <f t="shared" si="18"/>
        <v>-4.2000000000000011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UNDER</v>
      </c>
      <c r="D66" s="78" t="e">
        <f t="shared" si="19"/>
        <v>#VALUE!</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jjZO3BMGLFCygYuJu1A8N7sl47QYfBNTBmXAUookcY7HYpBSolXMLm99s8AN24TwJRna+xS3QhMFlIZWNizaew==" saltValue="3AH+Jyk98fc6QpY+3cMrP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4" operator="equal">
      <formula>"DECREASE"</formula>
    </cfRule>
    <cfRule type="cellIs" dxfId="166" priority="35" operator="equal">
      <formula>"INCREASE"</formula>
    </cfRule>
  </conditionalFormatting>
  <conditionalFormatting sqref="B31:B50 B62:U66">
    <cfRule type="cellIs" dxfId="165" priority="33" operator="greaterThan">
      <formula>$B$51</formula>
    </cfRule>
  </conditionalFormatting>
  <conditionalFormatting sqref="C31:C50">
    <cfRule type="cellIs" dxfId="164" priority="32" operator="greaterThan">
      <formula>$C$51</formula>
    </cfRule>
  </conditionalFormatting>
  <conditionalFormatting sqref="C18:V18">
    <cfRule type="cellIs" dxfId="163" priority="31" operator="equal">
      <formula>0</formula>
    </cfRule>
  </conditionalFormatting>
  <conditionalFormatting sqref="C17:V17">
    <cfRule type="cellIs" dxfId="162" priority="30" operator="equal">
      <formula>0</formula>
    </cfRule>
  </conditionalFormatting>
  <conditionalFormatting sqref="C19:V19">
    <cfRule type="cellIs" dxfId="161" priority="29" operator="equal">
      <formula>0</formula>
    </cfRule>
  </conditionalFormatting>
  <conditionalFormatting sqref="G31:G50">
    <cfRule type="cellIs" dxfId="160" priority="28" operator="greaterThan">
      <formula>$G$51</formula>
    </cfRule>
  </conditionalFormatting>
  <conditionalFormatting sqref="H31:H50">
    <cfRule type="cellIs" dxfId="159" priority="27" operator="greaterThan">
      <formula>$H$51</formula>
    </cfRule>
  </conditionalFormatting>
  <conditionalFormatting sqref="I31:I50">
    <cfRule type="cellIs" dxfId="158" priority="26" operator="greaterThan">
      <formula>$I$51</formula>
    </cfRule>
  </conditionalFormatting>
  <conditionalFormatting sqref="K31:K50">
    <cfRule type="cellIs" dxfId="157" priority="25" operator="greaterThan">
      <formula>$K$51</formula>
    </cfRule>
  </conditionalFormatting>
  <conditionalFormatting sqref="L31:L50">
    <cfRule type="cellIs" dxfId="156" priority="24" operator="greaterThan">
      <formula>$L$51</formula>
    </cfRule>
  </conditionalFormatting>
  <conditionalFormatting sqref="M31:M50">
    <cfRule type="cellIs" dxfId="155" priority="23" operator="greaterThan">
      <formula>$M$51</formula>
    </cfRule>
  </conditionalFormatting>
  <conditionalFormatting sqref="P31:P50">
    <cfRule type="cellIs" dxfId="154" priority="22" operator="greaterThan">
      <formula>$P$51</formula>
    </cfRule>
  </conditionalFormatting>
  <conditionalFormatting sqref="R31:R50">
    <cfRule type="cellIs" dxfId="153" priority="21" operator="greaterThan">
      <formula>$R$51</formula>
    </cfRule>
  </conditionalFormatting>
  <conditionalFormatting sqref="S31:S50">
    <cfRule type="cellIs" dxfId="152" priority="20" operator="greaterThan">
      <formula>$S$51</formula>
    </cfRule>
  </conditionalFormatting>
  <conditionalFormatting sqref="T31:T50">
    <cfRule type="cellIs" dxfId="151" priority="19" operator="greaterThan">
      <formula>$T$51</formula>
    </cfRule>
  </conditionalFormatting>
  <conditionalFormatting sqref="U31:U50">
    <cfRule type="cellIs" dxfId="150" priority="18" operator="greaterThan">
      <formula>$U$51</formula>
    </cfRule>
  </conditionalFormatting>
  <conditionalFormatting sqref="C22:V22">
    <cfRule type="cellIs" dxfId="149" priority="17" operator="equal">
      <formula>0</formula>
    </cfRule>
  </conditionalFormatting>
  <conditionalFormatting sqref="C24:V24">
    <cfRule type="cellIs" dxfId="148" priority="15" operator="equal">
      <formula>"DECREASE"</formula>
    </cfRule>
    <cfRule type="cellIs" dxfId="147" priority="16" operator="equal">
      <formula>"INCREASE"</formula>
    </cfRule>
  </conditionalFormatting>
  <conditionalFormatting sqref="C23:V23">
    <cfRule type="cellIs" dxfId="146" priority="14" operator="equal">
      <formula>0</formula>
    </cfRule>
  </conditionalFormatting>
  <conditionalFormatting sqref="I1">
    <cfRule type="cellIs" dxfId="145" priority="13" operator="lessThan">
      <formula>5</formula>
    </cfRule>
  </conditionalFormatting>
  <conditionalFormatting sqref="C21:V21">
    <cfRule type="cellIs" dxfId="144" priority="10" operator="equal">
      <formula>0</formula>
    </cfRule>
  </conditionalFormatting>
  <conditionalFormatting sqref="B66:U66">
    <cfRule type="cellIs" dxfId="143" priority="8" operator="equal">
      <formula>"UNDER"</formula>
    </cfRule>
    <cfRule type="cellIs" dxfId="142" priority="9" operator="equal">
      <formula>"OVER"</formula>
    </cfRule>
  </conditionalFormatting>
  <conditionalFormatting sqref="I2">
    <cfRule type="cellIs" dxfId="141" priority="7" operator="greaterThan">
      <formula>5000.1</formula>
    </cfRule>
  </conditionalFormatting>
  <conditionalFormatting sqref="I3">
    <cfRule type="cellIs" dxfId="140" priority="6" operator="greaterThan">
      <formula>4.1</formula>
    </cfRule>
  </conditionalFormatting>
  <conditionalFormatting sqref="J31:J50">
    <cfRule type="cellIs" dxfId="139" priority="5"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4" zoomScale="90" zoomScaleNormal="90" workbookViewId="0">
      <selection activeCell="T28" sqref="T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Bryngwyn!C1:D1</f>
        <v>PAN-015421</v>
      </c>
      <c r="D1" s="140"/>
      <c r="E1" s="93" t="s">
        <v>45</v>
      </c>
      <c r="F1" s="39" t="str">
        <f>Bryngwyn!F1</f>
        <v>46.9 ha</v>
      </c>
      <c r="G1" s="119" t="s">
        <v>43</v>
      </c>
      <c r="H1" s="120"/>
      <c r="I1" s="96">
        <v>6.5</v>
      </c>
      <c r="J1" s="118" t="s">
        <v>154</v>
      </c>
      <c r="K1" s="118"/>
      <c r="L1" s="97">
        <v>524</v>
      </c>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Bryngwyn!C2:D2</f>
        <v>EPR/GP3792SK</v>
      </c>
      <c r="D2" s="142"/>
      <c r="E2" s="93" t="s">
        <v>109</v>
      </c>
      <c r="F2" s="96" t="s">
        <v>171</v>
      </c>
      <c r="G2" s="137" t="s">
        <v>110</v>
      </c>
      <c r="H2" s="138"/>
      <c r="I2" s="96"/>
      <c r="J2" s="118" t="s">
        <v>159</v>
      </c>
      <c r="K2" s="118"/>
      <c r="L2" s="97">
        <v>0.93700000000000006</v>
      </c>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Bryngwyn!C3:D3</f>
        <v>ByProduct Recovery Limited</v>
      </c>
      <c r="D3" s="142"/>
      <c r="E3" s="93" t="s">
        <v>108</v>
      </c>
      <c r="F3" s="31" t="s">
        <v>78</v>
      </c>
      <c r="G3" s="119" t="s">
        <v>111</v>
      </c>
      <c r="H3" s="120"/>
      <c r="I3" s="96"/>
      <c r="J3" s="119" t="s">
        <v>155</v>
      </c>
      <c r="K3" s="120"/>
      <c r="L3" s="97">
        <f>(L1/(L2*10000))*100</f>
        <v>5.5923159018143007</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f>Bryngwyn!C4:D4</f>
        <v>0</v>
      </c>
      <c r="D4" s="140"/>
      <c r="E4" s="94" t="s">
        <v>1</v>
      </c>
      <c r="F4" s="96" t="s">
        <v>179</v>
      </c>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Bryngwyn!C5:D5</f>
        <v>Rhiannon Smith</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Bryngwyn!C8</f>
        <v>Abercynrig 2</v>
      </c>
      <c r="D8" s="60" t="str">
        <f>Bryngwyn!D8</f>
        <v>Abercynrig 10</v>
      </c>
      <c r="E8" s="60">
        <f>Bryngwyn!E8</f>
        <v>1</v>
      </c>
      <c r="F8" s="60">
        <f>Bryngwyn!F8</f>
        <v>2</v>
      </c>
      <c r="G8" s="60">
        <f>Bryngwyn!G8</f>
        <v>10</v>
      </c>
      <c r="H8" s="60">
        <f>Bryngwyn!H8</f>
        <v>11</v>
      </c>
      <c r="I8" s="60">
        <f>Bryngwyn!I8</f>
        <v>16</v>
      </c>
      <c r="J8" s="60">
        <f>Bryngwyn!J8</f>
        <v>0</v>
      </c>
      <c r="K8" s="60">
        <f>Bryngwyn!K8</f>
        <v>0</v>
      </c>
      <c r="L8" s="60">
        <f>Bryngwyn!L8</f>
        <v>0</v>
      </c>
      <c r="M8" s="60">
        <f>Bryngwyn!M8</f>
        <v>0</v>
      </c>
      <c r="N8" s="60">
        <f>Bryngwyn!N8</f>
        <v>0</v>
      </c>
      <c r="O8" s="60">
        <f>Bryngwyn!O8</f>
        <v>0</v>
      </c>
      <c r="P8" s="60">
        <f>Bryngwyn!P8</f>
        <v>0</v>
      </c>
      <c r="Q8" s="60">
        <f>Bryngwyn!Q8</f>
        <v>0</v>
      </c>
      <c r="R8" s="60">
        <f>Bryngwyn!R8</f>
        <v>0</v>
      </c>
      <c r="S8" s="60">
        <f>Bryngwyn!S8</f>
        <v>0</v>
      </c>
      <c r="T8" s="60">
        <f>Bryngwyn!T8</f>
        <v>0</v>
      </c>
      <c r="U8" s="60">
        <f>Bryngwyn!U8</f>
        <v>0</v>
      </c>
      <c r="V8" s="60">
        <f>Bryngwyn!V8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Bryngwyn!C9</f>
        <v>M</v>
      </c>
      <c r="D9" s="60" t="str">
        <f>Bryngwyn!D9</f>
        <v>m</v>
      </c>
      <c r="E9" s="60">
        <f>Bryngwyn!E9</f>
        <v>1</v>
      </c>
      <c r="F9" s="60">
        <f>Bryngwyn!F9</f>
        <v>1</v>
      </c>
      <c r="G9" s="60" t="str">
        <f>Bryngwyn!G9</f>
        <v>M</v>
      </c>
      <c r="H9" s="60" t="str">
        <f>Bryngwyn!H9</f>
        <v>M</v>
      </c>
      <c r="I9" s="60" t="str">
        <f>Bryngwyn!I9</f>
        <v>M</v>
      </c>
      <c r="J9" s="60">
        <f>Bryngwyn!J9</f>
        <v>0</v>
      </c>
      <c r="K9" s="60">
        <f>Bryngwyn!K9</f>
        <v>0</v>
      </c>
      <c r="L9" s="60">
        <f>Bryngwyn!L9</f>
        <v>0</v>
      </c>
      <c r="M9" s="60">
        <f>Bryngwyn!M9</f>
        <v>0</v>
      </c>
      <c r="N9" s="60">
        <f>Bryngwyn!N9</f>
        <v>0</v>
      </c>
      <c r="O9" s="60">
        <f>Bryngwyn!O9</f>
        <v>0</v>
      </c>
      <c r="P9" s="60">
        <f>Bryngwyn!P9</f>
        <v>0</v>
      </c>
      <c r="Q9" s="60">
        <f>Bryngwyn!Q9</f>
        <v>0</v>
      </c>
      <c r="R9" s="60">
        <f>Bryngwyn!R9</f>
        <v>0</v>
      </c>
      <c r="S9" s="60">
        <f>Bryngwyn!S9</f>
        <v>0</v>
      </c>
      <c r="T9" s="60">
        <f>Bryngwyn!T9</f>
        <v>0</v>
      </c>
      <c r="U9" s="60">
        <f>Bryngwyn!U9</f>
        <v>0</v>
      </c>
      <c r="V9" s="60">
        <f>Bryngwyn!V9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Bryngwyn!C10</f>
        <v>6.2</v>
      </c>
      <c r="D10" s="60">
        <f>Bryngwyn!D10</f>
        <v>5.2</v>
      </c>
      <c r="E10" s="60" t="str">
        <f>Bryngwyn!E10</f>
        <v>5..5</v>
      </c>
      <c r="F10" s="60">
        <f>Bryngwyn!F10</f>
        <v>5</v>
      </c>
      <c r="G10" s="60">
        <f>Bryngwyn!G10</f>
        <v>5.5</v>
      </c>
      <c r="H10" s="60">
        <f>Bryngwyn!H10</f>
        <v>5.4</v>
      </c>
      <c r="I10" s="60">
        <f>Bryngwyn!I10</f>
        <v>5.5</v>
      </c>
      <c r="J10" s="60">
        <f>Bryngwyn!J10</f>
        <v>0</v>
      </c>
      <c r="K10" s="60">
        <f>Bryngwyn!K10</f>
        <v>0</v>
      </c>
      <c r="L10" s="60">
        <f>Bryngwyn!L10</f>
        <v>0</v>
      </c>
      <c r="M10" s="60">
        <f>Bryngwyn!M10</f>
        <v>0</v>
      </c>
      <c r="N10" s="60">
        <f>Bryngwyn!N10</f>
        <v>0</v>
      </c>
      <c r="O10" s="60">
        <f>Bryngwyn!O10</f>
        <v>0</v>
      </c>
      <c r="P10" s="60">
        <f>Bryngwyn!P10</f>
        <v>0</v>
      </c>
      <c r="Q10" s="60">
        <f>Bryngwyn!Q10</f>
        <v>0</v>
      </c>
      <c r="R10" s="60">
        <f>Bryngwyn!R10</f>
        <v>0</v>
      </c>
      <c r="S10" s="60">
        <f>Bryngwyn!S10</f>
        <v>0</v>
      </c>
      <c r="T10" s="60">
        <f>Bryngwyn!T10</f>
        <v>0</v>
      </c>
      <c r="U10" s="60">
        <f>Bryngwyn!U10</f>
        <v>0</v>
      </c>
      <c r="V10" s="60">
        <f>Bryngwyn!V10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Bryngwyn!C11</f>
        <v>3</v>
      </c>
      <c r="D11" s="60">
        <f>Bryngwyn!D11</f>
        <v>3</v>
      </c>
      <c r="E11" s="60">
        <f>Bryngwyn!E11</f>
        <v>3</v>
      </c>
      <c r="F11" s="60">
        <f>Bryngwyn!F11</f>
        <v>4</v>
      </c>
      <c r="G11" s="60">
        <f>Bryngwyn!G11</f>
        <v>2</v>
      </c>
      <c r="H11" s="60">
        <f>Bryngwyn!H11</f>
        <v>2</v>
      </c>
      <c r="I11" s="60">
        <f>Bryngwyn!I11</f>
        <v>3</v>
      </c>
      <c r="J11" s="60">
        <f>Bryngwyn!J11</f>
        <v>0</v>
      </c>
      <c r="K11" s="60">
        <f>Bryngwyn!K11</f>
        <v>0</v>
      </c>
      <c r="L11" s="60">
        <f>Bryngwyn!L11</f>
        <v>0</v>
      </c>
      <c r="M11" s="60">
        <f>Bryngwyn!M11</f>
        <v>0</v>
      </c>
      <c r="N11" s="60">
        <f>Bryngwyn!N11</f>
        <v>0</v>
      </c>
      <c r="O11" s="60">
        <f>Bryngwyn!O11</f>
        <v>0</v>
      </c>
      <c r="P11" s="60">
        <f>Bryngwyn!P11</f>
        <v>0</v>
      </c>
      <c r="Q11" s="60">
        <f>Bryngwyn!Q11</f>
        <v>0</v>
      </c>
      <c r="R11" s="60">
        <f>Bryngwyn!R11</f>
        <v>0</v>
      </c>
      <c r="S11" s="60">
        <f>Bryngwyn!S11</f>
        <v>0</v>
      </c>
      <c r="T11" s="60">
        <f>Bryngwyn!T11</f>
        <v>0</v>
      </c>
      <c r="U11" s="60">
        <f>Bryngwyn!U11</f>
        <v>0</v>
      </c>
      <c r="V11" s="60">
        <f>Bryngwyn!V11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Bryngwyn!C12</f>
        <v>2</v>
      </c>
      <c r="D12" s="60">
        <f>Bryngwyn!D12</f>
        <v>1</v>
      </c>
      <c r="E12" s="60">
        <f>Bryngwyn!E12</f>
        <v>2</v>
      </c>
      <c r="F12" s="60">
        <f>Bryngwyn!F12</f>
        <v>1</v>
      </c>
      <c r="G12" s="60">
        <f>Bryngwyn!G12</f>
        <v>1</v>
      </c>
      <c r="H12" s="60">
        <f>Bryngwyn!H12</f>
        <v>1</v>
      </c>
      <c r="I12" s="60">
        <f>Bryngwyn!I12</f>
        <v>1</v>
      </c>
      <c r="J12" s="60">
        <f>Bryngwyn!J12</f>
        <v>0</v>
      </c>
      <c r="K12" s="60">
        <f>Bryngwyn!K12</f>
        <v>0</v>
      </c>
      <c r="L12" s="60">
        <f>Bryngwyn!L12</f>
        <v>0</v>
      </c>
      <c r="M12" s="60">
        <f>Bryngwyn!M12</f>
        <v>0</v>
      </c>
      <c r="N12" s="60">
        <f>Bryngwyn!N12</f>
        <v>0</v>
      </c>
      <c r="O12" s="60">
        <f>Bryngwyn!O12</f>
        <v>0</v>
      </c>
      <c r="P12" s="60">
        <f>Bryngwyn!P12</f>
        <v>0</v>
      </c>
      <c r="Q12" s="60">
        <f>Bryngwyn!Q12</f>
        <v>0</v>
      </c>
      <c r="R12" s="60">
        <f>Bryngwyn!R12</f>
        <v>0</v>
      </c>
      <c r="S12" s="60">
        <f>Bryngwyn!S12</f>
        <v>0</v>
      </c>
      <c r="T12" s="60">
        <f>Bryngwyn!T12</f>
        <v>0</v>
      </c>
      <c r="U12" s="60">
        <f>Bryngwyn!U12</f>
        <v>0</v>
      </c>
      <c r="V12" s="60">
        <f>Bryngwyn!V12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Bryngwyn!C13</f>
        <v>3</v>
      </c>
      <c r="D13" s="60">
        <f>Bryngwyn!D13</f>
        <v>2</v>
      </c>
      <c r="E13" s="60">
        <f>Bryngwyn!E13</f>
        <v>3</v>
      </c>
      <c r="F13" s="60">
        <f>Bryngwyn!F13</f>
        <v>2</v>
      </c>
      <c r="G13" s="60">
        <f>Bryngwyn!G13</f>
        <v>2</v>
      </c>
      <c r="H13" s="60">
        <f>Bryngwyn!H13</f>
        <v>2</v>
      </c>
      <c r="I13" s="60">
        <f>Bryngwyn!I13</f>
        <v>3</v>
      </c>
      <c r="J13" s="60">
        <f>Bryngwyn!J13</f>
        <v>0</v>
      </c>
      <c r="K13" s="60">
        <f>Bryngwyn!K13</f>
        <v>0</v>
      </c>
      <c r="L13" s="60">
        <f>Bryngwyn!L13</f>
        <v>0</v>
      </c>
      <c r="M13" s="60">
        <f>Bryngwyn!M13</f>
        <v>0</v>
      </c>
      <c r="N13" s="60">
        <f>Bryngwyn!N13</f>
        <v>0</v>
      </c>
      <c r="O13" s="60">
        <f>Bryngwyn!O13</f>
        <v>0</v>
      </c>
      <c r="P13" s="60">
        <f>Bryngwyn!P13</f>
        <v>0</v>
      </c>
      <c r="Q13" s="60">
        <f>Bryngwyn!Q13</f>
        <v>0</v>
      </c>
      <c r="R13" s="60">
        <f>Bryngwyn!R13</f>
        <v>0</v>
      </c>
      <c r="S13" s="60">
        <f>Bryngwyn!S13</f>
        <v>0</v>
      </c>
      <c r="T13" s="60">
        <f>Bryngwyn!T13</f>
        <v>0</v>
      </c>
      <c r="U13" s="60">
        <f>Bryngwyn!U13</f>
        <v>0</v>
      </c>
      <c r="V13" s="60">
        <f>Bryngwyn!V13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Bryngwyn!C14</f>
        <v xml:space="preserve">Grass Silage (25% DM) </v>
      </c>
      <c r="D14" s="102" t="str">
        <f>Bryngwyn!D14</f>
        <v xml:space="preserve">Grass Silage (25% DM) </v>
      </c>
      <c r="E14" s="102" t="str">
        <f>Bryngwyn!E14</f>
        <v>Winter barley/triticale/rye</v>
      </c>
      <c r="F14" s="102" t="str">
        <f>Bryngwyn!F14</f>
        <v>Winter barley/triticale/rye</v>
      </c>
      <c r="G14" s="102" t="str">
        <f>Bryngwyn!G14</f>
        <v xml:space="preserve">Grass Silage (25% DM) </v>
      </c>
      <c r="H14" s="102" t="str">
        <f>Bryngwyn!H14</f>
        <v xml:space="preserve">Grass Silage (25% DM) </v>
      </c>
      <c r="I14" s="102" t="str">
        <f>Bryngwyn!I14</f>
        <v xml:space="preserve">Grass Silage (25% DM) </v>
      </c>
      <c r="J14" s="102">
        <f>Bryngwyn!J14</f>
        <v>0</v>
      </c>
      <c r="K14" s="102">
        <f>Bryngwyn!K14</f>
        <v>0</v>
      </c>
      <c r="L14" s="102">
        <f>Bryngwyn!L14</f>
        <v>0</v>
      </c>
      <c r="M14" s="102">
        <f>Bryngwyn!M14</f>
        <v>0</v>
      </c>
      <c r="N14" s="102">
        <f>Bryngwyn!N14</f>
        <v>0</v>
      </c>
      <c r="O14" s="102">
        <f>Bryngwyn!O14</f>
        <v>0</v>
      </c>
      <c r="P14" s="102">
        <f>Bryngwyn!P14</f>
        <v>0</v>
      </c>
      <c r="Q14" s="102">
        <f>Bryngwyn!Q14</f>
        <v>0</v>
      </c>
      <c r="R14" s="102">
        <f>Bryngwyn!R14</f>
        <v>0</v>
      </c>
      <c r="S14" s="102">
        <f>Bryngwyn!S14</f>
        <v>0</v>
      </c>
      <c r="T14" s="102">
        <f>Bryngwyn!T14</f>
        <v>0</v>
      </c>
      <c r="U14" s="102">
        <f>Bryngwyn!U14</f>
        <v>0</v>
      </c>
      <c r="V14" s="102">
        <f>Bryngwyn!V14</f>
        <v>0</v>
      </c>
      <c r="AD14" s="30" t="s">
        <v>139</v>
      </c>
      <c r="AE14" s="30">
        <v>6</v>
      </c>
      <c r="AI14" s="53" t="s">
        <v>120</v>
      </c>
      <c r="AJ14" s="54">
        <v>0.8</v>
      </c>
      <c r="AK14" s="55">
        <v>1.7</v>
      </c>
      <c r="AL14" s="11">
        <v>12</v>
      </c>
      <c r="AM14" s="11">
        <v>6.7</v>
      </c>
      <c r="AN14" s="11" t="s">
        <v>136</v>
      </c>
    </row>
    <row r="15" spans="1:41" ht="13" x14ac:dyDescent="0.25">
      <c r="A15" s="129" t="s">
        <v>9</v>
      </c>
      <c r="B15" s="129"/>
      <c r="C15" s="60">
        <f>Bryngwyn!C15</f>
        <v>38</v>
      </c>
      <c r="D15" s="60">
        <f>Bryngwyn!D15</f>
        <v>38</v>
      </c>
      <c r="E15" s="60">
        <f>Bryngwyn!E15</f>
        <v>6.5</v>
      </c>
      <c r="F15" s="60">
        <f>Bryngwyn!F15</f>
        <v>6.5</v>
      </c>
      <c r="G15" s="60">
        <f>Bryngwyn!G15</f>
        <v>38</v>
      </c>
      <c r="H15" s="60">
        <f>Bryngwyn!H15</f>
        <v>38</v>
      </c>
      <c r="I15" s="60">
        <f>Bryngwyn!I15</f>
        <v>38</v>
      </c>
      <c r="J15" s="60">
        <f>Bryngwyn!J15</f>
        <v>0</v>
      </c>
      <c r="K15" s="60">
        <f>Bryngwyn!K15</f>
        <v>0</v>
      </c>
      <c r="L15" s="60">
        <f>Bryngwyn!L15</f>
        <v>0</v>
      </c>
      <c r="M15" s="60">
        <f>Bryngwyn!M15</f>
        <v>0</v>
      </c>
      <c r="N15" s="60">
        <f>Bryngwyn!N15</f>
        <v>0</v>
      </c>
      <c r="O15" s="60">
        <f>Bryngwyn!O15</f>
        <v>0</v>
      </c>
      <c r="P15" s="60">
        <f>Bryngwyn!P15</f>
        <v>0</v>
      </c>
      <c r="Q15" s="60">
        <f>Bryngwyn!Q15</f>
        <v>0</v>
      </c>
      <c r="R15" s="60">
        <f>Bryngwyn!R15</f>
        <v>0</v>
      </c>
      <c r="S15" s="60">
        <f>Bryngwyn!S15</f>
        <v>0</v>
      </c>
      <c r="T15" s="60">
        <f>Bryngwyn!T15</f>
        <v>0</v>
      </c>
      <c r="U15" s="60">
        <f>Bryngwyn!U15</f>
        <v>0</v>
      </c>
      <c r="V15" s="60">
        <f>Bryngwyn!V15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Bryngwyn!C16</f>
        <v>Medium/Clay</v>
      </c>
      <c r="D16" s="103" t="str">
        <f>Bryngwyn!D16</f>
        <v>Medium/Clay</v>
      </c>
      <c r="E16" s="103" t="str">
        <f>Bryngwyn!E16</f>
        <v>Medium/Clay</v>
      </c>
      <c r="F16" s="103" t="str">
        <f>Bryngwyn!F16</f>
        <v>Medium/Clay</v>
      </c>
      <c r="G16" s="103" t="str">
        <f>Bryngwyn!G16</f>
        <v>Medium/Clay</v>
      </c>
      <c r="H16" s="103" t="str">
        <f>Bryngwyn!H16</f>
        <v>Medium/Clay</v>
      </c>
      <c r="I16" s="103" t="str">
        <f>Bryngwyn!I16</f>
        <v>Medium/Clay</v>
      </c>
      <c r="J16" s="103">
        <f>Bryngwyn!J16</f>
        <v>0</v>
      </c>
      <c r="K16" s="103">
        <f>Bryngwyn!K16</f>
        <v>0</v>
      </c>
      <c r="L16" s="103">
        <f>Bryngwyn!L16</f>
        <v>0</v>
      </c>
      <c r="M16" s="103">
        <f>Bryngwyn!M16</f>
        <v>0</v>
      </c>
      <c r="N16" s="103">
        <f>Bryngwyn!N16</f>
        <v>0</v>
      </c>
      <c r="O16" s="103">
        <f>Bryngwyn!O16</f>
        <v>0</v>
      </c>
      <c r="P16" s="103">
        <f>Bryngwyn!P16</f>
        <v>0</v>
      </c>
      <c r="Q16" s="103">
        <f>Bryngwyn!Q16</f>
        <v>0</v>
      </c>
      <c r="R16" s="103">
        <f>Bryngwyn!R16</f>
        <v>0</v>
      </c>
      <c r="S16" s="103">
        <f>Bryngwyn!S16</f>
        <v>0</v>
      </c>
      <c r="T16" s="103">
        <f>Bryngwyn!T16</f>
        <v>0</v>
      </c>
      <c r="U16" s="103">
        <f>Bryngwyn!U16</f>
        <v>0</v>
      </c>
      <c r="V16" s="103">
        <f>Bryngwyn!V16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64.599999999999994</v>
      </c>
      <c r="D17" s="28">
        <f t="shared" ref="D17:V17" si="0">(VLOOKUP(D$14,$AI2:$AK26,2,FALSE))*D$15</f>
        <v>64.599999999999994</v>
      </c>
      <c r="E17" s="28">
        <f t="shared" si="0"/>
        <v>55.25</v>
      </c>
      <c r="F17" s="28">
        <f t="shared" si="0"/>
        <v>55.25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10.231605999999998</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-54.368393999999995</v>
      </c>
      <c r="D19" s="16">
        <f t="shared" ref="D19:V19" si="1">D18-D17</f>
        <v>-64.599999999999994</v>
      </c>
      <c r="E19" s="16">
        <f t="shared" si="1"/>
        <v>-55.25</v>
      </c>
      <c r="F19" s="16">
        <f t="shared" si="1"/>
        <v>-55.25</v>
      </c>
      <c r="G19" s="16">
        <f t="shared" si="1"/>
        <v>-64.599999999999994</v>
      </c>
      <c r="H19" s="16">
        <f t="shared" si="1"/>
        <v>-64.599999999999994</v>
      </c>
      <c r="I19" s="16">
        <f t="shared" si="1"/>
        <v>-64.599999999999994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228</v>
      </c>
      <c r="D21" s="28">
        <f t="shared" ref="D21:V21" si="2">(VLOOKUP(D$14,$AI2:$AK26,3,FALSE))*D$15</f>
        <v>228</v>
      </c>
      <c r="E21" s="28">
        <f t="shared" si="2"/>
        <v>68.25</v>
      </c>
      <c r="F21" s="28">
        <f t="shared" si="2"/>
        <v>68.25</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5.1369149999999992</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-222.86308500000001</v>
      </c>
      <c r="D23" s="16">
        <f t="shared" ref="D23:V23" si="3">D22-D21</f>
        <v>-228</v>
      </c>
      <c r="E23" s="16">
        <f t="shared" si="3"/>
        <v>-68.25</v>
      </c>
      <c r="F23" s="16">
        <f t="shared" si="3"/>
        <v>-68.25</v>
      </c>
      <c r="G23" s="16">
        <f t="shared" si="3"/>
        <v>-228</v>
      </c>
      <c r="H23" s="16">
        <f t="shared" si="3"/>
        <v>-228</v>
      </c>
      <c r="I23" s="16">
        <f t="shared" si="3"/>
        <v>-228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1.1599999999999999</v>
      </c>
      <c r="C28" s="15">
        <v>0.93700000000000006</v>
      </c>
      <c r="D28" s="15">
        <v>0.154</v>
      </c>
      <c r="E28" s="15">
        <v>0.14699999999999999</v>
      </c>
      <c r="F28" s="15">
        <v>835</v>
      </c>
      <c r="G28" s="15">
        <v>28.3</v>
      </c>
      <c r="H28" s="15">
        <v>115</v>
      </c>
      <c r="I28" s="15">
        <v>11.1</v>
      </c>
      <c r="J28" s="15">
        <v>1.33</v>
      </c>
      <c r="K28" s="23">
        <v>1.71</v>
      </c>
      <c r="L28" s="15">
        <v>7.35</v>
      </c>
      <c r="M28" s="15">
        <v>5.81</v>
      </c>
      <c r="N28" s="15">
        <v>134000</v>
      </c>
      <c r="O28" s="15">
        <v>5850</v>
      </c>
      <c r="P28" s="15"/>
      <c r="Q28" s="15">
        <v>6600</v>
      </c>
      <c r="R28" s="15"/>
      <c r="S28" s="15">
        <v>43.4</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Abercynrig 2</v>
      </c>
      <c r="B31" s="15">
        <v>250</v>
      </c>
      <c r="C31" s="77">
        <f>IF(C$27="%w/w SAR",((C$28*10)*$B31),IF(C$27="%w/w DM",(((C$28*10)*($B$28/100))*$B31),IF(C$27="kg/t SAR",(C$28*$B31),IF(C$27="kg/t DM",((C$28*($B$28/100))*$B31),IF(C$27="mg/kg SAR",((C$28*0.001)*$B31),IF(C$27="mg/kg DM",(((C$28*0.001)*($B$28/100))*$B31),0))))))</f>
        <v>27.173000000000002</v>
      </c>
      <c r="D31" s="77">
        <f>(IF(D$27="%w/w SAR",((D$28*10)*$B31),IF(D$27="%w/w DM",(((D$28*10)*($B$28/100))*$B31),IF(D$27="kg/t SAR",(D$28*$B31),IF(D$27="kg/t DM",((D$28*($B$28/100))*$B31),IF(D$27="mg/kg SAR",((D$28*0.001)*$B31),IF(D$27="mg/kg DM",(((D$28*0.001)*($B$28/100))*$B31),"0")))))))*2.291</f>
        <v>10.231605999999998</v>
      </c>
      <c r="E31" s="77">
        <f>(IF(E$27="%w/w SAR",((E$28*10)*$B31),IF(E$27="%w/w DM",(((E$28*10)*($B$28/100))*$B31),IF(E$27="kg/t SAR",(E$28*$B31),IF(E$27="kg/t DM",((E$28*($B$28/100))*$B31),IF(E$27="mg/kg SAR",((E$28*0.001)*$B31),IF(E$27="mg/kg DM",(((E$28*0.001)*($B$28/100))*$B31),"0")))))))*1.205</f>
        <v>5.1369149999999992</v>
      </c>
      <c r="F31" s="77">
        <f>(IF(F$27="%w/w SAR",((F$28*10)*$B31),IF(F$27="%w/w DM",(((F$28*10)*($B$28/100))*$B31),IF(F$27="kg/t SAR",(F$28*$B31),IF(F$27="kg/t DM",((F$28*($B$28/100))*$B31),IF(F$27="mg/kg SAR",((F$28*0.001)*$B31),IF(F$27="mg/kg DM",(((F$28*0.001)*($B$28/100))*$B31),"0")))))))*1.658</f>
        <v>4.0148469999999987</v>
      </c>
      <c r="G31" s="77">
        <f t="shared" ref="G31:P46" si="5">IF(G$27="%w/w SAR",((G$28*10)*$B31),IF(G$27="%w/w DM",(((G$28*10)*($B$28/100))*$B31),IF(G$27="kg/t SAR",(G$28*$B31),IF(G$27="kg/t DM",((G$28*($B$28/100))*$B31),IF(G$27="mg/kg SAR",((G$28*0.001)*$B31),IF(G$27="mg/kg DM",(((G$28*0.001)*($B$28/100))*$B31),0))))))</f>
        <v>8.2070000000000004E-2</v>
      </c>
      <c r="H31" s="77">
        <f t="shared" si="5"/>
        <v>0.33349999999999996</v>
      </c>
      <c r="I31" s="77">
        <f t="shared" si="5"/>
        <v>3.2190000000000003E-2</v>
      </c>
      <c r="J31" s="77">
        <f t="shared" si="5"/>
        <v>3.8569999999999998E-3</v>
      </c>
      <c r="K31" s="77">
        <f t="shared" si="5"/>
        <v>4.9589999999999999E-3</v>
      </c>
      <c r="L31" s="77">
        <f t="shared" si="5"/>
        <v>2.1314999999999997E-2</v>
      </c>
      <c r="M31" s="77">
        <f t="shared" si="5"/>
        <v>1.6848999999999996E-2</v>
      </c>
      <c r="N31" s="77">
        <f t="shared" si="5"/>
        <v>388.59999999999997</v>
      </c>
      <c r="O31" s="77">
        <f t="shared" si="5"/>
        <v>16.965</v>
      </c>
      <c r="P31" s="77">
        <f t="shared" si="5"/>
        <v>0</v>
      </c>
      <c r="Q31" s="77">
        <f>(IF(Q$27="%w/w SAR",((Q$28*10)*$B31),IF(Q$27="%w/w DM",(((Q$28*10)*($B$28/100))*$B31),IF(Q$27="kg/t SAR",(Q$28*$B31),IF(Q$27="kg/t DM",((Q$28*($B$28/100))*$B31),IF(Q$27="mg/kg SAR",((Q$28*0.001)*$B31),IF(Q$27="mg/kg DM",(((Q$28*0.001)*($B$28/100))*$B31),0)))))))*2.5</f>
        <v>47.85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0.12586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Abercynrig 10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2</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"&amp;(VLOOKUP(C14,Table24581113[],6,FALSE))</f>
        <v>Medium/Clay I Grass</v>
      </c>
      <c r="C58" s="13" t="str">
        <f>D16&amp;" I "&amp;(VLOOKUP(D14,Table24581113[],6,FALSE))</f>
        <v>Medium/Clay I Grass</v>
      </c>
      <c r="D58" s="13" t="str">
        <f>E16&amp;" I "&amp;(VLOOKUP(E14,Table24581113[],6,FALSE))</f>
        <v>Medium/Clay I Arable</v>
      </c>
      <c r="E58" s="13" t="str">
        <f>F16&amp;" I "&amp;(VLOOKUP(F14,Table24581113[],6,FALSE))</f>
        <v>Medium/Clay I Arable</v>
      </c>
      <c r="F58" s="13" t="str">
        <f>G16&amp;" I "&amp;(VLOOKUP(G14,Table24581113[],6,FALSE))</f>
        <v>Medium/Clay I Grass</v>
      </c>
      <c r="G58" s="13" t="str">
        <f>H16&amp;" I "&amp;(VLOOKUP(H14,Table24581113[],6,FALSE))</f>
        <v>Medium/Clay I Grass</v>
      </c>
      <c r="H58" s="13" t="str">
        <f>I16&amp;" I "&amp;(VLOOKUP(I14,Table24581113[],6,FALSE))</f>
        <v>Medium/Clay I Grass</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133</v>
      </c>
      <c r="B59" s="76">
        <f>VLOOKUP(C$14,Table24581113[],5,FALSE)</f>
        <v>6.2</v>
      </c>
      <c r="C59" s="76">
        <f>VLOOKUP(D$14,Table24581113[],5,FALSE)</f>
        <v>6.2</v>
      </c>
      <c r="D59" s="76">
        <f>VLOOKUP(E$14,Table24581113[],5,FALSE)</f>
        <v>6.7</v>
      </c>
      <c r="E59" s="76">
        <f>VLOOKUP(F$14,Table24581113[],5,FALSE)</f>
        <v>6.7</v>
      </c>
      <c r="F59" s="76">
        <f>VLOOKUP(G$14,Table24581113[],5,FALSE)</f>
        <v>6.2</v>
      </c>
      <c r="G59" s="76">
        <f>VLOOKUP(H$14,Table24581113[],5,FALSE)</f>
        <v>6.2</v>
      </c>
      <c r="H59" s="76">
        <f>VLOOKUP(I$14,Table24581113[],5,FALSE)</f>
        <v>6.2</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6.2</v>
      </c>
      <c r="C60" s="76">
        <f t="shared" ref="C60:U60" si="14">D10</f>
        <v>5.2</v>
      </c>
      <c r="D60" s="76" t="str">
        <f t="shared" si="14"/>
        <v>5..5</v>
      </c>
      <c r="E60" s="76">
        <f t="shared" si="14"/>
        <v>5</v>
      </c>
      <c r="F60" s="76">
        <f t="shared" si="14"/>
        <v>5.5</v>
      </c>
      <c r="G60" s="76">
        <f t="shared" si="14"/>
        <v>5.4</v>
      </c>
      <c r="H60" s="76">
        <f t="shared" si="14"/>
        <v>5.5</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v>
      </c>
      <c r="C64" s="77">
        <f t="shared" ref="C64:U64" si="17">(C59-C60)*C61</f>
        <v>6</v>
      </c>
      <c r="D64" s="77" t="e">
        <f t="shared" si="17"/>
        <v>#VALUE!</v>
      </c>
      <c r="E64" s="77">
        <f t="shared" si="17"/>
        <v>13.600000000000001</v>
      </c>
      <c r="F64" s="77">
        <f t="shared" si="17"/>
        <v>4.2000000000000011</v>
      </c>
      <c r="G64" s="77">
        <f t="shared" si="17"/>
        <v>4.7999999999999989</v>
      </c>
      <c r="H64" s="77">
        <f t="shared" si="17"/>
        <v>4.2000000000000011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v>
      </c>
      <c r="C65" s="77">
        <f t="shared" ref="C65:U65" si="18">C63-C64</f>
        <v>-6</v>
      </c>
      <c r="D65" s="77" t="e">
        <f t="shared" si="18"/>
        <v>#VALUE!</v>
      </c>
      <c r="E65" s="77">
        <f t="shared" si="18"/>
        <v>-13.600000000000001</v>
      </c>
      <c r="F65" s="77">
        <f t="shared" si="18"/>
        <v>-4.2000000000000011</v>
      </c>
      <c r="G65" s="77">
        <f t="shared" si="18"/>
        <v>-4.7999999999999989</v>
      </c>
      <c r="H65" s="77">
        <f t="shared" si="18"/>
        <v>-4.2000000000000011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UNDER</v>
      </c>
      <c r="D66" s="78" t="e">
        <f t="shared" si="19"/>
        <v>#VALUE!</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0gTEaLCFDBku0k4qqzgVrmxXPRmHoi1Fw+hmBoeibG6O7TNHTN92wSbjXUTZWfKHbsR0PEVAWEtqJLz8NvyJA==" saltValue="lLBErOWhFP1vmmyrqZFoA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4" operator="equal">
      <formula>"DECREASE"</formula>
    </cfRule>
    <cfRule type="cellIs" dxfId="124" priority="35" operator="equal">
      <formula>"INCREASE"</formula>
    </cfRule>
  </conditionalFormatting>
  <conditionalFormatting sqref="B31:B50 B62:U66">
    <cfRule type="cellIs" dxfId="123" priority="33" operator="greaterThan">
      <formula>$B$51</formula>
    </cfRule>
  </conditionalFormatting>
  <conditionalFormatting sqref="C31:C50">
    <cfRule type="cellIs" dxfId="122" priority="32" operator="greaterThan">
      <formula>$C$51</formula>
    </cfRule>
  </conditionalFormatting>
  <conditionalFormatting sqref="C18:V18">
    <cfRule type="cellIs" dxfId="121" priority="31" operator="equal">
      <formula>0</formula>
    </cfRule>
  </conditionalFormatting>
  <conditionalFormatting sqref="C17:V17">
    <cfRule type="cellIs" dxfId="120" priority="30" operator="equal">
      <formula>0</formula>
    </cfRule>
  </conditionalFormatting>
  <conditionalFormatting sqref="C19:V19">
    <cfRule type="cellIs" dxfId="119" priority="29" operator="equal">
      <formula>0</formula>
    </cfRule>
  </conditionalFormatting>
  <conditionalFormatting sqref="G31:G50">
    <cfRule type="cellIs" dxfId="118" priority="28" operator="greaterThan">
      <formula>$G$51</formula>
    </cfRule>
  </conditionalFormatting>
  <conditionalFormatting sqref="H31:H50">
    <cfRule type="cellIs" dxfId="117" priority="27" operator="greaterThan">
      <formula>$H$51</formula>
    </cfRule>
  </conditionalFormatting>
  <conditionalFormatting sqref="I31:I50">
    <cfRule type="cellIs" dxfId="116" priority="26" operator="greaterThan">
      <formula>$I$51</formula>
    </cfRule>
  </conditionalFormatting>
  <conditionalFormatting sqref="K31:K50">
    <cfRule type="cellIs" dxfId="115" priority="25" operator="greaterThan">
      <formula>$K$51</formula>
    </cfRule>
  </conditionalFormatting>
  <conditionalFormatting sqref="L31:L50">
    <cfRule type="cellIs" dxfId="114" priority="24" operator="greaterThan">
      <formula>$L$51</formula>
    </cfRule>
  </conditionalFormatting>
  <conditionalFormatting sqref="M31:M50">
    <cfRule type="cellIs" dxfId="113" priority="23" operator="greaterThan">
      <formula>$M$51</formula>
    </cfRule>
  </conditionalFormatting>
  <conditionalFormatting sqref="P31:P50">
    <cfRule type="cellIs" dxfId="112" priority="22" operator="greaterThan">
      <formula>$P$51</formula>
    </cfRule>
  </conditionalFormatting>
  <conditionalFormatting sqref="R31:R50">
    <cfRule type="cellIs" dxfId="111" priority="21" operator="greaterThan">
      <formula>$R$51</formula>
    </cfRule>
  </conditionalFormatting>
  <conditionalFormatting sqref="S31:S50">
    <cfRule type="cellIs" dxfId="110" priority="20" operator="greaterThan">
      <formula>$S$51</formula>
    </cfRule>
  </conditionalFormatting>
  <conditionalFormatting sqref="T31:T50">
    <cfRule type="cellIs" dxfId="109" priority="19" operator="greaterThan">
      <formula>$T$51</formula>
    </cfRule>
  </conditionalFormatting>
  <conditionalFormatting sqref="U31:U50">
    <cfRule type="cellIs" dxfId="108" priority="18" operator="greaterThan">
      <formula>$U$51</formula>
    </cfRule>
  </conditionalFormatting>
  <conditionalFormatting sqref="C22:V22">
    <cfRule type="cellIs" dxfId="107" priority="17" operator="equal">
      <formula>0</formula>
    </cfRule>
  </conditionalFormatting>
  <conditionalFormatting sqref="C24:V24">
    <cfRule type="cellIs" dxfId="106" priority="15" operator="equal">
      <formula>"DECREASE"</formula>
    </cfRule>
    <cfRule type="cellIs" dxfId="105" priority="16" operator="equal">
      <formula>"INCREASE"</formula>
    </cfRule>
  </conditionalFormatting>
  <conditionalFormatting sqref="C23:V23">
    <cfRule type="cellIs" dxfId="104" priority="14" operator="equal">
      <formula>0</formula>
    </cfRule>
  </conditionalFormatting>
  <conditionalFormatting sqref="I1">
    <cfRule type="cellIs" dxfId="103" priority="13" operator="lessThan">
      <formula>5</formula>
    </cfRule>
  </conditionalFormatting>
  <conditionalFormatting sqref="C21:V21">
    <cfRule type="cellIs" dxfId="102" priority="10" operator="equal">
      <formula>0</formula>
    </cfRule>
  </conditionalFormatting>
  <conditionalFormatting sqref="B66:U66">
    <cfRule type="cellIs" dxfId="101" priority="8" operator="equal">
      <formula>"UNDER"</formula>
    </cfRule>
    <cfRule type="cellIs" dxfId="100" priority="9" operator="equal">
      <formula>"OVER"</formula>
    </cfRule>
  </conditionalFormatting>
  <conditionalFormatting sqref="I2">
    <cfRule type="cellIs" dxfId="99" priority="7" operator="greaterThan">
      <formula>5000.1</formula>
    </cfRule>
  </conditionalFormatting>
  <conditionalFormatting sqref="I3">
    <cfRule type="cellIs" dxfId="98" priority="6" operator="greaterThan">
      <formula>4.1</formula>
    </cfRule>
  </conditionalFormatting>
  <conditionalFormatting sqref="J31:J50">
    <cfRule type="cellIs" dxfId="97" priority="5"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3" sqref="A3:B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Bryngwyn!C1:D1</f>
        <v>PAN-015421</v>
      </c>
      <c r="D1" s="140"/>
      <c r="E1" s="93" t="s">
        <v>45</v>
      </c>
      <c r="F1" s="39" t="str">
        <f>Bryngwyn!F1</f>
        <v>46.9 ha</v>
      </c>
      <c r="G1" s="119" t="s">
        <v>43</v>
      </c>
      <c r="H1" s="120"/>
      <c r="I1" s="96">
        <v>7.7</v>
      </c>
      <c r="J1" s="118" t="s">
        <v>154</v>
      </c>
      <c r="K1" s="118"/>
      <c r="L1" s="97">
        <v>418</v>
      </c>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Bryngwyn!C2:D2</f>
        <v>EPR/GP3792SK</v>
      </c>
      <c r="D2" s="142"/>
      <c r="E2" s="93" t="s">
        <v>109</v>
      </c>
      <c r="F2" s="96" t="s">
        <v>173</v>
      </c>
      <c r="G2" s="137" t="s">
        <v>110</v>
      </c>
      <c r="H2" s="138"/>
      <c r="I2" s="96"/>
      <c r="J2" s="118" t="s">
        <v>159</v>
      </c>
      <c r="K2" s="118"/>
      <c r="L2" s="97">
        <v>1.1599999999999999</v>
      </c>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Bryngwyn!C3:D3</f>
        <v>ByProduct Recovery Limited</v>
      </c>
      <c r="D3" s="142"/>
      <c r="E3" s="93" t="s">
        <v>108</v>
      </c>
      <c r="F3" s="31" t="s">
        <v>78</v>
      </c>
      <c r="G3" s="119" t="s">
        <v>111</v>
      </c>
      <c r="H3" s="120"/>
      <c r="I3" s="96"/>
      <c r="J3" s="119" t="s">
        <v>155</v>
      </c>
      <c r="K3" s="120"/>
      <c r="L3" s="97">
        <f>(L1/(L2*10000))*100</f>
        <v>3.6034482758620685</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f>Bryngwyn!C4:D4</f>
        <v>0</v>
      </c>
      <c r="D4" s="140"/>
      <c r="E4" s="94" t="s">
        <v>1</v>
      </c>
      <c r="F4" s="96" t="s">
        <v>180</v>
      </c>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Bryngwyn!C5:D5</f>
        <v>Rhiannon Smith</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Bryngwyn!C8</f>
        <v>Abercynrig 2</v>
      </c>
      <c r="D8" s="60" t="str">
        <f>Bryngwyn!D8</f>
        <v>Abercynrig 10</v>
      </c>
      <c r="E8" s="60">
        <f>Bryngwyn!E8</f>
        <v>1</v>
      </c>
      <c r="F8" s="60">
        <f>Bryngwyn!F8</f>
        <v>2</v>
      </c>
      <c r="G8" s="60">
        <f>Bryngwyn!G8</f>
        <v>10</v>
      </c>
      <c r="H8" s="60">
        <f>Bryngwyn!H8</f>
        <v>11</v>
      </c>
      <c r="I8" s="60">
        <f>Bryngwyn!I8</f>
        <v>16</v>
      </c>
      <c r="J8" s="60">
        <f>Bryngwyn!J8</f>
        <v>0</v>
      </c>
      <c r="K8" s="60">
        <f>Bryngwyn!K8</f>
        <v>0</v>
      </c>
      <c r="L8" s="60">
        <f>Bryngwyn!L8</f>
        <v>0</v>
      </c>
      <c r="M8" s="60">
        <f>Bryngwyn!M8</f>
        <v>0</v>
      </c>
      <c r="N8" s="60">
        <f>Bryngwyn!N8</f>
        <v>0</v>
      </c>
      <c r="O8" s="60">
        <f>Bryngwyn!O8</f>
        <v>0</v>
      </c>
      <c r="P8" s="60">
        <f>Bryngwyn!P8</f>
        <v>0</v>
      </c>
      <c r="Q8" s="60">
        <f>Bryngwyn!Q8</f>
        <v>0</v>
      </c>
      <c r="R8" s="60">
        <f>Bryngwyn!R8</f>
        <v>0</v>
      </c>
      <c r="S8" s="60">
        <f>Bryngwyn!S8</f>
        <v>0</v>
      </c>
      <c r="T8" s="60">
        <f>Bryngwyn!T8</f>
        <v>0</v>
      </c>
      <c r="U8" s="60">
        <f>Bryngwyn!U8</f>
        <v>0</v>
      </c>
      <c r="V8" s="60">
        <f>Bryngwyn!V8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Bryngwyn!C9</f>
        <v>M</v>
      </c>
      <c r="D9" s="60" t="str">
        <f>Bryngwyn!D9</f>
        <v>m</v>
      </c>
      <c r="E9" s="60">
        <f>Bryngwyn!E9</f>
        <v>1</v>
      </c>
      <c r="F9" s="60">
        <f>Bryngwyn!F9</f>
        <v>1</v>
      </c>
      <c r="G9" s="60" t="str">
        <f>Bryngwyn!G9</f>
        <v>M</v>
      </c>
      <c r="H9" s="60" t="str">
        <f>Bryngwyn!H9</f>
        <v>M</v>
      </c>
      <c r="I9" s="60" t="str">
        <f>Bryngwyn!I9</f>
        <v>M</v>
      </c>
      <c r="J9" s="60">
        <f>Bryngwyn!J9</f>
        <v>0</v>
      </c>
      <c r="K9" s="60">
        <f>Bryngwyn!K9</f>
        <v>0</v>
      </c>
      <c r="L9" s="60">
        <f>Bryngwyn!L9</f>
        <v>0</v>
      </c>
      <c r="M9" s="60">
        <f>Bryngwyn!M9</f>
        <v>0</v>
      </c>
      <c r="N9" s="60">
        <f>Bryngwyn!N9</f>
        <v>0</v>
      </c>
      <c r="O9" s="60">
        <f>Bryngwyn!O9</f>
        <v>0</v>
      </c>
      <c r="P9" s="60">
        <f>Bryngwyn!P9</f>
        <v>0</v>
      </c>
      <c r="Q9" s="60">
        <f>Bryngwyn!Q9</f>
        <v>0</v>
      </c>
      <c r="R9" s="60">
        <f>Bryngwyn!R9</f>
        <v>0</v>
      </c>
      <c r="S9" s="60">
        <f>Bryngwyn!S9</f>
        <v>0</v>
      </c>
      <c r="T9" s="60">
        <f>Bryngwyn!T9</f>
        <v>0</v>
      </c>
      <c r="U9" s="60">
        <f>Bryngwyn!U9</f>
        <v>0</v>
      </c>
      <c r="V9" s="60">
        <f>Bryngwyn!V9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Bryngwyn!C10</f>
        <v>6.2</v>
      </c>
      <c r="D10" s="60">
        <f>Bryngwyn!D10</f>
        <v>5.2</v>
      </c>
      <c r="E10" s="60" t="str">
        <f>Bryngwyn!E10</f>
        <v>5..5</v>
      </c>
      <c r="F10" s="60">
        <f>Bryngwyn!F10</f>
        <v>5</v>
      </c>
      <c r="G10" s="60">
        <f>Bryngwyn!G10</f>
        <v>5.5</v>
      </c>
      <c r="H10" s="60">
        <f>Bryngwyn!H10</f>
        <v>5.4</v>
      </c>
      <c r="I10" s="60">
        <f>Bryngwyn!I10</f>
        <v>5.5</v>
      </c>
      <c r="J10" s="60">
        <f>Bryngwyn!J10</f>
        <v>0</v>
      </c>
      <c r="K10" s="60">
        <f>Bryngwyn!K10</f>
        <v>0</v>
      </c>
      <c r="L10" s="60">
        <f>Bryngwyn!L10</f>
        <v>0</v>
      </c>
      <c r="M10" s="60">
        <f>Bryngwyn!M10</f>
        <v>0</v>
      </c>
      <c r="N10" s="60">
        <f>Bryngwyn!N10</f>
        <v>0</v>
      </c>
      <c r="O10" s="60">
        <f>Bryngwyn!O10</f>
        <v>0</v>
      </c>
      <c r="P10" s="60">
        <f>Bryngwyn!P10</f>
        <v>0</v>
      </c>
      <c r="Q10" s="60">
        <f>Bryngwyn!Q10</f>
        <v>0</v>
      </c>
      <c r="R10" s="60">
        <f>Bryngwyn!R10</f>
        <v>0</v>
      </c>
      <c r="S10" s="60">
        <f>Bryngwyn!S10</f>
        <v>0</v>
      </c>
      <c r="T10" s="60">
        <f>Bryngwyn!T10</f>
        <v>0</v>
      </c>
      <c r="U10" s="60">
        <f>Bryngwyn!U10</f>
        <v>0</v>
      </c>
      <c r="V10" s="60">
        <f>Bryngwyn!V10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Bryngwyn!C11</f>
        <v>3</v>
      </c>
      <c r="D11" s="60">
        <f>Bryngwyn!D11</f>
        <v>3</v>
      </c>
      <c r="E11" s="60">
        <f>Bryngwyn!E11</f>
        <v>3</v>
      </c>
      <c r="F11" s="60">
        <f>Bryngwyn!F11</f>
        <v>4</v>
      </c>
      <c r="G11" s="60">
        <f>Bryngwyn!G11</f>
        <v>2</v>
      </c>
      <c r="H11" s="60">
        <f>Bryngwyn!H11</f>
        <v>2</v>
      </c>
      <c r="I11" s="60">
        <f>Bryngwyn!I11</f>
        <v>3</v>
      </c>
      <c r="J11" s="60">
        <f>Bryngwyn!J11</f>
        <v>0</v>
      </c>
      <c r="K11" s="60">
        <f>Bryngwyn!K11</f>
        <v>0</v>
      </c>
      <c r="L11" s="60">
        <f>Bryngwyn!L11</f>
        <v>0</v>
      </c>
      <c r="M11" s="60">
        <f>Bryngwyn!M11</f>
        <v>0</v>
      </c>
      <c r="N11" s="60">
        <f>Bryngwyn!N11</f>
        <v>0</v>
      </c>
      <c r="O11" s="60">
        <f>Bryngwyn!O11</f>
        <v>0</v>
      </c>
      <c r="P11" s="60">
        <f>Bryngwyn!P11</f>
        <v>0</v>
      </c>
      <c r="Q11" s="60">
        <f>Bryngwyn!Q11</f>
        <v>0</v>
      </c>
      <c r="R11" s="60">
        <f>Bryngwyn!R11</f>
        <v>0</v>
      </c>
      <c r="S11" s="60">
        <f>Bryngwyn!S11</f>
        <v>0</v>
      </c>
      <c r="T11" s="60">
        <f>Bryngwyn!T11</f>
        <v>0</v>
      </c>
      <c r="U11" s="60">
        <f>Bryngwyn!U11</f>
        <v>0</v>
      </c>
      <c r="V11" s="60">
        <f>Bryngwyn!V11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Bryngwyn!C12</f>
        <v>2</v>
      </c>
      <c r="D12" s="60">
        <f>Bryngwyn!D12</f>
        <v>1</v>
      </c>
      <c r="E12" s="60">
        <f>Bryngwyn!E12</f>
        <v>2</v>
      </c>
      <c r="F12" s="60">
        <f>Bryngwyn!F12</f>
        <v>1</v>
      </c>
      <c r="G12" s="60">
        <f>Bryngwyn!G12</f>
        <v>1</v>
      </c>
      <c r="H12" s="60">
        <f>Bryngwyn!H12</f>
        <v>1</v>
      </c>
      <c r="I12" s="60">
        <f>Bryngwyn!I12</f>
        <v>1</v>
      </c>
      <c r="J12" s="60">
        <f>Bryngwyn!J12</f>
        <v>0</v>
      </c>
      <c r="K12" s="60">
        <f>Bryngwyn!K12</f>
        <v>0</v>
      </c>
      <c r="L12" s="60">
        <f>Bryngwyn!L12</f>
        <v>0</v>
      </c>
      <c r="M12" s="60">
        <f>Bryngwyn!M12</f>
        <v>0</v>
      </c>
      <c r="N12" s="60">
        <f>Bryngwyn!N12</f>
        <v>0</v>
      </c>
      <c r="O12" s="60">
        <f>Bryngwyn!O12</f>
        <v>0</v>
      </c>
      <c r="P12" s="60">
        <f>Bryngwyn!P12</f>
        <v>0</v>
      </c>
      <c r="Q12" s="60">
        <f>Bryngwyn!Q12</f>
        <v>0</v>
      </c>
      <c r="R12" s="60">
        <f>Bryngwyn!R12</f>
        <v>0</v>
      </c>
      <c r="S12" s="60">
        <f>Bryngwyn!S12</f>
        <v>0</v>
      </c>
      <c r="T12" s="60">
        <f>Bryngwyn!T12</f>
        <v>0</v>
      </c>
      <c r="U12" s="60">
        <f>Bryngwyn!U12</f>
        <v>0</v>
      </c>
      <c r="V12" s="60">
        <f>Bryngwyn!V12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Bryngwyn!C13</f>
        <v>3</v>
      </c>
      <c r="D13" s="60">
        <f>Bryngwyn!D13</f>
        <v>2</v>
      </c>
      <c r="E13" s="60">
        <f>Bryngwyn!E13</f>
        <v>3</v>
      </c>
      <c r="F13" s="60">
        <f>Bryngwyn!F13</f>
        <v>2</v>
      </c>
      <c r="G13" s="60">
        <f>Bryngwyn!G13</f>
        <v>2</v>
      </c>
      <c r="H13" s="60">
        <f>Bryngwyn!H13</f>
        <v>2</v>
      </c>
      <c r="I13" s="60">
        <f>Bryngwyn!I13</f>
        <v>3</v>
      </c>
      <c r="J13" s="60">
        <f>Bryngwyn!J13</f>
        <v>0</v>
      </c>
      <c r="K13" s="60">
        <f>Bryngwyn!K13</f>
        <v>0</v>
      </c>
      <c r="L13" s="60">
        <f>Bryngwyn!L13</f>
        <v>0</v>
      </c>
      <c r="M13" s="60">
        <f>Bryngwyn!M13</f>
        <v>0</v>
      </c>
      <c r="N13" s="60">
        <f>Bryngwyn!N13</f>
        <v>0</v>
      </c>
      <c r="O13" s="60">
        <f>Bryngwyn!O13</f>
        <v>0</v>
      </c>
      <c r="P13" s="60">
        <f>Bryngwyn!P13</f>
        <v>0</v>
      </c>
      <c r="Q13" s="60">
        <f>Bryngwyn!Q13</f>
        <v>0</v>
      </c>
      <c r="R13" s="60">
        <f>Bryngwyn!R13</f>
        <v>0</v>
      </c>
      <c r="S13" s="60">
        <f>Bryngwyn!S13</f>
        <v>0</v>
      </c>
      <c r="T13" s="60">
        <f>Bryngwyn!T13</f>
        <v>0</v>
      </c>
      <c r="U13" s="60">
        <f>Bryngwyn!U13</f>
        <v>0</v>
      </c>
      <c r="V13" s="60">
        <f>Bryngwyn!V13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Bryngwyn!C14</f>
        <v xml:space="preserve">Grass Silage (25% DM) </v>
      </c>
      <c r="D14" s="102" t="str">
        <f>Bryngwyn!D14</f>
        <v xml:space="preserve">Grass Silage (25% DM) </v>
      </c>
      <c r="E14" s="102" t="str">
        <f>Bryngwyn!E14</f>
        <v>Winter barley/triticale/rye</v>
      </c>
      <c r="F14" s="102" t="str">
        <f>Bryngwyn!F14</f>
        <v>Winter barley/triticale/rye</v>
      </c>
      <c r="G14" s="102" t="str">
        <f>Bryngwyn!G14</f>
        <v xml:space="preserve">Grass Silage (25% DM) </v>
      </c>
      <c r="H14" s="102" t="str">
        <f>Bryngwyn!H14</f>
        <v xml:space="preserve">Grass Silage (25% DM) </v>
      </c>
      <c r="I14" s="102" t="str">
        <f>Bryngwyn!I14</f>
        <v xml:space="preserve">Grass Silage (25% DM) </v>
      </c>
      <c r="J14" s="102">
        <f>Bryngwyn!J14</f>
        <v>0</v>
      </c>
      <c r="K14" s="102">
        <f>Bryngwyn!K14</f>
        <v>0</v>
      </c>
      <c r="L14" s="102">
        <f>Bryngwyn!L14</f>
        <v>0</v>
      </c>
      <c r="M14" s="102">
        <f>Bryngwyn!M14</f>
        <v>0</v>
      </c>
      <c r="N14" s="102">
        <f>Bryngwyn!N14</f>
        <v>0</v>
      </c>
      <c r="O14" s="102">
        <f>Bryngwyn!O14</f>
        <v>0</v>
      </c>
      <c r="P14" s="102">
        <f>Bryngwyn!P14</f>
        <v>0</v>
      </c>
      <c r="Q14" s="102">
        <f>Bryngwyn!Q14</f>
        <v>0</v>
      </c>
      <c r="R14" s="102">
        <f>Bryngwyn!R14</f>
        <v>0</v>
      </c>
      <c r="S14" s="102">
        <f>Bryngwyn!S14</f>
        <v>0</v>
      </c>
      <c r="T14" s="102">
        <f>Bryngwyn!T14</f>
        <v>0</v>
      </c>
      <c r="U14" s="102">
        <f>Bryngwyn!U14</f>
        <v>0</v>
      </c>
      <c r="V14" s="102">
        <f>Bryngwyn!V14</f>
        <v>0</v>
      </c>
      <c r="AD14" s="30" t="s">
        <v>139</v>
      </c>
      <c r="AE14" s="30">
        <v>6</v>
      </c>
      <c r="AI14" s="53" t="s">
        <v>120</v>
      </c>
      <c r="AJ14" s="54">
        <v>0.8</v>
      </c>
      <c r="AK14" s="55">
        <v>1.7</v>
      </c>
      <c r="AL14" s="11">
        <v>12</v>
      </c>
      <c r="AM14" s="11">
        <v>6.7</v>
      </c>
      <c r="AN14" s="11" t="s">
        <v>136</v>
      </c>
    </row>
    <row r="15" spans="1:41" ht="13" x14ac:dyDescent="0.25">
      <c r="A15" s="129" t="s">
        <v>9</v>
      </c>
      <c r="B15" s="129"/>
      <c r="C15" s="60">
        <f>Bryngwyn!C15</f>
        <v>38</v>
      </c>
      <c r="D15" s="60">
        <f>Bryngwyn!D15</f>
        <v>38</v>
      </c>
      <c r="E15" s="60">
        <f>Bryngwyn!E15</f>
        <v>6.5</v>
      </c>
      <c r="F15" s="60">
        <f>Bryngwyn!F15</f>
        <v>6.5</v>
      </c>
      <c r="G15" s="60">
        <f>Bryngwyn!G15</f>
        <v>38</v>
      </c>
      <c r="H15" s="60">
        <f>Bryngwyn!H15</f>
        <v>38</v>
      </c>
      <c r="I15" s="60">
        <f>Bryngwyn!I15</f>
        <v>38</v>
      </c>
      <c r="J15" s="60">
        <f>Bryngwyn!J15</f>
        <v>0</v>
      </c>
      <c r="K15" s="60">
        <f>Bryngwyn!K15</f>
        <v>0</v>
      </c>
      <c r="L15" s="60">
        <f>Bryngwyn!L15</f>
        <v>0</v>
      </c>
      <c r="M15" s="60">
        <f>Bryngwyn!M15</f>
        <v>0</v>
      </c>
      <c r="N15" s="60">
        <f>Bryngwyn!N15</f>
        <v>0</v>
      </c>
      <c r="O15" s="60">
        <f>Bryngwyn!O15</f>
        <v>0</v>
      </c>
      <c r="P15" s="60">
        <f>Bryngwyn!P15</f>
        <v>0</v>
      </c>
      <c r="Q15" s="60">
        <f>Bryngwyn!Q15</f>
        <v>0</v>
      </c>
      <c r="R15" s="60">
        <f>Bryngwyn!R15</f>
        <v>0</v>
      </c>
      <c r="S15" s="60">
        <f>Bryngwyn!S15</f>
        <v>0</v>
      </c>
      <c r="T15" s="60">
        <f>Bryngwyn!T15</f>
        <v>0</v>
      </c>
      <c r="U15" s="60">
        <f>Bryngwyn!U15</f>
        <v>0</v>
      </c>
      <c r="V15" s="60">
        <f>Bryngwyn!V15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Bryngwyn!C16</f>
        <v>Medium/Clay</v>
      </c>
      <c r="D16" s="103" t="str">
        <f>Bryngwyn!D16</f>
        <v>Medium/Clay</v>
      </c>
      <c r="E16" s="103" t="str">
        <f>Bryngwyn!E16</f>
        <v>Medium/Clay</v>
      </c>
      <c r="F16" s="103" t="str">
        <f>Bryngwyn!F16</f>
        <v>Medium/Clay</v>
      </c>
      <c r="G16" s="103" t="str">
        <f>Bryngwyn!G16</f>
        <v>Medium/Clay</v>
      </c>
      <c r="H16" s="103" t="str">
        <f>Bryngwyn!H16</f>
        <v>Medium/Clay</v>
      </c>
      <c r="I16" s="103" t="str">
        <f>Bryngwyn!I16</f>
        <v>Medium/Clay</v>
      </c>
      <c r="J16" s="103">
        <f>Bryngwyn!J16</f>
        <v>0</v>
      </c>
      <c r="K16" s="103">
        <f>Bryngwyn!K16</f>
        <v>0</v>
      </c>
      <c r="L16" s="103">
        <f>Bryngwyn!L16</f>
        <v>0</v>
      </c>
      <c r="M16" s="103">
        <f>Bryngwyn!M16</f>
        <v>0</v>
      </c>
      <c r="N16" s="103">
        <f>Bryngwyn!N16</f>
        <v>0</v>
      </c>
      <c r="O16" s="103">
        <f>Bryngwyn!O16</f>
        <v>0</v>
      </c>
      <c r="P16" s="103">
        <f>Bryngwyn!P16</f>
        <v>0</v>
      </c>
      <c r="Q16" s="103">
        <f>Bryngwyn!Q16</f>
        <v>0</v>
      </c>
      <c r="R16" s="103">
        <f>Bryngwyn!R16</f>
        <v>0</v>
      </c>
      <c r="S16" s="103">
        <f>Bryngwyn!S16</f>
        <v>0</v>
      </c>
      <c r="T16" s="103">
        <f>Bryngwyn!T16</f>
        <v>0</v>
      </c>
      <c r="U16" s="103">
        <f>Bryngwyn!U16</f>
        <v>0</v>
      </c>
      <c r="V16" s="103">
        <f>Bryngwyn!V16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64.599999999999994</v>
      </c>
      <c r="D17" s="28">
        <f t="shared" ref="D17:V17" si="0">(VLOOKUP(D$14,$AI2:$AK26,2,FALSE))*D$15</f>
        <v>64.599999999999994</v>
      </c>
      <c r="E17" s="28">
        <f t="shared" si="0"/>
        <v>55.25</v>
      </c>
      <c r="F17" s="28">
        <f t="shared" si="0"/>
        <v>55.25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19.134431999999997</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-45.465567999999998</v>
      </c>
      <c r="D19" s="16">
        <f t="shared" ref="D19:V19" si="1">D18-D17</f>
        <v>-64.599999999999994</v>
      </c>
      <c r="E19" s="16">
        <f t="shared" si="1"/>
        <v>-55.25</v>
      </c>
      <c r="F19" s="16">
        <f t="shared" si="1"/>
        <v>-55.25</v>
      </c>
      <c r="G19" s="16">
        <f t="shared" si="1"/>
        <v>-64.599999999999994</v>
      </c>
      <c r="H19" s="16">
        <f t="shared" si="1"/>
        <v>-64.599999999999994</v>
      </c>
      <c r="I19" s="16">
        <f t="shared" si="1"/>
        <v>-64.599999999999994</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228</v>
      </c>
      <c r="D21" s="28">
        <f t="shared" ref="D21:V21" si="2">(VLOOKUP(D$14,$AI2:$AK26,3,FALSE))*D$15</f>
        <v>228</v>
      </c>
      <c r="E21" s="28">
        <f t="shared" si="2"/>
        <v>68.25</v>
      </c>
      <c r="F21" s="28">
        <f t="shared" si="2"/>
        <v>68.25</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6.632560999999999</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-221.36743899999999</v>
      </c>
      <c r="D23" s="16">
        <f t="shared" ref="D23:V23" si="3">D22-D21</f>
        <v>-228</v>
      </c>
      <c r="E23" s="16">
        <f t="shared" si="3"/>
        <v>-68.25</v>
      </c>
      <c r="F23" s="16">
        <f t="shared" si="3"/>
        <v>-68.25</v>
      </c>
      <c r="G23" s="16">
        <f t="shared" si="3"/>
        <v>-228</v>
      </c>
      <c r="H23" s="16">
        <f t="shared" si="3"/>
        <v>-228</v>
      </c>
      <c r="I23" s="16">
        <f t="shared" si="3"/>
        <v>-228</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2.3199999999999998</v>
      </c>
      <c r="C28" s="15">
        <v>1.1599999999999999</v>
      </c>
      <c r="D28" s="15">
        <v>0.14399999999999999</v>
      </c>
      <c r="E28" s="15">
        <v>9.4899999999999998E-2</v>
      </c>
      <c r="F28" s="15">
        <v>898</v>
      </c>
      <c r="G28" s="15">
        <v>33.5</v>
      </c>
      <c r="H28" s="15">
        <v>22.2</v>
      </c>
      <c r="I28" s="15">
        <v>5.59</v>
      </c>
      <c r="J28" s="15">
        <v>0.4</v>
      </c>
      <c r="K28" s="23">
        <v>0.86</v>
      </c>
      <c r="L28" s="15">
        <v>3.7</v>
      </c>
      <c r="M28" s="15">
        <v>2.92</v>
      </c>
      <c r="N28" s="15">
        <v>169000</v>
      </c>
      <c r="O28" s="15">
        <v>6940</v>
      </c>
      <c r="P28" s="15"/>
      <c r="Q28" s="15">
        <v>6820</v>
      </c>
      <c r="R28" s="15"/>
      <c r="S28" s="15">
        <v>43.9</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Abercynrig 2</v>
      </c>
      <c r="B31" s="15">
        <v>250</v>
      </c>
      <c r="C31" s="77">
        <f>IF(C$27="%w/w SAR",((C$28*10)*$B31),IF(C$27="%w/w DM",(((C$28*10)*($B$28/100))*$B31),IF(C$27="kg/t SAR",(C$28*$B31),IF(C$27="kg/t DM",((C$28*($B$28/100))*$B31),IF(C$27="mg/kg SAR",((C$28*0.001)*$B31),IF(C$27="mg/kg DM",(((C$28*0.001)*($B$28/100))*$B31),0))))))</f>
        <v>67.279999999999987</v>
      </c>
      <c r="D31" s="77">
        <f>(IF(D$27="%w/w SAR",((D$28*10)*$B31),IF(D$27="%w/w DM",(((D$28*10)*($B$28/100))*$B31),IF(D$27="kg/t SAR",(D$28*$B31),IF(D$27="kg/t DM",((D$28*($B$28/100))*$B31),IF(D$27="mg/kg SAR",((D$28*0.001)*$B31),IF(D$27="mg/kg DM",(((D$28*0.001)*($B$28/100))*$B31),"0")))))))*2.291</f>
        <v>19.134431999999997</v>
      </c>
      <c r="E31" s="77">
        <f>(IF(E$27="%w/w SAR",((E$28*10)*$B31),IF(E$27="%w/w DM",(((E$28*10)*($B$28/100))*$B31),IF(E$27="kg/t SAR",(E$28*$B31),IF(E$27="kg/t DM",((E$28*($B$28/100))*$B31),IF(E$27="mg/kg SAR",((E$28*0.001)*$B31),IF(E$27="mg/kg DM",(((E$28*0.001)*($B$28/100))*$B31),"0")))))))*1.205</f>
        <v>6.632560999999999</v>
      </c>
      <c r="F31" s="77">
        <f>(IF(F$27="%w/w SAR",((F$28*10)*$B31),IF(F$27="%w/w DM",(((F$28*10)*($B$28/100))*$B31),IF(F$27="kg/t SAR",(F$28*$B31),IF(F$27="kg/t DM",((F$28*($B$28/100))*$B31),IF(F$27="mg/kg SAR",((F$28*0.001)*$B31),IF(F$27="mg/kg DM",(((F$28*0.001)*($B$28/100))*$B31),"0")))))))*1.658</f>
        <v>8.6355272000000003</v>
      </c>
      <c r="G31" s="77">
        <f t="shared" ref="G31:P46" si="5">IF(G$27="%w/w SAR",((G$28*10)*$B31),IF(G$27="%w/w DM",(((G$28*10)*($B$28/100))*$B31),IF(G$27="kg/t SAR",(G$28*$B31),IF(G$27="kg/t DM",((G$28*($B$28/100))*$B31),IF(G$27="mg/kg SAR",((G$28*0.001)*$B31),IF(G$27="mg/kg DM",(((G$28*0.001)*($B$28/100))*$B31),0))))))</f>
        <v>0.1943</v>
      </c>
      <c r="H31" s="77">
        <f t="shared" si="5"/>
        <v>0.12876000000000001</v>
      </c>
      <c r="I31" s="77">
        <f t="shared" si="5"/>
        <v>3.2421999999999999E-2</v>
      </c>
      <c r="J31" s="77">
        <f t="shared" si="5"/>
        <v>2.32E-3</v>
      </c>
      <c r="K31" s="77">
        <f t="shared" si="5"/>
        <v>4.9879999999999994E-3</v>
      </c>
      <c r="L31" s="77">
        <f t="shared" si="5"/>
        <v>2.1459999999999996E-2</v>
      </c>
      <c r="M31" s="77">
        <f t="shared" si="5"/>
        <v>1.6936E-2</v>
      </c>
      <c r="N31" s="77">
        <f t="shared" si="5"/>
        <v>980.19999999999993</v>
      </c>
      <c r="O31" s="77">
        <f t="shared" si="5"/>
        <v>40.251999999999995</v>
      </c>
      <c r="P31" s="77">
        <f t="shared" si="5"/>
        <v>0</v>
      </c>
      <c r="Q31" s="77">
        <f>(IF(Q$27="%w/w SAR",((Q$28*10)*$B31),IF(Q$27="%w/w DM",(((Q$28*10)*($B$28/100))*$B31),IF(Q$27="kg/t SAR",(Q$28*$B31),IF(Q$27="kg/t DM",((Q$28*($B$28/100))*$B31),IF(Q$27="mg/kg SAR",((Q$28*0.001)*$B31),IF(Q$27="mg/kg DM",(((Q$28*0.001)*($B$28/100))*$B31),0)))))))*2.5</f>
        <v>98.889999999999986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0.25462000000000001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Abercynrig 10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1</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2</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10</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11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16</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"&amp;(VLOOKUP(C14,Table24567[],6,FALSE))</f>
        <v>Medium/Clay I Grass</v>
      </c>
      <c r="C58" s="13" t="str">
        <f>D16&amp;" I "&amp;(VLOOKUP(D14,Table24567[],6,FALSE))</f>
        <v>Medium/Clay I Grass</v>
      </c>
      <c r="D58" s="13" t="str">
        <f>E16&amp;" I "&amp;(VLOOKUP(E14,Table24567[],6,FALSE))</f>
        <v>Medium/Clay I Arable</v>
      </c>
      <c r="E58" s="13" t="str">
        <f>F16&amp;" I "&amp;(VLOOKUP(F14,Table24567[],6,FALSE))</f>
        <v>Medium/Clay I Arable</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133</v>
      </c>
      <c r="B59" s="76">
        <f>VLOOKUP(C$14,Table24567[],5,FALSE)</f>
        <v>6.2</v>
      </c>
      <c r="C59" s="76">
        <f>VLOOKUP(D$14,Table24567[],5,FALSE)</f>
        <v>6.2</v>
      </c>
      <c r="D59" s="76">
        <f>VLOOKUP(E$14,Table24567[],5,FALSE)</f>
        <v>6.7</v>
      </c>
      <c r="E59" s="76">
        <f>VLOOKUP(F$14,Table24567[],5,FALSE)</f>
        <v>6.7</v>
      </c>
      <c r="F59" s="76">
        <f>VLOOKUP(G$14,Table24567[],5,FALSE)</f>
        <v>6.2</v>
      </c>
      <c r="G59" s="76">
        <f>VLOOKUP(H$14,Table24567[],5,FALSE)</f>
        <v>6.2</v>
      </c>
      <c r="H59" s="76">
        <f>VLOOKUP(I$14,Table24567[],5,FALSE)</f>
        <v>6.2</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6.2</v>
      </c>
      <c r="C60" s="76">
        <f t="shared" ref="C60:U60" si="14">D10</f>
        <v>5.2</v>
      </c>
      <c r="D60" s="76" t="str">
        <f t="shared" si="14"/>
        <v>5..5</v>
      </c>
      <c r="E60" s="76">
        <f t="shared" si="14"/>
        <v>5</v>
      </c>
      <c r="F60" s="76">
        <f t="shared" si="14"/>
        <v>5.5</v>
      </c>
      <c r="G60" s="76">
        <f t="shared" si="14"/>
        <v>5.4</v>
      </c>
      <c r="H60" s="76">
        <f t="shared" si="14"/>
        <v>5.5</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v>
      </c>
      <c r="C64" s="77">
        <f t="shared" ref="C64:U64" si="17">(C59-C60)*C61</f>
        <v>6</v>
      </c>
      <c r="D64" s="77" t="e">
        <f t="shared" si="17"/>
        <v>#VALUE!</v>
      </c>
      <c r="E64" s="77">
        <f t="shared" si="17"/>
        <v>13.600000000000001</v>
      </c>
      <c r="F64" s="77">
        <f t="shared" si="17"/>
        <v>4.2000000000000011</v>
      </c>
      <c r="G64" s="77">
        <f t="shared" si="17"/>
        <v>4.7999999999999989</v>
      </c>
      <c r="H64" s="77">
        <f t="shared" si="17"/>
        <v>4.2000000000000011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v>
      </c>
      <c r="C65" s="77">
        <f t="shared" ref="C65:U65" si="18">C63-C64</f>
        <v>-6</v>
      </c>
      <c r="D65" s="77" t="e">
        <f t="shared" si="18"/>
        <v>#VALUE!</v>
      </c>
      <c r="E65" s="77">
        <f t="shared" si="18"/>
        <v>-13.600000000000001</v>
      </c>
      <c r="F65" s="77">
        <f t="shared" si="18"/>
        <v>-4.2000000000000011</v>
      </c>
      <c r="G65" s="77">
        <f t="shared" si="18"/>
        <v>-4.7999999999999989</v>
      </c>
      <c r="H65" s="77">
        <f t="shared" si="18"/>
        <v>-4.2000000000000011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UNDER</v>
      </c>
      <c r="D66" s="78" t="e">
        <f t="shared" si="19"/>
        <v>#VALUE!</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QmjBoebz0yzhyv0Mf0zdOJWNBVFOWvdyUN6SUcDw58pEpDsk2KALnmwBEitoFdq+bviu6uglc2MiyLBHpyqFw==" saltValue="MnoLjG5aSTZfrp0dtPHM4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4" operator="equal">
      <formula>"DECREASE"</formula>
    </cfRule>
    <cfRule type="cellIs" dxfId="82" priority="35" operator="equal">
      <formula>"INCREASE"</formula>
    </cfRule>
  </conditionalFormatting>
  <conditionalFormatting sqref="B31:B50 B62:U66">
    <cfRule type="cellIs" dxfId="81" priority="33" operator="greaterThan">
      <formula>$B$51</formula>
    </cfRule>
  </conditionalFormatting>
  <conditionalFormatting sqref="C31:C50">
    <cfRule type="cellIs" dxfId="80" priority="32" operator="greaterThan">
      <formula>$C$51</formula>
    </cfRule>
  </conditionalFormatting>
  <conditionalFormatting sqref="C18:V18">
    <cfRule type="cellIs" dxfId="79" priority="31" operator="equal">
      <formula>0</formula>
    </cfRule>
  </conditionalFormatting>
  <conditionalFormatting sqref="C17:V17">
    <cfRule type="cellIs" dxfId="78" priority="30" operator="equal">
      <formula>0</formula>
    </cfRule>
  </conditionalFormatting>
  <conditionalFormatting sqref="C19:V19">
    <cfRule type="cellIs" dxfId="77" priority="29" operator="equal">
      <formula>0</formula>
    </cfRule>
  </conditionalFormatting>
  <conditionalFormatting sqref="G31:G50">
    <cfRule type="cellIs" dxfId="76" priority="28" operator="greaterThan">
      <formula>$G$51</formula>
    </cfRule>
  </conditionalFormatting>
  <conditionalFormatting sqref="H31:H50">
    <cfRule type="cellIs" dxfId="75" priority="27" operator="greaterThan">
      <formula>$H$51</formula>
    </cfRule>
  </conditionalFormatting>
  <conditionalFormatting sqref="I31:I50">
    <cfRule type="cellIs" dxfId="74" priority="26" operator="greaterThan">
      <formula>$I$51</formula>
    </cfRule>
  </conditionalFormatting>
  <conditionalFormatting sqref="K31:K50">
    <cfRule type="cellIs" dxfId="73" priority="25" operator="greaterThan">
      <formula>$K$51</formula>
    </cfRule>
  </conditionalFormatting>
  <conditionalFormatting sqref="L31:L50">
    <cfRule type="cellIs" dxfId="72" priority="24" operator="greaterThan">
      <formula>$L$51</formula>
    </cfRule>
  </conditionalFormatting>
  <conditionalFormatting sqref="M31:M50">
    <cfRule type="cellIs" dxfId="71" priority="23" operator="greaterThan">
      <formula>$M$51</formula>
    </cfRule>
  </conditionalFormatting>
  <conditionalFormatting sqref="P31:P50">
    <cfRule type="cellIs" dxfId="70" priority="22" operator="greaterThan">
      <formula>$P$51</formula>
    </cfRule>
  </conditionalFormatting>
  <conditionalFormatting sqref="R31:R50">
    <cfRule type="cellIs" dxfId="69" priority="21" operator="greaterThan">
      <formula>$R$51</formula>
    </cfRule>
  </conditionalFormatting>
  <conditionalFormatting sqref="S31:S50">
    <cfRule type="cellIs" dxfId="68" priority="20" operator="greaterThan">
      <formula>$S$51</formula>
    </cfRule>
  </conditionalFormatting>
  <conditionalFormatting sqref="T31:T50">
    <cfRule type="cellIs" dxfId="67" priority="19" operator="greaterThan">
      <formula>$T$51</formula>
    </cfRule>
  </conditionalFormatting>
  <conditionalFormatting sqref="U31:U50">
    <cfRule type="cellIs" dxfId="66" priority="18" operator="greaterThan">
      <formula>$U$51</formula>
    </cfRule>
  </conditionalFormatting>
  <conditionalFormatting sqref="C22:V22">
    <cfRule type="cellIs" dxfId="65" priority="17" operator="equal">
      <formula>0</formula>
    </cfRule>
  </conditionalFormatting>
  <conditionalFormatting sqref="C24:V24">
    <cfRule type="cellIs" dxfId="64" priority="15" operator="equal">
      <formula>"DECREASE"</formula>
    </cfRule>
    <cfRule type="cellIs" dxfId="63" priority="16" operator="equal">
      <formula>"INCREASE"</formula>
    </cfRule>
  </conditionalFormatting>
  <conditionalFormatting sqref="C23:V23">
    <cfRule type="cellIs" dxfId="62" priority="14" operator="equal">
      <formula>0</formula>
    </cfRule>
  </conditionalFormatting>
  <conditionalFormatting sqref="I1">
    <cfRule type="cellIs" dxfId="61" priority="13" operator="lessThan">
      <formula>5</formula>
    </cfRule>
  </conditionalFormatting>
  <conditionalFormatting sqref="C21:V21">
    <cfRule type="cellIs" dxfId="60" priority="10" operator="equal">
      <formula>0</formula>
    </cfRule>
  </conditionalFormatting>
  <conditionalFormatting sqref="B66:U66">
    <cfRule type="cellIs" dxfId="59" priority="8" operator="equal">
      <formula>"UNDER"</formula>
    </cfRule>
    <cfRule type="cellIs" dxfId="58" priority="9" operator="equal">
      <formula>"OVER"</formula>
    </cfRule>
  </conditionalFormatting>
  <conditionalFormatting sqref="I2">
    <cfRule type="cellIs" dxfId="57" priority="7" operator="greaterThan">
      <formula>5000.1</formula>
    </cfRule>
  </conditionalFormatting>
  <conditionalFormatting sqref="I3">
    <cfRule type="cellIs" dxfId="56" priority="6" operator="greaterThan">
      <formula>4.1</formula>
    </cfRule>
  </conditionalFormatting>
  <conditionalFormatting sqref="J31:J50">
    <cfRule type="cellIs" dxfId="55" priority="5"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V28" sqref="V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8" t="s">
        <v>41</v>
      </c>
      <c r="B1" s="118"/>
      <c r="C1" s="139" t="str">
        <f>Bryngwyn!C1:D1</f>
        <v>PAN-015421</v>
      </c>
      <c r="D1" s="140"/>
      <c r="E1" s="93" t="s">
        <v>45</v>
      </c>
      <c r="F1" s="39" t="str">
        <f>Bryngwyn!F1</f>
        <v>46.9 ha</v>
      </c>
      <c r="G1" s="119" t="s">
        <v>43</v>
      </c>
      <c r="H1" s="120"/>
      <c r="I1" s="96">
        <v>5.6</v>
      </c>
      <c r="J1" s="118" t="s">
        <v>154</v>
      </c>
      <c r="K1" s="118"/>
      <c r="L1" s="97">
        <v>210</v>
      </c>
      <c r="AB1" s="18"/>
      <c r="AC1" s="18"/>
      <c r="AD1" s="30" t="s">
        <v>127</v>
      </c>
      <c r="AE1" s="17"/>
      <c r="AF1" s="17"/>
      <c r="AG1" s="18"/>
      <c r="AH1" s="18"/>
      <c r="AI1" s="40" t="s">
        <v>79</v>
      </c>
      <c r="AJ1" s="41" t="s">
        <v>94</v>
      </c>
      <c r="AK1" s="42" t="s">
        <v>95</v>
      </c>
      <c r="AL1" s="43" t="s">
        <v>126</v>
      </c>
      <c r="AM1" s="43" t="s">
        <v>132</v>
      </c>
      <c r="AN1" s="43" t="s">
        <v>112</v>
      </c>
    </row>
    <row r="2" spans="1:41" ht="13" x14ac:dyDescent="0.3">
      <c r="A2" s="118" t="s">
        <v>87</v>
      </c>
      <c r="B2" s="118"/>
      <c r="C2" s="141" t="str">
        <f>Bryngwyn!C2:D2</f>
        <v>EPR/GP3792SK</v>
      </c>
      <c r="D2" s="142"/>
      <c r="E2" s="93" t="s">
        <v>109</v>
      </c>
      <c r="F2" s="96" t="s">
        <v>171</v>
      </c>
      <c r="G2" s="137" t="s">
        <v>110</v>
      </c>
      <c r="H2" s="138"/>
      <c r="I2" s="96"/>
      <c r="J2" s="118" t="s">
        <v>159</v>
      </c>
      <c r="K2" s="118"/>
      <c r="L2" s="97">
        <v>0.81699999999999995</v>
      </c>
      <c r="AB2" s="30" t="s">
        <v>56</v>
      </c>
      <c r="AC2" s="17"/>
      <c r="AD2" s="30" t="s">
        <v>70</v>
      </c>
      <c r="AE2" s="17"/>
      <c r="AF2" s="17"/>
      <c r="AG2" s="44" t="s">
        <v>76</v>
      </c>
      <c r="AH2" s="18"/>
      <c r="AI2" s="45" t="s">
        <v>127</v>
      </c>
      <c r="AJ2" s="46">
        <v>0</v>
      </c>
      <c r="AK2" s="47">
        <v>0</v>
      </c>
      <c r="AL2" s="10">
        <v>0</v>
      </c>
      <c r="AM2" s="11">
        <v>0</v>
      </c>
      <c r="AN2" s="11">
        <v>0</v>
      </c>
    </row>
    <row r="3" spans="1:41" ht="13" x14ac:dyDescent="0.25">
      <c r="A3" s="119" t="s">
        <v>42</v>
      </c>
      <c r="B3" s="120"/>
      <c r="C3" s="141" t="str">
        <f>Bryngwyn!C3:D3</f>
        <v>ByProduct Recovery Limited</v>
      </c>
      <c r="D3" s="142"/>
      <c r="E3" s="93" t="s">
        <v>108</v>
      </c>
      <c r="F3" s="31" t="s">
        <v>78</v>
      </c>
      <c r="G3" s="119" t="s">
        <v>111</v>
      </c>
      <c r="H3" s="120"/>
      <c r="I3" s="96"/>
      <c r="J3" s="119" t="s">
        <v>155</v>
      </c>
      <c r="K3" s="120"/>
      <c r="L3" s="97">
        <f>(L1/(L2*10000))*100</f>
        <v>2.5703794369645045</v>
      </c>
      <c r="AB3" s="30" t="s">
        <v>57</v>
      </c>
      <c r="AC3" s="17"/>
      <c r="AD3" s="30" t="s">
        <v>71</v>
      </c>
      <c r="AE3" s="17"/>
      <c r="AF3" s="17"/>
      <c r="AG3" s="44" t="s">
        <v>77</v>
      </c>
      <c r="AH3" s="18"/>
      <c r="AI3" s="48" t="s">
        <v>114</v>
      </c>
      <c r="AJ3" s="49">
        <v>1.7</v>
      </c>
      <c r="AK3" s="50">
        <v>6</v>
      </c>
      <c r="AL3" s="51">
        <v>1</v>
      </c>
      <c r="AM3" s="11">
        <v>6.2</v>
      </c>
      <c r="AN3" s="11" t="s">
        <v>113</v>
      </c>
    </row>
    <row r="4" spans="1:41" ht="13" x14ac:dyDescent="0.25">
      <c r="A4" s="118" t="s">
        <v>0</v>
      </c>
      <c r="B4" s="118"/>
      <c r="C4" s="139">
        <f>Bryngwyn!C4:D4</f>
        <v>0</v>
      </c>
      <c r="D4" s="140"/>
      <c r="E4" s="94" t="s">
        <v>1</v>
      </c>
      <c r="F4" s="96" t="s">
        <v>181</v>
      </c>
      <c r="G4" s="119"/>
      <c r="H4" s="120"/>
      <c r="I4" s="39"/>
      <c r="J4" s="119"/>
      <c r="K4" s="120"/>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18" t="s">
        <v>47</v>
      </c>
      <c r="B5" s="118"/>
      <c r="C5" s="139" t="str">
        <f>Bryngwyn!C5:D5</f>
        <v>Rhiannon Smith</v>
      </c>
      <c r="D5" s="140"/>
      <c r="E5" s="93"/>
      <c r="F5" s="39"/>
      <c r="G5" s="119"/>
      <c r="H5" s="120"/>
      <c r="I5" s="39"/>
      <c r="J5" s="119"/>
      <c r="K5" s="120"/>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24" t="s">
        <v>63</v>
      </c>
      <c r="B7" s="12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18" t="s">
        <v>2</v>
      </c>
      <c r="B8" s="118"/>
      <c r="C8" s="60" t="str">
        <f>Bryngwyn!C8</f>
        <v>Abercynrig 2</v>
      </c>
      <c r="D8" s="60" t="str">
        <f>Bryngwyn!D8</f>
        <v>Abercynrig 10</v>
      </c>
      <c r="E8" s="60">
        <f>Bryngwyn!E8</f>
        <v>1</v>
      </c>
      <c r="F8" s="60">
        <f>Bryngwyn!F8</f>
        <v>2</v>
      </c>
      <c r="G8" s="60">
        <f>Bryngwyn!G8</f>
        <v>10</v>
      </c>
      <c r="H8" s="60">
        <f>Bryngwyn!H8</f>
        <v>11</v>
      </c>
      <c r="I8" s="60">
        <f>Bryngwyn!I8</f>
        <v>16</v>
      </c>
      <c r="J8" s="60">
        <f>Bryngwyn!J8</f>
        <v>0</v>
      </c>
      <c r="K8" s="60">
        <f>Bryngwyn!K8</f>
        <v>0</v>
      </c>
      <c r="L8" s="60">
        <f>Bryngwyn!L8</f>
        <v>0</v>
      </c>
      <c r="M8" s="60">
        <f>Bryngwyn!M8</f>
        <v>0</v>
      </c>
      <c r="N8" s="60">
        <f>Bryngwyn!N8</f>
        <v>0</v>
      </c>
      <c r="O8" s="60">
        <f>Bryngwyn!O8</f>
        <v>0</v>
      </c>
      <c r="P8" s="60">
        <f>Bryngwyn!P8</f>
        <v>0</v>
      </c>
      <c r="Q8" s="60">
        <f>Bryngwyn!Q8</f>
        <v>0</v>
      </c>
      <c r="R8" s="60">
        <f>Bryngwyn!R8</f>
        <v>0</v>
      </c>
      <c r="S8" s="60">
        <f>Bryngwyn!S8</f>
        <v>0</v>
      </c>
      <c r="T8" s="60">
        <f>Bryngwyn!T8</f>
        <v>0</v>
      </c>
      <c r="U8" s="60">
        <f>Bryngwyn!U8</f>
        <v>0</v>
      </c>
      <c r="V8" s="60">
        <f>Bryngwyn!V8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18" t="s">
        <v>3</v>
      </c>
      <c r="B9" s="118"/>
      <c r="C9" s="60" t="str">
        <f>Bryngwyn!C9</f>
        <v>M</v>
      </c>
      <c r="D9" s="60" t="str">
        <f>Bryngwyn!D9</f>
        <v>m</v>
      </c>
      <c r="E9" s="60">
        <f>Bryngwyn!E9</f>
        <v>1</v>
      </c>
      <c r="F9" s="60">
        <f>Bryngwyn!F9</f>
        <v>1</v>
      </c>
      <c r="G9" s="60" t="str">
        <f>Bryngwyn!G9</f>
        <v>M</v>
      </c>
      <c r="H9" s="60" t="str">
        <f>Bryngwyn!H9</f>
        <v>M</v>
      </c>
      <c r="I9" s="60" t="str">
        <f>Bryngwyn!I9</f>
        <v>M</v>
      </c>
      <c r="J9" s="60">
        <f>Bryngwyn!J9</f>
        <v>0</v>
      </c>
      <c r="K9" s="60">
        <f>Bryngwyn!K9</f>
        <v>0</v>
      </c>
      <c r="L9" s="60">
        <f>Bryngwyn!L9</f>
        <v>0</v>
      </c>
      <c r="M9" s="60">
        <f>Bryngwyn!M9</f>
        <v>0</v>
      </c>
      <c r="N9" s="60">
        <f>Bryngwyn!N9</f>
        <v>0</v>
      </c>
      <c r="O9" s="60">
        <f>Bryngwyn!O9</f>
        <v>0</v>
      </c>
      <c r="P9" s="60">
        <f>Bryngwyn!P9</f>
        <v>0</v>
      </c>
      <c r="Q9" s="60">
        <f>Bryngwyn!Q9</f>
        <v>0</v>
      </c>
      <c r="R9" s="60">
        <f>Bryngwyn!R9</f>
        <v>0</v>
      </c>
      <c r="S9" s="60">
        <f>Bryngwyn!S9</f>
        <v>0</v>
      </c>
      <c r="T9" s="60">
        <f>Bryngwyn!T9</f>
        <v>0</v>
      </c>
      <c r="U9" s="60">
        <f>Bryngwyn!U9</f>
        <v>0</v>
      </c>
      <c r="V9" s="60">
        <f>Bryngwyn!V9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18" t="s">
        <v>4</v>
      </c>
      <c r="B10" s="118"/>
      <c r="C10" s="60">
        <f>Bryngwyn!C10</f>
        <v>6.2</v>
      </c>
      <c r="D10" s="60">
        <f>Bryngwyn!D10</f>
        <v>5.2</v>
      </c>
      <c r="E10" s="60" t="str">
        <f>Bryngwyn!E10</f>
        <v>5..5</v>
      </c>
      <c r="F10" s="60">
        <f>Bryngwyn!F10</f>
        <v>5</v>
      </c>
      <c r="G10" s="60">
        <f>Bryngwyn!G10</f>
        <v>5.5</v>
      </c>
      <c r="H10" s="60">
        <f>Bryngwyn!H10</f>
        <v>5.4</v>
      </c>
      <c r="I10" s="60">
        <f>Bryngwyn!I10</f>
        <v>5.5</v>
      </c>
      <c r="J10" s="60">
        <f>Bryngwyn!J10</f>
        <v>0</v>
      </c>
      <c r="K10" s="60">
        <f>Bryngwyn!K10</f>
        <v>0</v>
      </c>
      <c r="L10" s="60">
        <f>Bryngwyn!L10</f>
        <v>0</v>
      </c>
      <c r="M10" s="60">
        <f>Bryngwyn!M10</f>
        <v>0</v>
      </c>
      <c r="N10" s="60">
        <f>Bryngwyn!N10</f>
        <v>0</v>
      </c>
      <c r="O10" s="60">
        <f>Bryngwyn!O10</f>
        <v>0</v>
      </c>
      <c r="P10" s="60">
        <f>Bryngwyn!P10</f>
        <v>0</v>
      </c>
      <c r="Q10" s="60">
        <f>Bryngwyn!Q10</f>
        <v>0</v>
      </c>
      <c r="R10" s="60">
        <f>Bryngwyn!R10</f>
        <v>0</v>
      </c>
      <c r="S10" s="60">
        <f>Bryngwyn!S10</f>
        <v>0</v>
      </c>
      <c r="T10" s="60">
        <f>Bryngwyn!T10</f>
        <v>0</v>
      </c>
      <c r="U10" s="60">
        <f>Bryngwyn!U10</f>
        <v>0</v>
      </c>
      <c r="V10" s="60">
        <f>Bryngwyn!V10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18" t="s">
        <v>5</v>
      </c>
      <c r="B11" s="118"/>
      <c r="C11" s="60">
        <f>Bryngwyn!C11</f>
        <v>3</v>
      </c>
      <c r="D11" s="60">
        <f>Bryngwyn!D11</f>
        <v>3</v>
      </c>
      <c r="E11" s="60">
        <f>Bryngwyn!E11</f>
        <v>3</v>
      </c>
      <c r="F11" s="60">
        <f>Bryngwyn!F11</f>
        <v>4</v>
      </c>
      <c r="G11" s="60">
        <f>Bryngwyn!G11</f>
        <v>2</v>
      </c>
      <c r="H11" s="60">
        <f>Bryngwyn!H11</f>
        <v>2</v>
      </c>
      <c r="I11" s="60">
        <f>Bryngwyn!I11</f>
        <v>3</v>
      </c>
      <c r="J11" s="60">
        <f>Bryngwyn!J11</f>
        <v>0</v>
      </c>
      <c r="K11" s="60">
        <f>Bryngwyn!K11</f>
        <v>0</v>
      </c>
      <c r="L11" s="60">
        <f>Bryngwyn!L11</f>
        <v>0</v>
      </c>
      <c r="M11" s="60">
        <f>Bryngwyn!M11</f>
        <v>0</v>
      </c>
      <c r="N11" s="60">
        <f>Bryngwyn!N11</f>
        <v>0</v>
      </c>
      <c r="O11" s="60">
        <f>Bryngwyn!O11</f>
        <v>0</v>
      </c>
      <c r="P11" s="60">
        <f>Bryngwyn!P11</f>
        <v>0</v>
      </c>
      <c r="Q11" s="60">
        <f>Bryngwyn!Q11</f>
        <v>0</v>
      </c>
      <c r="R11" s="60">
        <f>Bryngwyn!R11</f>
        <v>0</v>
      </c>
      <c r="S11" s="60">
        <f>Bryngwyn!S11</f>
        <v>0</v>
      </c>
      <c r="T11" s="60">
        <f>Bryngwyn!T11</f>
        <v>0</v>
      </c>
      <c r="U11" s="60">
        <f>Bryngwyn!U11</f>
        <v>0</v>
      </c>
      <c r="V11" s="60">
        <f>Bryngwyn!V11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18" t="s">
        <v>6</v>
      </c>
      <c r="B12" s="118"/>
      <c r="C12" s="60">
        <f>Bryngwyn!C12</f>
        <v>2</v>
      </c>
      <c r="D12" s="60">
        <f>Bryngwyn!D12</f>
        <v>1</v>
      </c>
      <c r="E12" s="60">
        <f>Bryngwyn!E12</f>
        <v>2</v>
      </c>
      <c r="F12" s="60">
        <f>Bryngwyn!F12</f>
        <v>1</v>
      </c>
      <c r="G12" s="60">
        <f>Bryngwyn!G12</f>
        <v>1</v>
      </c>
      <c r="H12" s="60">
        <f>Bryngwyn!H12</f>
        <v>1</v>
      </c>
      <c r="I12" s="60">
        <f>Bryngwyn!I12</f>
        <v>1</v>
      </c>
      <c r="J12" s="60">
        <f>Bryngwyn!J12</f>
        <v>0</v>
      </c>
      <c r="K12" s="60">
        <f>Bryngwyn!K12</f>
        <v>0</v>
      </c>
      <c r="L12" s="60">
        <f>Bryngwyn!L12</f>
        <v>0</v>
      </c>
      <c r="M12" s="60">
        <f>Bryngwyn!M12</f>
        <v>0</v>
      </c>
      <c r="N12" s="60">
        <f>Bryngwyn!N12</f>
        <v>0</v>
      </c>
      <c r="O12" s="60">
        <f>Bryngwyn!O12</f>
        <v>0</v>
      </c>
      <c r="P12" s="60">
        <f>Bryngwyn!P12</f>
        <v>0</v>
      </c>
      <c r="Q12" s="60">
        <f>Bryngwyn!Q12</f>
        <v>0</v>
      </c>
      <c r="R12" s="60">
        <f>Bryngwyn!R12</f>
        <v>0</v>
      </c>
      <c r="S12" s="60">
        <f>Bryngwyn!S12</f>
        <v>0</v>
      </c>
      <c r="T12" s="60">
        <f>Bryngwyn!T12</f>
        <v>0</v>
      </c>
      <c r="U12" s="60">
        <f>Bryngwyn!U12</f>
        <v>0</v>
      </c>
      <c r="V12" s="60">
        <f>Bryngwyn!V12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18" t="s">
        <v>7</v>
      </c>
      <c r="B13" s="118"/>
      <c r="C13" s="60">
        <f>Bryngwyn!C13</f>
        <v>3</v>
      </c>
      <c r="D13" s="60">
        <f>Bryngwyn!D13</f>
        <v>2</v>
      </c>
      <c r="E13" s="60">
        <f>Bryngwyn!E13</f>
        <v>3</v>
      </c>
      <c r="F13" s="60">
        <f>Bryngwyn!F13</f>
        <v>2</v>
      </c>
      <c r="G13" s="60">
        <f>Bryngwyn!G13</f>
        <v>2</v>
      </c>
      <c r="H13" s="60">
        <f>Bryngwyn!H13</f>
        <v>2</v>
      </c>
      <c r="I13" s="60">
        <f>Bryngwyn!I13</f>
        <v>3</v>
      </c>
      <c r="J13" s="60">
        <f>Bryngwyn!J13</f>
        <v>0</v>
      </c>
      <c r="K13" s="60">
        <f>Bryngwyn!K13</f>
        <v>0</v>
      </c>
      <c r="L13" s="60">
        <f>Bryngwyn!L13</f>
        <v>0</v>
      </c>
      <c r="M13" s="60">
        <f>Bryngwyn!M13</f>
        <v>0</v>
      </c>
      <c r="N13" s="60">
        <f>Bryngwyn!N13</f>
        <v>0</v>
      </c>
      <c r="O13" s="60">
        <f>Bryngwyn!O13</f>
        <v>0</v>
      </c>
      <c r="P13" s="60">
        <f>Bryngwyn!P13</f>
        <v>0</v>
      </c>
      <c r="Q13" s="60">
        <f>Bryngwyn!Q13</f>
        <v>0</v>
      </c>
      <c r="R13" s="60">
        <f>Bryngwyn!R13</f>
        <v>0</v>
      </c>
      <c r="S13" s="60">
        <f>Bryngwyn!S13</f>
        <v>0</v>
      </c>
      <c r="T13" s="60">
        <f>Bryngwyn!T13</f>
        <v>0</v>
      </c>
      <c r="U13" s="60">
        <f>Bryngwyn!U13</f>
        <v>0</v>
      </c>
      <c r="V13" s="60">
        <f>Bryngwyn!V13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0" t="s">
        <v>8</v>
      </c>
      <c r="B14" s="130"/>
      <c r="C14" s="102" t="str">
        <f>Bryngwyn!C14</f>
        <v xml:space="preserve">Grass Silage (25% DM) </v>
      </c>
      <c r="D14" s="102" t="str">
        <f>Bryngwyn!D14</f>
        <v xml:space="preserve">Grass Silage (25% DM) </v>
      </c>
      <c r="E14" s="102" t="str">
        <f>Bryngwyn!E14</f>
        <v>Winter barley/triticale/rye</v>
      </c>
      <c r="F14" s="102" t="str">
        <f>Bryngwyn!F14</f>
        <v>Winter barley/triticale/rye</v>
      </c>
      <c r="G14" s="102" t="str">
        <f>Bryngwyn!G14</f>
        <v xml:space="preserve">Grass Silage (25% DM) </v>
      </c>
      <c r="H14" s="102" t="str">
        <f>Bryngwyn!H14</f>
        <v xml:space="preserve">Grass Silage (25% DM) </v>
      </c>
      <c r="I14" s="102" t="str">
        <f>Bryngwyn!I14</f>
        <v xml:space="preserve">Grass Silage (25% DM) </v>
      </c>
      <c r="J14" s="102">
        <f>Bryngwyn!J14</f>
        <v>0</v>
      </c>
      <c r="K14" s="102">
        <f>Bryngwyn!K14</f>
        <v>0</v>
      </c>
      <c r="L14" s="102">
        <f>Bryngwyn!L14</f>
        <v>0</v>
      </c>
      <c r="M14" s="102">
        <f>Bryngwyn!M14</f>
        <v>0</v>
      </c>
      <c r="N14" s="102">
        <f>Bryngwyn!N14</f>
        <v>0</v>
      </c>
      <c r="O14" s="102">
        <f>Bryngwyn!O14</f>
        <v>0</v>
      </c>
      <c r="P14" s="102">
        <f>Bryngwyn!P14</f>
        <v>0</v>
      </c>
      <c r="Q14" s="102">
        <f>Bryngwyn!Q14</f>
        <v>0</v>
      </c>
      <c r="R14" s="102">
        <f>Bryngwyn!R14</f>
        <v>0</v>
      </c>
      <c r="S14" s="102">
        <f>Bryngwyn!S14</f>
        <v>0</v>
      </c>
      <c r="T14" s="102">
        <f>Bryngwyn!T14</f>
        <v>0</v>
      </c>
      <c r="U14" s="102">
        <f>Bryngwyn!U14</f>
        <v>0</v>
      </c>
      <c r="V14" s="102">
        <f>Bryngwyn!V14</f>
        <v>0</v>
      </c>
      <c r="AD14" s="30" t="s">
        <v>139</v>
      </c>
      <c r="AE14" s="30">
        <v>6</v>
      </c>
      <c r="AI14" s="53" t="s">
        <v>120</v>
      </c>
      <c r="AJ14" s="54">
        <v>0.8</v>
      </c>
      <c r="AK14" s="55">
        <v>1.7</v>
      </c>
      <c r="AL14" s="11">
        <v>12</v>
      </c>
      <c r="AM14" s="11">
        <v>6.7</v>
      </c>
      <c r="AN14" s="11" t="s">
        <v>136</v>
      </c>
    </row>
    <row r="15" spans="1:41" ht="13" x14ac:dyDescent="0.25">
      <c r="A15" s="129" t="s">
        <v>9</v>
      </c>
      <c r="B15" s="129"/>
      <c r="C15" s="60">
        <f>Bryngwyn!C15</f>
        <v>38</v>
      </c>
      <c r="D15" s="60">
        <f>Bryngwyn!D15</f>
        <v>38</v>
      </c>
      <c r="E15" s="60">
        <f>Bryngwyn!E15</f>
        <v>6.5</v>
      </c>
      <c r="F15" s="60">
        <f>Bryngwyn!F15</f>
        <v>6.5</v>
      </c>
      <c r="G15" s="60">
        <f>Bryngwyn!G15</f>
        <v>38</v>
      </c>
      <c r="H15" s="60">
        <f>Bryngwyn!H15</f>
        <v>38</v>
      </c>
      <c r="I15" s="60">
        <f>Bryngwyn!I15</f>
        <v>38</v>
      </c>
      <c r="J15" s="60">
        <f>Bryngwyn!J15</f>
        <v>0</v>
      </c>
      <c r="K15" s="60">
        <f>Bryngwyn!K15</f>
        <v>0</v>
      </c>
      <c r="L15" s="60">
        <f>Bryngwyn!L15</f>
        <v>0</v>
      </c>
      <c r="M15" s="60">
        <f>Bryngwyn!M15</f>
        <v>0</v>
      </c>
      <c r="N15" s="60">
        <f>Bryngwyn!N15</f>
        <v>0</v>
      </c>
      <c r="O15" s="60">
        <f>Bryngwyn!O15</f>
        <v>0</v>
      </c>
      <c r="P15" s="60">
        <f>Bryngwyn!P15</f>
        <v>0</v>
      </c>
      <c r="Q15" s="60">
        <f>Bryngwyn!Q15</f>
        <v>0</v>
      </c>
      <c r="R15" s="60">
        <f>Bryngwyn!R15</f>
        <v>0</v>
      </c>
      <c r="S15" s="60">
        <f>Bryngwyn!S15</f>
        <v>0</v>
      </c>
      <c r="T15" s="60">
        <f>Bryngwyn!T15</f>
        <v>0</v>
      </c>
      <c r="U15" s="60">
        <f>Bryngwyn!U15</f>
        <v>0</v>
      </c>
      <c r="V15" s="60">
        <f>Bryngwyn!V15</f>
        <v>0</v>
      </c>
      <c r="AD15" s="30" t="s">
        <v>145</v>
      </c>
      <c r="AE15" s="30">
        <v>7</v>
      </c>
      <c r="AI15" s="53" t="s">
        <v>101</v>
      </c>
      <c r="AJ15" s="62">
        <v>1.8</v>
      </c>
      <c r="AK15" s="55">
        <v>5.4</v>
      </c>
      <c r="AL15" s="11">
        <v>13</v>
      </c>
      <c r="AM15" s="11">
        <v>6.7</v>
      </c>
      <c r="AN15" s="11" t="s">
        <v>136</v>
      </c>
    </row>
    <row r="16" spans="1:41" ht="13.5" thickBot="1" x14ac:dyDescent="0.3">
      <c r="A16" s="131" t="s">
        <v>44</v>
      </c>
      <c r="B16" s="131"/>
      <c r="C16" s="103" t="str">
        <f>Bryngwyn!C16</f>
        <v>Medium/Clay</v>
      </c>
      <c r="D16" s="103" t="str">
        <f>Bryngwyn!D16</f>
        <v>Medium/Clay</v>
      </c>
      <c r="E16" s="103" t="str">
        <f>Bryngwyn!E16</f>
        <v>Medium/Clay</v>
      </c>
      <c r="F16" s="103" t="str">
        <f>Bryngwyn!F16</f>
        <v>Medium/Clay</v>
      </c>
      <c r="G16" s="103" t="str">
        <f>Bryngwyn!G16</f>
        <v>Medium/Clay</v>
      </c>
      <c r="H16" s="103" t="str">
        <f>Bryngwyn!H16</f>
        <v>Medium/Clay</v>
      </c>
      <c r="I16" s="103" t="str">
        <f>Bryngwyn!I16</f>
        <v>Medium/Clay</v>
      </c>
      <c r="J16" s="103">
        <f>Bryngwyn!J16</f>
        <v>0</v>
      </c>
      <c r="K16" s="103">
        <f>Bryngwyn!K16</f>
        <v>0</v>
      </c>
      <c r="L16" s="103">
        <f>Bryngwyn!L16</f>
        <v>0</v>
      </c>
      <c r="M16" s="103">
        <f>Bryngwyn!M16</f>
        <v>0</v>
      </c>
      <c r="N16" s="103">
        <f>Bryngwyn!N16</f>
        <v>0</v>
      </c>
      <c r="O16" s="103">
        <f>Bryngwyn!O16</f>
        <v>0</v>
      </c>
      <c r="P16" s="103">
        <f>Bryngwyn!P16</f>
        <v>0</v>
      </c>
      <c r="Q16" s="103">
        <f>Bryngwyn!Q16</f>
        <v>0</v>
      </c>
      <c r="R16" s="103">
        <f>Bryngwyn!R16</f>
        <v>0</v>
      </c>
      <c r="S16" s="103">
        <f>Bryngwyn!S16</f>
        <v>0</v>
      </c>
      <c r="T16" s="103">
        <f>Bryngwyn!T16</f>
        <v>0</v>
      </c>
      <c r="U16" s="103">
        <f>Bryngwyn!U16</f>
        <v>0</v>
      </c>
      <c r="V16" s="103">
        <f>Bryngwyn!V16</f>
        <v>0</v>
      </c>
      <c r="AD16" s="52" t="s">
        <v>146</v>
      </c>
      <c r="AE16" s="30">
        <v>8</v>
      </c>
      <c r="AI16" s="53" t="s">
        <v>119</v>
      </c>
      <c r="AJ16" s="54">
        <v>8</v>
      </c>
      <c r="AK16" s="55">
        <v>5.5</v>
      </c>
      <c r="AL16" s="12">
        <v>14</v>
      </c>
      <c r="AM16" s="11">
        <v>6.7</v>
      </c>
      <c r="AN16" s="11" t="s">
        <v>136</v>
      </c>
    </row>
    <row r="17" spans="1:40" ht="13" x14ac:dyDescent="0.25">
      <c r="A17" s="121" t="s">
        <v>69</v>
      </c>
      <c r="B17" s="122"/>
      <c r="C17" s="28">
        <f>(VLOOKUP(C$14,$AI2:$AK26,2,FALSE))*C$15</f>
        <v>64.599999999999994</v>
      </c>
      <c r="D17" s="28">
        <f t="shared" ref="D17:V17" si="0">(VLOOKUP(D$14,$AI2:$AK26,2,FALSE))*D$15</f>
        <v>64.599999999999994</v>
      </c>
      <c r="E17" s="28">
        <f t="shared" si="0"/>
        <v>55.25</v>
      </c>
      <c r="F17" s="28">
        <f t="shared" si="0"/>
        <v>55.25</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23" t="s">
        <v>23</v>
      </c>
      <c r="B18" s="124"/>
      <c r="C18" s="16">
        <f>$D31</f>
        <v>5.4457642750000002</v>
      </c>
      <c r="D18" s="16">
        <f>$D32</f>
        <v>5.4457642750000002</v>
      </c>
      <c r="E18" s="16">
        <f>$D33</f>
        <v>5.4457642750000002</v>
      </c>
      <c r="F18" s="16">
        <f>$D34</f>
        <v>5.4457642750000002</v>
      </c>
      <c r="G18" s="16">
        <f>$D35</f>
        <v>5.4457642750000002</v>
      </c>
      <c r="H18" s="16">
        <f>$D36</f>
        <v>5.4457642750000002</v>
      </c>
      <c r="I18" s="16">
        <f>$D37</f>
        <v>5.4457642750000002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23" t="s">
        <v>90</v>
      </c>
      <c r="B19" s="124"/>
      <c r="C19" s="16">
        <f>C18-C17</f>
        <v>-59.154235724999992</v>
      </c>
      <c r="D19" s="16">
        <f t="shared" ref="D19:V19" si="1">D18-D17</f>
        <v>-59.154235724999992</v>
      </c>
      <c r="E19" s="16">
        <f t="shared" si="1"/>
        <v>-49.804235724999998</v>
      </c>
      <c r="F19" s="16">
        <f t="shared" si="1"/>
        <v>-49.804235724999998</v>
      </c>
      <c r="G19" s="16">
        <f t="shared" si="1"/>
        <v>-59.154235724999992</v>
      </c>
      <c r="H19" s="16">
        <f t="shared" si="1"/>
        <v>-59.154235724999992</v>
      </c>
      <c r="I19" s="16">
        <f t="shared" si="1"/>
        <v>-59.154235724999992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5" t="s">
        <v>91</v>
      </c>
      <c r="B20" s="126"/>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21" t="s">
        <v>88</v>
      </c>
      <c r="B21" s="122"/>
      <c r="C21" s="28">
        <f>(VLOOKUP(C$14,$AI2:$AK26,3,FALSE))*C$15</f>
        <v>228</v>
      </c>
      <c r="D21" s="28">
        <f t="shared" ref="D21:V21" si="2">(VLOOKUP(D$14,$AI2:$AK26,3,FALSE))*D$15</f>
        <v>228</v>
      </c>
      <c r="E21" s="28">
        <f t="shared" si="2"/>
        <v>68.25</v>
      </c>
      <c r="F21" s="28">
        <f t="shared" si="2"/>
        <v>68.25</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23" t="s">
        <v>89</v>
      </c>
      <c r="B22" s="124"/>
      <c r="C22" s="16">
        <f>$E31</f>
        <v>3.4650377500000005</v>
      </c>
      <c r="D22" s="16">
        <f>$E32</f>
        <v>3.4650377500000005</v>
      </c>
      <c r="E22" s="16">
        <f>$E33</f>
        <v>3.4650377500000005</v>
      </c>
      <c r="F22" s="16">
        <f>$E34</f>
        <v>3.4650377500000005</v>
      </c>
      <c r="G22" s="16">
        <f>$E35</f>
        <v>3.4650377500000005</v>
      </c>
      <c r="H22" s="16">
        <f>$E36</f>
        <v>3.4650377500000005</v>
      </c>
      <c r="I22" s="16">
        <f>$E37</f>
        <v>3.4650377500000005</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23" t="s">
        <v>92</v>
      </c>
      <c r="B23" s="124"/>
      <c r="C23" s="16">
        <f>C22-C21</f>
        <v>-224.53496225000001</v>
      </c>
      <c r="D23" s="16">
        <f t="shared" ref="D23:V23" si="3">D22-D21</f>
        <v>-224.53496225000001</v>
      </c>
      <c r="E23" s="16">
        <f t="shared" si="3"/>
        <v>-64.784962250000007</v>
      </c>
      <c r="F23" s="16">
        <f t="shared" si="3"/>
        <v>-64.784962250000007</v>
      </c>
      <c r="G23" s="16">
        <f t="shared" si="3"/>
        <v>-224.53496225000001</v>
      </c>
      <c r="H23" s="16">
        <f t="shared" si="3"/>
        <v>-224.53496225000001</v>
      </c>
      <c r="I23" s="16">
        <f t="shared" si="3"/>
        <v>-224.53496225000001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5" t="s">
        <v>93</v>
      </c>
      <c r="B24" s="126"/>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2.89</v>
      </c>
      <c r="C28" s="15">
        <v>0.81699999999999995</v>
      </c>
      <c r="D28" s="15">
        <v>3.2899999999999999E-2</v>
      </c>
      <c r="E28" s="15">
        <v>3.9800000000000002E-2</v>
      </c>
      <c r="F28" s="15">
        <v>676</v>
      </c>
      <c r="G28" s="15">
        <v>19.8</v>
      </c>
      <c r="H28" s="15">
        <v>126</v>
      </c>
      <c r="I28" s="15">
        <v>25.6</v>
      </c>
      <c r="J28" s="15">
        <v>0.32</v>
      </c>
      <c r="K28" s="23">
        <v>0.69</v>
      </c>
      <c r="L28" s="15">
        <v>2.97</v>
      </c>
      <c r="M28" s="15">
        <v>4.3</v>
      </c>
      <c r="N28" s="15">
        <v>1300</v>
      </c>
      <c r="O28" s="15">
        <v>428000</v>
      </c>
      <c r="P28" s="15"/>
      <c r="Q28" s="15">
        <v>7290</v>
      </c>
      <c r="R28" s="15"/>
      <c r="S28" s="15">
        <v>61.7</v>
      </c>
      <c r="T28" s="15"/>
      <c r="U28" s="15"/>
    </row>
    <row r="29" spans="1:40" s="7" customFormat="1" ht="28" x14ac:dyDescent="0.35">
      <c r="A29" s="12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Abercynrig 2</v>
      </c>
      <c r="B31" s="15">
        <v>250</v>
      </c>
      <c r="C31" s="77">
        <f>IF(C$27="%w/w SAR",((C$28*10)*$B31),IF(C$27="%w/w DM",(((C$28*10)*($B$28/100))*$B31),IF(C$27="kg/t SAR",(C$28*$B31),IF(C$27="kg/t DM",((C$28*($B$28/100))*$B31),IF(C$27="mg/kg SAR",((C$28*0.001)*$B31),IF(C$27="mg/kg DM",(((C$28*0.001)*($B$28/100))*$B31),0))))))</f>
        <v>59.028250000000007</v>
      </c>
      <c r="D31" s="77">
        <f>(IF(D$27="%w/w SAR",((D$28*10)*$B31),IF(D$27="%w/w DM",(((D$28*10)*($B$28/100))*$B31),IF(D$27="kg/t SAR",(D$28*$B31),IF(D$27="kg/t DM",((D$28*($B$28/100))*$B31),IF(D$27="mg/kg SAR",((D$28*0.001)*$B31),IF(D$27="mg/kg DM",(((D$28*0.001)*($B$28/100))*$B31),"0")))))))*2.291</f>
        <v>5.4457642750000002</v>
      </c>
      <c r="E31" s="77">
        <f>(IF(E$27="%w/w SAR",((E$28*10)*$B31),IF(E$27="%w/w DM",(((E$28*10)*($B$28/100))*$B31),IF(E$27="kg/t SAR",(E$28*$B31),IF(E$27="kg/t DM",((E$28*($B$28/100))*$B31),IF(E$27="mg/kg SAR",((E$28*0.001)*$B31),IF(E$27="mg/kg DM",(((E$28*0.001)*($B$28/100))*$B31),"0")))))))*1.205</f>
        <v>3.4650377500000005</v>
      </c>
      <c r="F31" s="77">
        <f>(IF(F$27="%w/w SAR",((F$28*10)*$B31),IF(F$27="%w/w DM",(((F$28*10)*($B$28/100))*$B31),IF(F$27="kg/t SAR",(F$28*$B31),IF(F$27="kg/t DM",((F$28*($B$28/100))*$B31),IF(F$27="mg/kg SAR",((F$28*0.001)*$B31),IF(F$27="mg/kg DM",(((F$28*0.001)*($B$28/100))*$B31),"0")))))))*1.658</f>
        <v>8.0978378000000006</v>
      </c>
      <c r="G31" s="77">
        <f t="shared" ref="G31:P46" si="5">IF(G$27="%w/w SAR",((G$28*10)*$B31),IF(G$27="%w/w DM",(((G$28*10)*($B$28/100))*$B31),IF(G$27="kg/t SAR",(G$28*$B31),IF(G$27="kg/t DM",((G$28*($B$28/100))*$B31),IF(G$27="mg/kg SAR",((G$28*0.001)*$B31),IF(G$27="mg/kg DM",(((G$28*0.001)*($B$28/100))*$B31),0))))))</f>
        <v>0.14305500000000004</v>
      </c>
      <c r="H31" s="77">
        <f t="shared" si="5"/>
        <v>0.9103500000000001</v>
      </c>
      <c r="I31" s="77">
        <f t="shared" si="5"/>
        <v>0.18496000000000001</v>
      </c>
      <c r="J31" s="77">
        <f t="shared" si="5"/>
        <v>2.3120000000000007E-3</v>
      </c>
      <c r="K31" s="77">
        <f t="shared" si="5"/>
        <v>4.9852500000000001E-3</v>
      </c>
      <c r="L31" s="77">
        <f t="shared" si="5"/>
        <v>2.1458250000000005E-2</v>
      </c>
      <c r="M31" s="77">
        <f t="shared" si="5"/>
        <v>3.1067500000000001E-2</v>
      </c>
      <c r="N31" s="77">
        <f t="shared" si="5"/>
        <v>9.3925000000000018</v>
      </c>
      <c r="O31" s="77">
        <f t="shared" si="5"/>
        <v>3092.3</v>
      </c>
      <c r="P31" s="77">
        <f t="shared" si="5"/>
        <v>0</v>
      </c>
      <c r="Q31" s="77">
        <f>(IF(Q$27="%w/w SAR",((Q$28*10)*$B31),IF(Q$27="%w/w DM",(((Q$28*10)*($B$28/100))*$B31),IF(Q$27="kg/t SAR",(Q$28*$B31),IF(Q$27="kg/t DM",((Q$28*($B$28/100))*$B31),IF(Q$27="mg/kg SAR",((Q$28*0.001)*$B31),IF(Q$27="mg/kg DM",(((Q$28*0.001)*($B$28/100))*$B31),0)))))))*2.5</f>
        <v>131.675625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0.44578250000000003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Abercynrig 10</v>
      </c>
      <c r="B32" s="15">
        <v>250</v>
      </c>
      <c r="C32" s="77">
        <f t="shared" ref="C32:C50" si="6">IF(C$27="%w/w SAR",((C$28*10)*$B32),IF(C$27="%w/w DM",(((C$28*10)*($B$28/100))*$B32),IF(C$27="kg/t SAR",(C$28*$B32),IF(C$27="kg/t DM",((C$28*($B$28/100))*$B32),IF(C$27="mg/kg SAR",((C$28*0.001)*$B32),IF(C$27="mg/kg DM",(((C$28*0.001)*($B$28/100))*$B32),0))))))</f>
        <v>59.028250000000007</v>
      </c>
      <c r="D32" s="77">
        <f t="shared" ref="D32:D50" si="7">(IF(D$27="%w/w SAR",((D$28*10)*$B32),IF(D$27="%w/w DM",(((D$28*10)*($B$28/100))*$B32),IF(D$27="kg/t SAR",(D$28*$B32),IF(D$27="kg/t DM",((D$28*($B$28/100))*$B32),IF(D$27="mg/kg SAR",((D$28*0.001)*$B32),IF(D$27="mg/kg DM",(((D$28*0.001)*($B$28/100))*$B32),"0")))))))*2.291</f>
        <v>5.4457642750000002</v>
      </c>
      <c r="E32" s="77">
        <f t="shared" ref="E32:E50" si="8">(IF(E$27="%w/w SAR",((E$28*10)*$B32),IF(E$27="%w/w DM",(((E$28*10)*($B$28/100))*$B32),IF(E$27="kg/t SAR",(E$28*$B32),IF(E$27="kg/t DM",((E$28*($B$28/100))*$B32),IF(E$27="mg/kg SAR",((E$28*0.001)*$B32),IF(E$27="mg/kg DM",(((E$28*0.001)*($B$28/100))*$B32),"0")))))))*1.205</f>
        <v>3.4650377500000005</v>
      </c>
      <c r="F32" s="77">
        <f t="shared" ref="F32:F50" si="9">(IF(F$27="%w/w SAR",((F$28*10)*$B32),IF(F$27="%w/w DM",(((F$28*10)*($B$28/100))*$B32),IF(F$27="kg/t SAR",(F$28*$B32),IF(F$27="kg/t DM",((F$28*($B$28/100))*$B32),IF(F$27="mg/kg SAR",((F$28*0.001)*$B32),IF(F$27="mg/kg DM",(((F$28*0.001)*($B$28/100))*$B32),"0")))))))*1.658</f>
        <v>8.0978378000000006</v>
      </c>
      <c r="G32" s="77">
        <f t="shared" si="5"/>
        <v>0.14305500000000004</v>
      </c>
      <c r="H32" s="77">
        <f t="shared" si="5"/>
        <v>0.9103500000000001</v>
      </c>
      <c r="I32" s="77">
        <f t="shared" si="5"/>
        <v>0.18496000000000001</v>
      </c>
      <c r="J32" s="77">
        <f t="shared" si="5"/>
        <v>2.3120000000000007E-3</v>
      </c>
      <c r="K32" s="77">
        <f t="shared" si="5"/>
        <v>4.9852500000000001E-3</v>
      </c>
      <c r="L32" s="77">
        <f t="shared" si="5"/>
        <v>2.1458250000000005E-2</v>
      </c>
      <c r="M32" s="77">
        <f t="shared" si="5"/>
        <v>3.1067500000000001E-2</v>
      </c>
      <c r="N32" s="77">
        <f t="shared" si="5"/>
        <v>9.3925000000000018</v>
      </c>
      <c r="O32" s="77">
        <f t="shared" si="5"/>
        <v>3092.3</v>
      </c>
      <c r="P32" s="77">
        <f t="shared" si="5"/>
        <v>0</v>
      </c>
      <c r="Q32" s="77">
        <f t="shared" ref="Q32:Q50" si="10">(IF(Q$27="%w/w SAR",((Q$28*10)*$B32),IF(Q$27="%w/w DM",(((Q$28*10)*($B$28/100))*$B32),IF(Q$27="kg/t SAR",(Q$28*$B32),IF(Q$27="kg/t DM",((Q$28*($B$28/100))*$B32),IF(Q$27="mg/kg SAR",((Q$28*0.001)*$B32),IF(Q$27="mg/kg DM",(((Q$28*0.001)*($B$28/100))*$B32),0)))))))*2.5</f>
        <v>131.675625</v>
      </c>
      <c r="R32" s="77">
        <f t="shared" ref="R32:U50" si="11">IF(R$27="%w/w SAR",((R$28*10)*$B32),IF(R$27="%w/w DM",(((R$28*10)*($B$28/100))*$B32),IF(R$27="kg/t SAR",(R$28*$B32),IF(R$27="kg/t DM",((R$28*($B$28/100))*$B32),IF(R$27="mg/kg SAR",((R$28*0.001)*$B32),IF(R$27="mg/kg DM",(((R$28*0.001)*($B$28/100))*$B32),0))))))</f>
        <v>0</v>
      </c>
      <c r="S32" s="77">
        <f t="shared" si="11"/>
        <v>0.44578250000000003</v>
      </c>
      <c r="T32" s="77">
        <f t="shared" si="11"/>
        <v>0</v>
      </c>
      <c r="U32" s="77">
        <f t="shared" si="11"/>
        <v>0</v>
      </c>
      <c r="AB32" s="59"/>
      <c r="AC32" s="59"/>
      <c r="AD32" s="59"/>
      <c r="AE32" s="59"/>
      <c r="AF32" s="59"/>
      <c r="AG32" s="59"/>
      <c r="AH32" s="59"/>
      <c r="AI32" s="59"/>
    </row>
    <row r="33" spans="1:35" s="72" customFormat="1" ht="13" x14ac:dyDescent="0.35">
      <c r="A33" s="13">
        <f>E8</f>
        <v>1</v>
      </c>
      <c r="B33" s="15">
        <v>250</v>
      </c>
      <c r="C33" s="77">
        <f t="shared" si="6"/>
        <v>59.028250000000007</v>
      </c>
      <c r="D33" s="77">
        <f t="shared" si="7"/>
        <v>5.4457642750000002</v>
      </c>
      <c r="E33" s="77">
        <f t="shared" si="8"/>
        <v>3.4650377500000005</v>
      </c>
      <c r="F33" s="77">
        <f t="shared" si="9"/>
        <v>8.0978378000000006</v>
      </c>
      <c r="G33" s="77">
        <f t="shared" si="5"/>
        <v>0.14305500000000004</v>
      </c>
      <c r="H33" s="77">
        <f t="shared" si="5"/>
        <v>0.9103500000000001</v>
      </c>
      <c r="I33" s="77">
        <f t="shared" si="5"/>
        <v>0.18496000000000001</v>
      </c>
      <c r="J33" s="77">
        <f t="shared" si="5"/>
        <v>2.3120000000000007E-3</v>
      </c>
      <c r="K33" s="77">
        <f t="shared" si="5"/>
        <v>4.9852500000000001E-3</v>
      </c>
      <c r="L33" s="77">
        <f t="shared" si="5"/>
        <v>2.1458250000000005E-2</v>
      </c>
      <c r="M33" s="77">
        <f t="shared" si="5"/>
        <v>3.1067500000000001E-2</v>
      </c>
      <c r="N33" s="77">
        <f t="shared" si="5"/>
        <v>9.3925000000000018</v>
      </c>
      <c r="O33" s="77">
        <f t="shared" si="5"/>
        <v>3092.3</v>
      </c>
      <c r="P33" s="77">
        <f t="shared" si="5"/>
        <v>0</v>
      </c>
      <c r="Q33" s="77">
        <f t="shared" si="10"/>
        <v>131.675625</v>
      </c>
      <c r="R33" s="77">
        <f t="shared" si="11"/>
        <v>0</v>
      </c>
      <c r="S33" s="77">
        <f t="shared" si="11"/>
        <v>0.44578250000000003</v>
      </c>
      <c r="T33" s="77">
        <f t="shared" si="11"/>
        <v>0</v>
      </c>
      <c r="U33" s="77">
        <f t="shared" si="11"/>
        <v>0</v>
      </c>
      <c r="AB33" s="59"/>
      <c r="AC33" s="59"/>
      <c r="AD33" s="59"/>
      <c r="AE33" s="59"/>
      <c r="AF33" s="59"/>
      <c r="AG33" s="59"/>
      <c r="AH33" s="59"/>
      <c r="AI33" s="59"/>
    </row>
    <row r="34" spans="1:35" s="72" customFormat="1" ht="13" x14ac:dyDescent="0.35">
      <c r="A34" s="13">
        <f>F8</f>
        <v>2</v>
      </c>
      <c r="B34" s="15">
        <v>250</v>
      </c>
      <c r="C34" s="77">
        <f t="shared" si="6"/>
        <v>59.028250000000007</v>
      </c>
      <c r="D34" s="77">
        <f t="shared" si="7"/>
        <v>5.4457642750000002</v>
      </c>
      <c r="E34" s="77">
        <f t="shared" si="8"/>
        <v>3.4650377500000005</v>
      </c>
      <c r="F34" s="77">
        <f t="shared" si="9"/>
        <v>8.0978378000000006</v>
      </c>
      <c r="G34" s="77">
        <f t="shared" si="5"/>
        <v>0.14305500000000004</v>
      </c>
      <c r="H34" s="77">
        <f t="shared" si="5"/>
        <v>0.9103500000000001</v>
      </c>
      <c r="I34" s="77">
        <f t="shared" si="5"/>
        <v>0.18496000000000001</v>
      </c>
      <c r="J34" s="77">
        <f t="shared" si="5"/>
        <v>2.3120000000000007E-3</v>
      </c>
      <c r="K34" s="77">
        <f t="shared" si="5"/>
        <v>4.9852500000000001E-3</v>
      </c>
      <c r="L34" s="77">
        <f t="shared" si="5"/>
        <v>2.1458250000000005E-2</v>
      </c>
      <c r="M34" s="77">
        <f t="shared" si="5"/>
        <v>3.1067500000000001E-2</v>
      </c>
      <c r="N34" s="77">
        <f t="shared" si="5"/>
        <v>9.3925000000000018</v>
      </c>
      <c r="O34" s="77">
        <f t="shared" si="5"/>
        <v>3092.3</v>
      </c>
      <c r="P34" s="77">
        <f t="shared" si="5"/>
        <v>0</v>
      </c>
      <c r="Q34" s="77">
        <f t="shared" si="10"/>
        <v>131.675625</v>
      </c>
      <c r="R34" s="77">
        <f t="shared" si="11"/>
        <v>0</v>
      </c>
      <c r="S34" s="77">
        <f t="shared" si="11"/>
        <v>0.44578250000000003</v>
      </c>
      <c r="T34" s="77">
        <f t="shared" si="11"/>
        <v>0</v>
      </c>
      <c r="U34" s="77">
        <f t="shared" si="11"/>
        <v>0</v>
      </c>
      <c r="AB34" s="59"/>
      <c r="AC34" s="59"/>
      <c r="AD34" s="59"/>
      <c r="AE34" s="59"/>
      <c r="AF34" s="59"/>
      <c r="AG34" s="59"/>
      <c r="AH34" s="59"/>
      <c r="AI34" s="59"/>
    </row>
    <row r="35" spans="1:35" s="72" customFormat="1" ht="13" x14ac:dyDescent="0.35">
      <c r="A35" s="13">
        <f>G8</f>
        <v>10</v>
      </c>
      <c r="B35" s="15">
        <v>250</v>
      </c>
      <c r="C35" s="77">
        <f t="shared" si="6"/>
        <v>59.028250000000007</v>
      </c>
      <c r="D35" s="77">
        <f t="shared" si="7"/>
        <v>5.4457642750000002</v>
      </c>
      <c r="E35" s="77">
        <f t="shared" si="8"/>
        <v>3.4650377500000005</v>
      </c>
      <c r="F35" s="77">
        <f t="shared" si="9"/>
        <v>8.0978378000000006</v>
      </c>
      <c r="G35" s="77">
        <f t="shared" si="5"/>
        <v>0.14305500000000004</v>
      </c>
      <c r="H35" s="77">
        <f t="shared" si="5"/>
        <v>0.9103500000000001</v>
      </c>
      <c r="I35" s="77">
        <f t="shared" si="5"/>
        <v>0.18496000000000001</v>
      </c>
      <c r="J35" s="77">
        <f t="shared" si="5"/>
        <v>2.3120000000000007E-3</v>
      </c>
      <c r="K35" s="77">
        <f t="shared" si="5"/>
        <v>4.9852500000000001E-3</v>
      </c>
      <c r="L35" s="77">
        <f t="shared" si="5"/>
        <v>2.1458250000000005E-2</v>
      </c>
      <c r="M35" s="77">
        <f t="shared" si="5"/>
        <v>3.1067500000000001E-2</v>
      </c>
      <c r="N35" s="77">
        <f t="shared" si="5"/>
        <v>9.3925000000000018</v>
      </c>
      <c r="O35" s="77">
        <f t="shared" si="5"/>
        <v>3092.3</v>
      </c>
      <c r="P35" s="77">
        <f t="shared" si="5"/>
        <v>0</v>
      </c>
      <c r="Q35" s="77">
        <f t="shared" si="10"/>
        <v>131.675625</v>
      </c>
      <c r="R35" s="77">
        <f t="shared" si="11"/>
        <v>0</v>
      </c>
      <c r="S35" s="77">
        <f t="shared" si="11"/>
        <v>0.44578250000000003</v>
      </c>
      <c r="T35" s="77">
        <f t="shared" si="11"/>
        <v>0</v>
      </c>
      <c r="U35" s="77">
        <f t="shared" si="11"/>
        <v>0</v>
      </c>
      <c r="AB35" s="59"/>
      <c r="AC35" s="59"/>
      <c r="AD35" s="59"/>
      <c r="AE35" s="59"/>
      <c r="AF35" s="59"/>
      <c r="AG35" s="59"/>
      <c r="AH35" s="59"/>
      <c r="AI35" s="59"/>
    </row>
    <row r="36" spans="1:35" s="72" customFormat="1" ht="13" x14ac:dyDescent="0.35">
      <c r="A36" s="13">
        <f>H8</f>
        <v>11</v>
      </c>
      <c r="B36" s="15">
        <v>250</v>
      </c>
      <c r="C36" s="77">
        <f t="shared" si="6"/>
        <v>59.028250000000007</v>
      </c>
      <c r="D36" s="77">
        <f t="shared" si="7"/>
        <v>5.4457642750000002</v>
      </c>
      <c r="E36" s="77">
        <f t="shared" si="8"/>
        <v>3.4650377500000005</v>
      </c>
      <c r="F36" s="77">
        <f t="shared" si="9"/>
        <v>8.0978378000000006</v>
      </c>
      <c r="G36" s="77">
        <f t="shared" si="5"/>
        <v>0.14305500000000004</v>
      </c>
      <c r="H36" s="77">
        <f t="shared" si="5"/>
        <v>0.9103500000000001</v>
      </c>
      <c r="I36" s="77">
        <f t="shared" si="5"/>
        <v>0.18496000000000001</v>
      </c>
      <c r="J36" s="77">
        <f t="shared" si="5"/>
        <v>2.3120000000000007E-3</v>
      </c>
      <c r="K36" s="77">
        <f t="shared" si="5"/>
        <v>4.9852500000000001E-3</v>
      </c>
      <c r="L36" s="77">
        <f t="shared" si="5"/>
        <v>2.1458250000000005E-2</v>
      </c>
      <c r="M36" s="77">
        <f t="shared" si="5"/>
        <v>3.1067500000000001E-2</v>
      </c>
      <c r="N36" s="77">
        <f t="shared" si="5"/>
        <v>9.3925000000000018</v>
      </c>
      <c r="O36" s="77">
        <f t="shared" si="5"/>
        <v>3092.3</v>
      </c>
      <c r="P36" s="77">
        <f t="shared" si="5"/>
        <v>0</v>
      </c>
      <c r="Q36" s="77">
        <f t="shared" si="10"/>
        <v>131.675625</v>
      </c>
      <c r="R36" s="77">
        <f t="shared" si="11"/>
        <v>0</v>
      </c>
      <c r="S36" s="77">
        <f t="shared" si="11"/>
        <v>0.44578250000000003</v>
      </c>
      <c r="T36" s="77">
        <f t="shared" si="11"/>
        <v>0</v>
      </c>
      <c r="U36" s="77">
        <f t="shared" si="11"/>
        <v>0</v>
      </c>
      <c r="AB36" s="59"/>
      <c r="AC36" s="59"/>
      <c r="AD36" s="59"/>
      <c r="AE36" s="59"/>
      <c r="AF36" s="59"/>
      <c r="AG36" s="59"/>
      <c r="AH36" s="59"/>
      <c r="AI36" s="59"/>
    </row>
    <row r="37" spans="1:35" s="72" customFormat="1" ht="13" x14ac:dyDescent="0.35">
      <c r="A37" s="13">
        <f>I8</f>
        <v>16</v>
      </c>
      <c r="B37" s="15">
        <v>250</v>
      </c>
      <c r="C37" s="77">
        <f t="shared" si="6"/>
        <v>59.028250000000007</v>
      </c>
      <c r="D37" s="77">
        <f t="shared" si="7"/>
        <v>5.4457642750000002</v>
      </c>
      <c r="E37" s="77">
        <f t="shared" si="8"/>
        <v>3.4650377500000005</v>
      </c>
      <c r="F37" s="77">
        <f t="shared" si="9"/>
        <v>8.0978378000000006</v>
      </c>
      <c r="G37" s="77">
        <f t="shared" si="5"/>
        <v>0.14305500000000004</v>
      </c>
      <c r="H37" s="77">
        <f t="shared" si="5"/>
        <v>0.9103500000000001</v>
      </c>
      <c r="I37" s="77">
        <f t="shared" si="5"/>
        <v>0.18496000000000001</v>
      </c>
      <c r="J37" s="77">
        <f t="shared" si="5"/>
        <v>2.3120000000000007E-3</v>
      </c>
      <c r="K37" s="77">
        <f t="shared" si="5"/>
        <v>4.9852500000000001E-3</v>
      </c>
      <c r="L37" s="77">
        <f t="shared" si="5"/>
        <v>2.1458250000000005E-2</v>
      </c>
      <c r="M37" s="77">
        <f t="shared" si="5"/>
        <v>3.1067500000000001E-2</v>
      </c>
      <c r="N37" s="77">
        <f t="shared" si="5"/>
        <v>9.3925000000000018</v>
      </c>
      <c r="O37" s="77">
        <f t="shared" si="5"/>
        <v>3092.3</v>
      </c>
      <c r="P37" s="77">
        <f t="shared" si="5"/>
        <v>0</v>
      </c>
      <c r="Q37" s="77">
        <f t="shared" si="10"/>
        <v>131.675625</v>
      </c>
      <c r="R37" s="77">
        <f t="shared" si="11"/>
        <v>0</v>
      </c>
      <c r="S37" s="77">
        <f t="shared" si="11"/>
        <v>0.44578250000000003</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Abercynrig 2</v>
      </c>
      <c r="C57" s="8" t="str">
        <f t="shared" ref="C57:U57" si="13">D8</f>
        <v>Abercynrig 10</v>
      </c>
      <c r="D57" s="8">
        <f t="shared" si="13"/>
        <v>1</v>
      </c>
      <c r="E57" s="8">
        <f t="shared" si="13"/>
        <v>2</v>
      </c>
      <c r="F57" s="8">
        <f t="shared" si="13"/>
        <v>10</v>
      </c>
      <c r="G57" s="8">
        <f t="shared" si="13"/>
        <v>11</v>
      </c>
      <c r="H57" s="8">
        <f t="shared" si="13"/>
        <v>16</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"&amp;(VLOOKUP(C14,Table2456[],6,FALSE))</f>
        <v>Medium/Clay I Grass</v>
      </c>
      <c r="C58" s="13" t="str">
        <f>D16&amp;" I "&amp;(VLOOKUP(D14,Table2456[],6,FALSE))</f>
        <v>Medium/Clay I Grass</v>
      </c>
      <c r="D58" s="13" t="str">
        <f>E16&amp;" I "&amp;(VLOOKUP(E14,Table2456[],6,FALSE))</f>
        <v>Medium/Clay I Arable</v>
      </c>
      <c r="E58" s="13" t="str">
        <f>F16&amp;" I "&amp;(VLOOKUP(F14,Table2456[],6,FALSE))</f>
        <v>Medium/Clay I Arable</v>
      </c>
      <c r="F58" s="13" t="str">
        <f>G16&amp;" I "&amp;(VLOOKUP(G14,Table2456[],6,FALSE))</f>
        <v>Medium/Clay I Grass</v>
      </c>
      <c r="G58" s="13" t="str">
        <f>H16&amp;" I "&amp;(VLOOKUP(H14,Table2456[],6,FALSE))</f>
        <v>Medium/Clay I Grass</v>
      </c>
      <c r="H58" s="13" t="str">
        <f>I16&amp;" I "&amp;(VLOOKUP(I14,Table2456[],6,FALSE))</f>
        <v>Medium/Clay I Grass</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133</v>
      </c>
      <c r="B59" s="76">
        <f>VLOOKUP(C$14,Table2456[],5,FALSE)</f>
        <v>6.2</v>
      </c>
      <c r="C59" s="76">
        <f>VLOOKUP(D$14,Table2456[],5,FALSE)</f>
        <v>6.2</v>
      </c>
      <c r="D59" s="76">
        <f>VLOOKUP(E$14,Table2456[],5,FALSE)</f>
        <v>6.7</v>
      </c>
      <c r="E59" s="76">
        <f>VLOOKUP(F$14,Table2456[],5,FALSE)</f>
        <v>6.7</v>
      </c>
      <c r="F59" s="76">
        <f>VLOOKUP(G$14,Table2456[],5,FALSE)</f>
        <v>6.2</v>
      </c>
      <c r="G59" s="76">
        <f>VLOOKUP(H$14,Table2456[],5,FALSE)</f>
        <v>6.2</v>
      </c>
      <c r="H59" s="76">
        <f>VLOOKUP(I$14,Table2456[],5,FALSE)</f>
        <v>6.2</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6.2</v>
      </c>
      <c r="C60" s="76">
        <f t="shared" ref="C60:U60" si="14">D10</f>
        <v>5.2</v>
      </c>
      <c r="D60" s="76" t="str">
        <f t="shared" si="14"/>
        <v>5..5</v>
      </c>
      <c r="E60" s="76">
        <f t="shared" si="14"/>
        <v>5</v>
      </c>
      <c r="F60" s="76">
        <f t="shared" si="14"/>
        <v>5.5</v>
      </c>
      <c r="G60" s="76">
        <f t="shared" si="14"/>
        <v>5.4</v>
      </c>
      <c r="H60" s="76">
        <f t="shared" si="14"/>
        <v>5.5</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6</v>
      </c>
      <c r="C61" s="76">
        <f t="shared" si="15"/>
        <v>6</v>
      </c>
      <c r="D61" s="76">
        <f t="shared" si="15"/>
        <v>8</v>
      </c>
      <c r="E61" s="76">
        <f t="shared" si="15"/>
        <v>8</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250</v>
      </c>
      <c r="D62" s="77">
        <f>B33</f>
        <v>250</v>
      </c>
      <c r="E62" s="77">
        <f>B34</f>
        <v>250</v>
      </c>
      <c r="F62" s="77">
        <f>B35</f>
        <v>250</v>
      </c>
      <c r="G62" s="77">
        <f>B36</f>
        <v>250</v>
      </c>
      <c r="H62" s="77">
        <f>B37</f>
        <v>250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v>
      </c>
      <c r="C64" s="77">
        <f t="shared" ref="C64:U64" si="17">(C59-C60)*C61</f>
        <v>6</v>
      </c>
      <c r="D64" s="77" t="e">
        <f t="shared" si="17"/>
        <v>#VALUE!</v>
      </c>
      <c r="E64" s="77">
        <f t="shared" si="17"/>
        <v>13.600000000000001</v>
      </c>
      <c r="F64" s="77">
        <f t="shared" si="17"/>
        <v>4.2000000000000011</v>
      </c>
      <c r="G64" s="77">
        <f t="shared" si="17"/>
        <v>4.7999999999999989</v>
      </c>
      <c r="H64" s="77">
        <f t="shared" si="17"/>
        <v>4.2000000000000011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v>
      </c>
      <c r="C65" s="77">
        <f t="shared" ref="C65:U65" si="18">C63-C64</f>
        <v>-6</v>
      </c>
      <c r="D65" s="77" t="e">
        <f t="shared" si="18"/>
        <v>#VALUE!</v>
      </c>
      <c r="E65" s="77">
        <f t="shared" si="18"/>
        <v>-13.600000000000001</v>
      </c>
      <c r="F65" s="77">
        <f t="shared" si="18"/>
        <v>-4.2000000000000011</v>
      </c>
      <c r="G65" s="77">
        <f t="shared" si="18"/>
        <v>-4.7999999999999989</v>
      </c>
      <c r="H65" s="77">
        <f t="shared" si="18"/>
        <v>-4.2000000000000011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UNDER</v>
      </c>
      <c r="D66" s="78" t="e">
        <f t="shared" si="19"/>
        <v>#VALUE!</v>
      </c>
      <c r="E66" s="78" t="str">
        <f t="shared" si="19"/>
        <v>UNDER</v>
      </c>
      <c r="F66" s="78" t="str">
        <f t="shared" si="19"/>
        <v>UNDER</v>
      </c>
      <c r="G66" s="78" t="str">
        <f t="shared" si="19"/>
        <v>UNDER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fsk+cckC3710GTDDJ7F+YwcWphEyGdyrjVAlZiQX/UQ9S1+Io/Gv7bAmC3GTkAPOA5zN0xtBQcmVnyx3M4svhQ==" saltValue="uh+tsiRdsSu5yylxqpAsN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4" operator="equal">
      <formula>"DECREASE"</formula>
    </cfRule>
    <cfRule type="cellIs" dxfId="40" priority="35" operator="equal">
      <formula>"INCREASE"</formula>
    </cfRule>
  </conditionalFormatting>
  <conditionalFormatting sqref="B31:B50 B62:U66">
    <cfRule type="cellIs" dxfId="39" priority="33" operator="greaterThan">
      <formula>$B$51</formula>
    </cfRule>
  </conditionalFormatting>
  <conditionalFormatting sqref="C31:C50">
    <cfRule type="cellIs" dxfId="38" priority="32" operator="greaterThan">
      <formula>$C$51</formula>
    </cfRule>
  </conditionalFormatting>
  <conditionalFormatting sqref="C18:V18">
    <cfRule type="cellIs" dxfId="37" priority="31" operator="equal">
      <formula>0</formula>
    </cfRule>
  </conditionalFormatting>
  <conditionalFormatting sqref="C17:V17">
    <cfRule type="cellIs" dxfId="36" priority="30" operator="equal">
      <formula>0</formula>
    </cfRule>
  </conditionalFormatting>
  <conditionalFormatting sqref="C19:V19">
    <cfRule type="cellIs" dxfId="35" priority="29" operator="equal">
      <formula>0</formula>
    </cfRule>
  </conditionalFormatting>
  <conditionalFormatting sqref="G31:G50">
    <cfRule type="cellIs" dxfId="34" priority="28" operator="greaterThan">
      <formula>$G$51</formula>
    </cfRule>
  </conditionalFormatting>
  <conditionalFormatting sqref="H31:H50">
    <cfRule type="cellIs" dxfId="33" priority="27" operator="greaterThan">
      <formula>$H$51</formula>
    </cfRule>
  </conditionalFormatting>
  <conditionalFormatting sqref="I31:I50">
    <cfRule type="cellIs" dxfId="32" priority="26" operator="greaterThan">
      <formula>$I$51</formula>
    </cfRule>
  </conditionalFormatting>
  <conditionalFormatting sqref="K31:K50">
    <cfRule type="cellIs" dxfId="31" priority="25" operator="greaterThan">
      <formula>$K$51</formula>
    </cfRule>
  </conditionalFormatting>
  <conditionalFormatting sqref="L31:L50">
    <cfRule type="cellIs" dxfId="30" priority="24" operator="greaterThan">
      <formula>$L$51</formula>
    </cfRule>
  </conditionalFormatting>
  <conditionalFormatting sqref="M31:M50">
    <cfRule type="cellIs" dxfId="29" priority="23" operator="greaterThan">
      <formula>$M$51</formula>
    </cfRule>
  </conditionalFormatting>
  <conditionalFormatting sqref="P31:P50">
    <cfRule type="cellIs" dxfId="28" priority="22" operator="greaterThan">
      <formula>$P$51</formula>
    </cfRule>
  </conditionalFormatting>
  <conditionalFormatting sqref="R31:R50">
    <cfRule type="cellIs" dxfId="27" priority="21" operator="greaterThan">
      <formula>$R$51</formula>
    </cfRule>
  </conditionalFormatting>
  <conditionalFormatting sqref="S31:S50">
    <cfRule type="cellIs" dxfId="26" priority="20" operator="greaterThan">
      <formula>$S$51</formula>
    </cfRule>
  </conditionalFormatting>
  <conditionalFormatting sqref="T31:T50">
    <cfRule type="cellIs" dxfId="25" priority="19" operator="greaterThan">
      <formula>$T$51</formula>
    </cfRule>
  </conditionalFormatting>
  <conditionalFormatting sqref="U31:U50">
    <cfRule type="cellIs" dxfId="24" priority="18" operator="greaterThan">
      <formula>$U$51</formula>
    </cfRule>
  </conditionalFormatting>
  <conditionalFormatting sqref="C22:V22">
    <cfRule type="cellIs" dxfId="23" priority="17" operator="equal">
      <formula>0</formula>
    </cfRule>
  </conditionalFormatting>
  <conditionalFormatting sqref="C24:V24">
    <cfRule type="cellIs" dxfId="22" priority="15" operator="equal">
      <formula>"DECREASE"</formula>
    </cfRule>
    <cfRule type="cellIs" dxfId="21" priority="16" operator="equal">
      <formula>"INCREASE"</formula>
    </cfRule>
  </conditionalFormatting>
  <conditionalFormatting sqref="C23:V23">
    <cfRule type="cellIs" dxfId="20" priority="14" operator="equal">
      <formula>0</formula>
    </cfRule>
  </conditionalFormatting>
  <conditionalFormatting sqref="I1">
    <cfRule type="cellIs" dxfId="19" priority="13" operator="lessThan">
      <formula>5</formula>
    </cfRule>
  </conditionalFormatting>
  <conditionalFormatting sqref="C21:V21">
    <cfRule type="cellIs" dxfId="18" priority="10" operator="equal">
      <formula>0</formula>
    </cfRule>
  </conditionalFormatting>
  <conditionalFormatting sqref="B66:U66">
    <cfRule type="cellIs" dxfId="17" priority="8" operator="equal">
      <formula>"UNDER"</formula>
    </cfRule>
    <cfRule type="cellIs" dxfId="16" priority="9" operator="equal">
      <formula>"OVER"</formula>
    </cfRule>
  </conditionalFormatting>
  <conditionalFormatting sqref="I2">
    <cfRule type="cellIs" dxfId="15" priority="7" operator="greaterThan">
      <formula>5000.1</formula>
    </cfRule>
  </conditionalFormatting>
  <conditionalFormatting sqref="I3">
    <cfRule type="cellIs" dxfId="14" priority="6" operator="greaterThan">
      <formula>4.1</formula>
    </cfRule>
  </conditionalFormatting>
  <conditionalFormatting sqref="J31:J50">
    <cfRule type="cellIs" dxfId="13" priority="5"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3" t="s">
        <v>84</v>
      </c>
      <c r="B1" s="38" t="str">
        <f>Bryngwyn!B29</f>
        <v>Application Rate</v>
      </c>
      <c r="C1" s="38" t="str">
        <f>Bryngwyn!C29</f>
        <v>Nitrogen Addition</v>
      </c>
      <c r="D1" s="38" t="str">
        <f>Bryngwyn!D29</f>
        <v>Phosphate Addition</v>
      </c>
      <c r="E1" s="38" t="str">
        <f>Bryngwyn!E29</f>
        <v>Potash  Addition</v>
      </c>
      <c r="F1" s="38" t="str">
        <f>Bryngwyn!F29</f>
        <v>Mg Oxide Addition</v>
      </c>
      <c r="G1" s="38" t="str">
        <f>Bryngwyn!G29</f>
        <v>Copper Addition</v>
      </c>
      <c r="H1" s="38" t="str">
        <f>Bryngwyn!H29</f>
        <v>Zinc Addition</v>
      </c>
      <c r="I1" s="38" t="str">
        <f>Bryngwyn!I29</f>
        <v>Lead Addition</v>
      </c>
      <c r="J1" s="38" t="str">
        <f>Bryngwyn!J29</f>
        <v>Cadmium Addition</v>
      </c>
      <c r="K1" s="38" t="str">
        <f>Bryngwyn!K29</f>
        <v>Mercury Addition</v>
      </c>
      <c r="L1" s="38" t="str">
        <f>Bryngwyn!L29</f>
        <v>Nickel Addition</v>
      </c>
      <c r="M1" s="38" t="str">
        <f>Bryngwyn!M29</f>
        <v>Chromium Addition</v>
      </c>
      <c r="N1" s="38" t="str">
        <f>Bryngwyn!N29</f>
        <v>Aluminium Addition</v>
      </c>
      <c r="O1" s="38" t="str">
        <f>Bryngwyn!O29</f>
        <v>Iron Addition</v>
      </c>
      <c r="P1" s="38" t="str">
        <f>Bryngwyn!P29</f>
        <v xml:space="preserve">Sodium Addition                 </v>
      </c>
      <c r="Q1" s="38" t="str">
        <f>Bryngwyn!Q29</f>
        <v>SO3  Addition                             kg/ha</v>
      </c>
      <c r="R1" s="38" t="str">
        <f>Bryngwyn!R29</f>
        <v xml:space="preserve">Selenium Addition </v>
      </c>
      <c r="S1" s="38" t="str">
        <f>Bryngwyn!S29</f>
        <v xml:space="preserve">Arsenic  Addition  </v>
      </c>
      <c r="T1" s="38" t="str">
        <f>Bryngwyn!T29</f>
        <v xml:space="preserve">Molybdenum Addition  </v>
      </c>
      <c r="U1" s="38" t="str">
        <f>Bryngwyn!U29</f>
        <v xml:space="preserve">Fluoride Addition </v>
      </c>
    </row>
    <row r="2" spans="1:21" ht="25" x14ac:dyDescent="0.25">
      <c r="A2" s="143"/>
      <c r="B2" s="38" t="str">
        <f>Bryngwyn!B30</f>
        <v>tonnes/ha</v>
      </c>
      <c r="C2" s="38" t="str">
        <f>Bryngwyn!C30</f>
        <v>kg/ha</v>
      </c>
      <c r="D2" s="38" t="str">
        <f>Bryngwyn!D30</f>
        <v>P2O5 
kg/ha</v>
      </c>
      <c r="E2" s="38" t="str">
        <f>Bryngwyn!E30</f>
        <v>K2O 
kg/ha</v>
      </c>
      <c r="F2" s="38" t="str">
        <f>Bryngwyn!F30</f>
        <v>MgO 
kg/ha</v>
      </c>
      <c r="G2" s="38" t="str">
        <f>Bryngwyn!G30</f>
        <v>kg/ha</v>
      </c>
      <c r="H2" s="38" t="str">
        <f>Bryngwyn!H30</f>
        <v>kg/ha</v>
      </c>
      <c r="I2" s="38" t="str">
        <f>Bryngwyn!I30</f>
        <v>kg/ha</v>
      </c>
      <c r="J2" s="38" t="str">
        <f>Bryngwyn!J30</f>
        <v>kg/ha</v>
      </c>
      <c r="K2" s="38" t="str">
        <f>Bryngwyn!K30</f>
        <v>kg/ha</v>
      </c>
      <c r="L2" s="38" t="str">
        <f>Bryngwyn!L30</f>
        <v>kg/ha</v>
      </c>
      <c r="M2" s="38" t="str">
        <f>Bryngwyn!M30</f>
        <v>kg/ha</v>
      </c>
      <c r="N2" s="38" t="str">
        <f>Bryngwyn!N30</f>
        <v>kg/ha</v>
      </c>
      <c r="O2" s="38" t="str">
        <f>Bryngwyn!O30</f>
        <v>kg/ha</v>
      </c>
      <c r="P2" s="38" t="str">
        <f>Bryngwyn!P30</f>
        <v>kg/ha</v>
      </c>
      <c r="Q2" s="38" t="str">
        <f>Bryngwyn!Q30</f>
        <v>kg/ha</v>
      </c>
      <c r="R2" s="38" t="str">
        <f>Bryngwyn!R30</f>
        <v>kg/ha</v>
      </c>
      <c r="S2" s="38" t="str">
        <f>Bryngwyn!S30</f>
        <v>kg/ha</v>
      </c>
      <c r="T2" s="38" t="str">
        <f>Bryngwyn!T30</f>
        <v>kg/ha</v>
      </c>
      <c r="U2" s="38" t="str">
        <f>Bryngwyn!U30</f>
        <v>kg/ha</v>
      </c>
    </row>
    <row r="3" spans="1:21" x14ac:dyDescent="0.25">
      <c r="A3" s="36">
        <v>1</v>
      </c>
      <c r="B3" s="33">
        <f>Bryngwyn!B31</f>
        <v>250</v>
      </c>
      <c r="C3" s="33">
        <f>Bryngwyn!C31</f>
        <v>50</v>
      </c>
      <c r="D3" s="33">
        <f>Bryngwyn!D31</f>
        <v>20.504449999999999</v>
      </c>
      <c r="E3" s="33">
        <f>Bryngwyn!E31</f>
        <v>3.0125000000000002</v>
      </c>
      <c r="F3" s="33">
        <f>Bryngwyn!F31</f>
        <v>4.1449999999999996</v>
      </c>
      <c r="G3" s="33">
        <f>Bryngwyn!G31</f>
        <v>0.185</v>
      </c>
      <c r="H3" s="33">
        <f>Bryngwyn!H31</f>
        <v>0.84250000000000003</v>
      </c>
      <c r="I3" s="33">
        <f>Bryngwyn!I31</f>
        <v>0.125</v>
      </c>
      <c r="J3" s="33">
        <f>Bryngwyn!J31</f>
        <v>4.0000000000000001E-3</v>
      </c>
      <c r="K3" s="33">
        <f>Bryngwyn!K31</f>
        <v>1.2500000000000001E-2</v>
      </c>
      <c r="L3" s="33">
        <f>Bryngwyn!L31</f>
        <v>0.193</v>
      </c>
      <c r="M3" s="33">
        <f>Bryngwyn!M31</f>
        <v>0.22875000000000001</v>
      </c>
      <c r="N3" s="33">
        <f>Bryngwyn!N31</f>
        <v>11.75</v>
      </c>
      <c r="O3" s="33">
        <f>Bryngwyn!O31</f>
        <v>2670.2500000000005</v>
      </c>
      <c r="P3" s="33">
        <f>Bryngwyn!P31</f>
        <v>2.5</v>
      </c>
      <c r="Q3" s="33">
        <f>Bryngwyn!Q31</f>
        <v>51.625</v>
      </c>
      <c r="R3" s="33">
        <f>Bryngwyn!R31</f>
        <v>1.575E-2</v>
      </c>
      <c r="S3" s="33">
        <f>Bryngwyn!S31</f>
        <v>0.125</v>
      </c>
      <c r="T3" s="33">
        <f>Bryngwyn!T31</f>
        <v>1.4E-2</v>
      </c>
      <c r="U3" s="33">
        <f>Bryngwyn!U31</f>
        <v>2.5</v>
      </c>
    </row>
    <row r="4" spans="1:21" x14ac:dyDescent="0.25">
      <c r="A4" s="36">
        <v>2</v>
      </c>
      <c r="B4" s="33">
        <f>'Capel Dewi'!B31</f>
        <v>250</v>
      </c>
      <c r="C4" s="33">
        <f>'Capel Dewi'!C31</f>
        <v>29.879999999999995</v>
      </c>
      <c r="D4" s="33">
        <f>'Capel Dewi'!D31</f>
        <v>24.247943999999997</v>
      </c>
      <c r="E4" s="33">
        <f>'Capel Dewi'!E31</f>
        <v>9.1965599999999998</v>
      </c>
      <c r="F4" s="33">
        <f>'Capel Dewi'!F31</f>
        <v>20.771423999999996</v>
      </c>
      <c r="G4" s="33">
        <f>'Capel Dewi'!G31</f>
        <v>0.34560000000000002</v>
      </c>
      <c r="H4" s="33">
        <f>'Capel Dewi'!H31</f>
        <v>3.6215999999999999</v>
      </c>
      <c r="I4" s="33">
        <f>'Capel Dewi'!I31</f>
        <v>1.5674399999999999</v>
      </c>
      <c r="J4" s="33">
        <f>'Capel Dewi'!J31</f>
        <v>2.3759999999999996E-3</v>
      </c>
      <c r="K4" s="33">
        <f>'Capel Dewi'!K31</f>
        <v>5.0400000000000002E-3</v>
      </c>
      <c r="L4" s="33">
        <f>'Capel Dewi'!L31</f>
        <v>8.6400000000000005E-2</v>
      </c>
      <c r="M4" s="33">
        <f>'Capel Dewi'!M31</f>
        <v>9.1439999999999994E-2</v>
      </c>
      <c r="N4" s="33">
        <f>'Capel Dewi'!N31</f>
        <v>55.295999999999999</v>
      </c>
      <c r="O4" s="33">
        <f>'Capel Dewi'!O31</f>
        <v>2527.2000000000003</v>
      </c>
      <c r="P4" s="33">
        <f>'Capel Dewi'!P31</f>
        <v>0</v>
      </c>
      <c r="Q4" s="33">
        <f>'Capel Dewi'!Q31</f>
        <v>50.94</v>
      </c>
      <c r="R4" s="33">
        <f>'Capel Dewi'!R31</f>
        <v>0</v>
      </c>
      <c r="S4" s="33">
        <f>'Capel Dewi'!S31</f>
        <v>0.11448</v>
      </c>
      <c r="T4" s="33">
        <f>'Capel Dewi'!T31</f>
        <v>0</v>
      </c>
      <c r="U4" s="33">
        <f>'Capel Dewi'!U31</f>
        <v>0</v>
      </c>
    </row>
    <row r="5" spans="1:21" x14ac:dyDescent="0.25">
      <c r="A5" s="36">
        <v>3</v>
      </c>
      <c r="B5" s="33">
        <f>'Cefn Dryscoed'!B31</f>
        <v>250</v>
      </c>
      <c r="C5" s="33">
        <f>'Cefn Dryscoed'!C31</f>
        <v>62.984999999999985</v>
      </c>
      <c r="D5" s="33">
        <f>'Cefn Dryscoed'!D31</f>
        <v>7.3463778749999991</v>
      </c>
      <c r="E5" s="33">
        <f>'Cefn Dryscoed'!E31</f>
        <v>5.2544025000000003</v>
      </c>
      <c r="F5" s="33">
        <f>'Cefn Dryscoed'!F31</f>
        <v>1.4903347500000002</v>
      </c>
      <c r="G5" s="33">
        <f>'Cefn Dryscoed'!G31</f>
        <v>0.19889999999999999</v>
      </c>
      <c r="H5" s="33">
        <f>'Cefn Dryscoed'!H31</f>
        <v>0.5068125</v>
      </c>
      <c r="I5" s="33">
        <f>'Cefn Dryscoed'!I31</f>
        <v>3.2385000000000004E-2</v>
      </c>
      <c r="J5" s="33">
        <f>'Cefn Dryscoed'!J31</f>
        <v>3.1874999999999998E-3</v>
      </c>
      <c r="K5" s="33">
        <f>'Cefn Dryscoed'!K31</f>
        <v>5.0362499999999991E-3</v>
      </c>
      <c r="L5" s="33">
        <f>'Cefn Dryscoed'!L31</f>
        <v>2.1419999999999998E-2</v>
      </c>
      <c r="M5" s="33">
        <f>'Cefn Dryscoed'!M31</f>
        <v>1.6957499999999997E-2</v>
      </c>
      <c r="N5" s="33">
        <f>'Cefn Dryscoed'!N31</f>
        <v>1083.75</v>
      </c>
      <c r="O5" s="33">
        <f>'Cefn Dryscoed'!O31</f>
        <v>42.457499999999996</v>
      </c>
      <c r="P5" s="33">
        <f>'Cefn Dryscoed'!P31</f>
        <v>0</v>
      </c>
      <c r="Q5" s="33">
        <f>'Cefn Dryscoed'!Q31</f>
        <v>184.87499999999997</v>
      </c>
      <c r="R5" s="33">
        <f>'Cefn Dryscoed'!R31</f>
        <v>0</v>
      </c>
      <c r="S5" s="33">
        <f>'Cefn Dryscoed'!S31</f>
        <v>0.35699999999999998</v>
      </c>
      <c r="T5" s="33">
        <f>'Cefn Dryscoed'!T31</f>
        <v>0</v>
      </c>
      <c r="U5" s="33">
        <f>'Cefn Dryscoed'!U31</f>
        <v>0</v>
      </c>
    </row>
    <row r="6" spans="1:21" x14ac:dyDescent="0.25">
      <c r="A6" s="36">
        <v>4</v>
      </c>
      <c r="B6" s="33">
        <f>Crai!B31</f>
        <v>250</v>
      </c>
      <c r="C6" s="33">
        <f>Crai!C31</f>
        <v>51.542499999999997</v>
      </c>
      <c r="D6" s="33">
        <f>Crai!D31</f>
        <v>12.369968125000002</v>
      </c>
      <c r="E6" s="33">
        <f>Crai!E31</f>
        <v>5.8117150000000004</v>
      </c>
      <c r="F6" s="33">
        <f>Crai!F31</f>
        <v>5.2394872499999998</v>
      </c>
      <c r="G6" s="33">
        <f>Crai!G31</f>
        <v>0.13978750000000001</v>
      </c>
      <c r="H6" s="33">
        <f>Crai!H31</f>
        <v>0.96724999999999994</v>
      </c>
      <c r="I6" s="33">
        <f>Crai!I31</f>
        <v>0.24313750000000003</v>
      </c>
      <c r="J6" s="33">
        <f>Crai!J31</f>
        <v>3.9087500000000008E-3</v>
      </c>
      <c r="K6" s="33">
        <f>Crai!K31</f>
        <v>5.0350000000000004E-3</v>
      </c>
      <c r="L6" s="33">
        <f>Crai!L31</f>
        <v>8.6787500000000004E-2</v>
      </c>
      <c r="M6" s="33">
        <f>Crai!M31</f>
        <v>4.8892499999999998E-2</v>
      </c>
      <c r="N6" s="33">
        <f>Crai!N31</f>
        <v>23.12125</v>
      </c>
      <c r="O6" s="33">
        <f>Crai!O31</f>
        <v>2577.125</v>
      </c>
      <c r="P6" s="33">
        <f>Crai!P31</f>
        <v>0</v>
      </c>
      <c r="Q6" s="33">
        <f>Crai!Q31</f>
        <v>78.009375000000006</v>
      </c>
      <c r="R6" s="33">
        <f>Crai!R31</f>
        <v>0</v>
      </c>
      <c r="S6" s="33">
        <f>Crai!S31</f>
        <v>0.30276250000000005</v>
      </c>
      <c r="T6" s="33">
        <f>Crai!T31</f>
        <v>0</v>
      </c>
      <c r="U6" s="33">
        <f>Crai!U31</f>
        <v>0</v>
      </c>
    </row>
    <row r="7" spans="1:21" x14ac:dyDescent="0.25">
      <c r="A7" s="36">
        <v>5</v>
      </c>
      <c r="B7" s="33">
        <f>Elan!B31</f>
        <v>250</v>
      </c>
      <c r="C7" s="33">
        <f>Elan!C31</f>
        <v>96.534999999999997</v>
      </c>
      <c r="D7" s="33">
        <f>Elan!D31</f>
        <v>21.845257749999995</v>
      </c>
      <c r="E7" s="33">
        <f>Elan!E31</f>
        <v>13.601437500000001</v>
      </c>
      <c r="F7" s="33">
        <f>Elan!F31</f>
        <v>44.558749999999989</v>
      </c>
      <c r="G7" s="33">
        <f>Elan!G31</f>
        <v>0.25585000000000002</v>
      </c>
      <c r="H7" s="33">
        <f>Elan!H31</f>
        <v>1.72</v>
      </c>
      <c r="I7" s="33">
        <f>Elan!I31</f>
        <v>0.48052499999999998</v>
      </c>
      <c r="J7" s="33">
        <f>Elan!J31</f>
        <v>3.0100000000000001E-3</v>
      </c>
      <c r="K7" s="33">
        <f>Elan!K31</f>
        <v>5.0524999999999997E-3</v>
      </c>
      <c r="L7" s="33">
        <f>Elan!L31</f>
        <v>8.2774999999999987E-2</v>
      </c>
      <c r="M7" s="33">
        <f>Elan!M31</f>
        <v>8.9654999999999999E-2</v>
      </c>
      <c r="N7" s="33">
        <f>Elan!N31</f>
        <v>36.227499999999999</v>
      </c>
      <c r="O7" s="33">
        <f>Elan!O31</f>
        <v>3010</v>
      </c>
      <c r="P7" s="33">
        <f>Elan!P31</f>
        <v>0</v>
      </c>
      <c r="Q7" s="33">
        <f>Elan!Q31</f>
        <v>149.42500000000001</v>
      </c>
      <c r="R7" s="33">
        <f>Elan!R31</f>
        <v>0</v>
      </c>
      <c r="S7" s="33">
        <f>Elan!S31</f>
        <v>0.53642500000000004</v>
      </c>
      <c r="T7" s="33">
        <f>Elan!T31</f>
        <v>0</v>
      </c>
      <c r="U7" s="33">
        <f>Elan!U31</f>
        <v>0</v>
      </c>
    </row>
    <row r="8" spans="1:21" x14ac:dyDescent="0.25">
      <c r="A8" s="36">
        <v>6</v>
      </c>
      <c r="B8" s="33">
        <f>Hirwaun!B31</f>
        <v>250</v>
      </c>
      <c r="C8" s="33">
        <f>Hirwaun!C31</f>
        <v>53.534999999999997</v>
      </c>
      <c r="D8" s="33">
        <f>Hirwaun!D31</f>
        <v>10.6105374</v>
      </c>
      <c r="E8" s="33">
        <f>Hirwaun!E31</f>
        <v>2.3103465000000001</v>
      </c>
      <c r="F8" s="33">
        <f>Hirwaun!F31</f>
        <v>6.4196931000000008</v>
      </c>
      <c r="G8" s="33">
        <f>Hirwaun!G31</f>
        <v>0.25335750000000007</v>
      </c>
      <c r="H8" s="33">
        <f>Hirwaun!H31</f>
        <v>1.38195</v>
      </c>
      <c r="I8" s="33">
        <f>Hirwaun!I31</f>
        <v>0.15251250000000002</v>
      </c>
      <c r="J8" s="33">
        <f>Hirwaun!J31</f>
        <v>5.4157500000000004E-3</v>
      </c>
      <c r="K8" s="33">
        <f>Hirwaun!K31</f>
        <v>4.9800000000000009E-3</v>
      </c>
      <c r="L8" s="33">
        <f>Hirwaun!L31</f>
        <v>9.0885000000000007E-2</v>
      </c>
      <c r="M8" s="33">
        <f>Hirwaun!M31</f>
        <v>9.3997500000000012E-2</v>
      </c>
      <c r="N8" s="33">
        <f>Hirwaun!N31</f>
        <v>13.695000000000002</v>
      </c>
      <c r="O8" s="33">
        <f>Hirwaun!O31</f>
        <v>2359.2750000000001</v>
      </c>
      <c r="P8" s="33">
        <f>Hirwaun!P31</f>
        <v>0</v>
      </c>
      <c r="Q8" s="33">
        <f>Hirwaun!Q31</f>
        <v>89.951250000000016</v>
      </c>
      <c r="R8" s="33">
        <f>Hirwaun!R31</f>
        <v>0</v>
      </c>
      <c r="S8" s="33">
        <f>Hirwaun!S31</f>
        <v>0.25273500000000004</v>
      </c>
      <c r="T8" s="33">
        <f>Hirwaun!T31</f>
        <v>0</v>
      </c>
      <c r="U8" s="33">
        <f>Hirwaun!U31</f>
        <v>0</v>
      </c>
    </row>
    <row r="9" spans="1:21" x14ac:dyDescent="0.25">
      <c r="A9" s="36">
        <v>7</v>
      </c>
      <c r="B9" s="33">
        <f>Llyswen!B31</f>
        <v>250</v>
      </c>
      <c r="C9" s="33">
        <f>Llyswen!C31</f>
        <v>61.055999999999997</v>
      </c>
      <c r="D9" s="33">
        <f>Llyswen!D31</f>
        <v>22.213535999999998</v>
      </c>
      <c r="E9" s="33">
        <f>Llyswen!E31</f>
        <v>5.1477599999999981</v>
      </c>
      <c r="F9" s="33">
        <f>Llyswen!F31</f>
        <v>17.190144</v>
      </c>
      <c r="G9" s="33">
        <f>Llyswen!G31</f>
        <v>0.20255999999999999</v>
      </c>
      <c r="H9" s="33">
        <f>Llyswen!H31</f>
        <v>0.50112000000000001</v>
      </c>
      <c r="I9" s="33">
        <f>Llyswen!I31</f>
        <v>5.9519999999999997E-2</v>
      </c>
      <c r="J9" s="33">
        <f>Llyswen!J31</f>
        <v>2.3999999999999998E-3</v>
      </c>
      <c r="K9" s="33">
        <f>Llyswen!K31</f>
        <v>5.0880000000000005E-3</v>
      </c>
      <c r="L9" s="33">
        <f>Llyswen!L31</f>
        <v>4.895999999999999E-2</v>
      </c>
      <c r="M9" s="33">
        <f>Llyswen!M31</f>
        <v>4.1279999999999997E-2</v>
      </c>
      <c r="N9" s="33">
        <f>Llyswen!N31</f>
        <v>998.4</v>
      </c>
      <c r="O9" s="33">
        <f>Llyswen!O31</f>
        <v>75.263999999999996</v>
      </c>
      <c r="P9" s="33">
        <f>Llyswen!P31</f>
        <v>0</v>
      </c>
      <c r="Q9" s="33">
        <f>Llyswen!Q31</f>
        <v>91.44</v>
      </c>
      <c r="R9" s="33">
        <f>Llyswen!R31</f>
        <v>0</v>
      </c>
      <c r="S9" s="33">
        <f>Llyswen!S31</f>
        <v>0.39072000000000007</v>
      </c>
      <c r="T9" s="33">
        <f>Llyswen!T31</f>
        <v>0</v>
      </c>
      <c r="U9" s="33">
        <f>Llyswen!U31</f>
        <v>0</v>
      </c>
    </row>
    <row r="10" spans="1:21" x14ac:dyDescent="0.25">
      <c r="A10" s="36">
        <v>8</v>
      </c>
      <c r="B10" s="33">
        <f>Pontsticill!B31</f>
        <v>250</v>
      </c>
      <c r="C10" s="33">
        <f>Pontsticill!C31</f>
        <v>27.173000000000002</v>
      </c>
      <c r="D10" s="33">
        <f>Pontsticill!D31</f>
        <v>10.231605999999998</v>
      </c>
      <c r="E10" s="33">
        <f>Pontsticill!E31</f>
        <v>5.1369149999999992</v>
      </c>
      <c r="F10" s="33">
        <f>Pontsticill!F31</f>
        <v>4.0148469999999987</v>
      </c>
      <c r="G10" s="33">
        <f>Pontsticill!G31</f>
        <v>8.2070000000000004E-2</v>
      </c>
      <c r="H10" s="33">
        <f>Pontsticill!H31</f>
        <v>0.33349999999999996</v>
      </c>
      <c r="I10" s="33">
        <f>Pontsticill!I31</f>
        <v>3.2190000000000003E-2</v>
      </c>
      <c r="J10" s="33">
        <f>Pontsticill!J31</f>
        <v>3.8569999999999998E-3</v>
      </c>
      <c r="K10" s="33">
        <f>Pontsticill!K31</f>
        <v>4.9589999999999999E-3</v>
      </c>
      <c r="L10" s="33">
        <f>Pontsticill!L31</f>
        <v>2.1314999999999997E-2</v>
      </c>
      <c r="M10" s="33">
        <f>Pontsticill!M31</f>
        <v>1.6848999999999996E-2</v>
      </c>
      <c r="N10" s="33">
        <f>Pontsticill!N31</f>
        <v>388.59999999999997</v>
      </c>
      <c r="O10" s="33">
        <f>Pontsticill!O31</f>
        <v>16.965</v>
      </c>
      <c r="P10" s="33">
        <f>Pontsticill!P31</f>
        <v>0</v>
      </c>
      <c r="Q10" s="33">
        <f>Pontsticill!Q31</f>
        <v>47.85</v>
      </c>
      <c r="R10" s="33">
        <f>Pontsticill!R31</f>
        <v>0</v>
      </c>
      <c r="S10" s="33">
        <f>Pontsticill!S31</f>
        <v>0.12586</v>
      </c>
      <c r="T10" s="33">
        <f>Pontsticill!T31</f>
        <v>0</v>
      </c>
      <c r="U10" s="33">
        <f>Pontsticill!U31</f>
        <v>0</v>
      </c>
    </row>
    <row r="11" spans="1:21" x14ac:dyDescent="0.25">
      <c r="A11" s="36">
        <v>9</v>
      </c>
      <c r="B11" s="33">
        <f>Talybont!B31</f>
        <v>250</v>
      </c>
      <c r="C11" s="33">
        <f>Talybont!C31</f>
        <v>67.279999999999987</v>
      </c>
      <c r="D11" s="33">
        <f>Talybont!D31</f>
        <v>19.134431999999997</v>
      </c>
      <c r="E11" s="33">
        <f>Talybont!E31</f>
        <v>6.632560999999999</v>
      </c>
      <c r="F11" s="33">
        <f>Talybont!F31</f>
        <v>8.6355272000000003</v>
      </c>
      <c r="G11" s="33">
        <f>Talybont!G31</f>
        <v>0.1943</v>
      </c>
      <c r="H11" s="33">
        <f>Talybont!H31</f>
        <v>0.12876000000000001</v>
      </c>
      <c r="I11" s="33">
        <f>Talybont!I31</f>
        <v>3.2421999999999999E-2</v>
      </c>
      <c r="J11" s="33">
        <f>Talybont!J31</f>
        <v>2.32E-3</v>
      </c>
      <c r="K11" s="33">
        <f>Talybont!K31</f>
        <v>4.9879999999999994E-3</v>
      </c>
      <c r="L11" s="33">
        <f>Talybont!L31</f>
        <v>2.1459999999999996E-2</v>
      </c>
      <c r="M11" s="33">
        <f>Talybont!M31</f>
        <v>1.6936E-2</v>
      </c>
      <c r="N11" s="33">
        <f>Talybont!N31</f>
        <v>980.19999999999993</v>
      </c>
      <c r="O11" s="33">
        <f>Talybont!O31</f>
        <v>40.251999999999995</v>
      </c>
      <c r="P11" s="33">
        <f>Talybont!P31</f>
        <v>0</v>
      </c>
      <c r="Q11" s="33">
        <f>Talybont!Q31</f>
        <v>98.889999999999986</v>
      </c>
      <c r="R11" s="33">
        <f>Talybont!R31</f>
        <v>0</v>
      </c>
      <c r="S11" s="33">
        <f>Talybont!S31</f>
        <v>0.25462000000000001</v>
      </c>
      <c r="T11" s="33">
        <f>Talybont!T31</f>
        <v>0</v>
      </c>
      <c r="U11" s="33">
        <f>Talybont!U31</f>
        <v>0</v>
      </c>
    </row>
    <row r="12" spans="1:21" x14ac:dyDescent="0.25">
      <c r="A12" s="36">
        <v>10</v>
      </c>
      <c r="B12" s="33">
        <f>Whitbourne!B31</f>
        <v>250</v>
      </c>
      <c r="C12" s="33">
        <f>Whitbourne!C31</f>
        <v>59.028250000000007</v>
      </c>
      <c r="D12" s="33">
        <f>Whitbourne!D31</f>
        <v>5.4457642750000002</v>
      </c>
      <c r="E12" s="33">
        <f>Whitbourne!E31</f>
        <v>3.4650377500000005</v>
      </c>
      <c r="F12" s="33">
        <f>Whitbourne!F31</f>
        <v>8.0978378000000006</v>
      </c>
      <c r="G12" s="33">
        <f>Whitbourne!G31</f>
        <v>0.14305500000000004</v>
      </c>
      <c r="H12" s="33">
        <f>Whitbourne!H31</f>
        <v>0.9103500000000001</v>
      </c>
      <c r="I12" s="33">
        <f>Whitbourne!I31</f>
        <v>0.18496000000000001</v>
      </c>
      <c r="J12" s="33">
        <f>Whitbourne!J31</f>
        <v>2.3120000000000007E-3</v>
      </c>
      <c r="K12" s="33">
        <f>Whitbourne!K31</f>
        <v>4.9852500000000001E-3</v>
      </c>
      <c r="L12" s="33">
        <f>Whitbourne!L31</f>
        <v>2.1458250000000005E-2</v>
      </c>
      <c r="M12" s="33">
        <f>Whitbourne!M31</f>
        <v>3.1067500000000001E-2</v>
      </c>
      <c r="N12" s="33">
        <f>Whitbourne!N31</f>
        <v>9.3925000000000018</v>
      </c>
      <c r="O12" s="33">
        <f>Whitbourne!O31</f>
        <v>3092.3</v>
      </c>
      <c r="P12" s="33">
        <f>Whitbourne!P31</f>
        <v>0</v>
      </c>
      <c r="Q12" s="33">
        <f>Whitbourne!Q31</f>
        <v>131.675625</v>
      </c>
      <c r="R12" s="33">
        <f>Whitbourne!R31</f>
        <v>0</v>
      </c>
      <c r="S12" s="33">
        <f>Whitbourne!S31</f>
        <v>0.44578250000000003</v>
      </c>
      <c r="T12" s="33">
        <f>Whitbourne!T31</f>
        <v>0</v>
      </c>
      <c r="U12" s="33">
        <f>Whitbourne!U31</f>
        <v>0</v>
      </c>
    </row>
    <row r="13" spans="1:21" s="82" customFormat="1" ht="15.5" x14ac:dyDescent="0.35">
      <c r="A13" s="80" t="s">
        <v>85</v>
      </c>
      <c r="B13" s="81">
        <f>SUM(B3:B12)</f>
        <v>2500</v>
      </c>
      <c r="C13" s="81">
        <f t="shared" ref="C13:U13" si="0">SUM(C3:C12)</f>
        <v>559.01474999999994</v>
      </c>
      <c r="D13" s="81">
        <f t="shared" si="0"/>
        <v>153.94987342499999</v>
      </c>
      <c r="E13" s="81">
        <f t="shared" si="0"/>
        <v>59.569235249999998</v>
      </c>
      <c r="F13" s="81">
        <f t="shared" si="0"/>
        <v>120.56304509999998</v>
      </c>
      <c r="G13" s="81">
        <f t="shared" si="0"/>
        <v>2.0004800000000005</v>
      </c>
      <c r="H13" s="81">
        <f t="shared" si="0"/>
        <v>10.913842499999999</v>
      </c>
      <c r="I13" s="81">
        <f t="shared" si="0"/>
        <v>2.9100919999999997</v>
      </c>
      <c r="J13" s="81">
        <f t="shared" si="0"/>
        <v>3.2786999999999997E-2</v>
      </c>
      <c r="K13" s="81">
        <f t="shared" si="0"/>
        <v>5.7663999999999993E-2</v>
      </c>
      <c r="L13" s="81">
        <f t="shared" si="0"/>
        <v>0.67446075000000005</v>
      </c>
      <c r="M13" s="81">
        <f t="shared" si="0"/>
        <v>0.6758249999999999</v>
      </c>
      <c r="N13" s="81">
        <f t="shared" si="0"/>
        <v>3600.4322499999994</v>
      </c>
      <c r="O13" s="81">
        <f t="shared" si="0"/>
        <v>16411.088500000002</v>
      </c>
      <c r="P13" s="81">
        <f t="shared" si="0"/>
        <v>2.5</v>
      </c>
      <c r="Q13" s="81">
        <f t="shared" si="0"/>
        <v>974.68124999999998</v>
      </c>
      <c r="R13" s="81">
        <f t="shared" si="0"/>
        <v>1.575E-2</v>
      </c>
      <c r="S13" s="81">
        <f t="shared" si="0"/>
        <v>2.9053849999999999</v>
      </c>
      <c r="T13" s="81">
        <f t="shared" si="0"/>
        <v>1.4E-2</v>
      </c>
      <c r="U13" s="81">
        <f t="shared" si="0"/>
        <v>2.5</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4" t="s">
        <v>84</v>
      </c>
      <c r="B1" s="34" t="s">
        <v>153</v>
      </c>
      <c r="C1" s="35" t="str">
        <f>Bryngwyn!B29</f>
        <v>Application Rate</v>
      </c>
      <c r="D1" s="35" t="str">
        <f>Bryngwyn!C29</f>
        <v>Nitrogen Addition</v>
      </c>
      <c r="E1" s="35" t="str">
        <f>Bryngwyn!D29</f>
        <v>Phosphate Addition</v>
      </c>
      <c r="F1" s="35" t="str">
        <f>Bryngwyn!E29</f>
        <v>Potash  Addition</v>
      </c>
      <c r="G1" s="35" t="str">
        <f>Bryngwyn!F29</f>
        <v>Mg Oxide Addition</v>
      </c>
      <c r="H1" s="35" t="str">
        <f>Bryngwyn!G29</f>
        <v>Copper Addition</v>
      </c>
      <c r="I1" s="35" t="str">
        <f>Bryngwyn!H29</f>
        <v>Zinc Addition</v>
      </c>
      <c r="J1" s="35" t="str">
        <f>Bryngwyn!I29</f>
        <v>Lead Addition</v>
      </c>
      <c r="K1" s="35" t="str">
        <f>Bryngwyn!J29</f>
        <v>Cadmium Addition</v>
      </c>
      <c r="L1" s="35" t="str">
        <f>Bryngwyn!K29</f>
        <v>Mercury Addition</v>
      </c>
      <c r="M1" s="35" t="str">
        <f>Bryngwyn!L29</f>
        <v>Nickel Addition</v>
      </c>
      <c r="N1" s="35" t="str">
        <f>Bryngwyn!M29</f>
        <v>Chromium Addition</v>
      </c>
      <c r="O1" s="35" t="str">
        <f>Bryngwyn!N29</f>
        <v>Aluminium Addition</v>
      </c>
      <c r="P1" s="35" t="str">
        <f>Bryngwyn!O29</f>
        <v>Iron Addition</v>
      </c>
      <c r="Q1" s="35" t="str">
        <f>Bryngwyn!P29</f>
        <v xml:space="preserve">Sodium Addition                 </v>
      </c>
      <c r="R1" s="35" t="str">
        <f>Bryngwyn!Q29</f>
        <v>SO3  Addition                             kg/ha</v>
      </c>
      <c r="S1" s="35" t="str">
        <f>Bryngwyn!R29</f>
        <v xml:space="preserve">Selenium Addition </v>
      </c>
      <c r="T1" s="35" t="str">
        <f>Bryngwyn!S29</f>
        <v xml:space="preserve">Arsenic  Addition  </v>
      </c>
      <c r="U1" s="35" t="str">
        <f>Bryngwyn!T29</f>
        <v xml:space="preserve">Molybdenum Addition  </v>
      </c>
      <c r="V1" s="35" t="str">
        <f>Bryngwyn!U29</f>
        <v xml:space="preserve">Fluoride Addition </v>
      </c>
    </row>
    <row r="2" spans="1:22" s="83" customFormat="1" ht="25" x14ac:dyDescent="0.35">
      <c r="A2" s="144"/>
      <c r="B2" s="32" t="s">
        <v>46</v>
      </c>
      <c r="C2" s="35" t="str">
        <f>Bryngwyn!B30</f>
        <v>tonnes/ha</v>
      </c>
      <c r="D2" s="35" t="str">
        <f>Bryngwyn!C30</f>
        <v>kg/ha</v>
      </c>
      <c r="E2" s="35" t="str">
        <f>Bryngwyn!D30</f>
        <v>P2O5 
kg/ha</v>
      </c>
      <c r="F2" s="35" t="str">
        <f>Bryngwyn!E30</f>
        <v>K2O 
kg/ha</v>
      </c>
      <c r="G2" s="35" t="str">
        <f>Bryngwyn!F30</f>
        <v>MgO 
kg/ha</v>
      </c>
      <c r="H2" s="35" t="str">
        <f>Bryngwyn!G30</f>
        <v>kg/ha</v>
      </c>
      <c r="I2" s="35" t="str">
        <f>Bryngwyn!H30</f>
        <v>kg/ha</v>
      </c>
      <c r="J2" s="35" t="str">
        <f>Bryngwyn!I30</f>
        <v>kg/ha</v>
      </c>
      <c r="K2" s="35" t="str">
        <f>Bryngwyn!J30</f>
        <v>kg/ha</v>
      </c>
      <c r="L2" s="35" t="str">
        <f>Bryngwyn!K30</f>
        <v>kg/ha</v>
      </c>
      <c r="M2" s="35" t="str">
        <f>Bryngwyn!L30</f>
        <v>kg/ha</v>
      </c>
      <c r="N2" s="35" t="str">
        <f>Bryngwyn!M30</f>
        <v>kg/ha</v>
      </c>
      <c r="O2" s="35" t="str">
        <f>Bryngwyn!N30</f>
        <v>kg/ha</v>
      </c>
      <c r="P2" s="35" t="str">
        <f>Bryngwyn!O30</f>
        <v>kg/ha</v>
      </c>
      <c r="Q2" s="35" t="str">
        <f>Bryngwyn!P30</f>
        <v>kg/ha</v>
      </c>
      <c r="R2" s="35" t="str">
        <f>Bryngwyn!Q30</f>
        <v>kg/ha</v>
      </c>
      <c r="S2" s="35" t="str">
        <f>Bryngwyn!R30</f>
        <v>kg/ha</v>
      </c>
      <c r="T2" s="35" t="str">
        <f>Bryngwyn!S30</f>
        <v>kg/ha</v>
      </c>
      <c r="U2" s="35" t="str">
        <f>Bryngwyn!T30</f>
        <v>kg/ha</v>
      </c>
      <c r="V2" s="35" t="str">
        <f>Bryngwyn!U30</f>
        <v>kg/ha</v>
      </c>
    </row>
    <row r="3" spans="1:22" x14ac:dyDescent="0.25">
      <c r="A3" s="36">
        <v>1</v>
      </c>
      <c r="B3" s="91"/>
      <c r="C3" s="33">
        <f>Bryngwyn!B31</f>
        <v>250</v>
      </c>
      <c r="D3" s="33">
        <f>Bryngwyn!C31</f>
        <v>50</v>
      </c>
      <c r="E3" s="33">
        <f>Bryngwyn!D31</f>
        <v>20.504449999999999</v>
      </c>
      <c r="F3" s="33">
        <f>Bryngwyn!E31</f>
        <v>3.0125000000000002</v>
      </c>
      <c r="G3" s="33">
        <f>Bryngwyn!F31</f>
        <v>4.1449999999999996</v>
      </c>
      <c r="H3" s="33">
        <f>Bryngwyn!G31</f>
        <v>0.185</v>
      </c>
      <c r="I3" s="33">
        <f>Bryngwyn!H31</f>
        <v>0.84250000000000003</v>
      </c>
      <c r="J3" s="33">
        <f>Bryngwyn!I31</f>
        <v>0.125</v>
      </c>
      <c r="K3" s="33">
        <f>Bryngwyn!J31</f>
        <v>4.0000000000000001E-3</v>
      </c>
      <c r="L3" s="33">
        <f>Bryngwyn!K31</f>
        <v>1.2500000000000001E-2</v>
      </c>
      <c r="M3" s="33">
        <f>Bryngwyn!L31</f>
        <v>0.193</v>
      </c>
      <c r="N3" s="33">
        <f>Bryngwyn!M31</f>
        <v>0.22875000000000001</v>
      </c>
      <c r="O3" s="33">
        <f>Bryngwyn!N31</f>
        <v>11.75</v>
      </c>
      <c r="P3" s="33">
        <f>Bryngwyn!O31</f>
        <v>2670.2500000000005</v>
      </c>
      <c r="Q3" s="33">
        <f>Bryngwyn!P31</f>
        <v>2.5</v>
      </c>
      <c r="R3" s="33">
        <f>Bryngwyn!Q31</f>
        <v>51.625</v>
      </c>
      <c r="S3" s="33">
        <f>Bryngwyn!R31</f>
        <v>1.575E-2</v>
      </c>
      <c r="T3" s="33">
        <f>Bryngwyn!S31</f>
        <v>0.125</v>
      </c>
      <c r="U3" s="33">
        <f>Bryngwyn!T31</f>
        <v>1.4E-2</v>
      </c>
      <c r="V3" s="33">
        <f>Bryngwyn!U31</f>
        <v>2.5</v>
      </c>
    </row>
    <row r="4" spans="1:22" x14ac:dyDescent="0.25">
      <c r="A4" s="36">
        <v>2</v>
      </c>
      <c r="B4" s="91"/>
      <c r="C4" s="33">
        <f>'Capel Dewi'!B31</f>
        <v>250</v>
      </c>
      <c r="D4" s="33">
        <f>'Capel Dewi'!C31</f>
        <v>29.879999999999995</v>
      </c>
      <c r="E4" s="33">
        <f>'Capel Dewi'!D31</f>
        <v>24.247943999999997</v>
      </c>
      <c r="F4" s="33">
        <f>'Capel Dewi'!E31</f>
        <v>9.1965599999999998</v>
      </c>
      <c r="G4" s="33">
        <f>'Capel Dewi'!F31</f>
        <v>20.771423999999996</v>
      </c>
      <c r="H4" s="33">
        <f>'Capel Dewi'!G31</f>
        <v>0.34560000000000002</v>
      </c>
      <c r="I4" s="33">
        <f>'Capel Dewi'!H31</f>
        <v>3.6215999999999999</v>
      </c>
      <c r="J4" s="33">
        <f>'Capel Dewi'!I31</f>
        <v>1.5674399999999999</v>
      </c>
      <c r="K4" s="33">
        <f>'Capel Dewi'!J31</f>
        <v>2.3759999999999996E-3</v>
      </c>
      <c r="L4" s="33">
        <f>'Capel Dewi'!K31</f>
        <v>5.0400000000000002E-3</v>
      </c>
      <c r="M4" s="33">
        <f>'Capel Dewi'!L31</f>
        <v>8.6400000000000005E-2</v>
      </c>
      <c r="N4" s="33">
        <f>'Capel Dewi'!M31</f>
        <v>9.1439999999999994E-2</v>
      </c>
      <c r="O4" s="33">
        <f>'Capel Dewi'!N31</f>
        <v>55.295999999999999</v>
      </c>
      <c r="P4" s="33">
        <f>'Capel Dewi'!O31</f>
        <v>2527.2000000000003</v>
      </c>
      <c r="Q4" s="33">
        <f>'Capel Dewi'!P31</f>
        <v>0</v>
      </c>
      <c r="R4" s="33">
        <f>'Capel Dewi'!Q31</f>
        <v>50.94</v>
      </c>
      <c r="S4" s="33">
        <f>'Capel Dewi'!R31</f>
        <v>0</v>
      </c>
      <c r="T4" s="33">
        <f>'Capel Dewi'!S31</f>
        <v>0.11448</v>
      </c>
      <c r="U4" s="33">
        <f>'Capel Dewi'!T31</f>
        <v>0</v>
      </c>
      <c r="V4" s="33">
        <f>'Capel Dewi'!U31</f>
        <v>0</v>
      </c>
    </row>
    <row r="5" spans="1:22" x14ac:dyDescent="0.25">
      <c r="A5" s="36">
        <v>3</v>
      </c>
      <c r="B5" s="91"/>
      <c r="C5" s="33">
        <f>'Cefn Dryscoed'!B31</f>
        <v>250</v>
      </c>
      <c r="D5" s="33">
        <f>'Cefn Dryscoed'!C31</f>
        <v>62.984999999999985</v>
      </c>
      <c r="E5" s="33">
        <f>'Cefn Dryscoed'!D31</f>
        <v>7.3463778749999991</v>
      </c>
      <c r="F5" s="33">
        <f>'Cefn Dryscoed'!E31</f>
        <v>5.2544025000000003</v>
      </c>
      <c r="G5" s="33">
        <f>'Cefn Dryscoed'!F31</f>
        <v>1.4903347500000002</v>
      </c>
      <c r="H5" s="33">
        <f>'Cefn Dryscoed'!G31</f>
        <v>0.19889999999999999</v>
      </c>
      <c r="I5" s="33">
        <f>'Cefn Dryscoed'!H31</f>
        <v>0.5068125</v>
      </c>
      <c r="J5" s="33">
        <f>'Cefn Dryscoed'!I31</f>
        <v>3.2385000000000004E-2</v>
      </c>
      <c r="K5" s="33">
        <f>'Cefn Dryscoed'!J31</f>
        <v>3.1874999999999998E-3</v>
      </c>
      <c r="L5" s="33">
        <f>'Cefn Dryscoed'!K31</f>
        <v>5.0362499999999991E-3</v>
      </c>
      <c r="M5" s="33">
        <f>'Cefn Dryscoed'!L31</f>
        <v>2.1419999999999998E-2</v>
      </c>
      <c r="N5" s="33">
        <f>'Cefn Dryscoed'!M31</f>
        <v>1.6957499999999997E-2</v>
      </c>
      <c r="O5" s="33">
        <f>'Cefn Dryscoed'!N31</f>
        <v>1083.75</v>
      </c>
      <c r="P5" s="33">
        <f>'Cefn Dryscoed'!O31</f>
        <v>42.457499999999996</v>
      </c>
      <c r="Q5" s="33">
        <f>'Cefn Dryscoed'!P31</f>
        <v>0</v>
      </c>
      <c r="R5" s="33">
        <f>'Cefn Dryscoed'!Q31</f>
        <v>184.87499999999997</v>
      </c>
      <c r="S5" s="33">
        <f>'Cefn Dryscoed'!R31</f>
        <v>0</v>
      </c>
      <c r="T5" s="33">
        <f>'Cefn Dryscoed'!S31</f>
        <v>0.35699999999999998</v>
      </c>
      <c r="U5" s="33">
        <f>'Cefn Dryscoed'!T31</f>
        <v>0</v>
      </c>
      <c r="V5" s="33">
        <f>'Cefn Dryscoed'!U31</f>
        <v>0</v>
      </c>
    </row>
    <row r="6" spans="1:22" x14ac:dyDescent="0.25">
      <c r="A6" s="36">
        <v>4</v>
      </c>
      <c r="B6" s="91"/>
      <c r="C6" s="33">
        <f>Crai!B31</f>
        <v>250</v>
      </c>
      <c r="D6" s="33">
        <f>Crai!C31</f>
        <v>51.542499999999997</v>
      </c>
      <c r="E6" s="33">
        <f>Crai!D31</f>
        <v>12.369968125000002</v>
      </c>
      <c r="F6" s="33">
        <f>Crai!E31</f>
        <v>5.8117150000000004</v>
      </c>
      <c r="G6" s="33">
        <f>Crai!F31</f>
        <v>5.2394872499999998</v>
      </c>
      <c r="H6" s="33">
        <f>Crai!G31</f>
        <v>0.13978750000000001</v>
      </c>
      <c r="I6" s="33">
        <f>Crai!H31</f>
        <v>0.96724999999999994</v>
      </c>
      <c r="J6" s="33">
        <f>Crai!I31</f>
        <v>0.24313750000000003</v>
      </c>
      <c r="K6" s="33">
        <f>Crai!J31</f>
        <v>3.9087500000000008E-3</v>
      </c>
      <c r="L6" s="33">
        <f>Crai!K31</f>
        <v>5.0350000000000004E-3</v>
      </c>
      <c r="M6" s="33">
        <f>Crai!L31</f>
        <v>8.6787500000000004E-2</v>
      </c>
      <c r="N6" s="33">
        <f>Crai!M31</f>
        <v>4.8892499999999998E-2</v>
      </c>
      <c r="O6" s="33">
        <f>Crai!N31</f>
        <v>23.12125</v>
      </c>
      <c r="P6" s="33">
        <f>Crai!O31</f>
        <v>2577.125</v>
      </c>
      <c r="Q6" s="33">
        <f>Crai!P31</f>
        <v>0</v>
      </c>
      <c r="R6" s="33">
        <f>Crai!Q31</f>
        <v>78.009375000000006</v>
      </c>
      <c r="S6" s="33">
        <f>Crai!R31</f>
        <v>0</v>
      </c>
      <c r="T6" s="33">
        <f>Crai!S31</f>
        <v>0.30276250000000005</v>
      </c>
      <c r="U6" s="33">
        <f>Crai!T31</f>
        <v>0</v>
      </c>
      <c r="V6" s="33">
        <f>Crai!U31</f>
        <v>0</v>
      </c>
    </row>
    <row r="7" spans="1:22" x14ac:dyDescent="0.25">
      <c r="A7" s="36">
        <v>5</v>
      </c>
      <c r="B7" s="91"/>
      <c r="C7" s="33">
        <f>Elan!B31</f>
        <v>250</v>
      </c>
      <c r="D7" s="33">
        <f>Elan!C31</f>
        <v>96.534999999999997</v>
      </c>
      <c r="E7" s="33">
        <f>Elan!D31</f>
        <v>21.845257749999995</v>
      </c>
      <c r="F7" s="33">
        <f>Elan!E31</f>
        <v>13.601437500000001</v>
      </c>
      <c r="G7" s="33">
        <f>Elan!F31</f>
        <v>44.558749999999989</v>
      </c>
      <c r="H7" s="33">
        <f>Elan!G31</f>
        <v>0.25585000000000002</v>
      </c>
      <c r="I7" s="33">
        <f>Elan!H31</f>
        <v>1.72</v>
      </c>
      <c r="J7" s="33">
        <f>Elan!I31</f>
        <v>0.48052499999999998</v>
      </c>
      <c r="K7" s="33">
        <f>Elan!J31</f>
        <v>3.0100000000000001E-3</v>
      </c>
      <c r="L7" s="33">
        <f>Elan!K31</f>
        <v>5.0524999999999997E-3</v>
      </c>
      <c r="M7" s="33">
        <f>Elan!L31</f>
        <v>8.2774999999999987E-2</v>
      </c>
      <c r="N7" s="33">
        <f>Elan!M31</f>
        <v>8.9654999999999999E-2</v>
      </c>
      <c r="O7" s="33">
        <f>Elan!N31</f>
        <v>36.227499999999999</v>
      </c>
      <c r="P7" s="33">
        <f>Elan!O31</f>
        <v>3010</v>
      </c>
      <c r="Q7" s="33">
        <f>Elan!P31</f>
        <v>0</v>
      </c>
      <c r="R7" s="33">
        <f>Elan!Q31</f>
        <v>149.42500000000001</v>
      </c>
      <c r="S7" s="33">
        <f>Elan!R31</f>
        <v>0</v>
      </c>
      <c r="T7" s="33">
        <f>Elan!S31</f>
        <v>0.53642500000000004</v>
      </c>
      <c r="U7" s="33">
        <f>Elan!T31</f>
        <v>0</v>
      </c>
      <c r="V7" s="33">
        <f>Elan!U31</f>
        <v>0</v>
      </c>
    </row>
    <row r="8" spans="1:22" x14ac:dyDescent="0.25">
      <c r="A8" s="36">
        <v>6</v>
      </c>
      <c r="B8" s="91"/>
      <c r="C8" s="33">
        <f>Hirwaun!B31</f>
        <v>250</v>
      </c>
      <c r="D8" s="33">
        <f>Hirwaun!C31</f>
        <v>53.534999999999997</v>
      </c>
      <c r="E8" s="33">
        <f>Hirwaun!D31</f>
        <v>10.6105374</v>
      </c>
      <c r="F8" s="33">
        <f>Hirwaun!E31</f>
        <v>2.3103465000000001</v>
      </c>
      <c r="G8" s="33">
        <f>Hirwaun!F31</f>
        <v>6.4196931000000008</v>
      </c>
      <c r="H8" s="33">
        <f>Hirwaun!G31</f>
        <v>0.25335750000000007</v>
      </c>
      <c r="I8" s="33">
        <f>Hirwaun!H31</f>
        <v>1.38195</v>
      </c>
      <c r="J8" s="33">
        <f>Hirwaun!I31</f>
        <v>0.15251250000000002</v>
      </c>
      <c r="K8" s="33">
        <f>Hirwaun!J31</f>
        <v>5.4157500000000004E-3</v>
      </c>
      <c r="L8" s="33">
        <f>Hirwaun!K31</f>
        <v>4.9800000000000009E-3</v>
      </c>
      <c r="M8" s="33">
        <f>Hirwaun!L31</f>
        <v>9.0885000000000007E-2</v>
      </c>
      <c r="N8" s="33">
        <f>Hirwaun!M31</f>
        <v>9.3997500000000012E-2</v>
      </c>
      <c r="O8" s="33">
        <f>Hirwaun!N31</f>
        <v>13.695000000000002</v>
      </c>
      <c r="P8" s="33">
        <f>Hirwaun!O31</f>
        <v>2359.2750000000001</v>
      </c>
      <c r="Q8" s="33">
        <f>Hirwaun!P31</f>
        <v>0</v>
      </c>
      <c r="R8" s="33">
        <f>Hirwaun!Q31</f>
        <v>89.951250000000016</v>
      </c>
      <c r="S8" s="33">
        <f>Hirwaun!R31</f>
        <v>0</v>
      </c>
      <c r="T8" s="33">
        <f>Hirwaun!S31</f>
        <v>0.25273500000000004</v>
      </c>
      <c r="U8" s="33">
        <f>Hirwaun!T31</f>
        <v>0</v>
      </c>
      <c r="V8" s="33">
        <f>Hirwaun!U31</f>
        <v>0</v>
      </c>
    </row>
    <row r="9" spans="1:22" x14ac:dyDescent="0.25">
      <c r="A9" s="36">
        <v>7</v>
      </c>
      <c r="B9" s="91"/>
      <c r="C9" s="33">
        <f>Llyswen!B31</f>
        <v>250</v>
      </c>
      <c r="D9" s="33">
        <f>Llyswen!C31</f>
        <v>61.055999999999997</v>
      </c>
      <c r="E9" s="33">
        <f>Llyswen!D31</f>
        <v>22.213535999999998</v>
      </c>
      <c r="F9" s="33">
        <f>Llyswen!E31</f>
        <v>5.1477599999999981</v>
      </c>
      <c r="G9" s="33">
        <f>Llyswen!F31</f>
        <v>17.190144</v>
      </c>
      <c r="H9" s="33">
        <f>Llyswen!G31</f>
        <v>0.20255999999999999</v>
      </c>
      <c r="I9" s="33">
        <f>Llyswen!H31</f>
        <v>0.50112000000000001</v>
      </c>
      <c r="J9" s="33">
        <f>Llyswen!I31</f>
        <v>5.9519999999999997E-2</v>
      </c>
      <c r="K9" s="33">
        <f>Llyswen!J31</f>
        <v>2.3999999999999998E-3</v>
      </c>
      <c r="L9" s="33">
        <f>Llyswen!K31</f>
        <v>5.0880000000000005E-3</v>
      </c>
      <c r="M9" s="33">
        <f>Llyswen!L31</f>
        <v>4.895999999999999E-2</v>
      </c>
      <c r="N9" s="33">
        <f>Llyswen!M31</f>
        <v>4.1279999999999997E-2</v>
      </c>
      <c r="O9" s="33">
        <f>Llyswen!N31</f>
        <v>998.4</v>
      </c>
      <c r="P9" s="33">
        <f>Llyswen!O31</f>
        <v>75.263999999999996</v>
      </c>
      <c r="Q9" s="33">
        <f>Llyswen!P31</f>
        <v>0</v>
      </c>
      <c r="R9" s="33">
        <f>Llyswen!Q31</f>
        <v>91.44</v>
      </c>
      <c r="S9" s="33">
        <f>Llyswen!R31</f>
        <v>0</v>
      </c>
      <c r="T9" s="33">
        <f>Llyswen!S31</f>
        <v>0.39072000000000007</v>
      </c>
      <c r="U9" s="33">
        <f>Llyswen!T31</f>
        <v>0</v>
      </c>
      <c r="V9" s="33">
        <f>Llyswen!U31</f>
        <v>0</v>
      </c>
    </row>
    <row r="10" spans="1:22" x14ac:dyDescent="0.25">
      <c r="A10" s="36">
        <v>8</v>
      </c>
      <c r="B10" s="91"/>
      <c r="C10" s="33">
        <f>Pontsticill!B31</f>
        <v>250</v>
      </c>
      <c r="D10" s="33">
        <f>Pontsticill!C31</f>
        <v>27.173000000000002</v>
      </c>
      <c r="E10" s="33">
        <f>Pontsticill!D31</f>
        <v>10.231605999999998</v>
      </c>
      <c r="F10" s="33">
        <f>Pontsticill!E31</f>
        <v>5.1369149999999992</v>
      </c>
      <c r="G10" s="33">
        <f>Pontsticill!F31</f>
        <v>4.0148469999999987</v>
      </c>
      <c r="H10" s="33">
        <f>Pontsticill!G31</f>
        <v>8.2070000000000004E-2</v>
      </c>
      <c r="I10" s="33">
        <f>Pontsticill!H31</f>
        <v>0.33349999999999996</v>
      </c>
      <c r="J10" s="33">
        <f>Pontsticill!I31</f>
        <v>3.2190000000000003E-2</v>
      </c>
      <c r="K10" s="33">
        <f>Pontsticill!J31</f>
        <v>3.8569999999999998E-3</v>
      </c>
      <c r="L10" s="33">
        <f>Pontsticill!K31</f>
        <v>4.9589999999999999E-3</v>
      </c>
      <c r="M10" s="33">
        <f>Pontsticill!L31</f>
        <v>2.1314999999999997E-2</v>
      </c>
      <c r="N10" s="33">
        <f>Pontsticill!M31</f>
        <v>1.6848999999999996E-2</v>
      </c>
      <c r="O10" s="33">
        <f>Pontsticill!N31</f>
        <v>388.59999999999997</v>
      </c>
      <c r="P10" s="33">
        <f>Pontsticill!O31</f>
        <v>16.965</v>
      </c>
      <c r="Q10" s="33">
        <f>Pontsticill!P31</f>
        <v>0</v>
      </c>
      <c r="R10" s="33">
        <f>Pontsticill!Q31</f>
        <v>47.85</v>
      </c>
      <c r="S10" s="33">
        <f>Pontsticill!R31</f>
        <v>0</v>
      </c>
      <c r="T10" s="33">
        <f>Pontsticill!S31</f>
        <v>0.12586</v>
      </c>
      <c r="U10" s="33">
        <f>Pontsticill!T31</f>
        <v>0</v>
      </c>
      <c r="V10" s="33">
        <f>Pontsticill!U31</f>
        <v>0</v>
      </c>
    </row>
    <row r="11" spans="1:22" x14ac:dyDescent="0.25">
      <c r="A11" s="36">
        <v>9</v>
      </c>
      <c r="B11" s="91"/>
      <c r="C11" s="33">
        <f>Talybont!B31</f>
        <v>250</v>
      </c>
      <c r="D11" s="33">
        <f>Talybont!C31</f>
        <v>67.279999999999987</v>
      </c>
      <c r="E11" s="33">
        <f>Talybont!D31</f>
        <v>19.134431999999997</v>
      </c>
      <c r="F11" s="33">
        <f>Talybont!E31</f>
        <v>6.632560999999999</v>
      </c>
      <c r="G11" s="33">
        <f>Talybont!F31</f>
        <v>8.6355272000000003</v>
      </c>
      <c r="H11" s="33">
        <f>Talybont!G31</f>
        <v>0.1943</v>
      </c>
      <c r="I11" s="33">
        <f>Talybont!H31</f>
        <v>0.12876000000000001</v>
      </c>
      <c r="J11" s="33">
        <f>Talybont!I31</f>
        <v>3.2421999999999999E-2</v>
      </c>
      <c r="K11" s="33">
        <f>Talybont!J31</f>
        <v>2.32E-3</v>
      </c>
      <c r="L11" s="33">
        <f>Talybont!K31</f>
        <v>4.9879999999999994E-3</v>
      </c>
      <c r="M11" s="33">
        <f>Talybont!L31</f>
        <v>2.1459999999999996E-2</v>
      </c>
      <c r="N11" s="33">
        <f>Talybont!M31</f>
        <v>1.6936E-2</v>
      </c>
      <c r="O11" s="33">
        <f>Talybont!N31</f>
        <v>980.19999999999993</v>
      </c>
      <c r="P11" s="33">
        <f>Talybont!O31</f>
        <v>40.251999999999995</v>
      </c>
      <c r="Q11" s="33">
        <f>Talybont!P31</f>
        <v>0</v>
      </c>
      <c r="R11" s="33">
        <f>Talybont!Q31</f>
        <v>98.889999999999986</v>
      </c>
      <c r="S11" s="33">
        <f>Talybont!R31</f>
        <v>0</v>
      </c>
      <c r="T11" s="33">
        <f>Talybont!S31</f>
        <v>0.25462000000000001</v>
      </c>
      <c r="U11" s="33">
        <f>Talybont!T31</f>
        <v>0</v>
      </c>
      <c r="V11" s="33">
        <f>Talybont!U31</f>
        <v>0</v>
      </c>
    </row>
    <row r="12" spans="1:22" x14ac:dyDescent="0.25">
      <c r="A12" s="36">
        <v>10</v>
      </c>
      <c r="B12" s="91"/>
      <c r="C12" s="33">
        <f>Whitbourne!B31</f>
        <v>250</v>
      </c>
      <c r="D12" s="33">
        <f>Whitbourne!C31</f>
        <v>59.028250000000007</v>
      </c>
      <c r="E12" s="33">
        <f>Whitbourne!D31</f>
        <v>5.4457642750000002</v>
      </c>
      <c r="F12" s="33">
        <f>Whitbourne!E31</f>
        <v>3.4650377500000005</v>
      </c>
      <c r="G12" s="33">
        <f>Whitbourne!F31</f>
        <v>8.0978378000000006</v>
      </c>
      <c r="H12" s="33">
        <f>Whitbourne!G31</f>
        <v>0.14305500000000004</v>
      </c>
      <c r="I12" s="33">
        <f>Whitbourne!H31</f>
        <v>0.9103500000000001</v>
      </c>
      <c r="J12" s="33">
        <f>Whitbourne!I31</f>
        <v>0.18496000000000001</v>
      </c>
      <c r="K12" s="33">
        <f>Whitbourne!J31</f>
        <v>2.3120000000000007E-3</v>
      </c>
      <c r="L12" s="33">
        <f>Whitbourne!K31</f>
        <v>4.9852500000000001E-3</v>
      </c>
      <c r="M12" s="33">
        <f>Whitbourne!L31</f>
        <v>2.1458250000000005E-2</v>
      </c>
      <c r="N12" s="33">
        <f>Whitbourne!M31</f>
        <v>3.1067500000000001E-2</v>
      </c>
      <c r="O12" s="33">
        <f>Whitbourne!N31</f>
        <v>9.3925000000000018</v>
      </c>
      <c r="P12" s="33">
        <f>Whitbourne!O31</f>
        <v>3092.3</v>
      </c>
      <c r="Q12" s="33">
        <f>Whitbourne!P31</f>
        <v>0</v>
      </c>
      <c r="R12" s="33">
        <f>Whitbourne!Q31</f>
        <v>131.675625</v>
      </c>
      <c r="S12" s="33">
        <f>Whitbourne!R31</f>
        <v>0</v>
      </c>
      <c r="T12" s="33">
        <f>Whitbourne!S31</f>
        <v>0.44578250000000003</v>
      </c>
      <c r="U12" s="33">
        <f>Whitbourne!T31</f>
        <v>0</v>
      </c>
      <c r="V12" s="33">
        <f>Whitbourne!U31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3" t="s">
        <v>84</v>
      </c>
      <c r="B15" s="35" t="s">
        <v>153</v>
      </c>
      <c r="C15" s="35">
        <f>Bryngwyn!B43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3"/>
      <c r="B16" s="32" t="s">
        <v>46</v>
      </c>
      <c r="C16" s="35">
        <f>Bryngwyn!B44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250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250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5" t="s">
        <v>85</v>
      </c>
      <c r="B27" s="145"/>
      <c r="C27" s="145"/>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06a2227e98c791c15aaac2f62ba1e715">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786dd2fad8c655f3e0bcda2ea437e67"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REGU-415-1629357</_dlc_DocId>
    <_dlc_DocIdUrl xmlns="9be56660-2c31-41ef-bc00-23e72f632f2a">
      <Url>https://cyfoethnaturiolcymru.sharepoint.com/teams/Regulatory/Permitting/_layouts/15/DocIdRedir.aspx?ID=REGU-415-1629357</Url>
      <Description>REGU-415-1629357</Description>
    </_dlc_DocIdUrl>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Mobile Plant</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2021-12-09T00:00:00+00:00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00C64D53-9791-4E69-AC93-4F2979FBA6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EB88BFD-E29A-4849-A8E6-116EB74B98EA}">
  <ds:schemaRef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859f7ad6-93f6-4205-b62b-a17f28acbbac"/>
    <ds:schemaRef ds:uri="http://purl.org/dc/terms/"/>
    <ds:schemaRef ds:uri="http://purl.org/dc/dcmitype/"/>
    <ds:schemaRef ds:uri="http://schemas.microsoft.com/office/infopath/2007/PartnerControls"/>
    <ds:schemaRef ds:uri="9be56660-2c31-41ef-bc00-23e72f632f2a"/>
    <ds:schemaRef ds:uri="005db27c-c37f-4c3b-898d-3fee1249b087"/>
    <ds:schemaRef ds:uri="http://www.w3.org/XML/1998/namespace"/>
  </ds:schemaRefs>
</ds:datastoreItem>
</file>

<file path=customXml/itemProps4.xml><?xml version="1.0" encoding="utf-8"?>
<ds:datastoreItem xmlns:ds="http://schemas.openxmlformats.org/officeDocument/2006/customXml" ds:itemID="{8CCFD608-1596-4EDD-A210-A5868C070F10}">
  <ds:schemaRefs>
    <ds:schemaRef ds:uri="Microsoft.SharePoint.Taxonomy.ContentTypeSync"/>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Bryngwyn</vt:lpstr>
      <vt:lpstr>Capel Dewi</vt:lpstr>
      <vt:lpstr>Cefn Dryscoed</vt:lpstr>
      <vt:lpstr>Crai</vt:lpstr>
      <vt:lpstr>Elan</vt:lpstr>
      <vt:lpstr>Hirwaun</vt:lpstr>
      <vt:lpstr>Llyswen</vt:lpstr>
      <vt:lpstr>Pontsticill</vt:lpstr>
      <vt:lpstr>Talybont</vt:lpstr>
      <vt:lpstr>Whitbourne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Rhiannon Smith</dc:creator>
  <cp:lastModifiedBy>Smith, Rhiannon</cp:lastModifiedBy>
  <dcterms:created xsi:type="dcterms:W3CDTF">2016-09-26T10:07:59Z</dcterms:created>
  <dcterms:modified xsi:type="dcterms:W3CDTF">2021-12-29T16:05:34Z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edb0c836-e0a8-48a6-a611-fd16914835f6</vt:lpwstr>
  </property>
</Properties>
</file>