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Y:\Environmental Compliance\Permit applications\LRC\"/>
    </mc:Choice>
  </mc:AlternateContent>
  <workbookProtection workbookPassword="953B" lockStructure="1"/>
  <bookViews>
    <workbookView xWindow="0" yWindow="0" windowWidth="20730" windowHeight="11760" tabRatio="733" activeTab="2"/>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62913"/>
</workbook>
</file>

<file path=xl/calcChain.xml><?xml version="1.0" encoding="utf-8"?>
<calcChain xmlns="http://schemas.openxmlformats.org/spreadsheetml/2006/main">
  <c r="M8" i="2" l="1"/>
  <c r="M9" i="2"/>
  <c r="M6" i="2"/>
  <c r="M7" i="2"/>
  <c r="F5" i="2"/>
  <c r="F13" i="15" s="1"/>
  <c r="F7" i="2"/>
  <c r="C31" i="21" s="1"/>
  <c r="F31" i="16"/>
  <c r="F27" i="20" s="1"/>
  <c r="F32" i="16"/>
  <c r="F28" i="20" s="1"/>
  <c r="F29" i="16"/>
  <c r="C85" i="21" s="1"/>
  <c r="F33" i="16"/>
  <c r="F29" i="20" s="1"/>
  <c r="F38" i="16"/>
  <c r="F30" i="20" s="1"/>
  <c r="F7" i="16"/>
  <c r="F11" i="20" s="1"/>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C21" i="21"/>
  <c r="D21" i="21"/>
  <c r="B22" i="21"/>
  <c r="C22" i="21"/>
  <c r="D22" i="21"/>
  <c r="B23" i="21"/>
  <c r="C23" i="21"/>
  <c r="D23" i="21"/>
  <c r="B24" i="21"/>
  <c r="D24" i="21"/>
  <c r="B25" i="21"/>
  <c r="D25" i="21"/>
  <c r="B28" i="21"/>
  <c r="C28" i="21"/>
  <c r="D28" i="21"/>
  <c r="B29" i="21"/>
  <c r="D29" i="21"/>
  <c r="B30" i="2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B45" i="21"/>
  <c r="D45" i="21"/>
  <c r="B46" i="21"/>
  <c r="C46" i="21"/>
  <c r="D46" i="21"/>
  <c r="B47" i="21"/>
  <c r="D47" i="21"/>
  <c r="B48" i="21"/>
  <c r="D48" i="21"/>
  <c r="B49" i="21"/>
  <c r="D49" i="21"/>
  <c r="B52" i="21"/>
  <c r="C52" i="21"/>
  <c r="D52" i="21"/>
  <c r="B53" i="21"/>
  <c r="D53" i="21"/>
  <c r="B54" i="21"/>
  <c r="F54" i="21" s="1"/>
  <c r="C54" i="21"/>
  <c r="D54" i="21"/>
  <c r="B55" i="21"/>
  <c r="D55" i="21"/>
  <c r="B56" i="21"/>
  <c r="C56" i="21"/>
  <c r="D56" i="21"/>
  <c r="B57" i="21"/>
  <c r="D57" i="21"/>
  <c r="B58" i="21"/>
  <c r="C58" i="21"/>
  <c r="D58" i="21"/>
  <c r="F58" i="21" s="1"/>
  <c r="B59" i="21"/>
  <c r="D59" i="21"/>
  <c r="B60" i="21"/>
  <c r="C60" i="21"/>
  <c r="F60" i="21" s="1"/>
  <c r="D60" i="21"/>
  <c r="B61" i="21"/>
  <c r="D61" i="21"/>
  <c r="B62" i="21"/>
  <c r="C62" i="21"/>
  <c r="D62" i="21"/>
  <c r="B63" i="21"/>
  <c r="D63" i="21"/>
  <c r="B64" i="21"/>
  <c r="F64" i="21" s="1"/>
  <c r="C64" i="21"/>
  <c r="D64" i="21"/>
  <c r="B65" i="21"/>
  <c r="D65" i="21"/>
  <c r="B66" i="21"/>
  <c r="C66" i="21"/>
  <c r="D66" i="21"/>
  <c r="F66" i="21" s="1"/>
  <c r="B67" i="21"/>
  <c r="D67" i="21"/>
  <c r="B68" i="21"/>
  <c r="C68" i="21"/>
  <c r="D68" i="21"/>
  <c r="B69" i="21"/>
  <c r="D69" i="21"/>
  <c r="B70" i="21"/>
  <c r="C70" i="21"/>
  <c r="D70" i="21"/>
  <c r="B71" i="21"/>
  <c r="D71" i="21"/>
  <c r="B72" i="21"/>
  <c r="F72" i="21" s="1"/>
  <c r="C72" i="21"/>
  <c r="D72" i="21"/>
  <c r="B73" i="21"/>
  <c r="D73" i="21"/>
  <c r="B74" i="21"/>
  <c r="C74" i="21"/>
  <c r="D74" i="21"/>
  <c r="B75" i="21"/>
  <c r="D75" i="21"/>
  <c r="B76" i="21"/>
  <c r="C76" i="21"/>
  <c r="D76" i="21"/>
  <c r="B77" i="21"/>
  <c r="D77" i="21"/>
  <c r="B78" i="21"/>
  <c r="C78" i="21"/>
  <c r="D78" i="21"/>
  <c r="B79" i="21"/>
  <c r="D79" i="21"/>
  <c r="B80" i="21"/>
  <c r="C80" i="21"/>
  <c r="D80" i="21"/>
  <c r="B81" i="21"/>
  <c r="D81" i="21"/>
  <c r="B82" i="21"/>
  <c r="C82" i="21"/>
  <c r="D82" i="21"/>
  <c r="B83" i="21"/>
  <c r="D83" i="21"/>
  <c r="B84" i="21"/>
  <c r="C84" i="21"/>
  <c r="D84" i="21"/>
  <c r="B85" i="21"/>
  <c r="D85" i="21"/>
  <c r="B86" i="21"/>
  <c r="F86" i="21" s="1"/>
  <c r="C86" i="21"/>
  <c r="D86" i="21"/>
  <c r="B87" i="21"/>
  <c r="D87" i="21"/>
  <c r="B88" i="21"/>
  <c r="C88" i="21"/>
  <c r="D88" i="21"/>
  <c r="B89" i="21"/>
  <c r="D89" i="21"/>
  <c r="B90" i="21"/>
  <c r="C90" i="21"/>
  <c r="D90" i="21"/>
  <c r="B91" i="21"/>
  <c r="D91" i="21"/>
  <c r="B92" i="21"/>
  <c r="C92" i="21"/>
  <c r="D92" i="21"/>
  <c r="B93" i="21"/>
  <c r="D93" i="21"/>
  <c r="B94" i="21"/>
  <c r="C94" i="21"/>
  <c r="D94" i="21"/>
  <c r="B95" i="21"/>
  <c r="D95" i="21"/>
  <c r="B96" i="21"/>
  <c r="C96" i="21"/>
  <c r="D96" i="21"/>
  <c r="B97" i="21"/>
  <c r="C97" i="21"/>
  <c r="D97" i="21"/>
  <c r="B98" i="21"/>
  <c r="C98" i="21"/>
  <c r="D98" i="21"/>
  <c r="B99" i="21"/>
  <c r="C99" i="21"/>
  <c r="D99" i="21"/>
  <c r="F99" i="21" s="1"/>
  <c r="B100" i="21"/>
  <c r="C100" i="21"/>
  <c r="D100" i="21"/>
  <c r="B101" i="21"/>
  <c r="C101" i="21"/>
  <c r="D101" i="21"/>
  <c r="B102" i="21"/>
  <c r="C102" i="21"/>
  <c r="D102" i="21"/>
  <c r="B103" i="21"/>
  <c r="D103" i="21"/>
  <c r="B104" i="21"/>
  <c r="C104" i="21"/>
  <c r="D104" i="21"/>
  <c r="B105" i="21"/>
  <c r="D105" i="21"/>
  <c r="B106" i="21"/>
  <c r="C106" i="21"/>
  <c r="D106" i="21"/>
  <c r="B107" i="21"/>
  <c r="D107" i="21"/>
  <c r="B108" i="21"/>
  <c r="C108" i="21"/>
  <c r="D108" i="21"/>
  <c r="B109" i="21"/>
  <c r="C109" i="21"/>
  <c r="D109" i="21"/>
  <c r="B110" i="21"/>
  <c r="C110" i="21"/>
  <c r="D110" i="21"/>
  <c r="B111" i="21"/>
  <c r="D111" i="21"/>
  <c r="B112" i="21"/>
  <c r="C112" i="21"/>
  <c r="D112" i="21"/>
  <c r="B113" i="21"/>
  <c r="C113" i="21"/>
  <c r="D113" i="21"/>
  <c r="B114" i="21"/>
  <c r="C114" i="21"/>
  <c r="D114" i="21"/>
  <c r="B115" i="21"/>
  <c r="C115" i="21"/>
  <c r="D115" i="21"/>
  <c r="B116" i="21"/>
  <c r="C116" i="21"/>
  <c r="D116" i="21"/>
  <c r="B117" i="21"/>
  <c r="C117" i="21"/>
  <c r="D117" i="21"/>
  <c r="B120" i="21"/>
  <c r="D120" i="21"/>
  <c r="F120" i="21" s="1"/>
  <c r="B121" i="21"/>
  <c r="D121" i="21"/>
  <c r="B122" i="21"/>
  <c r="D122" i="21"/>
  <c r="B123" i="21"/>
  <c r="D123" i="21"/>
  <c r="B124" i="21"/>
  <c r="F124" i="21" s="1"/>
  <c r="D124" i="21"/>
  <c r="B125" i="21"/>
  <c r="D125" i="21"/>
  <c r="K1" i="15"/>
  <c r="C93" i="21"/>
  <c r="F93" i="21" s="1"/>
  <c r="C91" i="21"/>
  <c r="C89" i="21"/>
  <c r="C57" i="21"/>
  <c r="F91" i="21" l="1"/>
  <c r="F125" i="21"/>
  <c r="M10" i="2"/>
  <c r="O10" i="2" s="1"/>
  <c r="C25" i="21" s="1"/>
  <c r="F25" i="21" s="1"/>
  <c r="F121" i="21"/>
  <c r="F117" i="21"/>
  <c r="F113" i="21"/>
  <c r="F110" i="21"/>
  <c r="F101" i="21"/>
  <c r="F97" i="21"/>
  <c r="F114" i="21"/>
  <c r="F100" i="21"/>
  <c r="F98" i="21"/>
  <c r="F96" i="21"/>
  <c r="F92" i="21"/>
  <c r="F80" i="21"/>
  <c r="F76" i="21"/>
  <c r="F52" i="21"/>
  <c r="F44" i="21"/>
  <c r="B6" i="20"/>
  <c r="F104" i="21"/>
  <c r="F68" i="21"/>
  <c r="F57" i="21"/>
  <c r="F122" i="21"/>
  <c r="F115" i="21"/>
  <c r="F108" i="21"/>
  <c r="F74" i="21"/>
  <c r="F36" i="21"/>
  <c r="F109" i="21"/>
  <c r="F106" i="21"/>
  <c r="F90" i="21"/>
  <c r="F23" i="21"/>
  <c r="F89" i="21"/>
  <c r="F123" i="21"/>
  <c r="F116" i="21"/>
  <c r="F112" i="21"/>
  <c r="F78" i="21"/>
  <c r="F42" i="21"/>
  <c r="F21" i="21"/>
  <c r="F16" i="21"/>
  <c r="F31" i="21"/>
  <c r="B11" i="20"/>
  <c r="B37" i="20"/>
  <c r="F39" i="16"/>
  <c r="F22" i="21"/>
  <c r="B30" i="20"/>
  <c r="B3" i="20"/>
  <c r="B28" i="20"/>
  <c r="G13" i="15"/>
  <c r="C7" i="21" s="1"/>
  <c r="F7" i="21" s="1"/>
  <c r="C95" i="21"/>
  <c r="F95" i="21" s="1"/>
  <c r="F62" i="21"/>
  <c r="F28" i="21"/>
  <c r="F45" i="21"/>
  <c r="F37" i="21"/>
  <c r="F43" i="21"/>
  <c r="F35" i="21"/>
  <c r="F102" i="21"/>
  <c r="F84" i="21"/>
  <c r="F40" i="21"/>
  <c r="F34" i="21"/>
  <c r="F17" i="21"/>
  <c r="F41" i="21"/>
  <c r="F79" i="21"/>
  <c r="F94" i="21"/>
  <c r="F88" i="21"/>
  <c r="F82" i="21"/>
  <c r="F70" i="21"/>
  <c r="F56" i="21"/>
  <c r="F46" i="21"/>
  <c r="F38" i="21"/>
  <c r="F30" i="21"/>
  <c r="F20" i="21"/>
  <c r="F47" i="21"/>
  <c r="F39" i="21"/>
  <c r="F85" i="21"/>
  <c r="B4" i="20"/>
  <c r="B21" i="20"/>
  <c r="B22" i="20"/>
  <c r="B17" i="20"/>
  <c r="F25" i="20"/>
  <c r="F58" i="16"/>
  <c r="H58" i="16" s="1"/>
  <c r="I70" i="16" s="1"/>
  <c r="K22" i="2"/>
  <c r="G3" i="19" s="1"/>
  <c r="B40" i="20"/>
  <c r="B18" i="20"/>
  <c r="B13" i="20"/>
  <c r="B8" i="20"/>
  <c r="B12" i="20"/>
  <c r="B39" i="20"/>
  <c r="B25" i="20"/>
  <c r="A2" i="16"/>
  <c r="E2" i="16" s="1"/>
  <c r="F47" i="16" s="1"/>
  <c r="B16" i="20"/>
  <c r="B2" i="20"/>
  <c r="H13" i="15"/>
  <c r="C8" i="21" s="1"/>
  <c r="F8" i="21" s="1"/>
  <c r="C29" i="21"/>
  <c r="F29" i="21" s="1"/>
  <c r="B5" i="20"/>
  <c r="B24" i="20"/>
  <c r="B26" i="20"/>
  <c r="B23" i="20"/>
  <c r="B32" i="20"/>
  <c r="B19" i="20"/>
  <c r="B33" i="20"/>
  <c r="B10" i="20"/>
  <c r="B7" i="20"/>
  <c r="B34" i="20"/>
  <c r="B31" i="20"/>
  <c r="B38" i="20"/>
  <c r="B20" i="20"/>
  <c r="B15" i="20"/>
  <c r="B29" i="20"/>
  <c r="B27" i="20"/>
  <c r="B9" i="20"/>
  <c r="B36" i="20"/>
  <c r="B14" i="20"/>
  <c r="C6" i="21"/>
  <c r="F6" i="21" s="1"/>
  <c r="J3" i="19"/>
  <c r="C24" i="21" l="1"/>
  <c r="F24" i="21" s="1"/>
  <c r="H3" i="19"/>
  <c r="F14" i="15"/>
  <c r="H14" i="15" s="1"/>
  <c r="C10" i="21" s="1"/>
  <c r="F10" i="21" s="1"/>
  <c r="K3" i="19"/>
  <c r="C48" i="21"/>
  <c r="F48" i="21" s="1"/>
  <c r="C107" i="21"/>
  <c r="F107" i="21" s="1"/>
  <c r="F39" i="20"/>
  <c r="F45" i="16"/>
  <c r="F37" i="20" s="1"/>
  <c r="F46" i="16"/>
  <c r="F38" i="20" s="1"/>
  <c r="F43" i="16"/>
  <c r="F35" i="20" s="1"/>
  <c r="F44" i="16"/>
  <c r="F36" i="20" s="1"/>
  <c r="F30" i="16"/>
  <c r="F26" i="20" s="1"/>
  <c r="F42" i="16"/>
  <c r="F27" i="16"/>
  <c r="C81" i="21" s="1"/>
  <c r="F81" i="21" s="1"/>
  <c r="F28" i="16"/>
  <c r="F21" i="16"/>
  <c r="F20" i="20" s="1"/>
  <c r="F22" i="16"/>
  <c r="F19" i="16"/>
  <c r="C71" i="21" s="1"/>
  <c r="F71" i="21" s="1"/>
  <c r="F20" i="16"/>
  <c r="F17" i="16"/>
  <c r="C67" i="21" s="1"/>
  <c r="F67" i="21" s="1"/>
  <c r="F18" i="16"/>
  <c r="F10" i="16"/>
  <c r="C63" i="21" s="1"/>
  <c r="F63" i="21" s="1"/>
  <c r="F14" i="16"/>
  <c r="F8" i="16"/>
  <c r="C59" i="21" s="1"/>
  <c r="F59" i="21" s="1"/>
  <c r="F9" i="16"/>
  <c r="F5" i="16"/>
  <c r="C53" i="21" s="1"/>
  <c r="F53" i="21" s="1"/>
  <c r="F6" i="16"/>
  <c r="M3" i="19" l="1"/>
  <c r="C9" i="21"/>
  <c r="F9" i="21" s="1"/>
  <c r="C105" i="21"/>
  <c r="F105" i="21" s="1"/>
  <c r="C75" i="21"/>
  <c r="F75" i="21" s="1"/>
  <c r="F18" i="20"/>
  <c r="C87" i="21"/>
  <c r="F87" i="21" s="1"/>
  <c r="F14" i="20"/>
  <c r="F16" i="20"/>
  <c r="F34" i="16"/>
  <c r="H34" i="16" s="1"/>
  <c r="I68" i="16" s="1"/>
  <c r="F12" i="20"/>
  <c r="F34" i="20"/>
  <c r="C103" i="21"/>
  <c r="F103" i="21" s="1"/>
  <c r="F49" i="16"/>
  <c r="F23" i="20"/>
  <c r="F24" i="20"/>
  <c r="C83" i="21"/>
  <c r="F83" i="21" s="1"/>
  <c r="C77" i="21"/>
  <c r="F77" i="21" s="1"/>
  <c r="F21" i="20"/>
  <c r="F9" i="20"/>
  <c r="F11" i="16"/>
  <c r="H11" i="16" s="1"/>
  <c r="C73" i="21"/>
  <c r="F73" i="21" s="1"/>
  <c r="F19" i="20"/>
  <c r="F17" i="20"/>
  <c r="C69" i="21"/>
  <c r="F69" i="21" s="1"/>
  <c r="F15" i="20"/>
  <c r="C65" i="21"/>
  <c r="F65" i="21" s="1"/>
  <c r="F24" i="16"/>
  <c r="H24" i="16" s="1"/>
  <c r="I67" i="16" s="1"/>
  <c r="F13" i="20"/>
  <c r="C61" i="21"/>
  <c r="F61" i="21" s="1"/>
  <c r="C55" i="21"/>
  <c r="F55" i="21" s="1"/>
  <c r="F10" i="20"/>
  <c r="I66" i="16"/>
  <c r="H49" i="16" l="1"/>
  <c r="C111" i="21"/>
  <c r="F111" i="21" s="1"/>
  <c r="I69" i="16" l="1"/>
  <c r="H60" i="16"/>
  <c r="I3" i="19" l="1"/>
  <c r="I71" i="16"/>
  <c r="H62" i="16"/>
  <c r="F16" i="15" s="1"/>
  <c r="H16" i="15" l="1"/>
  <c r="C13" i="21"/>
  <c r="F13" i="21" s="1"/>
  <c r="N3" i="19"/>
  <c r="Q23" i="2" l="1"/>
  <c r="O22" i="2" s="1"/>
  <c r="C14" i="21"/>
  <c r="F14" i="21" s="1"/>
  <c r="F15" i="15" l="1"/>
  <c r="C49" i="21"/>
  <c r="F49" i="21" s="1"/>
  <c r="C11" i="21" l="1"/>
  <c r="F11" i="21" s="1"/>
  <c r="H15" i="15"/>
  <c r="L3" i="19"/>
  <c r="C12" i="21" l="1"/>
  <c r="F12" i="21" s="1"/>
  <c r="H17" i="15"/>
  <c r="H18" i="15" l="1"/>
  <c r="L15" i="15"/>
  <c r="L16" i="15"/>
  <c r="L13" i="15"/>
  <c r="L14" i="15"/>
  <c r="C15" i="21"/>
  <c r="F15" i="21" s="1"/>
  <c r="P3" i="19"/>
  <c r="C17" i="15" l="1"/>
  <c r="J11" i="15"/>
</calcChain>
</file>

<file path=xl/sharedStrings.xml><?xml version="1.0" encoding="utf-8"?>
<sst xmlns="http://schemas.openxmlformats.org/spreadsheetml/2006/main" count="486" uniqueCount="377">
  <si>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</si>
  <si>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</si>
  <si>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</si>
  <si>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</si>
  <si>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</si>
  <si>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</si>
  <si>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</si>
  <si>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</si>
  <si>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</si>
  <si>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</si>
  <si>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</si>
  <si>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</si>
  <si>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</si>
  <si>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</si>
  <si>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</si>
  <si>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</si>
  <si>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</si>
  <si>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</si>
  <si>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</si>
  <si>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</si>
  <si>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</si>
  <si>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</si>
  <si>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</si>
  <si>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</si>
  <si>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</si>
  <si>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</si>
  <si>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</si>
  <si>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</si>
  <si>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</si>
  <si>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</si>
  <si>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</si>
  <si>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</si>
  <si>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</si>
  <si>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</si>
  <si>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</si>
  <si>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</si>
  <si>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</si>
  <si>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</si>
  <si>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</si>
  <si>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</si>
  <si>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</si>
  <si>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</si>
  <si>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</si>
  <si>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</si>
  <si>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</si>
  <si>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</si>
  <si>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</si>
  <si>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</si>
  <si>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</si>
  <si>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</si>
  <si>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</si>
  <si>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</si>
  <si>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</si>
  <si>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</si>
  <si>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</si>
  <si>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</si>
  <si>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</si>
  <si>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</si>
  <si>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</si>
  <si>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</si>
  <si>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</si>
  <si>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</si>
  <si>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</si>
  <si>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</si>
  <si>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</si>
  <si>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</si>
  <si>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</si>
  <si>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</si>
  <si>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</si>
  <si>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</si>
  <si>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</si>
  <si>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</si>
  <si>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</si>
  <si>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</si>
  <si>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</si>
  <si>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</si>
  <si>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</si>
  <si>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</si>
  <si>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</si>
  <si>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</si>
  <si>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</si>
  <si>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</si>
  <si>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</si>
  <si>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</si>
  <si>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</si>
  <si>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</si>
  <si>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</si>
  <si>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</si>
  <si>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</si>
  <si>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</si>
  <si>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</si>
  <si>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</si>
  <si>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</si>
  <si>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</si>
  <si>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</si>
  <si>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</si>
  <si>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</si>
  <si>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</si>
  <si>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</si>
  <si>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</si>
  <si>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</si>
  <si>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</si>
  <si>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</si>
  <si>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</si>
  <si>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</si>
  <si>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</si>
  <si>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</si>
  <si>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</si>
  <si>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</si>
  <si>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</si>
  <si>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</si>
  <si>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</si>
  <si>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</si>
  <si>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</si>
  <si>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</si>
  <si>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</si>
  <si>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</si>
  <si>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</si>
  <si>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</si>
  <si>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</si>
  <si>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</si>
  <si>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</si>
  <si>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</si>
  <si>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</si>
  <si>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</si>
  <si>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</si>
  <si>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</si>
  <si>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</si>
  <si>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</si>
  <si>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</si>
  <si>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</si>
  <si>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</si>
  <si>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</si>
  <si>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</si>
  <si>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</si>
  <si>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</si>
  <si>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</si>
  <si>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</si>
  <si>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</si>
  <si>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</si>
  <si>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</si>
  <si>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</si>
  <si>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</si>
  <si>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</si>
  <si>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</si>
  <si>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</si>
  <si>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</si>
  <si>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</si>
  <si>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</si>
  <si>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</si>
  <si>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</si>
  <si>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</si>
  <si>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</si>
  <si>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</si>
  <si>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</si>
  <si>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</si>
  <si>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</si>
  <si>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</si>
  <si>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</si>
  <si>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</si>
  <si>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</si>
  <si>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</si>
  <si>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</si>
  <si>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</si>
  <si>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</si>
  <si>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</si>
  <si>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</si>
  <si>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</si>
  <si>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</si>
  <si>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</si>
  <si>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</si>
  <si>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</si>
  <si>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</si>
  <si>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</si>
  <si>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</si>
  <si>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</si>
  <si>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</si>
  <si>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</si>
  <si>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</si>
  <si>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</si>
  <si>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</si>
  <si>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</si>
  <si>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</si>
  <si>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</si>
  <si>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</si>
  <si>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</si>
  <si>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</si>
  <si>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</si>
  <si>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</si>
  <si>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</si>
  <si>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</si>
  <si>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</si>
  <si>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</si>
  <si>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</si>
  <si>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</si>
  <si>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</si>
  <si>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</si>
  <si>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</si>
  <si>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</si>
  <si>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</si>
  <si>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</si>
  <si>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</si>
  <si>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</si>
  <si>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</si>
  <si>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</si>
  <si>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</si>
  <si>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</si>
  <si>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</si>
  <si>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</si>
  <si>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</si>
  <si>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</si>
  <si>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</si>
  <si>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</si>
  <si>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</si>
  <si>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</si>
  <si>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</si>
  <si>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</si>
  <si>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</si>
  <si>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</si>
  <si>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</si>
  <si>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</si>
  <si>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</si>
  <si>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</si>
  <si>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</si>
  <si>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</si>
  <si>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</si>
  <si>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</si>
  <si>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</si>
  <si>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</si>
  <si>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</si>
  <si>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</si>
  <si>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</si>
  <si>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</si>
  <si>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</si>
  <si>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</si>
  <si>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</si>
  <si>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</si>
  <si>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</si>
  <si>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</si>
  <si>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</si>
  <si>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</si>
  <si>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</si>
  <si>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</si>
  <si>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</si>
  <si>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</si>
  <si>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</si>
  <si>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</si>
  <si>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</si>
  <si>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</si>
  <si>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</si>
  <si>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</si>
  <si>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</si>
  <si>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</si>
  <si>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</si>
  <si>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</si>
  <si>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</si>
  <si>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</si>
  <si>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</si>
  <si>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</si>
  <si>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</si>
  <si>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</si>
  <si>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</si>
  <si>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</si>
  <si>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</si>
  <si>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</si>
  <si>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</si>
  <si>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</si>
  <si>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</si>
  <si>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</si>
  <si>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</si>
  <si>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</si>
  <si>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</si>
  <si>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</si>
  <si>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</si>
  <si>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</si>
  <si>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</si>
  <si>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</si>
  <si>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</si>
  <si>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</si>
  <si>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</si>
  <si>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</si>
  <si>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</si>
  <si>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</si>
  <si>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</si>
  <si>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</si>
  <si>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</si>
  <si>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</si>
  <si>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</si>
  <si>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</si>
  <si>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</si>
  <si>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</si>
  <si>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</si>
  <si>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</si>
  <si>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</si>
  <si>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</si>
  <si>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</si>
  <si>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</si>
  <si>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</si>
  <si>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</si>
  <si>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</si>
  <si>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</si>
  <si>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</si>
  <si>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</si>
  <si>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</si>
  <si>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</si>
  <si>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</si>
  <si>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</si>
  <si>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</si>
  <si>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</si>
  <si>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</si>
  <si>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</si>
  <si>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</si>
  <si>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</si>
  <si>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</si>
  <si>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</si>
  <si>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</si>
  <si>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</si>
  <si>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</si>
  <si>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</si>
  <si>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</si>
  <si>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</si>
  <si>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</si>
  <si>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</si>
  <si>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</si>
  <si>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</si>
  <si>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</si>
  <si>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</si>
  <si>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</si>
  <si>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</si>
  <si>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</si>
  <si>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</si>
  <si>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</si>
  <si>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</si>
  <si>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</si>
  <si>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</si>
  <si>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</si>
  <si>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</si>
  <si>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</si>
  <si>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</si>
  <si>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</si>
  <si>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</si>
  <si>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</si>
  <si>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</si>
  <si>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</si>
  <si>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</si>
  <si>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</si>
  <si>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</si>
  <si>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</si>
  <si>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</si>
  <si>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</si>
  <si>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</si>
  <si>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</si>
  <si>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</si>
  <si>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</si>
  <si>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</si>
  <si>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</si>
  <si>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</si>
  <si>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</si>
  <si>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</si>
  <si>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</si>
  <si>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</si>
  <si>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</si>
  <si>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</si>
  <si>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</si>
  <si>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</si>
  <si>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</si>
  <si>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</si>
  <si>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</si>
  <si>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</si>
  <si>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</si>
  <si>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</si>
  <si>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</si>
  <si>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</si>
  <si>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</si>
  <si>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EPR/AB3092FR</t>
  </si>
  <si>
    <t>Llantrisant Recycling Centre</t>
  </si>
  <si>
    <t>Llantrisant Recycling Centre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</si>
</sst>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164" formatCode="0.0"/>
    <numFmt numFmtId="165" formatCode="&quot;£&quot;#,##0"/>
    <numFmt numFmtId="166" formatCode="[$-809]dd\ mmmm\ yyyy;@"/>
  </numFmts>
  <fonts count="37"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3">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2"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4" fillId="2" borderId="0" xfId="0" applyFont="1" applyFill="1" applyBorder="1"/>
    <xf numFmtId="0" fontId="35"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3"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3" fillId="2" borderId="2" xfId="0" applyFont="1" applyFill="1" applyBorder="1" applyAlignment="1">
      <alignment horizontal="left" vertical="top" wrapText="1"/>
    </xf>
    <xf numFmtId="0" fontId="36" fillId="2" borderId="20" xfId="2" applyFont="1" applyFill="1" applyBorder="1" applyAlignment="1" applyProtection="1">
      <alignment horizontal="left"/>
    </xf>
    <xf numFmtId="0" fontId="36" fillId="2" borderId="28" xfId="2" applyFont="1" applyFill="1" applyBorder="1" applyAlignment="1" applyProtection="1">
      <alignment horizontal="left"/>
    </xf>
    <xf numFmtId="0" fontId="36"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3" fillId="2" borderId="17" xfId="0" applyFont="1" applyFill="1" applyBorder="1" applyAlignment="1">
      <alignment horizontal="left" vertical="top" wrapText="1"/>
    </xf>
    <xf numFmtId="0" fontId="33"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56"/>
          <c:y val="3.7433413606804328E-2"/>
        </c:manualLayout>
      </c:layout>
      <c:overlay val="0"/>
      <c:spPr>
        <a:noFill/>
        <a:ln w="25400">
          <a:noFill/>
        </a:ln>
      </c:spPr>
    </c:title>
    <c:autoTitleDeleted val="0"/>
    <c:plotArea>
      <c:layout>
        <c:manualLayout>
          <c:layoutTarget val="inner"/>
          <c:xMode val="edge"/>
          <c:yMode val="edge"/>
          <c:x val="0.10231945753367808"/>
          <c:y val="0.19786096256684493"/>
          <c:w val="0.87449029705450343"/>
          <c:h val="0.5561497326203223"/>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605C-4A8A-82AA-2D5E2EE83A3E}"/>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605C-4A8A-82AA-2D5E2EE83A3E}"/>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605C-4A8A-82AA-2D5E2EE83A3E}"/>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605C-4A8A-82AA-2D5E2EE83A3E}"/>
            </c:ext>
          </c:extLst>
        </c:ser>
        <c:dLbls>
          <c:showLegendKey val="0"/>
          <c:showVal val="0"/>
          <c:showCatName val="0"/>
          <c:showSerName val="0"/>
          <c:showPercent val="0"/>
          <c:showBubbleSize val="0"/>
        </c:dLbls>
        <c:gapWidth val="30"/>
        <c:overlap val="90"/>
        <c:axId val="77666944"/>
        <c:axId val="77677312"/>
      </c:barChart>
      <c:catAx>
        <c:axId val="77666944"/>
        <c:scaling>
          <c:orientation val="minMax"/>
        </c:scaling>
        <c:delete val="0"/>
        <c:axPos val="b"/>
        <c:title>
          <c:tx>
            <c:rich>
              <a:bodyPr/>
              <a:lstStyle/>
              <a:p>
                <a:pPr>
                  <a:defRPr lang="en-US"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lang="en-US" sz="825" b="0" i="0" u="none" strike="noStrike" baseline="0">
                <a:solidFill>
                  <a:srgbClr val="000000"/>
                </a:solidFill>
                <a:latin typeface="Arial"/>
                <a:ea typeface="Arial"/>
                <a:cs typeface="Arial"/>
              </a:defRPr>
            </a:pPr>
            <a:endParaRPr lang="en-US"/>
          </a:p>
        </c:txPr>
        <c:crossAx val="77677312"/>
        <c:crosses val="autoZero"/>
        <c:auto val="1"/>
        <c:lblAlgn val="ctr"/>
        <c:lblOffset val="100"/>
        <c:tickLblSkip val="1"/>
        <c:tickMarkSkip val="1"/>
        <c:noMultiLvlLbl val="0"/>
      </c:catAx>
      <c:valAx>
        <c:axId val="77677312"/>
        <c:scaling>
          <c:orientation val="minMax"/>
        </c:scaling>
        <c:delete val="0"/>
        <c:axPos val="l"/>
        <c:title>
          <c:tx>
            <c:rich>
              <a:bodyPr/>
              <a:lstStyle/>
              <a:p>
                <a:pPr>
                  <a:defRPr lang="en-US"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lang="en-US" sz="825" b="0" i="0" u="none" strike="noStrike" baseline="0">
                <a:solidFill>
                  <a:srgbClr val="000000"/>
                </a:solidFill>
                <a:latin typeface="Arial"/>
                <a:ea typeface="Arial"/>
                <a:cs typeface="Arial"/>
              </a:defRPr>
            </a:pPr>
            <a:endParaRPr lang="en-US"/>
          </a:p>
        </c:txPr>
        <c:crossAx val="77666944"/>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89" r="0.75000000000000089" t="1" header="0.5" footer="0.5"/>
    <c:pageSetup/>
  </c:printSettings>
</c:chartSpace>
</file>

<file path=xl/ctrlProps/ctrlProp1.xml><?xml version="1.0" encoding="utf-8"?>
<formControlPr xmlns="http://schemas.microsoft.com/office/spreadsheetml/2009/9/main" objectType="Drop" dropStyle="combo" dx="16" fmlaLink="D5" fmlaRange="References!$B$3:$B$45" noThreeD="1" sel="35" val="28"/>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1"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1"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2" val="0"/>
</file>

<file path=xl/ctrlProps/ctrlProp8.xml><?xml version="1.0" encoding="utf-8"?>
<formControlPr xmlns="http://schemas.microsoft.com/office/spreadsheetml/2009/9/main" objectType="Drop" dropStyle="combo" dx="16" fmlaLink="$E$22" fmlaRange="References!$D$63:$D$66" noThreeD="1" sel="3"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5</xdr:row>
          <xdr:rowOff>0</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7</xdr:row>
          <xdr:rowOff>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5</xdr:col>
          <xdr:colOff>0</xdr:colOff>
          <xdr:row>16</xdr:row>
          <xdr:rowOff>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5</xdr:col>
          <xdr:colOff>0</xdr:colOff>
          <xdr:row>20</xdr:row>
          <xdr:rowOff>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14</xdr:col>
          <xdr:colOff>0</xdr:colOff>
          <xdr:row>16</xdr:row>
          <xdr:rowOff>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14</xdr:col>
          <xdr:colOff>0</xdr:colOff>
          <xdr:row>20</xdr:row>
          <xdr:rowOff>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5</xdr:col>
          <xdr:colOff>0</xdr:colOff>
          <xdr:row>18</xdr:row>
          <xdr:rowOff>0</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5</xdr:col>
          <xdr:colOff>0</xdr:colOff>
          <xdr:row>22</xdr:row>
          <xdr:rowOff>0</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14</xdr:col>
          <xdr:colOff>0</xdr:colOff>
          <xdr:row>18</xdr:row>
          <xdr:rowOff>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6" name="Chart 21">
          <a:extLst>
            <a:ext uri="{FF2B5EF4-FFF2-40B4-BE49-F238E27FC236}">
              <a16:creationId xmlns:a16="http://schemas.microsoft.com/office/drawing/2014/main" id="{00000000-0008-0000-0200-00003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26"/>
  <sheetViews>
    <sheetView showGridLines="0" showRowColHeaders="0" showZeros="0" workbookViewId="0">
      <selection activeCell="E11" sqref="E11"/>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43370.693011111114</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374</v>
      </c>
      <c r="F7" s="314"/>
      <c r="G7" s="316" t="s">
        <v>10</v>
      </c>
      <c r="H7" s="317"/>
      <c r="I7" s="313" t="s">
        <v>375</v>
      </c>
      <c r="J7" s="318"/>
      <c r="K7" s="318"/>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43370</v>
      </c>
      <c r="F9" s="314"/>
      <c r="G9" s="316" t="s">
        <v>11</v>
      </c>
      <c r="H9" s="317"/>
      <c r="I9" s="313" t="s">
        <v>376</v>
      </c>
      <c r="J9" s="318"/>
      <c r="K9" s="318"/>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9405</v>
      </c>
      <c r="M13" s="11"/>
    </row>
    <row r="14" spans="1:13" ht="17.25" customHeight="1" x14ac:dyDescent="0.2">
      <c r="B14" s="10"/>
      <c r="C14" s="299" t="s">
        <v>12</v>
      </c>
      <c r="D14" s="299"/>
      <c r="E14" s="299"/>
      <c r="F14" s="296" t="str">
        <f>Complexity_Emissions_Location!O10</f>
        <v>C</v>
      </c>
      <c r="G14" s="296"/>
      <c r="H14" s="18">
        <f>IF(F14="","",HLOOKUP(F14,References!$H$8:$O$13,3,FALSE))</f>
        <v>15</v>
      </c>
      <c r="I14" s="9"/>
      <c r="J14" s="4" t="s">
        <v>353</v>
      </c>
      <c r="K14" s="4"/>
      <c r="L14" s="75">
        <f ca="1">H17*References!H4</f>
        <v>7645</v>
      </c>
      <c r="M14" s="11"/>
    </row>
    <row r="15" spans="1:13" ht="17.25" customHeight="1" x14ac:dyDescent="0.2">
      <c r="B15" s="10"/>
      <c r="C15" s="299" t="s">
        <v>13</v>
      </c>
      <c r="D15" s="299"/>
      <c r="E15" s="299"/>
      <c r="F15" s="296" t="str">
        <f ca="1">Complexity_Emissions_Location!O22</f>
        <v>C</v>
      </c>
      <c r="G15" s="296"/>
      <c r="H15" s="18">
        <f ca="1">IF(F15="","",HLOOKUP(F15,References!$H$8:$O$13,4,FALSE))</f>
        <v>3</v>
      </c>
      <c r="I15" s="9"/>
      <c r="J15" s="4" t="s">
        <v>328</v>
      </c>
      <c r="K15" s="4"/>
      <c r="L15" s="75">
        <f ca="1">H17*References!J4</f>
        <v>6875</v>
      </c>
      <c r="M15" s="11"/>
    </row>
    <row r="16" spans="1:13" ht="17.25" customHeight="1" x14ac:dyDescent="0.2">
      <c r="B16" s="10"/>
      <c r="C16" s="299" t="s">
        <v>14</v>
      </c>
      <c r="D16" s="299"/>
      <c r="E16" s="299"/>
      <c r="F16" s="296" t="str">
        <f ca="1">'Operator Performance'!H62</f>
        <v>A</v>
      </c>
      <c r="G16" s="296"/>
      <c r="H16" s="18">
        <f ca="1">IF(F16="","",HLOOKUP(F16,References!$H$8:$O$13,5,FALSE))</f>
        <v>2</v>
      </c>
      <c r="I16" s="9"/>
      <c r="J16" s="308" t="s">
        <v>329</v>
      </c>
      <c r="K16" s="308"/>
      <c r="L16" s="75">
        <f ca="1">H17*References!L4</f>
        <v>6875</v>
      </c>
      <c r="M16" s="11"/>
    </row>
    <row r="17" spans="2:13" x14ac:dyDescent="0.2">
      <c r="B17" s="10"/>
      <c r="C17" s="303" t="str">
        <f ca="1">IF(H18=0,"Incomplete","")</f>
        <v/>
      </c>
      <c r="D17" s="304"/>
      <c r="E17" s="305"/>
      <c r="F17" s="298" t="s">
        <v>18</v>
      </c>
      <c r="G17" s="298"/>
      <c r="H17" s="19">
        <f ca="1">SUM(H13:H16)</f>
        <v>55</v>
      </c>
      <c r="I17" s="9"/>
      <c r="J17" s="308" t="s">
        <v>330</v>
      </c>
      <c r="K17" s="308"/>
      <c r="L17" s="246" t="s">
        <v>331</v>
      </c>
      <c r="M17" s="11"/>
    </row>
    <row r="18" spans="2:13" x14ac:dyDescent="0.2">
      <c r="B18" s="10"/>
      <c r="C18" s="9"/>
      <c r="D18" s="9"/>
      <c r="E18" s="9"/>
      <c r="F18" s="9"/>
      <c r="G18" s="9"/>
      <c r="H18" s="248">
        <f ca="1">IF(LEN(F13&amp;F14&amp;F15&amp;F16)&lt;4,0,H17)</f>
        <v>55</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t="s">
        <v>64</v>
      </c>
      <c r="G20" s="307"/>
      <c r="H20" s="248"/>
      <c r="I20" s="9"/>
      <c r="J20" s="247" t="s">
        <v>354</v>
      </c>
      <c r="K20" s="251"/>
      <c r="L20" s="254">
        <f ca="1">IF(F20="",1,OFFSET(References!H13,,CODE(F20)-65))</f>
        <v>0.95</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Q23"/>
  <sheetViews>
    <sheetView showGridLines="0" showRowColHeaders="0" showZeros="0" workbookViewId="0">
      <selection activeCell="J8" sqref="J8"/>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35</v>
      </c>
      <c r="E5" s="38" t="s">
        <v>98</v>
      </c>
      <c r="F5" s="261"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50000</v>
      </c>
      <c r="L6" s="20">
        <v>1000</v>
      </c>
      <c r="M6" s="230">
        <f>INT(K6/L6)</f>
        <v>50</v>
      </c>
      <c r="N6" s="9"/>
      <c r="O6" s="25"/>
      <c r="P6" s="11"/>
    </row>
    <row r="7" spans="2:17" ht="22.5" customHeight="1" x14ac:dyDescent="0.2">
      <c r="B7" s="10"/>
      <c r="C7" s="37" t="s">
        <v>107</v>
      </c>
      <c r="D7" s="86">
        <v>1</v>
      </c>
      <c r="E7" s="38" t="s">
        <v>108</v>
      </c>
      <c r="F7" s="261">
        <f ca="1">OFFSET(References!C3,D7-1,0)</f>
        <v>0</v>
      </c>
      <c r="G7" s="48"/>
      <c r="H7" s="9"/>
      <c r="I7" s="30"/>
      <c r="J7" s="20" t="s">
        <v>25</v>
      </c>
      <c r="K7" s="85">
        <v>50000</v>
      </c>
      <c r="L7" s="20">
        <v>750</v>
      </c>
      <c r="M7" s="230">
        <f>INT(K7/L7)</f>
        <v>66</v>
      </c>
      <c r="N7" s="9"/>
      <c r="O7" s="25"/>
      <c r="P7" s="11"/>
    </row>
    <row r="8" spans="2:17" ht="22.5" customHeight="1" x14ac:dyDescent="0.2">
      <c r="B8" s="10"/>
      <c r="C8" s="83" t="s">
        <v>110</v>
      </c>
      <c r="D8" s="28"/>
      <c r="E8" s="28"/>
      <c r="F8" s="28"/>
      <c r="G8" s="29"/>
      <c r="H8" s="9"/>
      <c r="I8" s="30"/>
      <c r="J8" s="20" t="s">
        <v>26</v>
      </c>
      <c r="K8" s="85">
        <v>100000</v>
      </c>
      <c r="L8" s="20">
        <v>500</v>
      </c>
      <c r="M8" s="230">
        <f>INT(K8/L8)</f>
        <v>200</v>
      </c>
      <c r="N8" s="9"/>
      <c r="O8" s="25"/>
      <c r="P8" s="11"/>
      <c r="Q8" s="39"/>
    </row>
    <row r="9" spans="2:17" ht="22.5" customHeight="1" x14ac:dyDescent="0.2">
      <c r="B9" s="10"/>
      <c r="C9" s="322" t="s">
        <v>347</v>
      </c>
      <c r="D9" s="322"/>
      <c r="E9" s="322"/>
      <c r="F9" s="322"/>
      <c r="G9" s="322"/>
      <c r="H9" s="9"/>
      <c r="I9" s="30"/>
      <c r="J9" s="20" t="s">
        <v>27</v>
      </c>
      <c r="K9" s="85"/>
      <c r="L9" s="20">
        <v>250</v>
      </c>
      <c r="M9" s="230">
        <f>INT(K9/L9)</f>
        <v>0</v>
      </c>
      <c r="N9" s="9"/>
      <c r="O9" s="25"/>
      <c r="P9" s="11"/>
      <c r="Q9" s="39"/>
    </row>
    <row r="10" spans="2:17" ht="18.75" customHeight="1" x14ac:dyDescent="0.2">
      <c r="B10" s="10"/>
      <c r="C10" s="323"/>
      <c r="D10" s="323"/>
      <c r="E10" s="323"/>
      <c r="F10" s="323"/>
      <c r="G10" s="323"/>
      <c r="H10" s="9"/>
      <c r="I10" s="30"/>
      <c r="J10" s="9"/>
      <c r="K10" s="9"/>
      <c r="L10" s="21" t="s">
        <v>18</v>
      </c>
      <c r="M10" s="231">
        <f>SUM(M6:M9)</f>
        <v>316</v>
      </c>
      <c r="N10" s="21" t="s">
        <v>97</v>
      </c>
      <c r="O10" s="262" t="str">
        <f>IF(D5=37,"B",IF(D5=41,"A",IF(K6 &amp; K7 &amp; K8 &amp; K9="","",IF(M10&lt;10,"A",IF(M10&lt;100,"B",IF(M10&lt;1000,"C",IF(M10&lt;10000,"D","E")))))))</f>
        <v>C</v>
      </c>
      <c r="P10" s="11"/>
      <c r="Q10" s="39"/>
    </row>
    <row r="11" spans="2:17" x14ac:dyDescent="0.2">
      <c r="B11" s="10"/>
      <c r="C11" s="323"/>
      <c r="D11" s="323"/>
      <c r="E11" s="323"/>
      <c r="F11" s="323"/>
      <c r="G11" s="323"/>
      <c r="H11" s="9"/>
      <c r="I11" s="30"/>
      <c r="J11" s="9"/>
      <c r="K11" s="9"/>
      <c r="L11" s="21"/>
      <c r="M11" s="64"/>
      <c r="N11" s="9"/>
      <c r="O11" s="25"/>
      <c r="P11" s="11"/>
      <c r="Q11" s="39"/>
    </row>
    <row r="12" spans="2:17" x14ac:dyDescent="0.2">
      <c r="B12" s="10"/>
      <c r="C12" s="323"/>
      <c r="D12" s="323"/>
      <c r="E12" s="323"/>
      <c r="F12" s="323"/>
      <c r="G12" s="323"/>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0" t="s">
        <v>32</v>
      </c>
      <c r="D16" s="320"/>
      <c r="E16" s="86">
        <v>1</v>
      </c>
      <c r="F16" s="63">
        <f ca="1">OFFSET(References!E53,E16-1,0)</f>
        <v>5</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1" t="s">
        <v>99</v>
      </c>
      <c r="D18" s="321"/>
      <c r="E18" s="87">
        <v>2</v>
      </c>
      <c r="F18" s="46">
        <f ca="1">OFFSET(References!E57,E18-1,0)</f>
        <v>2</v>
      </c>
      <c r="G18" s="46"/>
      <c r="H18" s="23"/>
      <c r="I18" s="56" t="s">
        <v>100</v>
      </c>
      <c r="J18" s="23"/>
      <c r="K18" s="86">
        <v>4</v>
      </c>
      <c r="L18" s="319"/>
      <c r="M18" s="319"/>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3</v>
      </c>
      <c r="F22" s="46">
        <f ca="1">OFFSET(References!E63,E22-1,0)</f>
        <v>3</v>
      </c>
      <c r="G22" s="23"/>
      <c r="H22" s="46"/>
      <c r="I22" s="68"/>
      <c r="J22" s="69" t="s">
        <v>96</v>
      </c>
      <c r="K22" s="46">
        <f ca="1">SUM(F16:F22,O16:O20)</f>
        <v>12</v>
      </c>
      <c r="L22" s="1"/>
      <c r="M22" s="1"/>
      <c r="N22" s="70" t="s">
        <v>97</v>
      </c>
      <c r="O22" s="263" t="str">
        <f ca="1">IF(Q23=0,"",IF(D5=37,"A",IF(K22&lt;=4,"A",IF(K22&lt;=8,"B",IF(K22&lt;=12,"C",IF(K22&lt;=18,"D","E"))))))</f>
        <v>C</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71"/>
  <sheetViews>
    <sheetView showGridLines="0" tabSelected="1" zoomScaleSheetLayoutView="100" workbookViewId="0">
      <selection activeCell="M54" sqref="M54"/>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35</v>
      </c>
      <c r="B2" s="5"/>
      <c r="C2" s="266"/>
      <c r="D2" s="151" t="s">
        <v>4</v>
      </c>
      <c r="E2" s="152" t="str">
        <f ca="1">IF(A2&gt;=50,"HIGH",IF(A2&gt;=10,"MEDIUM","LOW"))</f>
        <v>MEDIUM</v>
      </c>
      <c r="F2" s="153"/>
      <c r="G2" s="6"/>
      <c r="H2" s="6"/>
      <c r="I2" s="7"/>
    </row>
    <row r="3" spans="1:9" x14ac:dyDescent="0.2">
      <c r="A3" s="92"/>
      <c r="B3" s="160"/>
      <c r="C3" s="267"/>
      <c r="D3" s="111"/>
      <c r="E3" s="112"/>
      <c r="F3" s="150"/>
      <c r="G3" s="110"/>
      <c r="H3" s="110"/>
      <c r="I3" s="154"/>
    </row>
    <row r="4" spans="1:9" x14ac:dyDescent="0.2">
      <c r="A4" s="92" t="s">
        <v>89</v>
      </c>
      <c r="B4" s="10"/>
      <c r="C4" s="324" t="s">
        <v>0</v>
      </c>
      <c r="D4" s="325"/>
      <c r="E4" s="325"/>
      <c r="F4" s="325"/>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c r="F7" s="146">
        <f t="shared"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6" t="s">
        <v>126</v>
      </c>
      <c r="D13" s="327"/>
      <c r="E13" s="327"/>
      <c r="F13" s="327"/>
      <c r="G13" s="9"/>
      <c r="H13" s="144"/>
      <c r="I13" s="11"/>
    </row>
    <row r="14" spans="1:9" x14ac:dyDescent="0.2">
      <c r="B14" s="93"/>
      <c r="C14" s="272">
        <v>1</v>
      </c>
      <c r="D14" s="102" t="s">
        <v>123</v>
      </c>
      <c r="E14" s="331" t="s">
        <v>89</v>
      </c>
      <c r="F14" s="336">
        <f ca="1">IF(E14="yes",HLOOKUP($E$2,EMS_Score_Card,G14+1,FALSE),0)</f>
        <v>3</v>
      </c>
      <c r="G14" s="9">
        <v>7</v>
      </c>
      <c r="H14" s="156"/>
      <c r="I14" s="11"/>
    </row>
    <row r="15" spans="1:9" ht="38.25" x14ac:dyDescent="0.2">
      <c r="B15" s="93"/>
      <c r="C15" s="273"/>
      <c r="D15" s="103" t="s">
        <v>317</v>
      </c>
      <c r="E15" s="332"/>
      <c r="F15" s="337"/>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6" t="s">
        <v>121</v>
      </c>
      <c r="D26" s="327"/>
      <c r="E26" s="327"/>
      <c r="F26" s="327"/>
      <c r="G26" s="9"/>
      <c r="H26" s="144"/>
      <c r="I26" s="11"/>
    </row>
    <row r="27" spans="2:9" ht="38.25" x14ac:dyDescent="0.2">
      <c r="B27" s="93"/>
      <c r="C27" s="279">
        <v>1</v>
      </c>
      <c r="D27" s="114" t="s">
        <v>364</v>
      </c>
      <c r="E27" s="118" t="s">
        <v>89</v>
      </c>
      <c r="F27" s="172">
        <f t="shared" ref="F27:F33" ca="1" si="2">IF(E27="yes",HLOOKUP($E$2,EMS_Score_Card,G27+1,FALSE),0)</f>
        <v>6</v>
      </c>
      <c r="G27" s="9">
        <v>15</v>
      </c>
      <c r="H27" s="25"/>
      <c r="I27" s="11"/>
    </row>
    <row r="28" spans="2:9" x14ac:dyDescent="0.2">
      <c r="B28" s="93"/>
      <c r="C28" s="269">
        <v>2</v>
      </c>
      <c r="D28" s="95" t="s">
        <v>128</v>
      </c>
      <c r="E28" s="116" t="s">
        <v>89</v>
      </c>
      <c r="F28" s="173">
        <f t="shared" ca="1" si="2"/>
        <v>2</v>
      </c>
      <c r="G28" s="9">
        <v>16</v>
      </c>
      <c r="H28" s="25"/>
      <c r="I28" s="11"/>
    </row>
    <row r="29" spans="2:9" ht="25.5" x14ac:dyDescent="0.2">
      <c r="B29" s="93"/>
      <c r="C29" s="269">
        <v>3</v>
      </c>
      <c r="D29" s="293" t="s">
        <v>371</v>
      </c>
      <c r="E29" s="116" t="s">
        <v>89</v>
      </c>
      <c r="F29" s="173">
        <f>IF(E29="no",HLOOKUP($E$2,EMS_Score_Card,G29+1,FALSE),0)</f>
        <v>0</v>
      </c>
      <c r="G29" s="9">
        <v>17</v>
      </c>
      <c r="H29" s="25"/>
      <c r="I29" s="11"/>
    </row>
    <row r="30" spans="2:9" ht="25.5" x14ac:dyDescent="0.2">
      <c r="B30" s="195"/>
      <c r="C30" s="269">
        <v>4</v>
      </c>
      <c r="D30" s="95" t="s">
        <v>319</v>
      </c>
      <c r="E30" s="116" t="s">
        <v>89</v>
      </c>
      <c r="F30" s="173">
        <f t="shared" ca="1" si="2"/>
        <v>4</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6" t="s">
        <v>122</v>
      </c>
      <c r="D36" s="327"/>
      <c r="E36" s="327"/>
      <c r="F36" s="327"/>
      <c r="G36" s="9"/>
      <c r="H36" s="144"/>
      <c r="I36" s="11"/>
    </row>
    <row r="37" spans="2:9" ht="52.5" customHeight="1" x14ac:dyDescent="0.2">
      <c r="B37" s="93"/>
      <c r="C37" s="280"/>
      <c r="D37" s="328" t="s">
        <v>310</v>
      </c>
      <c r="E37" s="329"/>
      <c r="F37" s="330"/>
      <c r="G37" s="9"/>
      <c r="H37" s="25"/>
      <c r="I37" s="11"/>
    </row>
    <row r="38" spans="2:9" ht="25.5" x14ac:dyDescent="0.2">
      <c r="B38" s="93"/>
      <c r="C38" s="281">
        <v>1</v>
      </c>
      <c r="D38" s="224" t="s">
        <v>335</v>
      </c>
      <c r="E38" s="226">
        <v>1</v>
      </c>
      <c r="F38" s="225">
        <f ca="1">OFFSET(References!G16,E38,0)</f>
        <v>0</v>
      </c>
      <c r="G38" s="9">
        <v>22</v>
      </c>
      <c r="H38" s="25"/>
      <c r="I38" s="11"/>
    </row>
    <row r="39" spans="2:9" x14ac:dyDescent="0.2">
      <c r="B39" s="93"/>
      <c r="C39" s="277"/>
      <c r="D39" s="119" t="s">
        <v>116</v>
      </c>
      <c r="E39" s="107"/>
      <c r="F39" s="175">
        <f ca="1">MAX(F38:F38)</f>
        <v>0</v>
      </c>
      <c r="G39" s="9"/>
      <c r="H39" s="25"/>
      <c r="I39" s="11"/>
    </row>
    <row r="40" spans="2:9" ht="29.25" customHeight="1" x14ac:dyDescent="0.2">
      <c r="B40" s="93"/>
      <c r="C40" s="280">
        <v>2</v>
      </c>
      <c r="D40" s="328" t="s">
        <v>323</v>
      </c>
      <c r="E40" s="329"/>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372</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13</v>
      </c>
      <c r="G49" s="28"/>
      <c r="H49" s="162">
        <f ca="1">(F49/20)*4</f>
        <v>2.6</v>
      </c>
      <c r="I49" s="159"/>
    </row>
    <row r="50" spans="2:9" x14ac:dyDescent="0.2">
      <c r="B50" s="93"/>
      <c r="C50" s="125"/>
      <c r="D50" s="125"/>
      <c r="E50" s="126"/>
      <c r="F50" s="127"/>
      <c r="G50" s="9"/>
      <c r="H50" s="9"/>
      <c r="I50" s="11"/>
    </row>
    <row r="51" spans="2:9" x14ac:dyDescent="0.2">
      <c r="B51" s="93"/>
      <c r="C51" s="334" t="s">
        <v>139</v>
      </c>
      <c r="D51" s="335"/>
      <c r="E51" s="335"/>
      <c r="F51" s="335"/>
      <c r="G51" s="124"/>
      <c r="H51" s="163"/>
      <c r="I51" s="11"/>
    </row>
    <row r="52" spans="2:9" ht="6.75" customHeight="1" x14ac:dyDescent="0.2">
      <c r="B52" s="93"/>
      <c r="C52" s="286"/>
      <c r="D52" s="126"/>
      <c r="E52" s="126"/>
      <c r="F52" s="126"/>
      <c r="G52" s="126"/>
      <c r="H52" s="164"/>
      <c r="I52" s="11"/>
    </row>
    <row r="53" spans="2:9" ht="45.75" customHeight="1" x14ac:dyDescent="0.2">
      <c r="B53" s="93"/>
      <c r="C53" s="287"/>
      <c r="D53" s="333" t="s">
        <v>341</v>
      </c>
      <c r="E53" s="333"/>
      <c r="F53" s="333"/>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8.6</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2.6</v>
      </c>
    </row>
    <row r="70" spans="5:9" x14ac:dyDescent="0.2">
      <c r="E70" s="202" t="s">
        <v>142</v>
      </c>
      <c r="F70" s="196"/>
      <c r="G70" s="4"/>
      <c r="H70" s="4"/>
      <c r="I70" s="203">
        <f>H58</f>
        <v>0</v>
      </c>
    </row>
    <row r="71" spans="5:9" ht="13.5" thickBot="1" x14ac:dyDescent="0.25">
      <c r="E71" s="204" t="s">
        <v>143</v>
      </c>
      <c r="F71" s="205"/>
      <c r="G71" s="206"/>
      <c r="H71" s="206"/>
      <c r="I71" s="207">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85"/>
  <sheetViews>
    <sheetView showGridLines="0" zoomScale="91" workbookViewId="0">
      <selection activeCell="F4" sqref="F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50" t="s">
        <v>63</v>
      </c>
      <c r="F8" s="351"/>
      <c r="G8" s="352"/>
      <c r="H8" s="40" t="s">
        <v>64</v>
      </c>
      <c r="I8" s="40" t="s">
        <v>65</v>
      </c>
      <c r="J8" s="40" t="s">
        <v>66</v>
      </c>
      <c r="K8" s="40" t="s">
        <v>67</v>
      </c>
      <c r="L8" s="40" t="s">
        <v>62</v>
      </c>
      <c r="M8" s="249" t="s">
        <v>342</v>
      </c>
      <c r="N8" s="71" t="s">
        <v>61</v>
      </c>
      <c r="O8" s="74" t="s">
        <v>60</v>
      </c>
    </row>
    <row r="9" spans="2:15" x14ac:dyDescent="0.2">
      <c r="B9" s="81" t="s">
        <v>174</v>
      </c>
      <c r="C9" s="79" t="s">
        <v>65</v>
      </c>
      <c r="E9" s="340" t="s">
        <v>21</v>
      </c>
      <c r="F9" s="341"/>
      <c r="G9" s="342"/>
      <c r="H9" s="41">
        <v>4</v>
      </c>
      <c r="I9" s="41">
        <v>10</v>
      </c>
      <c r="J9" s="41">
        <v>35</v>
      </c>
      <c r="K9" s="41">
        <v>50</v>
      </c>
      <c r="L9" s="41">
        <v>65</v>
      </c>
      <c r="M9" s="41">
        <v>100</v>
      </c>
      <c r="N9" s="73">
        <v>130</v>
      </c>
      <c r="O9" s="73">
        <v>195</v>
      </c>
    </row>
    <row r="10" spans="2:15" x14ac:dyDescent="0.2">
      <c r="B10" s="81" t="s">
        <v>41</v>
      </c>
      <c r="C10" s="79" t="s">
        <v>342</v>
      </c>
      <c r="E10" s="340" t="s">
        <v>69</v>
      </c>
      <c r="F10" s="341"/>
      <c r="G10" s="342"/>
      <c r="H10" s="41">
        <v>3</v>
      </c>
      <c r="I10" s="41">
        <v>7</v>
      </c>
      <c r="J10" s="41">
        <v>15</v>
      </c>
      <c r="K10" s="41">
        <v>30</v>
      </c>
      <c r="L10" s="41">
        <v>40</v>
      </c>
      <c r="M10" s="250"/>
      <c r="N10" s="72"/>
      <c r="O10" s="72"/>
    </row>
    <row r="11" spans="2:15" x14ac:dyDescent="0.2">
      <c r="B11" s="82" t="s">
        <v>167</v>
      </c>
      <c r="C11" s="41" t="s">
        <v>65</v>
      </c>
      <c r="E11" s="340" t="s">
        <v>68</v>
      </c>
      <c r="F11" s="341"/>
      <c r="G11" s="342"/>
      <c r="H11" s="41">
        <v>1</v>
      </c>
      <c r="I11" s="41">
        <v>2</v>
      </c>
      <c r="J11" s="41">
        <v>3</v>
      </c>
      <c r="K11" s="41">
        <v>5</v>
      </c>
      <c r="L11" s="41">
        <v>7</v>
      </c>
      <c r="M11" s="250"/>
      <c r="N11" s="72"/>
      <c r="O11" s="72"/>
    </row>
    <row r="12" spans="2:15" x14ac:dyDescent="0.2">
      <c r="B12" s="82" t="s">
        <v>175</v>
      </c>
      <c r="C12" s="41" t="s">
        <v>65</v>
      </c>
      <c r="E12" s="340" t="s">
        <v>344</v>
      </c>
      <c r="F12" s="341"/>
      <c r="G12" s="342"/>
      <c r="H12" s="41">
        <v>2</v>
      </c>
      <c r="I12" s="41">
        <v>4</v>
      </c>
      <c r="J12" s="41">
        <v>7</v>
      </c>
      <c r="K12" s="41">
        <v>10</v>
      </c>
      <c r="L12" s="41">
        <v>14</v>
      </c>
      <c r="M12" s="250"/>
      <c r="N12" s="72"/>
      <c r="O12" s="72"/>
    </row>
    <row r="13" spans="2:15" x14ac:dyDescent="0.2">
      <c r="B13" s="82" t="s">
        <v>42</v>
      </c>
      <c r="C13" s="41" t="s">
        <v>66</v>
      </c>
      <c r="E13" s="343" t="s">
        <v>70</v>
      </c>
      <c r="F13" s="344"/>
      <c r="G13" s="345"/>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46" t="s">
        <v>77</v>
      </c>
      <c r="F17" s="347"/>
      <c r="G17" s="227">
        <v>0</v>
      </c>
    </row>
    <row r="18" spans="2:7" x14ac:dyDescent="0.2">
      <c r="B18" s="82" t="s">
        <v>170</v>
      </c>
      <c r="C18" s="41" t="s">
        <v>64</v>
      </c>
      <c r="E18" s="348" t="s">
        <v>306</v>
      </c>
      <c r="F18" s="349"/>
      <c r="G18" s="228">
        <v>20</v>
      </c>
    </row>
    <row r="19" spans="2:7" x14ac:dyDescent="0.2">
      <c r="B19" s="82" t="s">
        <v>45</v>
      </c>
      <c r="C19" s="41" t="s">
        <v>66</v>
      </c>
      <c r="E19" s="348" t="s">
        <v>307</v>
      </c>
      <c r="F19" s="349"/>
      <c r="G19" s="228">
        <v>15</v>
      </c>
    </row>
    <row r="20" spans="2:7" x14ac:dyDescent="0.2">
      <c r="B20" s="82" t="s">
        <v>171</v>
      </c>
      <c r="C20" s="41" t="s">
        <v>64</v>
      </c>
      <c r="E20" s="348" t="s">
        <v>308</v>
      </c>
      <c r="F20" s="349"/>
      <c r="G20" s="228">
        <v>12</v>
      </c>
    </row>
    <row r="21" spans="2:7" x14ac:dyDescent="0.2">
      <c r="B21" s="30" t="s">
        <v>311</v>
      </c>
      <c r="C21" s="79" t="s">
        <v>67</v>
      </c>
      <c r="E21" s="338" t="s">
        <v>309</v>
      </c>
      <c r="F21" s="339"/>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
      <c r="A9" s="215" t="s">
        <v>229</v>
      </c>
      <c r="B9" t="str">
        <f t="shared" si="0"/>
        <v>&lt;emissions_Band&gt;</v>
      </c>
      <c r="C9" s="215" t="str">
        <f>'Summary and Calculation'!F14</f>
        <v>C</v>
      </c>
      <c r="D9" t="str">
        <f t="shared" si="1"/>
        <v>&lt;/emissions_Band&gt;</v>
      </c>
      <c r="F9" t="str">
        <f t="shared" si="2"/>
        <v>&lt;emissions_Band&gt;C&lt;/emissions_Band&gt;</v>
      </c>
    </row>
    <row r="10" spans="1:6" ht="12.75" customHeight="1" x14ac:dyDescent="0.2">
      <c r="A10" s="215" t="s">
        <v>230</v>
      </c>
      <c r="B10" t="str">
        <f t="shared" si="0"/>
        <v>&lt;emissions_Score&gt;</v>
      </c>
      <c r="C10" s="215">
        <f>'Summary and Calculation'!H14</f>
        <v>15</v>
      </c>
      <c r="D10" t="str">
        <f t="shared" si="1"/>
        <v>&lt;/emissions_Score&gt;</v>
      </c>
      <c r="F10" t="str">
        <f t="shared" si="2"/>
        <v>&lt;emissions_Score&gt;15&lt;/emissions_Score&gt;</v>
      </c>
    </row>
    <row r="11" spans="1:6" ht="12.75" customHeight="1" x14ac:dyDescent="0.2">
      <c r="A11" s="215" t="s">
        <v>244</v>
      </c>
      <c r="B11" t="str">
        <f t="shared" si="0"/>
        <v>&lt;location_Band&gt;</v>
      </c>
      <c r="C11" s="215" t="str">
        <f ca="1">'Summary and Calculation'!F15</f>
        <v>C</v>
      </c>
      <c r="D11" t="str">
        <f t="shared" si="1"/>
        <v>&lt;/location_Band&gt;</v>
      </c>
      <c r="F11" t="str">
        <f t="shared" ca="1" si="2"/>
        <v>&lt;location_Band&gt;C&lt;/location_Band&gt;</v>
      </c>
    </row>
    <row r="12" spans="1:6" ht="12.75" customHeight="1" x14ac:dyDescent="0.2">
      <c r="A12" s="215" t="s">
        <v>245</v>
      </c>
      <c r="B12" t="str">
        <f t="shared" si="0"/>
        <v>&lt;location_Score&gt;</v>
      </c>
      <c r="C12" s="215">
        <f ca="1">'Summary and Calculation'!H15</f>
        <v>3</v>
      </c>
      <c r="D12" t="str">
        <f t="shared" si="1"/>
        <v>&lt;/location_Score&gt;</v>
      </c>
      <c r="F12" t="str">
        <f t="shared" ca="1" si="2"/>
        <v>&lt;location_Score&gt;3&lt;/location_Score&gt;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55</v>
      </c>
      <c r="D15" t="str">
        <f t="shared" si="1"/>
        <v>&lt;/totalOPRAScore&gt;</v>
      </c>
      <c r="F15" t="str">
        <f t="shared" ca="1" si="2"/>
        <v>&lt;totalOPRAScore&gt;55&lt;/totalOPRAScore&gt;</v>
      </c>
    </row>
    <row r="16" spans="1:6" ht="12.75" customHeight="1" x14ac:dyDescent="0.2">
      <c r="A16" s="215" t="s">
        <v>240</v>
      </c>
      <c r="B16" t="str">
        <f t="shared" si="0"/>
        <v>&lt;company_Name&gt;</v>
      </c>
      <c r="C16" s="215" t="str">
        <f>'Summary and Calculation'!I9</f>
        <v>Llantrisant Recycling Centre Ltd</v>
      </c>
      <c r="D16" t="str">
        <f t="shared" si="1"/>
        <v>&lt;/company_Name&gt;</v>
      </c>
      <c r="F16" t="str">
        <f t="shared" si="2"/>
        <v>&lt;company_Name&gt;Llantrisant Recycling Centre Ltd&lt;/company_Name&gt;</v>
      </c>
    </row>
    <row r="17" spans="1:6" ht="12.75" customHeight="1" x14ac:dyDescent="0.2">
      <c r="A17" s="215" t="s">
        <v>241</v>
      </c>
      <c r="B17" t="str">
        <f t="shared" si="0"/>
        <v>&lt;case_Number&gt;</v>
      </c>
      <c r="C17" s="215">
        <f>'Summary and Calculation'!E9</f>
        <v>43370</v>
      </c>
      <c r="D17" t="str">
        <f t="shared" si="1"/>
        <v>&lt;/case_Number&gt;</v>
      </c>
      <c r="F17" t="str">
        <f t="shared" si="2"/>
        <v>&lt;case_Number&gt;43370&lt;/case_Number&gt;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50000</v>
      </c>
      <c r="D20" t="str">
        <f t="shared" si="1"/>
        <v>&lt;/wasteInput_Inert_Answer&gt;</v>
      </c>
      <c r="F20" t="str">
        <f t="shared" si="2"/>
        <v>&lt;wasteInput_Inert_Answer&gt;50000&lt;/wasteInput_Inert_Answer&gt;</v>
      </c>
    </row>
    <row r="21" spans="1:6" ht="12.75" customHeight="1" x14ac:dyDescent="0.2">
      <c r="A21" s="215" t="s">
        <v>233</v>
      </c>
      <c r="B21" t="str">
        <f t="shared" si="0"/>
        <v>&lt;wasteInput_NonHazNonBio_Answer&gt;</v>
      </c>
      <c r="C21" s="215">
        <f>Complexity_Emissions_Location!K7</f>
        <v>50000</v>
      </c>
      <c r="D21" t="str">
        <f t="shared" si="1"/>
        <v>&lt;/wasteInput_NonHazNonBio_Answer&gt;</v>
      </c>
      <c r="F21" t="str">
        <f t="shared" si="2"/>
        <v>&lt;wasteInput_NonHazNonBio_Answer&gt;50000&lt;/wasteInput_NonHazNonBio_Answer&gt;</v>
      </c>
    </row>
    <row r="22" spans="1:6" ht="12.75" customHeight="1" x14ac:dyDescent="0.2">
      <c r="A22" s="215" t="s">
        <v>234</v>
      </c>
      <c r="B22" t="str">
        <f t="shared" si="0"/>
        <v>&lt;wasteInput_Haz_Answer&gt;</v>
      </c>
      <c r="C22" s="215">
        <f>Complexity_Emissions_Location!K8</f>
        <v>100000</v>
      </c>
      <c r="D22" t="str">
        <f t="shared" si="1"/>
        <v>&lt;/wasteInput_Haz_Answer&gt;</v>
      </c>
      <c r="F22" t="str">
        <f t="shared" si="2"/>
        <v>&lt;wasteInput_Haz_Answer&gt;100000&lt;/wasteInput_Haz_Answer&gt;</v>
      </c>
    </row>
    <row r="23" spans="1:6" ht="12.75" customHeight="1" x14ac:dyDescent="0.2">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
      <c r="A24" s="215" t="s">
        <v>236</v>
      </c>
      <c r="B24" t="str">
        <f t="shared" si="0"/>
        <v>&lt;wasteInput_total&gt;</v>
      </c>
      <c r="C24" s="215">
        <f>Complexity_Emissions_Location!M10</f>
        <v>316</v>
      </c>
      <c r="D24" t="str">
        <f t="shared" si="1"/>
        <v>&lt;/wasteInput_total&gt;</v>
      </c>
      <c r="F24" t="str">
        <f t="shared" si="2"/>
        <v>&lt;wasteInput_total&gt;316&lt;/wasteInput_total&gt;</v>
      </c>
    </row>
    <row r="25" spans="1:6" ht="12.75" customHeight="1" x14ac:dyDescent="0.2">
      <c r="A25" s="215" t="s">
        <v>237</v>
      </c>
      <c r="B25" t="str">
        <f t="shared" si="0"/>
        <v>&lt;wasteInput_Band&gt;</v>
      </c>
      <c r="C25" s="215" t="str">
        <f>Complexity_Emissions_Location!O10</f>
        <v>C</v>
      </c>
      <c r="D25" t="str">
        <f t="shared" si="1"/>
        <v>&lt;/wasteInput_Band&gt;</v>
      </c>
      <c r="F25" t="str">
        <f t="shared" si="2"/>
        <v>&lt;wasteInput_Band&gt;C&lt;/wasteInput_Band&gt;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35</v>
      </c>
      <c r="D28" t="str">
        <f t="shared" si="1"/>
        <v>&lt;/activity_AType_1&gt;</v>
      </c>
      <c r="F28" t="str">
        <f t="shared" si="2"/>
        <v>&lt;activity_AType_1&gt;35&lt;/activity_AType_1&gt;</v>
      </c>
    </row>
    <row r="29" spans="1:6" ht="12.75" customHeight="1" x14ac:dyDescent="0.2">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
      <c r="A36" s="215" t="s">
        <v>248</v>
      </c>
      <c r="B36" t="str">
        <f t="shared" si="0"/>
        <v>&lt;loc_Habitats_Answer&gt;</v>
      </c>
      <c r="C36" s="215">
        <f>Complexity_Emissions_Location!E18</f>
        <v>2</v>
      </c>
      <c r="D36" t="str">
        <f t="shared" si="1"/>
        <v>&lt;/loc_Habitats_Answer&gt;</v>
      </c>
      <c r="F36" t="str">
        <f t="shared" si="2"/>
        <v>&lt;loc_Habitats_Answer&gt;2&lt;/loc_Habitats_Answer&gt;</v>
      </c>
    </row>
    <row r="37" spans="1:6" ht="12.75" customHeight="1" x14ac:dyDescent="0.2">
      <c r="A37" s="215" t="s">
        <v>249</v>
      </c>
      <c r="B37" t="str">
        <f t="shared" si="0"/>
        <v>&lt;loc_Habitats_Score&gt;</v>
      </c>
      <c r="C37" s="215">
        <f ca="1">Complexity_Emissions_Location!F18</f>
        <v>2</v>
      </c>
      <c r="D37" t="str">
        <f t="shared" si="1"/>
        <v>&lt;/loc_Habitats_Score&gt;</v>
      </c>
      <c r="F37" t="str">
        <f t="shared" ca="1" si="2"/>
        <v>&lt;loc_Habitats_Score&gt;2&lt;/loc_Habitats_Score&gt;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3</v>
      </c>
      <c r="D40" t="str">
        <f t="shared" si="1"/>
        <v>&lt;/loc_SW_Answer&gt;</v>
      </c>
      <c r="F40" t="str">
        <f t="shared" si="2"/>
        <v>&lt;loc_SW_Answer&gt;3&lt;/loc_SW_Answer&gt;</v>
      </c>
    </row>
    <row r="41" spans="1:6" ht="12.75" customHeight="1" x14ac:dyDescent="0.2">
      <c r="A41" s="215" t="s">
        <v>253</v>
      </c>
      <c r="B41" t="str">
        <f t="shared" si="0"/>
        <v>&lt;loc_SW_Score&gt;</v>
      </c>
      <c r="C41" s="215">
        <f ca="1">Complexity_Emissions_Location!F22</f>
        <v>3</v>
      </c>
      <c r="D41" t="str">
        <f t="shared" si="1"/>
        <v>&lt;/loc_SW_Score&gt;</v>
      </c>
      <c r="F41" t="str">
        <f t="shared" ca="1" si="2"/>
        <v>&lt;loc_SW_Score&gt;3&lt;/loc_SW_Score&gt;</v>
      </c>
    </row>
    <row r="42" spans="1:6" ht="12.75" customHeight="1" x14ac:dyDescent="0.2">
      <c r="A42" s="215" t="s">
        <v>254</v>
      </c>
      <c r="B42" t="str">
        <f t="shared" si="0"/>
        <v>&lt;loc_RunOff_Answer&gt;</v>
      </c>
      <c r="C42" s="215">
        <f>Complexity_Emissions_Location!K16</f>
        <v>1</v>
      </c>
      <c r="D42" t="str">
        <f t="shared" si="1"/>
        <v>&lt;/loc_RunOff_Answer&gt;</v>
      </c>
      <c r="F42" t="str">
        <f t="shared" si="2"/>
        <v>&lt;loc_RunOff_Answer&gt;1&lt;/loc_RunOff_Answer&gt;</v>
      </c>
    </row>
    <row r="43" spans="1:6" ht="12.75" customHeight="1" x14ac:dyDescent="0.2">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12</v>
      </c>
      <c r="D48" t="str">
        <f t="shared" si="1"/>
        <v>&lt;/loc_RawScore&gt;</v>
      </c>
      <c r="F48" t="str">
        <f t="shared" ca="1" si="2"/>
        <v>&lt;loc_RawScore&gt;12&lt;/loc_RawScore&gt;</v>
      </c>
    </row>
    <row r="49" spans="1:6" ht="12.75" customHeight="1" x14ac:dyDescent="0.2">
      <c r="A49" s="215" t="s">
        <v>261</v>
      </c>
      <c r="B49" t="str">
        <f t="shared" si="0"/>
        <v>&lt;loc_Band&gt;</v>
      </c>
      <c r="C49" s="215" t="str">
        <f ca="1">Complexity_Emissions_Location!O22</f>
        <v>C</v>
      </c>
      <c r="D49" t="str">
        <f t="shared" si="1"/>
        <v>&lt;/loc_Band&gt;</v>
      </c>
      <c r="F49" t="str">
        <f t="shared" ca="1" si="2"/>
        <v>&lt;loc_Band&gt;C&lt;/loc_Band&gt;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13</v>
      </c>
      <c r="D111" t="str">
        <f t="shared" si="4"/>
        <v>&lt;/enfNotice_score&gt;</v>
      </c>
      <c r="F111" t="str">
        <f t="shared" ca="1" si="5"/>
        <v>&lt;enfNotice_score&gt;13&lt;/enfNotice_score&gt;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4337011260.0079594</v>
      </c>
      <c r="B3" s="210">
        <v>3</v>
      </c>
      <c r="C3" s="210">
        <f ca="1">TODAY()</f>
        <v>43370</v>
      </c>
      <c r="D3" s="210">
        <f>'Summary and Calculation'!E9</f>
        <v>43370</v>
      </c>
      <c r="E3" s="210" t="str">
        <f ca="1">OFFSET(References!B2,Complexity_Emissions_Location!D5,0)</f>
        <v>A22</v>
      </c>
      <c r="F3" s="210" t="str">
        <f ca="1">OFFSET(References!B2,Complexity_Emissions_Location!D7,0)</f>
        <v xml:space="preserve">   …</v>
      </c>
      <c r="G3" s="210">
        <f ca="1">Complexity_Emissions_Location!K22</f>
        <v>12</v>
      </c>
      <c r="H3" s="210">
        <f>Complexity_Emissions_Location!M10</f>
        <v>316</v>
      </c>
      <c r="I3" s="208">
        <f ca="1">'Operator Performance'!H60</f>
        <v>8.6</v>
      </c>
      <c r="J3" s="210" t="str">
        <f ca="1">'Summary and Calculation'!F13</f>
        <v>C</v>
      </c>
      <c r="K3" s="210">
        <f ca="1">'Summary and Calculation'!G13</f>
        <v>0</v>
      </c>
      <c r="L3" s="210" t="str">
        <f ca="1">'Summary and Calculation'!F15</f>
        <v>C</v>
      </c>
      <c r="M3" s="210" t="str">
        <f>'Summary and Calculation'!F14</f>
        <v>C</v>
      </c>
      <c r="N3" s="210" t="str">
        <f ca="1">'Summary and Calculation'!F16</f>
        <v>A</v>
      </c>
      <c r="P3" s="210">
        <f ca="1">'Summary and Calculation'!H17</f>
        <v>55</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759418457</v>
      </c>
      <c r="B2" s="210">
        <f ca="1">ProfileHeader!$A$3</f>
        <v>4337011260.0079594</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
      <c r="A3" s="212" t="str">
        <f t="shared" ref="A3:A40" ca="1" si="0">FIXED(10000000000*RAND(),0,TRUE)</f>
        <v>8345037163</v>
      </c>
      <c r="B3" s="210">
        <f ca="1">ProfileHeader!$A$3</f>
        <v>4337011260.0079594</v>
      </c>
      <c r="C3" s="210">
        <v>3</v>
      </c>
      <c r="D3" s="210">
        <f ca="1">OFFSET(References!F$57,Complexity_Emissions_Location!E18-1,0)</f>
        <v>6</v>
      </c>
      <c r="E3" s="210" t="str">
        <f ca="1">OFFSET(References!D$57,Complexity_Emissions_Location!E18-1,0)</f>
        <v>CRoW</v>
      </c>
      <c r="F3" s="210">
        <f ca="1">OFFSET(References!E$57,Complexity_Emissions_Location!E18-1,0)</f>
        <v>2</v>
      </c>
    </row>
    <row r="4" spans="1:6" x14ac:dyDescent="0.2">
      <c r="A4" s="212" t="str">
        <f t="shared" ca="1" si="0"/>
        <v>526499771</v>
      </c>
      <c r="B4" s="210">
        <f ca="1">ProfileHeader!$A$3</f>
        <v>4337011260.0079594</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5520774307</v>
      </c>
      <c r="B5" s="210">
        <f ca="1">ProfileHeader!$A$3</f>
        <v>4337011260.0079594</v>
      </c>
      <c r="C5" s="210">
        <v>5</v>
      </c>
      <c r="D5" s="210">
        <f ca="1">OFFSET(References!F$63,Complexity_Emissions_Location!E22-1,0)</f>
        <v>13</v>
      </c>
      <c r="E5" s="210" t="str">
        <f ca="1">OFFSET(References!D$63,Complexity_Emissions_Location!E22-1,0)</f>
        <v>Grade 1 or 2</v>
      </c>
      <c r="F5" s="210">
        <f ca="1">OFFSET(References!E$63,Complexity_Emissions_Location!E22-1,0)</f>
        <v>3</v>
      </c>
    </row>
    <row r="6" spans="1:6" x14ac:dyDescent="0.2">
      <c r="A6" s="212" t="str">
        <f t="shared" ca="1" si="0"/>
        <v>8821495478</v>
      </c>
      <c r="B6" s="210">
        <f ca="1">ProfileHeader!$A$3</f>
        <v>4337011260.0079594</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
      <c r="A7" s="212" t="str">
        <f t="shared" ca="1" si="0"/>
        <v>4179158076</v>
      </c>
      <c r="B7" s="210">
        <f ca="1">ProfileHeader!$A$3</f>
        <v>4337011260.0079594</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3424557269</v>
      </c>
      <c r="B8" s="210">
        <f ca="1">ProfileHeader!$A$3</f>
        <v>4337011260.0079594</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9887287029</v>
      </c>
      <c r="B9" s="210">
        <f ca="1">ProfileHeader!$A$3</f>
        <v>4337011260.0079594</v>
      </c>
      <c r="C9" s="210">
        <v>60</v>
      </c>
      <c r="D9" s="210">
        <f ca="1">OFFSET(References!$O$54,'Operator Performance'!G5-1,0)</f>
        <v>24</v>
      </c>
      <c r="E9" s="210" t="str">
        <f>'Operator Performance'!E5</f>
        <v>Yes</v>
      </c>
      <c r="F9" s="210">
        <f ca="1">'Operator Performance'!F5</f>
        <v>4</v>
      </c>
    </row>
    <row r="10" spans="1:6" x14ac:dyDescent="0.2">
      <c r="A10" s="212" t="str">
        <f t="shared" ca="1" si="0"/>
        <v>6214043104</v>
      </c>
      <c r="B10" s="210">
        <f ca="1">ProfileHeader!$A$3</f>
        <v>4337011260.0079594</v>
      </c>
      <c r="C10" s="210">
        <v>61</v>
      </c>
      <c r="D10" s="210">
        <f ca="1">OFFSET(References!$O$54,'Operator Performance'!G6-1,0)</f>
        <v>26</v>
      </c>
      <c r="E10" s="210" t="str">
        <f>'Operator Performance'!E6</f>
        <v>Yes</v>
      </c>
      <c r="F10" s="210">
        <f ca="1">'Operator Performance'!F6</f>
        <v>2</v>
      </c>
    </row>
    <row r="11" spans="1:6" x14ac:dyDescent="0.2">
      <c r="A11" s="212" t="str">
        <f t="shared" ca="1" si="0"/>
        <v>3066569963</v>
      </c>
      <c r="B11" s="210">
        <f ca="1">ProfileHeader!$A$3</f>
        <v>4337011260.0079594</v>
      </c>
      <c r="C11" s="210">
        <v>62</v>
      </c>
      <c r="D11" s="210">
        <f ca="1">OFFSET(References!$O$54,'Operator Performance'!G7-1,0)</f>
        <v>28</v>
      </c>
      <c r="E11" s="210">
        <f>'Operator Performance'!E7</f>
        <v>0</v>
      </c>
      <c r="F11" s="210">
        <f>'Operator Performance'!F7</f>
        <v>0</v>
      </c>
    </row>
    <row r="12" spans="1:6" x14ac:dyDescent="0.2">
      <c r="A12" s="212" t="str">
        <f t="shared" ca="1" si="0"/>
        <v>9352139417</v>
      </c>
      <c r="B12" s="210">
        <f ca="1">ProfileHeader!$A$3</f>
        <v>4337011260.0079594</v>
      </c>
      <c r="C12" s="210">
        <v>63</v>
      </c>
      <c r="D12" s="210">
        <f ca="1">OFFSET(References!$O$54,'Operator Performance'!G8-1,0)</f>
        <v>30</v>
      </c>
      <c r="E12" s="210" t="str">
        <f>'Operator Performance'!E8</f>
        <v>Yes</v>
      </c>
      <c r="F12" s="210">
        <f ca="1">'Operator Performance'!F8</f>
        <v>2</v>
      </c>
    </row>
    <row r="13" spans="1:6" x14ac:dyDescent="0.2">
      <c r="A13" s="212" t="str">
        <f ca="1">FIXED(10000000000*RAND(),0,TRUE)</f>
        <v>3556340039</v>
      </c>
      <c r="B13" s="210">
        <f ca="1">ProfileHeader!$A$3</f>
        <v>4337011260.0079594</v>
      </c>
      <c r="C13" s="210">
        <v>64</v>
      </c>
      <c r="D13" s="210">
        <f ca="1">OFFSET(References!$O$54,'Operator Performance'!G9-1,0)</f>
        <v>32</v>
      </c>
      <c r="E13" s="210" t="str">
        <f>'Operator Performance'!E9</f>
        <v>Yes</v>
      </c>
      <c r="F13" s="210">
        <f ca="1">'Operator Performance'!F9</f>
        <v>2</v>
      </c>
    </row>
    <row r="14" spans="1:6" x14ac:dyDescent="0.2">
      <c r="A14" s="212" t="str">
        <f t="shared" ca="1" si="0"/>
        <v>8705927296</v>
      </c>
      <c r="B14" s="210">
        <f ca="1">ProfileHeader!$A$3</f>
        <v>4337011260.0079594</v>
      </c>
      <c r="C14" s="210">
        <v>66</v>
      </c>
      <c r="D14" s="210">
        <f ca="1">OFFSET(References!$O$54,'Operator Performance'!G10-1,0)</f>
        <v>36</v>
      </c>
      <c r="E14" s="210" t="str">
        <f>'Operator Performance'!E10</f>
        <v>Yes</v>
      </c>
      <c r="F14" s="210">
        <f ca="1">'Operator Performance'!F10</f>
        <v>2</v>
      </c>
    </row>
    <row r="15" spans="1:6" x14ac:dyDescent="0.2">
      <c r="A15" s="212" t="str">
        <f t="shared" ca="1" si="0"/>
        <v>1653181349</v>
      </c>
      <c r="B15" s="210">
        <f ca="1">ProfileHeader!$A$3</f>
        <v>4337011260.0079594</v>
      </c>
      <c r="C15" s="210">
        <v>69</v>
      </c>
      <c r="D15" s="210">
        <f ca="1">OFFSET(References!$O$54,'Operator Performance'!G14-1,0)</f>
        <v>42</v>
      </c>
      <c r="E15" s="210" t="str">
        <f>'Operator Performance'!E14</f>
        <v>Yes</v>
      </c>
      <c r="F15" s="212">
        <f ca="1">'Operator Performance'!F14</f>
        <v>3</v>
      </c>
    </row>
    <row r="16" spans="1:6" x14ac:dyDescent="0.2">
      <c r="A16" s="212" t="str">
        <f t="shared" ca="1" si="0"/>
        <v>4852464861</v>
      </c>
      <c r="B16" s="210">
        <f ca="1">ProfileHeader!$A$3</f>
        <v>4337011260.0079594</v>
      </c>
      <c r="C16" s="210">
        <v>70</v>
      </c>
      <c r="D16" s="210">
        <f ca="1">OFFSET(References!$O$54,'Operator Performance'!G17-1,0)</f>
        <v>44</v>
      </c>
      <c r="E16" s="210" t="str">
        <f>'Operator Performance'!E17</f>
        <v>Yes</v>
      </c>
      <c r="F16" s="212">
        <f ca="1">'Operator Performance'!F17</f>
        <v>2</v>
      </c>
    </row>
    <row r="17" spans="1:6" x14ac:dyDescent="0.2">
      <c r="A17" s="212" t="str">
        <f t="shared" ca="1" si="0"/>
        <v>8384534213</v>
      </c>
      <c r="B17" s="210">
        <f ca="1">ProfileHeader!$A$3</f>
        <v>4337011260.0079594</v>
      </c>
      <c r="C17" s="210">
        <v>71</v>
      </c>
      <c r="D17" s="210">
        <f ca="1">OFFSET(References!$O$54,'Operator Performance'!G18-1,0)</f>
        <v>46</v>
      </c>
      <c r="E17" s="210" t="str">
        <f>'Operator Performance'!E18</f>
        <v>Yes</v>
      </c>
      <c r="F17" s="212">
        <f ca="1">'Operator Performance'!F18</f>
        <v>2</v>
      </c>
    </row>
    <row r="18" spans="1:6" x14ac:dyDescent="0.2">
      <c r="A18" s="212" t="str">
        <f t="shared" ca="1" si="0"/>
        <v>7783357852</v>
      </c>
      <c r="B18" s="210">
        <f ca="1">ProfileHeader!$A$3</f>
        <v>4337011260.0079594</v>
      </c>
      <c r="C18" s="210">
        <v>72</v>
      </c>
      <c r="D18" s="210">
        <f ca="1">OFFSET(References!$O$54,'Operator Performance'!G19-1,0)</f>
        <v>48</v>
      </c>
      <c r="E18" s="210" t="str">
        <f>'Operator Performance'!E19</f>
        <v>Yes</v>
      </c>
      <c r="F18" s="212">
        <f ca="1">'Operator Performance'!F19</f>
        <v>3</v>
      </c>
    </row>
    <row r="19" spans="1:6" x14ac:dyDescent="0.2">
      <c r="A19" s="212" t="str">
        <f t="shared" ca="1" si="0"/>
        <v>3248353135</v>
      </c>
      <c r="B19" s="210">
        <f ca="1">ProfileHeader!$A$3</f>
        <v>4337011260.0079594</v>
      </c>
      <c r="C19" s="210">
        <v>73</v>
      </c>
      <c r="D19" s="210">
        <f ca="1">OFFSET(References!$O$54,'Operator Performance'!G20-1,0)</f>
        <v>50</v>
      </c>
      <c r="E19" s="210" t="str">
        <f>'Operator Performance'!E20</f>
        <v>Yes</v>
      </c>
      <c r="F19" s="212">
        <f ca="1">'Operator Performance'!F20</f>
        <v>2</v>
      </c>
    </row>
    <row r="20" spans="1:6" x14ac:dyDescent="0.2">
      <c r="A20" s="212" t="str">
        <f t="shared" ca="1" si="0"/>
        <v>4604523661</v>
      </c>
      <c r="B20" s="210">
        <f ca="1">ProfileHeader!$A$3</f>
        <v>4337011260.0079594</v>
      </c>
      <c r="C20" s="210">
        <v>74</v>
      </c>
      <c r="D20" s="210">
        <f ca="1">OFFSET(References!$O$54,'Operator Performance'!G21-1,0)</f>
        <v>52</v>
      </c>
      <c r="E20" s="210" t="str">
        <f>'Operator Performance'!E21</f>
        <v>Yes</v>
      </c>
      <c r="F20" s="212">
        <f ca="1">'Operator Performance'!F21</f>
        <v>2</v>
      </c>
    </row>
    <row r="21" spans="1:6" x14ac:dyDescent="0.2">
      <c r="A21" s="212" t="str">
        <f t="shared" ca="1" si="0"/>
        <v>7988909668</v>
      </c>
      <c r="B21" s="210">
        <f ca="1">ProfileHeader!$A$3</f>
        <v>4337011260.0079594</v>
      </c>
      <c r="C21" s="210">
        <v>77</v>
      </c>
      <c r="D21" s="210">
        <f ca="1">OFFSET(References!$O$54,'Operator Performance'!G22-1,0)</f>
        <v>65</v>
      </c>
      <c r="E21" s="210" t="str">
        <f>'Operator Performance'!E22</f>
        <v>Yes</v>
      </c>
      <c r="F21" s="212">
        <f ca="1">'Operator Performance'!F22</f>
        <v>3</v>
      </c>
    </row>
    <row r="22" spans="1:6" x14ac:dyDescent="0.2">
      <c r="A22" s="212" t="str">
        <f t="shared" ca="1" si="0"/>
        <v>7141265952</v>
      </c>
      <c r="B22" s="210">
        <f ca="1">ProfileHeader!$A$3</f>
        <v>4337011260.0079594</v>
      </c>
      <c r="C22" s="210">
        <v>79</v>
      </c>
      <c r="D22" s="210">
        <f ca="1">OFFSET(References!$O$54,'Operator Performance'!G23-1,0)</f>
        <v>69</v>
      </c>
      <c r="E22" s="210" t="str">
        <f>'Operator Performance'!E23</f>
        <v>Yes</v>
      </c>
      <c r="F22" s="212">
        <f>'Operator Performance'!F23</f>
        <v>0</v>
      </c>
    </row>
    <row r="23" spans="1:6" x14ac:dyDescent="0.2">
      <c r="A23" s="212" t="str">
        <f t="shared" ca="1" si="0"/>
        <v>6617222041</v>
      </c>
      <c r="B23" s="210">
        <f ca="1">ProfileHeader!$A$3</f>
        <v>4337011260.0079594</v>
      </c>
      <c r="C23" s="210">
        <v>80</v>
      </c>
      <c r="D23" s="210">
        <f ca="1">OFFSET(References!$O$54,'Operator Performance'!G27-1,0)</f>
        <v>73</v>
      </c>
      <c r="E23" s="210" t="str">
        <f>'Operator Performance'!E27</f>
        <v>Yes</v>
      </c>
      <c r="F23" s="212">
        <f ca="1">'Operator Performance'!F27</f>
        <v>6</v>
      </c>
    </row>
    <row r="24" spans="1:6" x14ac:dyDescent="0.2">
      <c r="A24" s="212" t="str">
        <f t="shared" ca="1" si="0"/>
        <v>9115549399</v>
      </c>
      <c r="B24" s="210">
        <f ca="1">ProfileHeader!$A$3</f>
        <v>4337011260.0079594</v>
      </c>
      <c r="C24" s="210">
        <v>81</v>
      </c>
      <c r="D24" s="210">
        <f ca="1">OFFSET(References!$O$54,'Operator Performance'!G28-1,0)</f>
        <v>75</v>
      </c>
      <c r="E24" s="210" t="str">
        <f>'Operator Performance'!E28</f>
        <v>Yes</v>
      </c>
      <c r="F24" s="212">
        <f ca="1">'Operator Performance'!F28</f>
        <v>2</v>
      </c>
    </row>
    <row r="25" spans="1:6" x14ac:dyDescent="0.2">
      <c r="A25" s="212" t="str">
        <f t="shared" ca="1" si="0"/>
        <v>7513068196</v>
      </c>
      <c r="B25" s="210">
        <f ca="1">ProfileHeader!$A$3</f>
        <v>4337011260.0079594</v>
      </c>
      <c r="C25" s="210">
        <v>82</v>
      </c>
      <c r="D25" s="210">
        <f ca="1">OFFSET(References!$O$54,'Operator Performance'!G29-1,0)</f>
        <v>77</v>
      </c>
      <c r="E25" s="210" t="str">
        <f>'Operator Performance'!E29</f>
        <v>Yes</v>
      </c>
      <c r="F25" s="212">
        <f>'Operator Performance'!F29</f>
        <v>0</v>
      </c>
    </row>
    <row r="26" spans="1:6" x14ac:dyDescent="0.2">
      <c r="A26" s="212" t="str">
        <f t="shared" ca="1" si="0"/>
        <v>7855490627</v>
      </c>
      <c r="B26" s="210">
        <f ca="1">ProfileHeader!$A$3</f>
        <v>4337011260.0079594</v>
      </c>
      <c r="C26" s="210">
        <v>83</v>
      </c>
      <c r="D26" s="210">
        <f ca="1">OFFSET(References!$O$54,'Operator Performance'!G30-1,0)</f>
        <v>79</v>
      </c>
      <c r="E26" s="210" t="str">
        <f>'Operator Performance'!E30</f>
        <v>Yes</v>
      </c>
      <c r="F26" s="212">
        <f ca="1">'Operator Performance'!F30</f>
        <v>4</v>
      </c>
    </row>
    <row r="27" spans="1:6" x14ac:dyDescent="0.2">
      <c r="A27" s="212" t="str">
        <f t="shared" ca="1" si="0"/>
        <v>8748759523</v>
      </c>
      <c r="B27" s="210">
        <f ca="1">ProfileHeader!$A$3</f>
        <v>4337011260.0079594</v>
      </c>
      <c r="C27" s="210">
        <v>84</v>
      </c>
      <c r="D27" s="210">
        <f ca="1">OFFSET(References!$O$54,'Operator Performance'!G31-1,0)</f>
        <v>81</v>
      </c>
      <c r="E27" s="210">
        <f>'Operator Performance'!E31</f>
        <v>0</v>
      </c>
      <c r="F27" s="212">
        <f>'Operator Performance'!F31</f>
        <v>0</v>
      </c>
    </row>
    <row r="28" spans="1:6" x14ac:dyDescent="0.2">
      <c r="A28" s="212" t="str">
        <f t="shared" ca="1" si="0"/>
        <v>7113706856</v>
      </c>
      <c r="B28" s="210">
        <f ca="1">ProfileHeader!$A$3</f>
        <v>4337011260.0079594</v>
      </c>
      <c r="C28" s="210">
        <v>85</v>
      </c>
      <c r="D28" s="210">
        <f ca="1">OFFSET(References!$O$54,'Operator Performance'!G32-1,0)</f>
        <v>83</v>
      </c>
      <c r="E28" s="210">
        <f>'Operator Performance'!E32</f>
        <v>0</v>
      </c>
      <c r="F28" s="212">
        <f>'Operator Performance'!F32</f>
        <v>0</v>
      </c>
    </row>
    <row r="29" spans="1:6" x14ac:dyDescent="0.2">
      <c r="A29" s="212" t="str">
        <f t="shared" ca="1" si="0"/>
        <v>434060139</v>
      </c>
      <c r="B29" s="210">
        <f ca="1">ProfileHeader!$A$3</f>
        <v>4337011260.0079594</v>
      </c>
      <c r="C29" s="210">
        <v>86</v>
      </c>
      <c r="D29" s="210">
        <f ca="1">OFFSET(References!$O$54,'Operator Performance'!G33-1,0)</f>
        <v>87</v>
      </c>
      <c r="E29" s="210">
        <f>'Operator Performance'!E33</f>
        <v>0</v>
      </c>
      <c r="F29" s="212">
        <f>'Operator Performance'!F33</f>
        <v>0</v>
      </c>
    </row>
    <row r="30" spans="1:6" x14ac:dyDescent="0.2">
      <c r="A30" s="212" t="str">
        <f t="shared" ca="1" si="0"/>
        <v>3966928092</v>
      </c>
      <c r="B30" s="210">
        <f ca="1">ProfileHeader!$A$3</f>
        <v>4337011260.0079594</v>
      </c>
      <c r="C30" s="210">
        <v>88</v>
      </c>
      <c r="D30" s="210">
        <f ca="1">OFFSET(References!$O$54,'Operator Performance'!G38-1,0)</f>
        <v>89</v>
      </c>
      <c r="E30" s="210">
        <f>'Operator Performance'!E38</f>
        <v>1</v>
      </c>
      <c r="F30" s="212">
        <f ca="1">'Operator Performance'!F38</f>
        <v>0</v>
      </c>
    </row>
    <row r="31" spans="1:6" x14ac:dyDescent="0.2">
      <c r="A31" s="212" t="str">
        <f t="shared" ca="1" si="0"/>
        <v>1857291461</v>
      </c>
      <c r="B31" s="210">
        <f ca="1">ProfileHeader!$A$3</f>
        <v>4337011260.0079594</v>
      </c>
      <c r="C31" s="210">
        <v>89</v>
      </c>
      <c r="D31" s="210" t="e">
        <f ca="1">OFFSET(References!$O$54,'Operator Performance'!#REF!-1,0)</f>
        <v>#REF!</v>
      </c>
      <c r="E31" s="210" t="e">
        <f>'Operator Performance'!#REF!</f>
        <v>#REF!</v>
      </c>
      <c r="F31" s="212" t="e">
        <f>'Operator Performance'!#REF!</f>
        <v>#REF!</v>
      </c>
    </row>
    <row r="32" spans="1:6" x14ac:dyDescent="0.2">
      <c r="A32" s="212" t="str">
        <f t="shared" ca="1" si="0"/>
        <v>5223295787</v>
      </c>
      <c r="B32" s="210">
        <f ca="1">ProfileHeader!$A$3</f>
        <v>4337011260.0079594</v>
      </c>
      <c r="C32" s="210">
        <v>90</v>
      </c>
      <c r="D32" s="210" t="e">
        <f ca="1">OFFSET(References!$O$54,'Operator Performance'!#REF!-1,0)</f>
        <v>#REF!</v>
      </c>
      <c r="E32" s="210" t="e">
        <f>'Operator Performance'!#REF!</f>
        <v>#REF!</v>
      </c>
      <c r="F32" s="212" t="e">
        <f>'Operator Performance'!#REF!</f>
        <v>#REF!</v>
      </c>
    </row>
    <row r="33" spans="1:6" x14ac:dyDescent="0.2">
      <c r="A33" s="212" t="str">
        <f t="shared" ca="1" si="0"/>
        <v>6890432284</v>
      </c>
      <c r="B33" s="210">
        <f ca="1">ProfileHeader!$A$3</f>
        <v>4337011260.0079594</v>
      </c>
      <c r="C33" s="210">
        <v>91</v>
      </c>
      <c r="D33" s="210" t="e">
        <f ca="1">OFFSET(References!$O$54,'Operator Performance'!#REF!-1,0)</f>
        <v>#REF!</v>
      </c>
      <c r="E33" s="210" t="e">
        <f>'Operator Performance'!#REF!</f>
        <v>#REF!</v>
      </c>
      <c r="F33" s="212" t="e">
        <f>'Operator Performance'!#REF!</f>
        <v>#REF!</v>
      </c>
    </row>
    <row r="34" spans="1:6" x14ac:dyDescent="0.2">
      <c r="A34" s="212" t="str">
        <f t="shared" ca="1" si="0"/>
        <v>5403488107</v>
      </c>
      <c r="B34" s="210">
        <f ca="1">ProfileHeader!$A$3</f>
        <v>4337011260.0079594</v>
      </c>
      <c r="C34" s="210">
        <v>92</v>
      </c>
      <c r="D34" s="210">
        <f ca="1">OFFSET(References!$O$54,'Operator Performance'!G42-1,0)</f>
        <v>93</v>
      </c>
      <c r="E34" s="210" t="str">
        <f>'Operator Performance'!E42</f>
        <v>Yes</v>
      </c>
      <c r="F34" s="212">
        <f ca="1">'Operator Performance'!F42</f>
        <v>3</v>
      </c>
    </row>
    <row r="35" spans="1:6" x14ac:dyDescent="0.2">
      <c r="A35" s="212" t="str">
        <f t="shared" ca="1" si="0"/>
        <v>7640992743</v>
      </c>
      <c r="B35" s="210">
        <f ca="1">ProfileHeader!$A$3</f>
        <v>4337011260.0079594</v>
      </c>
      <c r="C35" s="210">
        <v>97</v>
      </c>
      <c r="D35" s="210">
        <f ca="1">OFFSET(References!$O$54,'Operator Performance'!G43-1,0)</f>
        <v>95</v>
      </c>
      <c r="E35" s="210" t="str">
        <f>'Operator Performance'!E43</f>
        <v>Yes</v>
      </c>
      <c r="F35" s="212">
        <f ca="1">'Operator Performance'!F43</f>
        <v>3</v>
      </c>
    </row>
    <row r="36" spans="1:6" x14ac:dyDescent="0.2">
      <c r="A36" s="212" t="str">
        <f t="shared" ca="1" si="0"/>
        <v>6311468732</v>
      </c>
      <c r="B36" s="210">
        <f ca="1">ProfileHeader!$A$3</f>
        <v>4337011260.0079594</v>
      </c>
      <c r="C36" s="210">
        <v>99</v>
      </c>
      <c r="D36" s="210">
        <f ca="1">OFFSET(References!$O$54,'Operator Performance'!G44-1,0)</f>
        <v>97</v>
      </c>
      <c r="E36" s="210" t="str">
        <f>'Operator Performance'!E44</f>
        <v>Yes</v>
      </c>
      <c r="F36" s="212">
        <f ca="1">'Operator Performance'!F44</f>
        <v>3</v>
      </c>
    </row>
    <row r="37" spans="1:6" x14ac:dyDescent="0.2">
      <c r="A37" s="212" t="str">
        <f t="shared" ca="1" si="0"/>
        <v>6380074236</v>
      </c>
      <c r="B37" s="210">
        <f ca="1">ProfileHeader!$A$3</f>
        <v>4337011260.0079594</v>
      </c>
      <c r="C37" s="210">
        <v>100</v>
      </c>
      <c r="D37" s="210">
        <f ca="1">OFFSET(References!$O$54,'Operator Performance'!G45-1,0)</f>
        <v>107</v>
      </c>
      <c r="E37" s="210" t="str">
        <f>'Operator Performance'!E45</f>
        <v>Yes</v>
      </c>
      <c r="F37" s="212">
        <f ca="1">'Operator Performance'!F45</f>
        <v>2</v>
      </c>
    </row>
    <row r="38" spans="1:6" x14ac:dyDescent="0.2">
      <c r="A38" s="212" t="str">
        <f t="shared" ca="1" si="0"/>
        <v>725053440</v>
      </c>
      <c r="B38" s="210">
        <f ca="1">ProfileHeader!$A$3</f>
        <v>4337011260.0079594</v>
      </c>
      <c r="C38" s="210">
        <v>101</v>
      </c>
      <c r="D38" s="210">
        <f ca="1">OFFSET(References!$O$54,'Operator Performance'!G46-1,0)</f>
        <v>111</v>
      </c>
      <c r="E38" s="210" t="str">
        <f>'Operator Performance'!E46</f>
        <v>Yes</v>
      </c>
      <c r="F38" s="212">
        <f ca="1">'Operator Performance'!F46</f>
        <v>1</v>
      </c>
    </row>
    <row r="39" spans="1:6" x14ac:dyDescent="0.2">
      <c r="A39" s="212" t="str">
        <f t="shared" ca="1" si="0"/>
        <v>8173992188</v>
      </c>
      <c r="B39" s="210">
        <f ca="1">ProfileHeader!$A$3</f>
        <v>4337011260.0079594</v>
      </c>
      <c r="C39" s="210">
        <v>102</v>
      </c>
      <c r="D39" s="210">
        <f ca="1">OFFSET(References!$O$54,'Operator Performance'!G47-1,0)</f>
        <v>113</v>
      </c>
      <c r="E39" s="210" t="str">
        <f>'Operator Performance'!E47</f>
        <v>Yes</v>
      </c>
      <c r="F39" s="212">
        <f ca="1">'Operator Performance'!F47</f>
        <v>1</v>
      </c>
    </row>
    <row r="40" spans="1:6" x14ac:dyDescent="0.2">
      <c r="A40" s="212" t="str">
        <f t="shared" ca="1" si="0"/>
        <v>774898696</v>
      </c>
      <c r="B40" s="210">
        <f ca="1">ProfileHeader!$A$3</f>
        <v>4337011260.0079594</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1. EPR Waste Facility</License_x002f_Activity_x0020_Type>
    <Surrendered_x002f_Expired xmlns="859f7ad6-93f6-4205-b62b-a17f28acbbac" xsi:nil="true"/>
    <Document_x0020_Date xmlns="859f7ad6-93f6-4205-b62b-a17f28acbbac">2018-10-14T23:00:00+00:00</Document_x0020_Date>
    <Facility_x0020_Address xmlns="859f7ad6-93f6-4205-b62b-a17f28acbbac">Llantrisant Recycling, Pantbrad Lane, Llantrisant, Pontyclun, CF72 8YY</Facility_x0020_Address>
    <Environment_x0020_Sub_x0020_Folder xmlns="859f7ad6-93f6-4205-b62b-a17f28acbbac">Licence variation</Environment_x0020_Sub_x0020_Folder>
    <Customer_x0020_Name xmlns="859f7ad6-93f6-4205-b62b-a17f28acbbac">Llantrisant Recycling Centre Limited</Customer_x0020_Name>
    <Post_x0020_code xmlns="859f7ad6-93f6-4205-b62b-a17f28acbbac">CF72 8YY</Post_x0020_cod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0B86A00-6E18-49D2-88D2-8FE711188FD5}">
  <ds:schemaRefs>
    <ds:schemaRef ds:uri="http://schemas.microsoft.com/sharepoint/v3/contenttype/forms"/>
  </ds:schemaRefs>
</ds:datastoreItem>
</file>

<file path=customXml/itemProps2.xml><?xml version="1.0" encoding="utf-8"?>
<ds:datastoreItem xmlns:ds="http://schemas.openxmlformats.org/officeDocument/2006/customXml" ds:itemID="{E1C62998-6FBC-47A3-954F-98D744F41C3D}">
  <ds:schemaRefs>
    <ds:schemaRef ds:uri="http://schemas.microsoft.com/office/2006/metadata/properties"/>
    <ds:schemaRef ds:uri="http://schemas.microsoft.com/office/2006/documentManagement/types"/>
    <ds:schemaRef ds:uri="http://schemas.openxmlformats.org/package/2006/metadata/core-properties"/>
    <ds:schemaRef ds:uri="9be56660-2c31-41ef-bc00-23e72f632f2a"/>
    <ds:schemaRef ds:uri="http://purl.org/dc/elements/1.1/"/>
    <ds:schemaRef ds:uri="http://purl.org/dc/dcmitype/"/>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0CDC3EFE-014B-4CD4-A556-874BF3055369}"/>
</file>

<file path=customXml/itemProps4.xml><?xml version="1.0" encoding="utf-8"?>
<ds:datastoreItem xmlns:ds="http://schemas.openxmlformats.org/officeDocument/2006/customXml" ds:itemID="{7A9DFD67-18E1-4F6C-B06E-10694E84F473}"/>
</file>

<file path=customXml/itemProps5.xml><?xml version="1.0" encoding="utf-8"?>
<ds:datastoreItem xmlns:ds="http://schemas.openxmlformats.org/officeDocument/2006/customXml" ds:itemID="{B38A1BD9-33B2-4FF9-8676-A207E2F172F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cp:lastModifiedBy>Gareth Danter-Hill</cp:lastModifiedBy>
  <cp:lastPrinted>2005-10-03T15:12:33Z</cp:lastPrinted>
  <dcterms:created xsi:type="dcterms:W3CDTF">2005-09-28T20:46:41Z</dcterms:created>
  <dcterms:modified xsi:type="dcterms:W3CDTF">2018-09-27T15:37:56Z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ItemGuid">
    <vt:lpwstr>dfd6de55-a400-454c-935e-1b682a939747</vt:lpwstr>
  </property>
  <property fmtid="{D5CDD505-2E9C-101B-9397-08002B2CF9AE}" pid="7" name="_dlc_DocId">
    <vt:lpwstr>REGU-106-65161</vt:lpwstr>
  </property>
  <property fmtid="{D5CDD505-2E9C-101B-9397-08002B2CF9AE}" pid="8" name="_dlc_DocIdUrl">
    <vt:lpwstr>https://cyfoethnaturiolcymru.sharepoint.com/teams/Regulatory/Permitting/_layouts/15/DocIdRedir.aspx?ID=REGU-106-65161, REGU-106-65161</vt:lpwstr>
  </property>
  <property fmtid="{D5CDD505-2E9C-101B-9397-08002B2CF9AE}" pid="9" name="_docset_NoMedatataSyncRequired">
    <vt:lpwstr>False</vt:lpwstr>
  </property>
</Properties>
</file>