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5.xml" ContentType="application/vnd.openxmlformats-officedocument.drawingml.chartshapes+xml"/>
  <Override PartName="/xl/drawings/drawing17.xml" ContentType="application/vnd.openxmlformats-officedocument.drawingml.chartshapes+xml"/>
  <Override PartName="/xl/drawings/drawing14.xml" ContentType="application/vnd.openxmlformats-officedocument.drawingml.chartshapes+xml"/>
  <Override PartName="/xl/drawings/drawing12.xml" ContentType="application/vnd.openxmlformats-officedocument.drawingml.chartshapes+xml"/>
  <Override PartName="/xl/drawings/drawing11.xml" ContentType="application/vnd.openxmlformats-officedocument.drawingml.chartshapes+xml"/>
  <Override PartName="/xl/drawings/drawing10.xml" ContentType="application/vnd.openxmlformats-officedocument.drawingml.chartshapes+xml"/>
  <Override PartName="/xl/drawings/drawing8.xml" ContentType="application/vnd.openxmlformats-officedocument.drawingml.chartshapes+xml"/>
  <Override PartName="/xl/drawings/drawing7.xml" ContentType="application/vnd.openxmlformats-officedocument.drawingml.chartshapes+xml"/>
  <Override PartName="/xl/drawings/drawing6.xml" ContentType="application/vnd.openxmlformats-officedocument.drawingml.chartshapes+xml"/>
  <Override PartName="/xl/drawings/drawing16.xml" ContentType="application/vnd.openxmlformats-officedocument.drawingml.chartshapes+xml"/>
  <Override PartName="/xl/drawings/drawing3.xml" ContentType="application/vnd.openxmlformats-officedocument.drawingml.chartshapes+xml"/>
  <Override PartName="/xl/drawings/drawing2.xml" ContentType="application/vnd.openxmlformats-officedocument.drawingml.chartshapes+xml"/>
  <Override PartName="/xl/drawings/drawing4.xml" ContentType="application/vnd.openxmlformats-officedocument.drawingml.chartshapes+xml"/>
  <Override PartName="/xl/charts/chart4.xml" ContentType="application/vnd.openxmlformats-officedocument.drawingml.char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worksheets/sheet4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worksheets/sheet5.xml" ContentType="application/vnd.openxmlformats-officedocument.spreadsheetml.worksheet+xml"/>
  <Override PartName="/xl/worksheets/sheet8.xml" ContentType="application/vnd.openxmlformats-officedocument.spreadsheetml.worksheet+xml"/>
  <Override PartName="/xl/worksheets/sheet7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drawings/drawing5.xml" ContentType="application/vnd.openxmlformats-officedocument.drawing+xml"/>
  <Override PartName="/xl/theme/themeOverride2.xml" ContentType="application/vnd.openxmlformats-officedocument.themeOverride+xml"/>
  <Override PartName="/xl/charts/chart10.xml" ContentType="application/vnd.openxmlformats-officedocument.drawingml.chart+xml"/>
  <Override PartName="/xl/theme/themeOverride1.xml" ContentType="application/vnd.openxmlformats-officedocument.themeOverride+xml"/>
  <Override PartName="/xl/charts/chart11.xml" ContentType="application/vnd.openxmlformats-officedocument.drawingml.chart+xml"/>
  <Override PartName="/xl/theme/themeOverride7.xml" ContentType="application/vnd.openxmlformats-officedocument.themeOverride+xml"/>
  <Override PartName="/xl/drawings/drawing13.xml" ContentType="application/vnd.openxmlformats-officedocument.drawing+xml"/>
  <Override PartName="/xl/drawings/drawing9.xml" ContentType="application/vnd.openxmlformats-officedocument.drawing+xml"/>
  <Override PartName="/xl/theme/themeOverride6.xml" ContentType="application/vnd.openxmlformats-officedocument.themeOverride+xml"/>
  <Override PartName="/xl/charts/chart8.xml" ContentType="application/vnd.openxmlformats-officedocument.drawingml.chart+xml"/>
  <Override PartName="/xl/theme/themeOverride5.xml" ContentType="application/vnd.openxmlformats-officedocument.themeOverride+xml"/>
  <Override PartName="/xl/charts/chart3.xml" ContentType="application/vnd.openxmlformats-officedocument.drawingml.chart+xml"/>
  <Override PartName="/xl/charts/chart9.xml" ContentType="application/vnd.openxmlformats-officedocument.drawingml.chart+xml"/>
  <Override PartName="/xl/charts/chart7.xml" ContentType="application/vnd.openxmlformats-officedocument.drawingml.chart+xml"/>
  <Override PartName="/xl/charts/chart2.xml" ContentType="application/vnd.openxmlformats-officedocument.drawingml.chart+xml"/>
  <Override PartName="/xl/theme/themeOverride8.xml" ContentType="application/vnd.openxmlformats-officedocument.themeOverride+xml"/>
  <Override PartName="/xl/charts/chart5.xml" ContentType="application/vnd.openxmlformats-officedocument.drawingml.chart+xml"/>
  <Override PartName="/xl/theme/themeOverride3.xml" ContentType="application/vnd.openxmlformats-officedocument.themeOverride+xml"/>
  <Override PartName="/xl/charts/chart6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theme/themeOverride4.xml" ContentType="application/vnd.openxmlformats-officedocument.themeOverride+xml"/>
  <Override PartName="/customXml/itemProps3.xml" ContentType="application/vnd.openxmlformats-officedocument.customXmlPropertie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4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xl/calcChain.xml" ContentType="application/vnd.openxmlformats-officedocument.spreadsheetml.calcChain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Cemex MP3036SS/"/>
    </mc:Choice>
  </mc:AlternateContent>
  <bookViews>
    <workbookView xWindow="0" yWindow="0" windowWidth="20160" windowHeight="8460" tabRatio="274"/>
  </bookViews>
  <sheets>
    <sheet name="Gas Chart" sheetId="5" r:id="rId1"/>
    <sheet name="Gas Data" sheetId="6" r:id="rId2"/>
    <sheet name="Electricity Charts" sheetId="8" r:id="rId3"/>
    <sheet name="Electricity Data" sheetId="9" r:id="rId4"/>
    <sheet name="D Water Chart" sheetId="10" r:id="rId5"/>
    <sheet name="D Water Data" sheetId="11" r:id="rId6"/>
    <sheet name="Waste Charts" sheetId="12" r:id="rId7"/>
    <sheet name="Waste Data" sheetId="13" r:id="rId8"/>
  </sheets>
  <calcPr calcId="152511"/>
</workbook>
</file>

<file path=xl/calcChain.xml><?xml version="1.0" encoding="utf-8"?>
<calcChain xmlns="http://schemas.openxmlformats.org/spreadsheetml/2006/main">
  <c r="H5" i="13" l="1"/>
  <c r="I5" i="13"/>
  <c r="Q5" i="13" s="1"/>
  <c r="R5" i="13" s="1"/>
  <c r="J5" i="13"/>
  <c r="J17" i="13" s="1"/>
  <c r="P5" i="13"/>
  <c r="S5" i="13"/>
  <c r="U5" i="13" s="1"/>
  <c r="H6" i="13"/>
  <c r="I6" i="13"/>
  <c r="Q6" i="13" s="1"/>
  <c r="J6" i="13"/>
  <c r="P6" i="13"/>
  <c r="S6" i="13"/>
  <c r="U7" i="13" s="1"/>
  <c r="H7" i="13"/>
  <c r="I7" i="13"/>
  <c r="J7" i="13"/>
  <c r="P7" i="13"/>
  <c r="Q7" i="13"/>
  <c r="T7" i="13" s="1"/>
  <c r="S7" i="13"/>
  <c r="H8" i="13"/>
  <c r="I8" i="13"/>
  <c r="Q8" i="13" s="1"/>
  <c r="T8" i="13" s="1"/>
  <c r="J8" i="13"/>
  <c r="P8" i="13"/>
  <c r="S8" i="13"/>
  <c r="V8" i="13"/>
  <c r="H9" i="13"/>
  <c r="I9" i="13"/>
  <c r="Q9" i="13" s="1"/>
  <c r="T9" i="13" s="1"/>
  <c r="J9" i="13"/>
  <c r="P9" i="13"/>
  <c r="S9" i="13"/>
  <c r="H10" i="13"/>
  <c r="I10" i="13"/>
  <c r="Q10" i="13" s="1"/>
  <c r="T10" i="13" s="1"/>
  <c r="J10" i="13"/>
  <c r="P10" i="13"/>
  <c r="S10" i="13"/>
  <c r="H11" i="13"/>
  <c r="I11" i="13"/>
  <c r="J11" i="13"/>
  <c r="P11" i="13"/>
  <c r="Q11" i="13"/>
  <c r="T11" i="13" s="1"/>
  <c r="S11" i="13"/>
  <c r="H12" i="13"/>
  <c r="I12" i="13"/>
  <c r="Q12" i="13" s="1"/>
  <c r="T12" i="13" s="1"/>
  <c r="J12" i="13"/>
  <c r="P12" i="13"/>
  <c r="S12" i="13"/>
  <c r="V12" i="13"/>
  <c r="H13" i="13"/>
  <c r="I13" i="13"/>
  <c r="Q13" i="13" s="1"/>
  <c r="T13" i="13" s="1"/>
  <c r="J13" i="13"/>
  <c r="P13" i="13"/>
  <c r="S13" i="13"/>
  <c r="H14" i="13"/>
  <c r="I14" i="13"/>
  <c r="Q14" i="13" s="1"/>
  <c r="T14" i="13" s="1"/>
  <c r="J14" i="13"/>
  <c r="P14" i="13"/>
  <c r="S14" i="13"/>
  <c r="H15" i="13"/>
  <c r="I15" i="13"/>
  <c r="J15" i="13"/>
  <c r="P15" i="13"/>
  <c r="Q15" i="13"/>
  <c r="T15" i="13" s="1"/>
  <c r="S15" i="13"/>
  <c r="H16" i="13"/>
  <c r="I16" i="13"/>
  <c r="Q16" i="13" s="1"/>
  <c r="T16" i="13" s="1"/>
  <c r="J16" i="13"/>
  <c r="P16" i="13"/>
  <c r="S16" i="13"/>
  <c r="V16" i="13"/>
  <c r="C17" i="13"/>
  <c r="D17" i="13"/>
  <c r="E17" i="13"/>
  <c r="G17" i="13"/>
  <c r="K17" i="13"/>
  <c r="S17" i="13"/>
  <c r="K24" i="13"/>
  <c r="K25" i="13"/>
  <c r="D32" i="12"/>
  <c r="H17" i="13" l="1"/>
  <c r="U15" i="13"/>
  <c r="U11" i="13"/>
  <c r="P17" i="13"/>
  <c r="K26" i="13"/>
  <c r="K27" i="13" s="1"/>
  <c r="G32" i="12" s="1"/>
  <c r="R6" i="13"/>
  <c r="R10" i="13"/>
  <c r="R14" i="13"/>
  <c r="R13" i="13"/>
  <c r="Q17" i="13"/>
  <c r="T6" i="13"/>
  <c r="R8" i="13"/>
  <c r="R15" i="13"/>
  <c r="R12" i="13"/>
  <c r="R16" i="13"/>
  <c r="V15" i="13"/>
  <c r="U14" i="13"/>
  <c r="V11" i="13"/>
  <c r="R11" i="13"/>
  <c r="U10" i="13"/>
  <c r="V7" i="13"/>
  <c r="R7" i="13"/>
  <c r="U6" i="13"/>
  <c r="T5" i="13"/>
  <c r="T17" i="13" s="1"/>
  <c r="I17" i="13"/>
  <c r="T21" i="13" s="1"/>
  <c r="W10" i="13" s="1"/>
  <c r="U16" i="13"/>
  <c r="W14" i="13"/>
  <c r="V13" i="13"/>
  <c r="U12" i="13"/>
  <c r="V9" i="13"/>
  <c r="R9" i="13"/>
  <c r="U8" i="13"/>
  <c r="V5" i="13"/>
  <c r="W15" i="13"/>
  <c r="V14" i="13"/>
  <c r="U13" i="13"/>
  <c r="W11" i="13"/>
  <c r="V10" i="13"/>
  <c r="U9" i="13"/>
  <c r="V6" i="13"/>
  <c r="H5" i="11"/>
  <c r="I5" i="11"/>
  <c r="P5" i="11" s="1"/>
  <c r="J5" i="11"/>
  <c r="O5" i="11"/>
  <c r="R5" i="11"/>
  <c r="T5" i="11" s="1"/>
  <c r="H6" i="11"/>
  <c r="I6" i="11"/>
  <c r="J6" i="11"/>
  <c r="O6" i="11"/>
  <c r="P6" i="11"/>
  <c r="S6" i="11" s="1"/>
  <c r="R6" i="11"/>
  <c r="H7" i="11"/>
  <c r="I7" i="11"/>
  <c r="P7" i="11" s="1"/>
  <c r="J7" i="11"/>
  <c r="O7" i="11"/>
  <c r="R7" i="11"/>
  <c r="H8" i="11"/>
  <c r="I8" i="11"/>
  <c r="P8" i="11" s="1"/>
  <c r="S8" i="11" s="1"/>
  <c r="J8" i="11"/>
  <c r="O8" i="11"/>
  <c r="R8" i="11"/>
  <c r="H9" i="11"/>
  <c r="I9" i="11"/>
  <c r="P9" i="11" s="1"/>
  <c r="J9" i="11"/>
  <c r="O9" i="11"/>
  <c r="R9" i="11"/>
  <c r="H10" i="11"/>
  <c r="I10" i="11"/>
  <c r="J10" i="11"/>
  <c r="O10" i="11"/>
  <c r="P10" i="11"/>
  <c r="S10" i="11" s="1"/>
  <c r="R10" i="11"/>
  <c r="H11" i="11"/>
  <c r="I11" i="11"/>
  <c r="P11" i="11" s="1"/>
  <c r="J11" i="11"/>
  <c r="O11" i="11"/>
  <c r="R11" i="11"/>
  <c r="H12" i="11"/>
  <c r="I12" i="11"/>
  <c r="P12" i="11" s="1"/>
  <c r="S12" i="11" s="1"/>
  <c r="J12" i="11"/>
  <c r="O12" i="11"/>
  <c r="R12" i="11"/>
  <c r="H13" i="11"/>
  <c r="I13" i="11"/>
  <c r="P13" i="11" s="1"/>
  <c r="S13" i="11" s="1"/>
  <c r="J13" i="11"/>
  <c r="O13" i="11"/>
  <c r="R13" i="11"/>
  <c r="H14" i="11"/>
  <c r="I14" i="11"/>
  <c r="J14" i="11"/>
  <c r="O14" i="11"/>
  <c r="P14" i="11"/>
  <c r="S14" i="11" s="1"/>
  <c r="R14" i="11"/>
  <c r="H15" i="11"/>
  <c r="I15" i="11"/>
  <c r="P15" i="11" s="1"/>
  <c r="S15" i="11" s="1"/>
  <c r="J15" i="11"/>
  <c r="O15" i="11"/>
  <c r="R15" i="11"/>
  <c r="U15" i="11"/>
  <c r="H16" i="11"/>
  <c r="I16" i="11"/>
  <c r="P16" i="11" s="1"/>
  <c r="J16" i="11"/>
  <c r="O16" i="11"/>
  <c r="R16" i="11"/>
  <c r="C17" i="11"/>
  <c r="D17" i="11"/>
  <c r="E17" i="11"/>
  <c r="F17" i="11"/>
  <c r="G17" i="11"/>
  <c r="K17" i="11"/>
  <c r="R17" i="11"/>
  <c r="K24" i="11"/>
  <c r="K25" i="11"/>
  <c r="K26" i="11"/>
  <c r="K27" i="11"/>
  <c r="G32" i="10" s="1"/>
  <c r="D32" i="10"/>
  <c r="J17" i="11" l="1"/>
  <c r="T10" i="11"/>
  <c r="U8" i="11"/>
  <c r="T6" i="11"/>
  <c r="S16" i="11"/>
  <c r="T14" i="11"/>
  <c r="U7" i="11"/>
  <c r="W7" i="13"/>
  <c r="W6" i="13"/>
  <c r="U11" i="11"/>
  <c r="S11" i="11"/>
  <c r="S9" i="11"/>
  <c r="T7" i="11"/>
  <c r="S7" i="11"/>
  <c r="H17" i="11"/>
  <c r="O17" i="11"/>
  <c r="V17" i="13"/>
  <c r="W5" i="13"/>
  <c r="W13" i="13"/>
  <c r="Q19" i="13" s="1"/>
  <c r="W9" i="13"/>
  <c r="W16" i="13"/>
  <c r="W8" i="13"/>
  <c r="W12" i="13"/>
  <c r="Q6" i="11"/>
  <c r="Q10" i="11"/>
  <c r="Q14" i="11"/>
  <c r="P17" i="11"/>
  <c r="S5" i="11"/>
  <c r="S17" i="11" s="1"/>
  <c r="Q7" i="11"/>
  <c r="Q11" i="11"/>
  <c r="Q5" i="11"/>
  <c r="Q9" i="11"/>
  <c r="Q13" i="11"/>
  <c r="Q8" i="11"/>
  <c r="Q12" i="11"/>
  <c r="Q16" i="11"/>
  <c r="Q15" i="11"/>
  <c r="I17" i="11"/>
  <c r="S21" i="11" s="1"/>
  <c r="U16" i="11"/>
  <c r="T15" i="11"/>
  <c r="T11" i="11"/>
  <c r="T16" i="11"/>
  <c r="U13" i="11"/>
  <c r="T12" i="11"/>
  <c r="V10" i="11"/>
  <c r="U9" i="11"/>
  <c r="T8" i="11"/>
  <c r="V6" i="11"/>
  <c r="U5" i="11"/>
  <c r="U12" i="11"/>
  <c r="V15" i="11"/>
  <c r="U14" i="11"/>
  <c r="T13" i="11"/>
  <c r="U10" i="11"/>
  <c r="T9" i="11"/>
  <c r="U6" i="11"/>
  <c r="H5" i="9"/>
  <c r="I5" i="9"/>
  <c r="J5" i="9"/>
  <c r="J17" i="9" s="1"/>
  <c r="P5" i="9"/>
  <c r="Q5" i="9"/>
  <c r="R5" i="9" s="1"/>
  <c r="S5" i="9"/>
  <c r="U5" i="9" s="1"/>
  <c r="T5" i="9"/>
  <c r="H6" i="9"/>
  <c r="I6" i="9"/>
  <c r="J6" i="9"/>
  <c r="P6" i="9"/>
  <c r="Q6" i="9"/>
  <c r="R6" i="9" s="1"/>
  <c r="S6" i="9"/>
  <c r="U6" i="9" s="1"/>
  <c r="H7" i="9"/>
  <c r="I7" i="9"/>
  <c r="Q7" i="9" s="1"/>
  <c r="J7" i="9"/>
  <c r="P7" i="9"/>
  <c r="S7" i="9"/>
  <c r="V7" i="9" s="1"/>
  <c r="U7" i="9"/>
  <c r="H8" i="9"/>
  <c r="I8" i="9"/>
  <c r="Q8" i="9" s="1"/>
  <c r="T8" i="9" s="1"/>
  <c r="J8" i="9"/>
  <c r="P8" i="9"/>
  <c r="S8" i="9"/>
  <c r="H9" i="9"/>
  <c r="I9" i="9"/>
  <c r="Q9" i="9" s="1"/>
  <c r="T9" i="9" s="1"/>
  <c r="J9" i="9"/>
  <c r="P9" i="9"/>
  <c r="S9" i="9"/>
  <c r="V15" i="9" s="1"/>
  <c r="H10" i="9"/>
  <c r="I10" i="9"/>
  <c r="Q10" i="9" s="1"/>
  <c r="T10" i="9" s="1"/>
  <c r="J10" i="9"/>
  <c r="P10" i="9"/>
  <c r="S10" i="9"/>
  <c r="U10" i="9"/>
  <c r="H11" i="9"/>
  <c r="I11" i="9"/>
  <c r="Q11" i="9" s="1"/>
  <c r="T11" i="9" s="1"/>
  <c r="J11" i="9"/>
  <c r="P11" i="9"/>
  <c r="S11" i="9"/>
  <c r="H12" i="9"/>
  <c r="I12" i="9"/>
  <c r="Q12" i="9" s="1"/>
  <c r="T12" i="9" s="1"/>
  <c r="J12" i="9"/>
  <c r="P12" i="9"/>
  <c r="S12" i="9"/>
  <c r="H13" i="9"/>
  <c r="I13" i="9"/>
  <c r="J13" i="9"/>
  <c r="P13" i="9"/>
  <c r="Q13" i="9"/>
  <c r="T13" i="9" s="1"/>
  <c r="S13" i="9"/>
  <c r="H14" i="9"/>
  <c r="I14" i="9"/>
  <c r="Q14" i="9" s="1"/>
  <c r="T14" i="9" s="1"/>
  <c r="J14" i="9"/>
  <c r="P14" i="9"/>
  <c r="S14" i="9"/>
  <c r="H15" i="9"/>
  <c r="I15" i="9"/>
  <c r="Q15" i="9" s="1"/>
  <c r="T15" i="9" s="1"/>
  <c r="J15" i="9"/>
  <c r="P15" i="9"/>
  <c r="S15" i="9"/>
  <c r="H16" i="9"/>
  <c r="I16" i="9"/>
  <c r="Q16" i="9" s="1"/>
  <c r="J16" i="9"/>
  <c r="P16" i="9"/>
  <c r="S16" i="9"/>
  <c r="C17" i="9"/>
  <c r="D17" i="9"/>
  <c r="E17" i="9"/>
  <c r="F17" i="9"/>
  <c r="G17" i="9"/>
  <c r="L17" i="9"/>
  <c r="S17" i="9"/>
  <c r="L24" i="9"/>
  <c r="L25" i="9"/>
  <c r="L26" i="9"/>
  <c r="L27" i="9"/>
  <c r="G32" i="8" s="1"/>
  <c r="D32" i="8"/>
  <c r="H17" i="9" l="1"/>
  <c r="V11" i="9"/>
  <c r="V8" i="9"/>
  <c r="P17" i="9"/>
  <c r="T16" i="9"/>
  <c r="U14" i="9"/>
  <c r="V8" i="11"/>
  <c r="V12" i="11"/>
  <c r="V5" i="11"/>
  <c r="V16" i="11"/>
  <c r="V11" i="11"/>
  <c r="V9" i="11"/>
  <c r="V13" i="11"/>
  <c r="P19" i="11" s="1"/>
  <c r="U17" i="11"/>
  <c r="V7" i="11"/>
  <c r="V14" i="11"/>
  <c r="R11" i="9"/>
  <c r="R15" i="9"/>
  <c r="T7" i="9"/>
  <c r="T17" i="9" s="1"/>
  <c r="R7" i="9"/>
  <c r="I17" i="9"/>
  <c r="T21" i="9" s="1"/>
  <c r="V16" i="9"/>
  <c r="W13" i="9"/>
  <c r="Q19" i="9" s="1"/>
  <c r="V12" i="9"/>
  <c r="R12" i="9"/>
  <c r="U11" i="9"/>
  <c r="W9" i="9"/>
  <c r="R8" i="9"/>
  <c r="T6" i="9"/>
  <c r="U16" i="9"/>
  <c r="W14" i="9"/>
  <c r="V13" i="9"/>
  <c r="R13" i="9"/>
  <c r="U12" i="9"/>
  <c r="W10" i="9"/>
  <c r="V9" i="9"/>
  <c r="R9" i="9"/>
  <c r="U8" i="9"/>
  <c r="W6" i="9"/>
  <c r="V5" i="9"/>
  <c r="Q17" i="9"/>
  <c r="R16" i="9"/>
  <c r="U15" i="9"/>
  <c r="W15" i="9"/>
  <c r="V14" i="9"/>
  <c r="R14" i="9"/>
  <c r="U13" i="9"/>
  <c r="W11" i="9"/>
  <c r="V10" i="9"/>
  <c r="R10" i="9"/>
  <c r="U9" i="9"/>
  <c r="W7" i="9"/>
  <c r="V6" i="9"/>
  <c r="W5" i="9" l="1"/>
  <c r="W8" i="9"/>
  <c r="W12" i="9"/>
  <c r="W16" i="9"/>
  <c r="V17" i="9"/>
  <c r="K25" i="6" l="1"/>
  <c r="K24" i="6"/>
  <c r="E17" i="6" l="1"/>
  <c r="J6" i="6" l="1"/>
  <c r="J7" i="6"/>
  <c r="J8" i="6"/>
  <c r="J9" i="6"/>
  <c r="J10" i="6"/>
  <c r="J11" i="6"/>
  <c r="J12" i="6"/>
  <c r="J13" i="6"/>
  <c r="J14" i="6"/>
  <c r="J15" i="6"/>
  <c r="J16" i="6"/>
  <c r="J5" i="6"/>
  <c r="J17" i="6" l="1"/>
  <c r="I16" i="6"/>
  <c r="I15" i="6"/>
  <c r="I14" i="6"/>
  <c r="I13" i="6"/>
  <c r="I12" i="6"/>
  <c r="I11" i="6"/>
  <c r="I10" i="6"/>
  <c r="I9" i="6"/>
  <c r="I8" i="6"/>
  <c r="I7" i="6"/>
  <c r="I6" i="6"/>
  <c r="I5" i="6"/>
  <c r="O6" i="6" l="1"/>
  <c r="O7" i="6"/>
  <c r="O8" i="6"/>
  <c r="O9" i="6"/>
  <c r="O10" i="6"/>
  <c r="O11" i="6"/>
  <c r="O12" i="6"/>
  <c r="O13" i="6"/>
  <c r="O14" i="6"/>
  <c r="O15" i="6"/>
  <c r="O16" i="6"/>
  <c r="O5" i="6"/>
  <c r="H6" i="6"/>
  <c r="H7" i="6"/>
  <c r="H8" i="6"/>
  <c r="H9" i="6"/>
  <c r="H10" i="6"/>
  <c r="H11" i="6"/>
  <c r="H12" i="6"/>
  <c r="H13" i="6"/>
  <c r="H14" i="6"/>
  <c r="H15" i="6"/>
  <c r="H16" i="6"/>
  <c r="H5" i="6"/>
  <c r="H17" i="6" l="1"/>
  <c r="O17" i="6"/>
  <c r="G17" i="6"/>
  <c r="F17" i="6" l="1"/>
  <c r="C17" i="6"/>
  <c r="K26" i="6" l="1"/>
  <c r="K27" i="6" l="1"/>
  <c r="G32" i="5" s="1"/>
  <c r="P6" i="6"/>
  <c r="P7" i="6"/>
  <c r="P8" i="6"/>
  <c r="P9" i="6"/>
  <c r="P10" i="6"/>
  <c r="P11" i="6"/>
  <c r="P12" i="6"/>
  <c r="P13" i="6"/>
  <c r="P14" i="6"/>
  <c r="P15" i="6"/>
  <c r="P16" i="6"/>
  <c r="R16" i="6"/>
  <c r="K17" i="6"/>
  <c r="R14" i="6"/>
  <c r="R12" i="6"/>
  <c r="R10" i="6"/>
  <c r="R8" i="6"/>
  <c r="D17" i="6"/>
  <c r="R6" i="6"/>
  <c r="R7" i="6"/>
  <c r="R9" i="6"/>
  <c r="R11" i="6"/>
  <c r="R13" i="6"/>
  <c r="R15" i="6"/>
  <c r="R5" i="6"/>
  <c r="T5" i="6" s="1"/>
  <c r="P5" i="6"/>
  <c r="Q16" i="6" l="1"/>
  <c r="Q12" i="6"/>
  <c r="Q8" i="6"/>
  <c r="Q15" i="6"/>
  <c r="Q11" i="6"/>
  <c r="Q7" i="6"/>
  <c r="Q14" i="6"/>
  <c r="Q10" i="6"/>
  <c r="Q6" i="6"/>
  <c r="Q13" i="6"/>
  <c r="Q9" i="6"/>
  <c r="Q5" i="6"/>
  <c r="T6" i="6"/>
  <c r="T8" i="6"/>
  <c r="T7" i="6"/>
  <c r="T14" i="6"/>
  <c r="T10" i="6"/>
  <c r="T13" i="6"/>
  <c r="T9" i="6"/>
  <c r="T16" i="6"/>
  <c r="T12" i="6"/>
  <c r="T15" i="6"/>
  <c r="T11" i="6"/>
  <c r="S5" i="6"/>
  <c r="S6" i="6"/>
  <c r="S7" i="6"/>
  <c r="U12" i="6"/>
  <c r="S13" i="6"/>
  <c r="S10" i="6"/>
  <c r="S16" i="6"/>
  <c r="U6" i="6"/>
  <c r="U8" i="6"/>
  <c r="U10" i="6"/>
  <c r="U14" i="6"/>
  <c r="U16" i="6"/>
  <c r="S15" i="6"/>
  <c r="S11" i="6"/>
  <c r="S8" i="6"/>
  <c r="S12" i="6"/>
  <c r="U5" i="6"/>
  <c r="U7" i="6"/>
  <c r="U9" i="6"/>
  <c r="U11" i="6"/>
  <c r="U13" i="6"/>
  <c r="U15" i="6"/>
  <c r="S9" i="6"/>
  <c r="S14" i="6"/>
  <c r="D32" i="5"/>
  <c r="I17" i="6"/>
  <c r="S21" i="6" l="1"/>
  <c r="V7" i="6" s="1"/>
  <c r="P17" i="6"/>
  <c r="R17" i="6"/>
  <c r="V13" i="6" l="1"/>
  <c r="P19" i="6" s="1"/>
  <c r="V15" i="6"/>
  <c r="V6" i="6"/>
  <c r="V10" i="6"/>
  <c r="V11" i="6"/>
  <c r="V9" i="6"/>
  <c r="V12" i="6"/>
  <c r="V8" i="6"/>
  <c r="V5" i="6"/>
  <c r="V16" i="6"/>
  <c r="V14" i="6"/>
  <c r="S17" i="6"/>
  <c r="U17" i="6" l="1"/>
</calcChain>
</file>

<file path=xl/sharedStrings.xml><?xml version="1.0" encoding="utf-8"?>
<sst xmlns="http://schemas.openxmlformats.org/spreadsheetml/2006/main" count="211" uniqueCount="83">
  <si>
    <t>Jan</t>
  </si>
  <si>
    <t>Feb</t>
  </si>
  <si>
    <t>Mar</t>
  </si>
  <si>
    <t>April</t>
  </si>
  <si>
    <t>May</t>
  </si>
  <si>
    <t>June</t>
  </si>
  <si>
    <t>July</t>
  </si>
  <si>
    <t>Aug</t>
  </si>
  <si>
    <t>Sept</t>
  </si>
  <si>
    <t>Oct</t>
  </si>
  <si>
    <t>Nov</t>
  </si>
  <si>
    <t>Dec</t>
  </si>
  <si>
    <t>Cumulative Difference YTD Kwh</t>
  </si>
  <si>
    <t>Actual 2011</t>
  </si>
  <si>
    <t>Month</t>
  </si>
  <si>
    <t>Actual 2012</t>
  </si>
  <si>
    <t>Totals</t>
  </si>
  <si>
    <t>YTD % Achievement to Target</t>
  </si>
  <si>
    <t>Actual 2013</t>
  </si>
  <si>
    <t>Month Deviation from Target (kwh)</t>
  </si>
  <si>
    <t>Target YTD Achievement (%)</t>
  </si>
  <si>
    <t>Target %</t>
  </si>
  <si>
    <t>&lt;&lt;&lt;&lt;&lt;</t>
  </si>
  <si>
    <t>Difference YTD</t>
  </si>
  <si>
    <t>Percentage</t>
  </si>
  <si>
    <t>Actual 2014</t>
  </si>
  <si>
    <t>&lt;&lt;&lt;&lt;&lt;&lt; Change to current row</t>
  </si>
  <si>
    <t>Alter these for current row / month data….</t>
  </si>
  <si>
    <t>"In-Month" Target Savings (kwh)</t>
  </si>
  <si>
    <t>Cumulative Target Saving (KwH)</t>
  </si>
  <si>
    <t>Reason for Variance</t>
  </si>
  <si>
    <t>Comments</t>
  </si>
  <si>
    <t>Gas 2015</t>
  </si>
  <si>
    <t>Target Saving for 2015  (kwh)</t>
  </si>
  <si>
    <t>Actual 2015</t>
  </si>
  <si>
    <t>Actual Productive Hours 2015</t>
  </si>
  <si>
    <t>Actual "In-Month" Difference vs 2014 (kwh)</t>
  </si>
  <si>
    <t>Stretch kWhTarget (9%)</t>
  </si>
  <si>
    <t>Target kWh 2015 (4%)</t>
  </si>
  <si>
    <t>KwH per Productive Hour Booked 2015</t>
  </si>
  <si>
    <t>Actual Productive Hours for 2014</t>
  </si>
  <si>
    <t>kWh per Productive Hour Booked 2014</t>
  </si>
  <si>
    <t>In Month Cumulative (Kwh)</t>
  </si>
  <si>
    <t>Other (Please Comment)</t>
  </si>
  <si>
    <t>System improvements and campaigning switch off when possible.</t>
  </si>
  <si>
    <t>V7 failed open for half of the month. Undetectable under old system. New control system will alleviate this problem.</t>
  </si>
  <si>
    <t>Production Variance</t>
  </si>
  <si>
    <t>Climatic Variance</t>
  </si>
  <si>
    <t>Organisational Variance</t>
  </si>
  <si>
    <t>*****           Reason for Variance     *******</t>
  </si>
  <si>
    <t>FSS Energy Monitor: Meter Reading for 10C14</t>
  </si>
  <si>
    <t>Stretch Target (5%)</t>
  </si>
  <si>
    <t>Target 2015 (4%)</t>
  </si>
  <si>
    <t>KwH per Productive Hour Booked 2014</t>
  </si>
  <si>
    <t>Electricity Data 2015</t>
  </si>
  <si>
    <t>Target Saving for 2015  (m3)</t>
  </si>
  <si>
    <t>Extra flushing of water main due to possible contamination seen at Groups 8/9 &amp; Labs</t>
  </si>
  <si>
    <t>Cumulative Difference YTD m3</t>
  </si>
  <si>
    <t>In Month Gap Cumulative (m3)</t>
  </si>
  <si>
    <t>Month Deviation from Target (m3)</t>
  </si>
  <si>
    <t>Actual Difference vs 2014 (m3)</t>
  </si>
  <si>
    <t>Cumulative Target Saving (m3)</t>
  </si>
  <si>
    <t>Target Savings (m3)</t>
  </si>
  <si>
    <t>m3 per Standard Hour Booked 2015</t>
  </si>
  <si>
    <t>*****               Reason for Variance        ****</t>
  </si>
  <si>
    <t>Actual 2015 (m3)</t>
  </si>
  <si>
    <t>m3 per Standard Hour Booked 2014</t>
  </si>
  <si>
    <t>Actual Standard Hours for 2014</t>
  </si>
  <si>
    <t>Domestic Water 2015</t>
  </si>
  <si>
    <t>Target Saving for 2015  (T)</t>
  </si>
  <si>
    <t>Mainly from 01G150 removal &amp; civils.  Also some bulk ash and chemicals.</t>
  </si>
  <si>
    <t>Cumulative Difference YTD (T)</t>
  </si>
  <si>
    <t>In Month Gap Cumulative (T)</t>
  </si>
  <si>
    <t>Month Deviation from Target (T)</t>
  </si>
  <si>
    <t>Actual Difference vs 2014 (T)</t>
  </si>
  <si>
    <t>Cumulative Target Saving (T)</t>
  </si>
  <si>
    <t>Target Savings (T)</t>
  </si>
  <si>
    <t>Kg per Standard Hour Booked 2015</t>
  </si>
  <si>
    <t>Actual Productive Hours 2014</t>
  </si>
  <si>
    <t>2015 Recycling Rate %</t>
  </si>
  <si>
    <t>Stretch Target (4%)</t>
  </si>
  <si>
    <t>Kg per Standard Hour Booked 2014</t>
  </si>
  <si>
    <t>Waste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</si>
</sst>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%"/>
    <numFmt numFmtId="165" formatCode="mmm\ yyyy"/>
    <numFmt numFmtId="166" formatCode="#,##0.000"/>
    <numFmt numFmtId="167" formatCode="#,##0.0000"/>
  </numFmts>
  <fonts count="26" x14ac:knownFonts="1">
    <font>
      <sz val="10"/>
      <name val="Arial"/>
    </font>
    <font>
      <sz val="10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16"/>
      <name val="Arial"/>
      <family val="2"/>
    </font>
    <font>
      <sz val="11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11"/>
      <color rgb="FFFF0000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11"/>
      <color theme="0"/>
      <name val="Arial"/>
      <family val="2"/>
    </font>
    <font>
      <sz val="10"/>
      <color theme="0"/>
      <name val="Arial"/>
      <family val="2"/>
    </font>
    <font>
      <sz val="10"/>
      <name val="Segoe UI"/>
      <family val="2"/>
    </font>
    <font>
      <sz val="10"/>
      <color rgb="FF000000"/>
      <name val="Segoe UI"/>
      <family val="2"/>
    </font>
    <font>
      <sz val="9.5"/>
      <name val="Segoe UI"/>
      <family val="2"/>
    </font>
    <font>
      <b/>
      <sz val="26"/>
      <color rgb="FF00B050"/>
      <name val="Arial"/>
      <family val="2"/>
    </font>
    <font>
      <b/>
      <sz val="26"/>
      <name val="Arial"/>
      <family val="2"/>
    </font>
    <font>
      <b/>
      <sz val="9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F7FCB6"/>
        <bgColor indexed="64"/>
      </patternFill>
    </fill>
    <fill>
      <patternFill patternType="solid">
        <fgColor theme="8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3">
    <xf numFmtId="0" fontId="0" fillId="0" borderId="0" xfId="0"/>
    <xf numFmtId="0" fontId="0" fillId="0" borderId="0" xfId="0" applyBorder="1"/>
    <xf numFmtId="0" fontId="0" fillId="0" borderId="0" xfId="0" applyAlignment="1">
      <alignment horizontal="center" vertical="center"/>
    </xf>
    <xf numFmtId="3" fontId="10" fillId="0" borderId="1" xfId="0" applyNumberFormat="1" applyFont="1" applyBorder="1" applyAlignment="1">
      <alignment horizontal="center"/>
    </xf>
    <xf numFmtId="4" fontId="10" fillId="0" borderId="0" xfId="0" applyNumberFormat="1" applyFont="1" applyFill="1" applyBorder="1" applyAlignment="1">
      <alignment horizontal="center" vertical="center" wrapText="1"/>
    </xf>
    <xf numFmtId="3" fontId="0" fillId="0" borderId="0" xfId="0" applyNumberFormat="1"/>
    <xf numFmtId="0" fontId="0" fillId="0" borderId="0" xfId="0" applyFill="1" applyBorder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164" fontId="2" fillId="0" borderId="0" xfId="0" applyNumberFormat="1" applyFont="1" applyFill="1" applyBorder="1" applyAlignment="1">
      <alignment vertical="center"/>
    </xf>
    <xf numFmtId="0" fontId="0" fillId="0" borderId="0" xfId="0" applyFill="1" applyBorder="1"/>
    <xf numFmtId="0" fontId="6" fillId="0" borderId="0" xfId="0" applyFont="1"/>
    <xf numFmtId="3" fontId="1" fillId="6" borderId="1" xfId="0" applyNumberFormat="1" applyFont="1" applyFill="1" applyBorder="1" applyAlignment="1">
      <alignment horizontal="center" vertical="center" wrapText="1"/>
    </xf>
    <xf numFmtId="3" fontId="1" fillId="6" borderId="1" xfId="0" applyNumberFormat="1" applyFont="1" applyFill="1" applyBorder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/>
    </xf>
    <xf numFmtId="165" fontId="5" fillId="0" borderId="0" xfId="0" applyNumberFormat="1" applyFont="1" applyFill="1" applyBorder="1" applyAlignment="1">
      <alignment horizontal="center" vertical="center"/>
    </xf>
    <xf numFmtId="3" fontId="10" fillId="0" borderId="0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ill="1" applyAlignment="1">
      <alignment horizontal="center"/>
    </xf>
    <xf numFmtId="3" fontId="1" fillId="0" borderId="0" xfId="0" applyNumberFormat="1" applyFont="1" applyFill="1" applyBorder="1" applyAlignment="1">
      <alignment horizontal="center" vertical="center" wrapText="1"/>
    </xf>
    <xf numFmtId="3" fontId="1" fillId="0" borderId="0" xfId="0" applyNumberFormat="1" applyFont="1" applyFill="1" applyBorder="1" applyAlignment="1">
      <alignment horizontal="center" vertical="center"/>
    </xf>
    <xf numFmtId="9" fontId="0" fillId="0" borderId="0" xfId="0" applyNumberFormat="1"/>
    <xf numFmtId="3" fontId="10" fillId="6" borderId="1" xfId="0" applyNumberFormat="1" applyFont="1" applyFill="1" applyBorder="1" applyAlignment="1">
      <alignment horizontal="center"/>
    </xf>
    <xf numFmtId="3" fontId="10" fillId="6" borderId="1" xfId="0" applyNumberFormat="1" applyFont="1" applyFill="1" applyBorder="1" applyAlignment="1">
      <alignment horizontal="center" vertical="center" wrapText="1"/>
    </xf>
    <xf numFmtId="3" fontId="0" fillId="9" borderId="1" xfId="0" applyNumberFormat="1" applyFill="1" applyBorder="1" applyAlignment="1">
      <alignment horizontal="center" vertical="center"/>
    </xf>
    <xf numFmtId="0" fontId="5" fillId="9" borderId="3" xfId="0" applyFont="1" applyFill="1" applyBorder="1" applyAlignment="1">
      <alignment vertical="center"/>
    </xf>
    <xf numFmtId="0" fontId="7" fillId="4" borderId="13" xfId="0" applyFont="1" applyFill="1" applyBorder="1" applyAlignment="1">
      <alignment horizontal="center" vertical="center"/>
    </xf>
    <xf numFmtId="3" fontId="9" fillId="4" borderId="14" xfId="0" applyNumberFormat="1" applyFont="1" applyFill="1" applyBorder="1" applyAlignment="1">
      <alignment horizontal="center" vertical="center" wrapText="1"/>
    </xf>
    <xf numFmtId="0" fontId="9" fillId="4" borderId="14" xfId="0" applyNumberFormat="1" applyFont="1" applyFill="1" applyBorder="1" applyAlignment="1">
      <alignment horizontal="center" vertical="center" wrapText="1"/>
    </xf>
    <xf numFmtId="0" fontId="9" fillId="2" borderId="14" xfId="0" applyNumberFormat="1" applyFont="1" applyFill="1" applyBorder="1" applyAlignment="1">
      <alignment horizontal="center" vertical="center" wrapText="1"/>
    </xf>
    <xf numFmtId="0" fontId="5" fillId="5" borderId="14" xfId="0" applyNumberFormat="1" applyFont="1" applyFill="1" applyBorder="1" applyAlignment="1">
      <alignment horizontal="center" vertical="center" wrapText="1"/>
    </xf>
    <xf numFmtId="0" fontId="9" fillId="8" borderId="14" xfId="0" applyNumberFormat="1" applyFont="1" applyFill="1" applyBorder="1" applyAlignment="1">
      <alignment horizontal="center" vertical="center" wrapText="1"/>
    </xf>
    <xf numFmtId="0" fontId="7" fillId="8" borderId="14" xfId="0" applyNumberFormat="1" applyFont="1" applyFill="1" applyBorder="1" applyAlignment="1">
      <alignment horizontal="center" vertical="center" wrapText="1"/>
    </xf>
    <xf numFmtId="3" fontId="7" fillId="4" borderId="14" xfId="0" applyNumberFormat="1" applyFont="1" applyFill="1" applyBorder="1" applyAlignment="1">
      <alignment horizontal="center" vertical="center" wrapText="1"/>
    </xf>
    <xf numFmtId="3" fontId="9" fillId="4" borderId="15" xfId="0" applyNumberFormat="1" applyFont="1" applyFill="1" applyBorder="1" applyAlignment="1">
      <alignment horizontal="center" vertical="center" wrapText="1"/>
    </xf>
    <xf numFmtId="15" fontId="3" fillId="4" borderId="16" xfId="0" applyNumberFormat="1" applyFont="1" applyFill="1" applyBorder="1" applyAlignment="1">
      <alignment horizontal="center" vertical="center" wrapText="1"/>
    </xf>
    <xf numFmtId="164" fontId="0" fillId="0" borderId="17" xfId="0" applyNumberFormat="1" applyFill="1" applyBorder="1" applyAlignment="1">
      <alignment horizontal="center" vertical="center"/>
    </xf>
    <xf numFmtId="15" fontId="3" fillId="4" borderId="16" xfId="0" applyNumberFormat="1" applyFont="1" applyFill="1" applyBorder="1" applyAlignment="1">
      <alignment horizontal="center"/>
    </xf>
    <xf numFmtId="0" fontId="7" fillId="8" borderId="18" xfId="0" applyFont="1" applyFill="1" applyBorder="1" applyAlignment="1">
      <alignment horizontal="center" vertical="center"/>
    </xf>
    <xf numFmtId="3" fontId="7" fillId="8" borderId="19" xfId="0" applyNumberFormat="1" applyFont="1" applyFill="1" applyBorder="1" applyAlignment="1">
      <alignment horizontal="center" vertical="center"/>
    </xf>
    <xf numFmtId="0" fontId="7" fillId="8" borderId="20" xfId="0" applyFont="1" applyFill="1" applyBorder="1" applyAlignment="1">
      <alignment horizontal="center" vertical="center"/>
    </xf>
    <xf numFmtId="3" fontId="7" fillId="4" borderId="4" xfId="0" applyNumberFormat="1" applyFont="1" applyFill="1" applyBorder="1" applyAlignment="1">
      <alignment horizontal="center" vertical="center"/>
    </xf>
    <xf numFmtId="9" fontId="2" fillId="9" borderId="3" xfId="0" applyNumberFormat="1" applyFont="1" applyFill="1" applyBorder="1" applyAlignment="1">
      <alignment vertical="center"/>
    </xf>
    <xf numFmtId="0" fontId="7" fillId="5" borderId="5" xfId="0" applyFont="1" applyFill="1" applyBorder="1" applyAlignment="1">
      <alignment horizontal="center" vertical="center"/>
    </xf>
    <xf numFmtId="3" fontId="7" fillId="5" borderId="8" xfId="0" applyNumberFormat="1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/>
    </xf>
    <xf numFmtId="0" fontId="0" fillId="5" borderId="8" xfId="0" applyFill="1" applyBorder="1"/>
    <xf numFmtId="10" fontId="0" fillId="5" borderId="8" xfId="0" applyNumberFormat="1" applyFill="1" applyBorder="1"/>
    <xf numFmtId="0" fontId="0" fillId="5" borderId="10" xfId="0" applyFill="1" applyBorder="1"/>
    <xf numFmtId="0" fontId="7" fillId="5" borderId="6" xfId="0" applyFont="1" applyFill="1" applyBorder="1" applyAlignment="1">
      <alignment horizontal="center" vertical="center"/>
    </xf>
    <xf numFmtId="4" fontId="7" fillId="5" borderId="0" xfId="0" applyNumberFormat="1" applyFont="1" applyFill="1" applyBorder="1" applyAlignment="1">
      <alignment horizontal="center" vertical="center" wrapText="1"/>
    </xf>
    <xf numFmtId="3" fontId="7" fillId="5" borderId="0" xfId="0" applyNumberFormat="1" applyFont="1" applyFill="1" applyBorder="1" applyAlignment="1">
      <alignment horizontal="center" vertical="center"/>
    </xf>
    <xf numFmtId="0" fontId="0" fillId="5" borderId="11" xfId="0" applyFill="1" applyBorder="1"/>
    <xf numFmtId="0" fontId="7" fillId="5" borderId="6" xfId="0" applyFont="1" applyFill="1" applyBorder="1"/>
    <xf numFmtId="3" fontId="7" fillId="5" borderId="0" xfId="0" applyNumberFormat="1" applyFont="1" applyFill="1" applyBorder="1" applyAlignment="1">
      <alignment horizontal="center" vertical="center" wrapText="1"/>
    </xf>
    <xf numFmtId="0" fontId="0" fillId="5" borderId="0" xfId="0" applyFill="1" applyBorder="1"/>
    <xf numFmtId="0" fontId="7" fillId="5" borderId="7" xfId="0" applyFont="1" applyFill="1" applyBorder="1" applyAlignment="1">
      <alignment horizontal="center" vertical="center"/>
    </xf>
    <xf numFmtId="3" fontId="7" fillId="5" borderId="9" xfId="0" applyNumberFormat="1" applyFont="1" applyFill="1" applyBorder="1" applyAlignment="1">
      <alignment horizontal="center" vertical="center" wrapText="1"/>
    </xf>
    <xf numFmtId="164" fontId="7" fillId="5" borderId="9" xfId="0" applyNumberFormat="1" applyFont="1" applyFill="1" applyBorder="1" applyAlignment="1">
      <alignment horizontal="center" vertical="center"/>
    </xf>
    <xf numFmtId="0" fontId="0" fillId="5" borderId="9" xfId="0" applyFill="1" applyBorder="1"/>
    <xf numFmtId="0" fontId="0" fillId="5" borderId="12" xfId="0" applyFill="1" applyBorder="1"/>
    <xf numFmtId="0" fontId="5" fillId="9" borderId="3" xfId="0" applyFont="1" applyFill="1" applyBorder="1" applyAlignment="1">
      <alignment horizontal="center" vertical="center"/>
    </xf>
    <xf numFmtId="0" fontId="9" fillId="4" borderId="21" xfId="0" applyFont="1" applyFill="1" applyBorder="1" applyAlignment="1">
      <alignment horizontal="center" vertical="center" wrapText="1"/>
    </xf>
    <xf numFmtId="3" fontId="7" fillId="8" borderId="23" xfId="0" applyNumberFormat="1" applyFont="1" applyFill="1" applyBorder="1" applyAlignment="1">
      <alignment horizontal="center" vertical="center"/>
    </xf>
    <xf numFmtId="3" fontId="6" fillId="6" borderId="22" xfId="0" applyNumberFormat="1" applyFont="1" applyFill="1" applyBorder="1" applyAlignment="1">
      <alignment horizontal="center" vertical="center" wrapText="1"/>
    </xf>
    <xf numFmtId="3" fontId="6" fillId="6" borderId="22" xfId="0" applyNumberFormat="1" applyFont="1" applyFill="1" applyBorder="1" applyAlignment="1">
      <alignment horizontal="center"/>
    </xf>
    <xf numFmtId="0" fontId="14" fillId="5" borderId="0" xfId="0" applyFont="1" applyFill="1" applyBorder="1"/>
    <xf numFmtId="0" fontId="6" fillId="5" borderId="0" xfId="0" applyFont="1" applyFill="1" applyBorder="1" applyAlignment="1"/>
    <xf numFmtId="0" fontId="13" fillId="5" borderId="0" xfId="0" applyFont="1" applyFill="1" applyBorder="1" applyAlignment="1"/>
    <xf numFmtId="0" fontId="7" fillId="5" borderId="0" xfId="0" applyFont="1" applyFill="1" applyBorder="1" applyAlignment="1">
      <alignment horizontal="center" vertical="center"/>
    </xf>
    <xf numFmtId="0" fontId="7" fillId="5" borderId="0" xfId="0" applyFont="1" applyFill="1" applyBorder="1"/>
    <xf numFmtId="0" fontId="7" fillId="5" borderId="9" xfId="0" applyFont="1" applyFill="1" applyBorder="1" applyAlignment="1">
      <alignment horizontal="center" vertical="center"/>
    </xf>
    <xf numFmtId="1" fontId="12" fillId="0" borderId="0" xfId="0" applyNumberFormat="1" applyFont="1" applyBorder="1"/>
    <xf numFmtId="0" fontId="12" fillId="0" borderId="0" xfId="0" applyFont="1" applyBorder="1"/>
    <xf numFmtId="0" fontId="8" fillId="5" borderId="14" xfId="0" applyNumberFormat="1" applyFont="1" applyFill="1" applyBorder="1" applyAlignment="1">
      <alignment horizontal="center" vertical="center" wrapText="1"/>
    </xf>
    <xf numFmtId="3" fontId="16" fillId="0" borderId="1" xfId="0" applyNumberFormat="1" applyFont="1" applyFill="1" applyBorder="1" applyAlignment="1">
      <alignment horizontal="center" vertical="center"/>
    </xf>
    <xf numFmtId="3" fontId="8" fillId="8" borderId="19" xfId="0" applyNumberFormat="1" applyFont="1" applyFill="1" applyBorder="1" applyAlignment="1">
      <alignment horizontal="center" vertical="center"/>
    </xf>
    <xf numFmtId="3" fontId="16" fillId="0" borderId="1" xfId="0" applyNumberFormat="1" applyFont="1" applyBorder="1" applyAlignment="1">
      <alignment horizontal="center"/>
    </xf>
    <xf numFmtId="3" fontId="7" fillId="10" borderId="0" xfId="0" applyNumberFormat="1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17" fillId="8" borderId="14" xfId="0" applyNumberFormat="1" applyFont="1" applyFill="1" applyBorder="1" applyAlignment="1">
      <alignment horizontal="center" vertical="center" wrapText="1"/>
    </xf>
    <xf numFmtId="1" fontId="18" fillId="0" borderId="0" xfId="0" applyNumberFormat="1" applyFont="1" applyBorder="1"/>
    <xf numFmtId="0" fontId="19" fillId="0" borderId="0" xfId="0" applyFont="1" applyBorder="1"/>
    <xf numFmtId="0" fontId="19" fillId="0" borderId="0" xfId="0" applyFont="1" applyFill="1" applyBorder="1"/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10" fontId="7" fillId="5" borderId="9" xfId="0" applyNumberFormat="1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center" vertical="center" wrapText="1"/>
    </xf>
    <xf numFmtId="3" fontId="1" fillId="9" borderId="1" xfId="0" applyNumberFormat="1" applyFont="1" applyFill="1" applyBorder="1" applyAlignment="1">
      <alignment horizontal="center" vertical="center" wrapText="1"/>
    </xf>
    <xf numFmtId="15" fontId="3" fillId="4" borderId="16" xfId="0" applyNumberFormat="1" applyFont="1" applyFill="1" applyBorder="1" applyAlignment="1">
      <alignment horizontal="center" vertical="center"/>
    </xf>
    <xf numFmtId="3" fontId="6" fillId="6" borderId="22" xfId="0" applyNumberFormat="1" applyFont="1" applyFill="1" applyBorder="1" applyAlignment="1">
      <alignment horizontal="center" vertical="center"/>
    </xf>
    <xf numFmtId="3" fontId="10" fillId="6" borderId="1" xfId="0" applyNumberFormat="1" applyFont="1" applyFill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3" fontId="16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3" fontId="4" fillId="0" borderId="0" xfId="0" applyNumberFormat="1" applyFont="1" applyAlignment="1">
      <alignment horizontal="right" vertical="center" wrapText="1"/>
    </xf>
    <xf numFmtId="3" fontId="1" fillId="9" borderId="1" xfId="0" applyNumberFormat="1" applyFont="1" applyFill="1" applyBorder="1" applyAlignment="1">
      <alignment horizontal="center" vertical="center"/>
    </xf>
    <xf numFmtId="0" fontId="5" fillId="9" borderId="3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1" fillId="0" borderId="0" xfId="0" applyFont="1"/>
    <xf numFmtId="3" fontId="1" fillId="0" borderId="0" xfId="0" applyNumberFormat="1" applyFont="1" applyBorder="1" applyAlignment="1">
      <alignment horizontal="center" vertical="center" wrapText="1"/>
    </xf>
    <xf numFmtId="0" fontId="1" fillId="5" borderId="0" xfId="0" applyFont="1" applyFill="1" applyBorder="1" applyAlignment="1"/>
    <xf numFmtId="3" fontId="1" fillId="0" borderId="1" xfId="0" applyNumberFormat="1" applyFont="1" applyBorder="1" applyAlignment="1">
      <alignment horizontal="center"/>
    </xf>
    <xf numFmtId="3" fontId="1" fillId="6" borderId="1" xfId="0" applyNumberFormat="1" applyFont="1" applyFill="1" applyBorder="1" applyAlignment="1">
      <alignment horizontal="center"/>
    </xf>
    <xf numFmtId="3" fontId="0" fillId="6" borderId="1" xfId="0" applyNumberFormat="1" applyFill="1" applyBorder="1" applyAlignment="1">
      <alignment horizontal="center" vertical="center"/>
    </xf>
    <xf numFmtId="4" fontId="1" fillId="0" borderId="0" xfId="0" applyNumberFormat="1" applyFont="1" applyFill="1" applyBorder="1" applyAlignment="1">
      <alignment horizontal="center" vertical="center" wrapText="1"/>
    </xf>
    <xf numFmtId="0" fontId="25" fillId="5" borderId="14" xfId="0" applyNumberFormat="1" applyFont="1" applyFill="1" applyBorder="1" applyAlignment="1">
      <alignment horizontal="center" vertical="center" wrapText="1"/>
    </xf>
    <xf numFmtId="0" fontId="17" fillId="2" borderId="14" xfId="0" applyNumberFormat="1" applyFont="1" applyFill="1" applyBorder="1" applyAlignment="1">
      <alignment horizontal="center" vertical="center" wrapText="1"/>
    </xf>
    <xf numFmtId="10" fontId="0" fillId="0" borderId="0" xfId="1" applyNumberFormat="1" applyFont="1"/>
    <xf numFmtId="166" fontId="7" fillId="8" borderId="19" xfId="0" applyNumberFormat="1" applyFont="1" applyFill="1" applyBorder="1" applyAlignment="1">
      <alignment horizontal="center" vertical="center"/>
    </xf>
    <xf numFmtId="166" fontId="0" fillId="9" borderId="1" xfId="0" applyNumberFormat="1" applyFill="1" applyBorder="1" applyAlignment="1">
      <alignment horizontal="center" vertical="center"/>
    </xf>
    <xf numFmtId="166" fontId="1" fillId="6" borderId="1" xfId="0" applyNumberFormat="1" applyFont="1" applyFill="1" applyBorder="1" applyAlignment="1">
      <alignment horizontal="center"/>
    </xf>
    <xf numFmtId="3" fontId="16" fillId="9" borderId="1" xfId="0" applyNumberFormat="1" applyFont="1" applyFill="1" applyBorder="1" applyAlignment="1">
      <alignment horizontal="center" vertical="center" wrapText="1"/>
    </xf>
    <xf numFmtId="167" fontId="7" fillId="8" borderId="19" xfId="0" applyNumberFormat="1" applyFont="1" applyFill="1" applyBorder="1" applyAlignment="1">
      <alignment horizontal="center" vertical="center"/>
    </xf>
    <xf numFmtId="167" fontId="1" fillId="6" borderId="1" xfId="0" applyNumberFormat="1" applyFont="1" applyFill="1" applyBorder="1" applyAlignment="1">
      <alignment horizontal="center"/>
    </xf>
    <xf numFmtId="3" fontId="0" fillId="9" borderId="1" xfId="0" applyNumberFormat="1" applyFill="1" applyBorder="1" applyAlignment="1">
      <alignment horizontal="center" vertical="center" wrapText="1"/>
    </xf>
    <xf numFmtId="165" fontId="2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0" fontId="5" fillId="7" borderId="5" xfId="0" applyFont="1" applyFill="1" applyBorder="1" applyAlignment="1">
      <alignment horizontal="center" vertical="center" wrapText="1"/>
    </xf>
    <xf numFmtId="0" fontId="5" fillId="7" borderId="8" xfId="0" applyFont="1" applyFill="1" applyBorder="1" applyAlignment="1">
      <alignment horizontal="center" vertical="center" wrapText="1"/>
    </xf>
    <xf numFmtId="0" fontId="5" fillId="7" borderId="6" xfId="0" applyFont="1" applyFill="1" applyBorder="1" applyAlignment="1">
      <alignment horizontal="center" vertical="center" wrapText="1"/>
    </xf>
    <xf numFmtId="0" fontId="5" fillId="7" borderId="0" xfId="0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 wrapText="1"/>
    </xf>
    <xf numFmtId="164" fontId="23" fillId="7" borderId="8" xfId="0" applyNumberFormat="1" applyFont="1" applyFill="1" applyBorder="1" applyAlignment="1">
      <alignment horizontal="center" vertical="center"/>
    </xf>
    <xf numFmtId="164" fontId="23" fillId="7" borderId="10" xfId="0" applyNumberFormat="1" applyFont="1" applyFill="1" applyBorder="1" applyAlignment="1">
      <alignment horizontal="center" vertical="center"/>
    </xf>
    <xf numFmtId="164" fontId="23" fillId="7" borderId="0" xfId="0" applyNumberFormat="1" applyFont="1" applyFill="1" applyBorder="1" applyAlignment="1">
      <alignment horizontal="center" vertical="center"/>
    </xf>
    <xf numFmtId="164" fontId="23" fillId="7" borderId="11" xfId="0" applyNumberFormat="1" applyFont="1" applyFill="1" applyBorder="1" applyAlignment="1">
      <alignment horizontal="center" vertical="center"/>
    </xf>
    <xf numFmtId="164" fontId="23" fillId="7" borderId="9" xfId="0" applyNumberFormat="1" applyFont="1" applyFill="1" applyBorder="1" applyAlignment="1">
      <alignment horizontal="center" vertical="center"/>
    </xf>
    <xf numFmtId="164" fontId="23" fillId="7" borderId="12" xfId="0" applyNumberFormat="1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5" fillId="9" borderId="3" xfId="0" applyFont="1" applyFill="1" applyBorder="1" applyAlignment="1">
      <alignment horizontal="center" vertical="center"/>
    </xf>
    <xf numFmtId="0" fontId="15" fillId="9" borderId="4" xfId="0" applyFont="1" applyFill="1" applyBorder="1" applyAlignment="1">
      <alignment horizontal="center" vertical="center"/>
    </xf>
    <xf numFmtId="0" fontId="5" fillId="9" borderId="2" xfId="0" applyFont="1" applyFill="1" applyBorder="1" applyAlignment="1">
      <alignment horizontal="center" vertical="center"/>
    </xf>
    <xf numFmtId="0" fontId="5" fillId="9" borderId="3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164" fontId="24" fillId="7" borderId="8" xfId="0" applyNumberFormat="1" applyFont="1" applyFill="1" applyBorder="1" applyAlignment="1">
      <alignment horizontal="center" vertical="center"/>
    </xf>
    <xf numFmtId="164" fontId="24" fillId="7" borderId="10" xfId="0" applyNumberFormat="1" applyFont="1" applyFill="1" applyBorder="1" applyAlignment="1">
      <alignment horizontal="center" vertical="center"/>
    </xf>
    <xf numFmtId="164" fontId="24" fillId="7" borderId="0" xfId="0" applyNumberFormat="1" applyFont="1" applyFill="1" applyBorder="1" applyAlignment="1">
      <alignment horizontal="center" vertical="center"/>
    </xf>
    <xf numFmtId="164" fontId="24" fillId="7" borderId="11" xfId="0" applyNumberFormat="1" applyFont="1" applyFill="1" applyBorder="1" applyAlignment="1">
      <alignment horizontal="center" vertical="center"/>
    </xf>
    <xf numFmtId="164" fontId="24" fillId="7" borderId="9" xfId="0" applyNumberFormat="1" applyFont="1" applyFill="1" applyBorder="1" applyAlignment="1">
      <alignment horizontal="center" vertical="center"/>
    </xf>
    <xf numFmtId="164" fontId="24" fillId="7" borderId="12" xfId="0" applyNumberFormat="1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/>
    </xf>
    <xf numFmtId="0" fontId="7" fillId="5" borderId="0" xfId="0" applyFont="1" applyFill="1" applyBorder="1" applyAlignment="1">
      <alignment horizontal="center"/>
    </xf>
    <xf numFmtId="0" fontId="7" fillId="5" borderId="7" xfId="0" applyFont="1" applyFill="1" applyBorder="1" applyAlignment="1">
      <alignment horizontal="center" vertical="center"/>
    </xf>
    <xf numFmtId="0" fontId="7" fillId="5" borderId="9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</cellXfs>
  <cellStyles count="2">
    <cellStyle name="Normal" xfId="0" builtinId="0"/>
    <cellStyle name="Percent 2" xfId="1"/>
  </cellStyles>
  <dxfs count="9"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FF00"/>
      </font>
    </dxf>
    <dxf>
      <font>
        <color rgb="FFFF0000"/>
      </font>
    </dxf>
    <dxf>
      <font>
        <color rgb="FF00FF0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7FCB6"/>
      <color rgb="FF66FF99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17" Type="http://schemas.openxmlformats.org/officeDocument/2006/relationships/customXml" Target="../customXml/item5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3.xml"/><Relationship Id="rId1" Type="http://schemas.openxmlformats.org/officeDocument/2006/relationships/themeOverride" Target="../theme/themeOverride1.xml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4.xml"/><Relationship Id="rId1" Type="http://schemas.openxmlformats.org/officeDocument/2006/relationships/themeOverride" Target="../theme/themeOverride2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7.xml"/><Relationship Id="rId1" Type="http://schemas.openxmlformats.org/officeDocument/2006/relationships/themeOverride" Target="../theme/themeOverride3.xml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8.xml"/><Relationship Id="rId1" Type="http://schemas.openxmlformats.org/officeDocument/2006/relationships/themeOverride" Target="../theme/themeOverride4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8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1.xml"/><Relationship Id="rId1" Type="http://schemas.openxmlformats.org/officeDocument/2006/relationships/themeOverride" Target="../theme/themeOverride5.xml"/></Relationships>
</file>

<file path=xl/charts/_rels/chart9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2.xml"/><Relationship Id="rId1" Type="http://schemas.openxmlformats.org/officeDocument/2006/relationships/themeOverride" Target="../theme/themeOverride6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4.xml"/></Relationships>
</file>

<file path=xl/charts/_rels/chart1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5.xml"/><Relationship Id="rId1" Type="http://schemas.openxmlformats.org/officeDocument/2006/relationships/themeOverride" Target="../theme/themeOverride7.xml"/></Relationships>
</file>

<file path=xl/charts/_rels/chart1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6.xml"/><Relationship Id="rId1" Type="http://schemas.openxmlformats.org/officeDocument/2006/relationships/themeOverride" Target="../theme/themeOverride8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 sz="1400"/>
              <a:t>Gas Consumption KwH 2015 Versus 2014</a:t>
            </a:r>
          </a:p>
        </c:rich>
      </c:tx>
      <c:layout>
        <c:manualLayout>
          <c:xMode val="edge"/>
          <c:yMode val="edge"/>
          <c:x val="0.27656657750317098"/>
          <c:y val="2.76496637272042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651011267545038"/>
          <c:y val="0.12596026966391599"/>
          <c:w val="0.62891577982680891"/>
          <c:h val="0.7880196152848011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'Gas Data'!$I$4</c:f>
              <c:strCache>
                <c:ptCount val="1"/>
                <c:pt idx="0">
                  <c:v>Target kWh 2015 (4%)</c:v>
                </c:pt>
              </c:strCache>
            </c:strRef>
          </c:tx>
          <c:spPr>
            <a:solidFill>
              <a:schemeClr val="accent6">
                <a:lumMod val="75000"/>
                <a:alpha val="72000"/>
              </a:schemeClr>
            </a:solidFill>
            <a:ln w="25400">
              <a:noFill/>
              <a:prstDash val="solid"/>
            </a:ln>
          </c:spPr>
          <c:invertIfNegative val="0"/>
          <c:cat>
            <c:strRef>
              <c:f>'Gas Data'!$B$5:$B$16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'Gas Data'!$I$5:$I$16</c:f>
              <c:numCache>
                <c:formatCode>#,##0</c:formatCode>
                <c:ptCount val="12"/>
                <c:pt idx="0">
                  <c:v>7161290.8799999999</c:v>
                </c:pt>
                <c:pt idx="1">
                  <c:v>6436097.2800000003</c:v>
                </c:pt>
                <c:pt idx="2">
                  <c:v>6450811.2000000002</c:v>
                </c:pt>
                <c:pt idx="3">
                  <c:v>4982441.28</c:v>
                </c:pt>
                <c:pt idx="4">
                  <c:v>4108887.36</c:v>
                </c:pt>
                <c:pt idx="5">
                  <c:v>2300671.6800000002</c:v>
                </c:pt>
                <c:pt idx="6">
                  <c:v>1223174.3999999999</c:v>
                </c:pt>
                <c:pt idx="7">
                  <c:v>1242202.56</c:v>
                </c:pt>
                <c:pt idx="8">
                  <c:v>1952608.32</c:v>
                </c:pt>
                <c:pt idx="9">
                  <c:v>2876065.92</c:v>
                </c:pt>
                <c:pt idx="10">
                  <c:v>4806789.1200000001</c:v>
                </c:pt>
                <c:pt idx="11">
                  <c:v>5170687.68</c:v>
                </c:pt>
              </c:numCache>
            </c:numRef>
          </c:val>
        </c:ser>
        <c:ser>
          <c:idx val="2"/>
          <c:order val="1"/>
          <c:tx>
            <c:strRef>
              <c:f>'Gas Data'!$J$4</c:f>
              <c:strCache>
                <c:ptCount val="1"/>
                <c:pt idx="0">
                  <c:v>Stretch kWhTarget (9%)</c:v>
                </c:pt>
              </c:strCache>
            </c:strRef>
          </c:tx>
          <c:spPr>
            <a:solidFill>
              <a:srgbClr val="66FF99"/>
            </a:solidFill>
          </c:spPr>
          <c:invertIfNegative val="0"/>
          <c:val>
            <c:numRef>
              <c:f>'Gas Data'!$J$5:$J$16</c:f>
              <c:numCache>
                <c:formatCode>#,##0</c:formatCode>
                <c:ptCount val="12"/>
                <c:pt idx="0">
                  <c:v>6788306.9800000004</c:v>
                </c:pt>
                <c:pt idx="1">
                  <c:v>6100883.8799999999</c:v>
                </c:pt>
                <c:pt idx="2">
                  <c:v>6114831.4500000002</c:v>
                </c:pt>
                <c:pt idx="3">
                  <c:v>4722939.13</c:v>
                </c:pt>
                <c:pt idx="4">
                  <c:v>3894882.81</c:v>
                </c:pt>
                <c:pt idx="5">
                  <c:v>2180845.0299999998</c:v>
                </c:pt>
                <c:pt idx="6">
                  <c:v>1159467.3999999999</c:v>
                </c:pt>
                <c:pt idx="7">
                  <c:v>1177504.51</c:v>
                </c:pt>
                <c:pt idx="8">
                  <c:v>1850909.97</c:v>
                </c:pt>
                <c:pt idx="9">
                  <c:v>2726270.82</c:v>
                </c:pt>
                <c:pt idx="10">
                  <c:v>4556435.5199999996</c:v>
                </c:pt>
                <c:pt idx="11">
                  <c:v>4901381.03</c:v>
                </c:pt>
              </c:numCache>
            </c:numRef>
          </c:val>
        </c:ser>
        <c:ser>
          <c:idx val="1"/>
          <c:order val="2"/>
          <c:tx>
            <c:strRef>
              <c:f>'Gas Data'!$K$4</c:f>
              <c:strCache>
                <c:ptCount val="1"/>
                <c:pt idx="0">
                  <c:v>Actual 2015</c:v>
                </c:pt>
              </c:strCache>
            </c:strRef>
          </c:tx>
          <c:spPr>
            <a:solidFill>
              <a:srgbClr val="0070C0"/>
            </a:solidFill>
            <a:ln w="41275" cap="rnd" cmpd="sng">
              <a:noFill/>
              <a:prstDash val="sysDash"/>
            </a:ln>
          </c:spPr>
          <c:invertIfNegative val="0"/>
          <c:cat>
            <c:strRef>
              <c:f>'Gas Data'!$B$5:$B$16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'Gas Data'!$K$5:$K$16</c:f>
              <c:numCache>
                <c:formatCode>#,##0</c:formatCode>
                <c:ptCount val="12"/>
                <c:pt idx="0">
                  <c:v>6605398</c:v>
                </c:pt>
                <c:pt idx="1">
                  <c:v>6336270</c:v>
                </c:pt>
                <c:pt idx="2">
                  <c:v>6340861</c:v>
                </c:pt>
                <c:pt idx="3">
                  <c:v>3526478</c:v>
                </c:pt>
                <c:pt idx="4">
                  <c:v>3240949</c:v>
                </c:pt>
                <c:pt idx="5">
                  <c:v>2785385</c:v>
                </c:pt>
                <c:pt idx="6">
                  <c:v>924936</c:v>
                </c:pt>
                <c:pt idx="7">
                  <c:v>921334</c:v>
                </c:pt>
                <c:pt idx="8">
                  <c:v>2479967</c:v>
                </c:pt>
                <c:pt idx="9">
                  <c:v>3233966</c:v>
                </c:pt>
                <c:pt idx="10">
                  <c:v>4049880</c:v>
                </c:pt>
                <c:pt idx="11">
                  <c:v>3556686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6997976"/>
        <c:axId val="157000720"/>
      </c:barChart>
      <c:catAx>
        <c:axId val="15699797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KwH</a:t>
                </a:r>
              </a:p>
            </c:rich>
          </c:tx>
          <c:layout>
            <c:manualLayout>
              <c:xMode val="edge"/>
              <c:yMode val="edge"/>
              <c:x val="2.0833364728930413E-2"/>
              <c:y val="0.49308830723550157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7000720"/>
        <c:crosses val="autoZero"/>
        <c:auto val="1"/>
        <c:lblAlgn val="ctr"/>
        <c:lblOffset val="100"/>
        <c:noMultiLvlLbl val="0"/>
      </c:catAx>
      <c:valAx>
        <c:axId val="157000720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6997976"/>
        <c:crosses val="autoZero"/>
        <c:crossBetween val="between"/>
        <c:dispUnits>
          <c:builtInUnit val="thousands"/>
          <c:dispUnitsLbl>
            <c:layout/>
          </c:dispUnitsLbl>
        </c:dispUnits>
      </c:valAx>
    </c:plotArea>
    <c:legend>
      <c:legendPos val="r"/>
      <c:layout>
        <c:manualLayout>
          <c:xMode val="edge"/>
          <c:yMode val="edge"/>
          <c:x val="0.80297550692149244"/>
          <c:y val="0.29291008412437347"/>
          <c:w val="0.15955331260341171"/>
          <c:h val="0.12596322880857219"/>
        </c:manualLayout>
      </c:layout>
      <c:overlay val="0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 sz="1400"/>
              <a:t>Gas Consumption: KwH Used per Productive Hour Booked (2015 Vs 2014)</a:t>
            </a:r>
          </a:p>
        </c:rich>
      </c:tx>
      <c:layout>
        <c:manualLayout>
          <c:xMode val="edge"/>
          <c:yMode val="edge"/>
          <c:x val="0.15825675746643494"/>
          <c:y val="1.969043885100842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651011267545038"/>
          <c:y val="0.12596026966391599"/>
          <c:w val="0.65689404946574248"/>
          <c:h val="0.78801961528480113"/>
        </c:manualLayout>
      </c:layout>
      <c:barChart>
        <c:barDir val="col"/>
        <c:grouping val="clustered"/>
        <c:varyColors val="0"/>
        <c:ser>
          <c:idx val="2"/>
          <c:order val="0"/>
          <c:tx>
            <c:strRef>
              <c:f>'Gas Data'!$H$4</c:f>
              <c:strCache>
                <c:ptCount val="1"/>
                <c:pt idx="0">
                  <c:v>kWh per Productive Hour Booked 2014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 w="25400">
              <a:noFill/>
            </a:ln>
          </c:spPr>
          <c:invertIfNegative val="0"/>
          <c:val>
            <c:numRef>
              <c:f>'Gas Data'!$H$5:$H$16</c:f>
              <c:numCache>
                <c:formatCode>#,##0</c:formatCode>
                <c:ptCount val="12"/>
                <c:pt idx="0">
                  <c:v>856.64653192466699</c:v>
                </c:pt>
                <c:pt idx="1">
                  <c:v>522.54621979734998</c:v>
                </c:pt>
                <c:pt idx="2">
                  <c:v>420.71093163035312</c:v>
                </c:pt>
                <c:pt idx="3">
                  <c:v>763.24161764705877</c:v>
                </c:pt>
                <c:pt idx="4">
                  <c:v>475.35439804531319</c:v>
                </c:pt>
                <c:pt idx="5">
                  <c:v>179.75795079507949</c:v>
                </c:pt>
                <c:pt idx="6">
                  <c:v>119.71624541952457</c:v>
                </c:pt>
                <c:pt idx="7">
                  <c:v>220.24868085106382</c:v>
                </c:pt>
                <c:pt idx="8">
                  <c:v>162.66530710172745</c:v>
                </c:pt>
                <c:pt idx="9">
                  <c:v>225.81608502298937</c:v>
                </c:pt>
                <c:pt idx="10">
                  <c:v>298.0932309340954</c:v>
                </c:pt>
                <c:pt idx="11">
                  <c:v>318.89478981645942</c:v>
                </c:pt>
              </c:numCache>
            </c:numRef>
          </c:val>
        </c:ser>
        <c:ser>
          <c:idx val="1"/>
          <c:order val="1"/>
          <c:tx>
            <c:strRef>
              <c:f>'Gas Data'!$O$4</c:f>
              <c:strCache>
                <c:ptCount val="1"/>
                <c:pt idx="0">
                  <c:v>KwH per Productive Hour Booked 2015</c:v>
                </c:pt>
              </c:strCache>
            </c:strRef>
          </c:tx>
          <c:spPr>
            <a:solidFill>
              <a:schemeClr val="accent1"/>
            </a:solidFill>
            <a:ln w="41275" cap="rnd" cmpd="sng">
              <a:noFill/>
              <a:prstDash val="sysDash"/>
            </a:ln>
          </c:spPr>
          <c:invertIfNegative val="0"/>
          <c:cat>
            <c:strRef>
              <c:f>'Gas Data'!$B$5:$B$16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'Gas Data'!$O$5:$O$16</c:f>
              <c:numCache>
                <c:formatCode>#,##0</c:formatCode>
                <c:ptCount val="12"/>
                <c:pt idx="0">
                  <c:v>698.24503171247352</c:v>
                </c:pt>
                <c:pt idx="1">
                  <c:v>482.94740853658539</c:v>
                </c:pt>
                <c:pt idx="2">
                  <c:v>447.76929595367557</c:v>
                </c:pt>
                <c:pt idx="3">
                  <c:v>363.3296929734185</c:v>
                </c:pt>
                <c:pt idx="4">
                  <c:v>265.43398853398855</c:v>
                </c:pt>
                <c:pt idx="5">
                  <c:v>184.34050297816015</c:v>
                </c:pt>
                <c:pt idx="6">
                  <c:v>75.173602080624192</c:v>
                </c:pt>
                <c:pt idx="7">
                  <c:v>208.44660633484162</c:v>
                </c:pt>
                <c:pt idx="8">
                  <c:v>176.47242581655163</c:v>
                </c:pt>
                <c:pt idx="9">
                  <c:v>269.16071577195174</c:v>
                </c:pt>
                <c:pt idx="10">
                  <c:v>353.42350990487824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87407400"/>
        <c:axId val="287407792"/>
      </c:barChart>
      <c:catAx>
        <c:axId val="2874074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KwH</a:t>
                </a:r>
              </a:p>
            </c:rich>
          </c:tx>
          <c:layout>
            <c:manualLayout>
              <c:xMode val="edge"/>
              <c:yMode val="edge"/>
              <c:x val="2.0833364728930413E-2"/>
              <c:y val="0.49308830723550157"/>
            </c:manualLayout>
          </c:layout>
          <c:overlay val="0"/>
          <c:spPr>
            <a:noFill/>
            <a:ln w="25400">
              <a:noFill/>
            </a:ln>
          </c:spPr>
        </c:title>
        <c:numFmt formatCode="dd\-mmm\-yy" sourceLinked="1"/>
        <c:majorTickMark val="out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87407792"/>
        <c:crosses val="autoZero"/>
        <c:auto val="1"/>
        <c:lblAlgn val="ctr"/>
        <c:lblOffset val="100"/>
        <c:noMultiLvlLbl val="0"/>
      </c:catAx>
      <c:valAx>
        <c:axId val="287407792"/>
        <c:scaling>
          <c:orientation val="minMax"/>
          <c:max val="2000"/>
          <c:min val="0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87407400"/>
        <c:crosses val="autoZero"/>
        <c:crossBetween val="between"/>
        <c:dispUnits>
          <c:builtInUnit val="thousands"/>
          <c:dispUnitsLbl>
            <c:layout/>
          </c:dispUnitsLbl>
        </c:dispUnits>
      </c:valAx>
    </c:plotArea>
    <c:legend>
      <c:legendPos val="r"/>
      <c:layout>
        <c:manualLayout>
          <c:xMode val="edge"/>
          <c:yMode val="edge"/>
          <c:x val="0.75215984329907304"/>
          <c:y val="0.17882649538599674"/>
          <c:w val="0.24535377635905592"/>
          <c:h val="0.17428111775594801"/>
        </c:manualLayout>
      </c:layout>
      <c:overlay val="0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  <c:userShapes r:id="rId2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GB"/>
              <a:t>2015 Target</a:t>
            </a:r>
            <a:r>
              <a:rPr lang="en-GB" baseline="0"/>
              <a:t> Achievement Chart 4%</a:t>
            </a:r>
            <a:endParaRPr lang="en-GB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'Gas Data'!$Q$4</c:f>
              <c:strCache>
                <c:ptCount val="1"/>
                <c:pt idx="0">
                  <c:v>Cumulative Target Saving (KwH)</c:v>
                </c:pt>
              </c:strCache>
            </c:strRef>
          </c:tx>
          <c:cat>
            <c:strRef>
              <c:f>'Gas Data'!$B$5:$B$16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'Gas Data'!$Q$5:$Q$16</c:f>
              <c:numCache>
                <c:formatCode>#,##0</c:formatCode>
                <c:ptCount val="12"/>
                <c:pt idx="0">
                  <c:v>298387.12000000011</c:v>
                </c:pt>
                <c:pt idx="1">
                  <c:v>566557.83999999985</c:v>
                </c:pt>
                <c:pt idx="2">
                  <c:v>835341.63999999966</c:v>
                </c:pt>
                <c:pt idx="3">
                  <c:v>1042943.3599999994</c:v>
                </c:pt>
                <c:pt idx="4">
                  <c:v>1214146.9999999995</c:v>
                </c:pt>
                <c:pt idx="5">
                  <c:v>1310008.3199999994</c:v>
                </c:pt>
                <c:pt idx="6">
                  <c:v>1360973.9199999995</c:v>
                </c:pt>
                <c:pt idx="7">
                  <c:v>1412732.3599999994</c:v>
                </c:pt>
                <c:pt idx="8">
                  <c:v>1494091.0399999993</c:v>
                </c:pt>
                <c:pt idx="9">
                  <c:v>1613927.1199999994</c:v>
                </c:pt>
                <c:pt idx="10">
                  <c:v>1814209.9999999993</c:v>
                </c:pt>
                <c:pt idx="11">
                  <c:v>2029655.3199999996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'Gas Data'!$T$4</c:f>
              <c:strCache>
                <c:ptCount val="1"/>
                <c:pt idx="0">
                  <c:v>In Month Cumulative (Kwh)</c:v>
                </c:pt>
              </c:strCache>
            </c:strRef>
          </c:tx>
          <c:spPr>
            <a:ln w="22225">
              <a:solidFill>
                <a:srgbClr val="F79646">
                  <a:lumMod val="75000"/>
                </a:srgbClr>
              </a:solidFill>
            </a:ln>
          </c:spPr>
          <c:val>
            <c:numRef>
              <c:f>'Gas Data'!$T$5:$T$16</c:f>
              <c:numCache>
                <c:formatCode>#,##0</c:formatCode>
                <c:ptCount val="12"/>
                <c:pt idx="0">
                  <c:v>854280</c:v>
                </c:pt>
                <c:pt idx="1">
                  <c:v>1222278</c:v>
                </c:pt>
                <c:pt idx="2">
                  <c:v>1601012</c:v>
                </c:pt>
                <c:pt idx="3">
                  <c:v>3264577</c:v>
                </c:pt>
                <c:pt idx="4">
                  <c:v>4303719</c:v>
                </c:pt>
                <c:pt idx="5">
                  <c:v>3914867</c:v>
                </c:pt>
                <c:pt idx="6">
                  <c:v>4264071</c:v>
                </c:pt>
                <c:pt idx="7">
                  <c:v>4636698</c:v>
                </c:pt>
                <c:pt idx="8">
                  <c:v>4190698</c:v>
                </c:pt>
                <c:pt idx="9">
                  <c:v>3952634</c:v>
                </c:pt>
                <c:pt idx="10">
                  <c:v>4909826</c:v>
                </c:pt>
                <c:pt idx="11">
                  <c:v>6739273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7408576"/>
        <c:axId val="287408968"/>
      </c:lineChart>
      <c:catAx>
        <c:axId val="28740857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87408968"/>
        <c:crosses val="autoZero"/>
        <c:auto val="1"/>
        <c:lblAlgn val="ctr"/>
        <c:lblOffset val="100"/>
        <c:noMultiLvlLbl val="0"/>
      </c:catAx>
      <c:valAx>
        <c:axId val="287408968"/>
        <c:scaling>
          <c:orientation val="minMax"/>
          <c:max val="5500000"/>
        </c:scaling>
        <c:delete val="0"/>
        <c:axPos val="l"/>
        <c:majorGridlines/>
        <c:numFmt formatCode="#,##0" sourceLinked="1"/>
        <c:majorTickMark val="out"/>
        <c:minorTickMark val="in"/>
        <c:tickLblPos val="nextTo"/>
        <c:crossAx val="2874085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8760364213732539"/>
          <c:y val="0.32603188457034271"/>
          <c:w val="0.28935109037296264"/>
          <c:h val="0.19350763417813818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2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 sz="1400"/>
              <a:t>Electricity Consumption KwH 2015 Versus 2014</a:t>
            </a:r>
          </a:p>
        </c:rich>
      </c:tx>
      <c:layout>
        <c:manualLayout>
          <c:xMode val="edge"/>
          <c:yMode val="edge"/>
          <c:x val="0.27656657750317098"/>
          <c:y val="2.76496637272042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651011267545038"/>
          <c:y val="0.12596026966391599"/>
          <c:w val="0.62891577982680891"/>
          <c:h val="0.7880196152848011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'Electricity Data'!$I$4</c:f>
              <c:strCache>
                <c:ptCount val="1"/>
                <c:pt idx="0">
                  <c:v>Target 2015 (4%)</c:v>
                </c:pt>
              </c:strCache>
            </c:strRef>
          </c:tx>
          <c:spPr>
            <a:solidFill>
              <a:schemeClr val="accent6">
                <a:lumMod val="75000"/>
                <a:alpha val="72000"/>
              </a:schemeClr>
            </a:solidFill>
            <a:ln w="25400">
              <a:noFill/>
              <a:prstDash val="solid"/>
            </a:ln>
          </c:spPr>
          <c:invertIfNegative val="0"/>
          <c:cat>
            <c:strRef>
              <c:f>'Electricity Data'!$B$5:$B$16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'Electricity Data'!$I$5:$I$16</c:f>
              <c:numCache>
                <c:formatCode>#,##0</c:formatCode>
                <c:ptCount val="12"/>
                <c:pt idx="0">
                  <c:v>581182.07999999996</c:v>
                </c:pt>
                <c:pt idx="1">
                  <c:v>553318.07999999996</c:v>
                </c:pt>
                <c:pt idx="2">
                  <c:v>572622.72</c:v>
                </c:pt>
                <c:pt idx="3">
                  <c:v>525636.48</c:v>
                </c:pt>
                <c:pt idx="4">
                  <c:v>534874.56000000006</c:v>
                </c:pt>
                <c:pt idx="5">
                  <c:v>480735.36</c:v>
                </c:pt>
                <c:pt idx="6">
                  <c:v>424914.24</c:v>
                </c:pt>
                <c:pt idx="7">
                  <c:v>419185.91999999998</c:v>
                </c:pt>
                <c:pt idx="8">
                  <c:v>487362.24</c:v>
                </c:pt>
                <c:pt idx="9">
                  <c:v>565308.48</c:v>
                </c:pt>
                <c:pt idx="10">
                  <c:v>607922.88</c:v>
                </c:pt>
                <c:pt idx="11">
                  <c:v>551231.04</c:v>
                </c:pt>
              </c:numCache>
            </c:numRef>
          </c:val>
        </c:ser>
        <c:ser>
          <c:idx val="2"/>
          <c:order val="1"/>
          <c:tx>
            <c:strRef>
              <c:f>'Electricity Data'!$J$4</c:f>
              <c:strCache>
                <c:ptCount val="1"/>
                <c:pt idx="0">
                  <c:v>Stretch Target (5%)</c:v>
                </c:pt>
              </c:strCache>
            </c:strRef>
          </c:tx>
          <c:spPr>
            <a:solidFill>
              <a:srgbClr val="66FF99"/>
            </a:solidFill>
          </c:spPr>
          <c:invertIfNegative val="0"/>
          <c:val>
            <c:numRef>
              <c:f>'Electricity Data'!$J$5:$J$16</c:f>
              <c:numCache>
                <c:formatCode>#,##0</c:formatCode>
                <c:ptCount val="12"/>
                <c:pt idx="0">
                  <c:v>575128.1</c:v>
                </c:pt>
                <c:pt idx="1">
                  <c:v>547554.35</c:v>
                </c:pt>
                <c:pt idx="2">
                  <c:v>566657.9</c:v>
                </c:pt>
                <c:pt idx="3">
                  <c:v>520161.1</c:v>
                </c:pt>
                <c:pt idx="4">
                  <c:v>529302.94999999995</c:v>
                </c:pt>
                <c:pt idx="5">
                  <c:v>475727.7</c:v>
                </c:pt>
                <c:pt idx="6">
                  <c:v>420488.05</c:v>
                </c:pt>
                <c:pt idx="7">
                  <c:v>414819.4</c:v>
                </c:pt>
                <c:pt idx="8">
                  <c:v>482285.55</c:v>
                </c:pt>
                <c:pt idx="9">
                  <c:v>559419.85</c:v>
                </c:pt>
                <c:pt idx="10">
                  <c:v>601590.35</c:v>
                </c:pt>
                <c:pt idx="11">
                  <c:v>545489.05000000005</c:v>
                </c:pt>
              </c:numCache>
            </c:numRef>
          </c:val>
        </c:ser>
        <c:ser>
          <c:idx val="1"/>
          <c:order val="2"/>
          <c:tx>
            <c:strRef>
              <c:f>'Electricity Data'!$L$4</c:f>
              <c:strCache>
                <c:ptCount val="1"/>
                <c:pt idx="0">
                  <c:v>Actual 2015</c:v>
                </c:pt>
              </c:strCache>
            </c:strRef>
          </c:tx>
          <c:spPr>
            <a:solidFill>
              <a:schemeClr val="accent1"/>
            </a:solidFill>
            <a:ln w="41275" cap="rnd" cmpd="sng">
              <a:noFill/>
              <a:prstDash val="sysDash"/>
            </a:ln>
          </c:spPr>
          <c:invertIfNegative val="0"/>
          <c:cat>
            <c:strRef>
              <c:f>'Electricity Data'!$B$5:$B$16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'Electricity Data'!$L$5:$L$16</c:f>
              <c:numCache>
                <c:formatCode>#,##0</c:formatCode>
                <c:ptCount val="12"/>
                <c:pt idx="0">
                  <c:v>625774</c:v>
                </c:pt>
                <c:pt idx="1">
                  <c:v>599310</c:v>
                </c:pt>
                <c:pt idx="2">
                  <c:v>623038</c:v>
                </c:pt>
                <c:pt idx="3">
                  <c:v>497775</c:v>
                </c:pt>
                <c:pt idx="4">
                  <c:v>502932</c:v>
                </c:pt>
                <c:pt idx="5">
                  <c:v>475022</c:v>
                </c:pt>
                <c:pt idx="6">
                  <c:v>422279</c:v>
                </c:pt>
                <c:pt idx="7">
                  <c:v>387198</c:v>
                </c:pt>
                <c:pt idx="8">
                  <c:v>461535</c:v>
                </c:pt>
                <c:pt idx="9">
                  <c:v>529774</c:v>
                </c:pt>
                <c:pt idx="10">
                  <c:v>613387</c:v>
                </c:pt>
                <c:pt idx="11">
                  <c:v>563636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87409752"/>
        <c:axId val="287410144"/>
      </c:barChart>
      <c:catAx>
        <c:axId val="2874097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KwH</a:t>
                </a:r>
              </a:p>
            </c:rich>
          </c:tx>
          <c:layout>
            <c:manualLayout>
              <c:xMode val="edge"/>
              <c:yMode val="edge"/>
              <c:x val="2.0833364728930413E-2"/>
              <c:y val="0.49308830723550157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87410144"/>
        <c:crosses val="autoZero"/>
        <c:auto val="1"/>
        <c:lblAlgn val="ctr"/>
        <c:lblOffset val="100"/>
        <c:noMultiLvlLbl val="0"/>
      </c:catAx>
      <c:valAx>
        <c:axId val="287410144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87409752"/>
        <c:crosses val="autoZero"/>
        <c:crossBetween val="between"/>
        <c:dispUnits>
          <c:builtInUnit val="thousands"/>
          <c:dispUnitsLbl/>
        </c:dispUnits>
      </c:valAx>
    </c:plotArea>
    <c:legend>
      <c:legendPos val="r"/>
      <c:layout>
        <c:manualLayout>
          <c:xMode val="edge"/>
          <c:yMode val="edge"/>
          <c:x val="0.80297550692149244"/>
          <c:y val="0.29291008412437347"/>
          <c:w val="0.13503019922007969"/>
          <c:h val="0.1277478801596369"/>
        </c:manualLayout>
      </c:layout>
      <c:overlay val="0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 sz="1400"/>
              <a:t>Electricity Consumption: KwH Used per  Hour Booked (2015 Vs 2014)</a:t>
            </a:r>
          </a:p>
        </c:rich>
      </c:tx>
      <c:layout>
        <c:manualLayout>
          <c:xMode val="edge"/>
          <c:yMode val="edge"/>
          <c:x val="0.15825675746643494"/>
          <c:y val="1.969043885100842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651011267545038"/>
          <c:y val="0.12596026966391599"/>
          <c:w val="0.65689404946574248"/>
          <c:h val="0.78801961528480113"/>
        </c:manualLayout>
      </c:layout>
      <c:barChart>
        <c:barDir val="col"/>
        <c:grouping val="clustered"/>
        <c:varyColors val="0"/>
        <c:ser>
          <c:idx val="2"/>
          <c:order val="0"/>
          <c:tx>
            <c:strRef>
              <c:f>'Electricity Data'!$H$4</c:f>
              <c:strCache>
                <c:ptCount val="1"/>
                <c:pt idx="0">
                  <c:v>KwH per Productive Hour Booked 2014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 w="25400">
              <a:noFill/>
            </a:ln>
          </c:spPr>
          <c:invertIfNegative val="0"/>
          <c:val>
            <c:numRef>
              <c:f>'Electricity Data'!$H$5:$H$16</c:f>
              <c:numCache>
                <c:formatCode>#,##0</c:formatCode>
                <c:ptCount val="12"/>
                <c:pt idx="0">
                  <c:v>79.391479099678463</c:v>
                </c:pt>
                <c:pt idx="1">
                  <c:v>53.524395946999221</c:v>
                </c:pt>
                <c:pt idx="2">
                  <c:v>46.405960430753822</c:v>
                </c:pt>
                <c:pt idx="3">
                  <c:v>90.164852941176477</c:v>
                </c:pt>
                <c:pt idx="4">
                  <c:v>64.030208796090633</c:v>
                </c:pt>
                <c:pt idx="5">
                  <c:v>41.079057905790577</c:v>
                </c:pt>
                <c:pt idx="6">
                  <c:v>40.618622568824577</c:v>
                </c:pt>
                <c:pt idx="7">
                  <c:v>72.003234042553188</c:v>
                </c:pt>
                <c:pt idx="8">
                  <c:v>42.827975047984644</c:v>
                </c:pt>
                <c:pt idx="9">
                  <c:v>45.345971206753596</c:v>
                </c:pt>
                <c:pt idx="10">
                  <c:v>38.030838840269098</c:v>
                </c:pt>
                <c:pt idx="11">
                  <c:v>31.997927767910006</c:v>
                </c:pt>
              </c:numCache>
            </c:numRef>
          </c:val>
        </c:ser>
        <c:ser>
          <c:idx val="1"/>
          <c:order val="1"/>
          <c:tx>
            <c:strRef>
              <c:f>'Electricity Data'!$P$4</c:f>
              <c:strCache>
                <c:ptCount val="1"/>
                <c:pt idx="0">
                  <c:v>KwH per Productive Hour Booked 2015</c:v>
                </c:pt>
              </c:strCache>
            </c:strRef>
          </c:tx>
          <c:spPr>
            <a:solidFill>
              <a:schemeClr val="accent1"/>
            </a:solidFill>
            <a:ln w="41275" cap="rnd" cmpd="sng">
              <a:noFill/>
              <a:prstDash val="sysDash"/>
            </a:ln>
          </c:spPr>
          <c:invertIfNegative val="0"/>
          <c:cat>
            <c:strRef>
              <c:f>'Electricity Data'!$B$5:$B$16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'Electricity Data'!$P$5:$P$16</c:f>
              <c:numCache>
                <c:formatCode>#,##0</c:formatCode>
                <c:ptCount val="12"/>
                <c:pt idx="0">
                  <c:v>66.149471458773789</c:v>
                </c:pt>
                <c:pt idx="1">
                  <c:v>45.679115853658537</c:v>
                </c:pt>
                <c:pt idx="2">
                  <c:v>43.996751641833207</c:v>
                </c:pt>
                <c:pt idx="3">
                  <c:v>51.285287451061201</c:v>
                </c:pt>
                <c:pt idx="4">
                  <c:v>41.19017199017199</c:v>
                </c:pt>
                <c:pt idx="5">
                  <c:v>31.437590999338187</c:v>
                </c:pt>
                <c:pt idx="6">
                  <c:v>34.320464889466841</c:v>
                </c:pt>
                <c:pt idx="7">
                  <c:v>87.601357466063348</c:v>
                </c:pt>
                <c:pt idx="8">
                  <c:v>32.842453568633033</c:v>
                </c:pt>
                <c:pt idx="9">
                  <c:v>44.092717436537662</c:v>
                </c:pt>
                <c:pt idx="10">
                  <c:v>53.528841958286066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87806464"/>
        <c:axId val="287806856"/>
      </c:barChart>
      <c:catAx>
        <c:axId val="2878064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KwH</a:t>
                </a:r>
              </a:p>
            </c:rich>
          </c:tx>
          <c:layout>
            <c:manualLayout>
              <c:xMode val="edge"/>
              <c:yMode val="edge"/>
              <c:x val="2.0833364728930413E-2"/>
              <c:y val="0.49308830723550157"/>
            </c:manualLayout>
          </c:layout>
          <c:overlay val="0"/>
          <c:spPr>
            <a:noFill/>
            <a:ln w="25400">
              <a:noFill/>
            </a:ln>
          </c:spPr>
        </c:title>
        <c:numFmt formatCode="dd\-mmm\-yy" sourceLinked="1"/>
        <c:majorTickMark val="out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87806856"/>
        <c:crosses val="autoZero"/>
        <c:auto val="1"/>
        <c:lblAlgn val="ctr"/>
        <c:lblOffset val="100"/>
        <c:noMultiLvlLbl val="0"/>
      </c:catAx>
      <c:valAx>
        <c:axId val="287806856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87806464"/>
        <c:crosses val="autoZero"/>
        <c:crossBetween val="between"/>
        <c:dispUnits>
          <c:builtInUnit val="thousands"/>
          <c:dispUnitsLbl/>
        </c:dispUnits>
      </c:valAx>
    </c:plotArea>
    <c:legend>
      <c:legendPos val="r"/>
      <c:layout>
        <c:manualLayout>
          <c:xMode val="edge"/>
          <c:yMode val="edge"/>
          <c:x val="0.75215984329907304"/>
          <c:y val="0.17882649538599674"/>
          <c:w val="0.24535377635905592"/>
          <c:h val="0.17428111775594801"/>
        </c:manualLayout>
      </c:layout>
      <c:overlay val="0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  <c:userShapes r:id="rId2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GB"/>
              <a:t>2015 Target</a:t>
            </a:r>
            <a:r>
              <a:rPr lang="en-GB" baseline="0"/>
              <a:t> Achievement Chart 4%</a:t>
            </a:r>
            <a:endParaRPr lang="en-GB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'Electricity Data'!$R$4</c:f>
              <c:strCache>
                <c:ptCount val="1"/>
                <c:pt idx="0">
                  <c:v>Cumulative Target Saving (KwH)</c:v>
                </c:pt>
              </c:strCache>
            </c:strRef>
          </c:tx>
          <c:cat>
            <c:strRef>
              <c:f>'Electricity Data'!$B$5:$B$16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'Electricity Data'!$R$5:$R$16</c:f>
              <c:numCache>
                <c:formatCode>#,##0</c:formatCode>
                <c:ptCount val="12"/>
                <c:pt idx="0">
                  <c:v>110158.92000000004</c:v>
                </c:pt>
                <c:pt idx="1">
                  <c:v>243558.84000000008</c:v>
                </c:pt>
                <c:pt idx="2">
                  <c:v>412132.12000000011</c:v>
                </c:pt>
                <c:pt idx="3">
                  <c:v>499616.64000000013</c:v>
                </c:pt>
                <c:pt idx="4">
                  <c:v>541270.08000000007</c:v>
                </c:pt>
                <c:pt idx="5">
                  <c:v>608200.72000000009</c:v>
                </c:pt>
                <c:pt idx="6">
                  <c:v>615590.4800000001</c:v>
                </c:pt>
                <c:pt idx="7">
                  <c:v>619423.56000000006</c:v>
                </c:pt>
                <c:pt idx="8">
                  <c:v>667582.32000000007</c:v>
                </c:pt>
                <c:pt idx="9">
                  <c:v>703878.84000000008</c:v>
                </c:pt>
                <c:pt idx="10">
                  <c:v>734759.96000000008</c:v>
                </c:pt>
                <c:pt idx="11">
                  <c:v>723973.92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'Electricity Data'!$U$4</c:f>
              <c:strCache>
                <c:ptCount val="1"/>
                <c:pt idx="0">
                  <c:v>In Month Cumulative (Kwh)</c:v>
                </c:pt>
              </c:strCache>
            </c:strRef>
          </c:tx>
          <c:spPr>
            <a:ln>
              <a:solidFill>
                <a:srgbClr val="F79646"/>
              </a:solidFill>
            </a:ln>
          </c:spPr>
          <c:val>
            <c:numRef>
              <c:f>'Electricity Data'!$U$5:$U$16</c:f>
              <c:numCache>
                <c:formatCode>#,##0</c:formatCode>
                <c:ptCount val="12"/>
                <c:pt idx="0">
                  <c:v>65567</c:v>
                </c:pt>
                <c:pt idx="1">
                  <c:v>152975</c:v>
                </c:pt>
                <c:pt idx="2">
                  <c:v>271133</c:v>
                </c:pt>
                <c:pt idx="3">
                  <c:v>386479</c:v>
                </c:pt>
                <c:pt idx="4">
                  <c:v>460075</c:v>
                </c:pt>
                <c:pt idx="5">
                  <c:v>532719</c:v>
                </c:pt>
                <c:pt idx="6">
                  <c:v>542744</c:v>
                </c:pt>
                <c:pt idx="7">
                  <c:v>578565</c:v>
                </c:pt>
                <c:pt idx="8">
                  <c:v>652551</c:v>
                </c:pt>
                <c:pt idx="9">
                  <c:v>724382</c:v>
                </c:pt>
                <c:pt idx="10">
                  <c:v>749799</c:v>
                </c:pt>
                <c:pt idx="11">
                  <c:v>726608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7808032"/>
        <c:axId val="287808424"/>
      </c:lineChart>
      <c:catAx>
        <c:axId val="28780803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87808424"/>
        <c:crosses val="autoZero"/>
        <c:auto val="1"/>
        <c:lblAlgn val="ctr"/>
        <c:lblOffset val="100"/>
        <c:noMultiLvlLbl val="0"/>
      </c:catAx>
      <c:valAx>
        <c:axId val="287808424"/>
        <c:scaling>
          <c:orientation val="minMax"/>
          <c:max val="800000"/>
          <c:min val="-100000"/>
        </c:scaling>
        <c:delete val="0"/>
        <c:axPos val="l"/>
        <c:majorGridlines/>
        <c:numFmt formatCode="#,##0" sourceLinked="1"/>
        <c:majorTickMark val="out"/>
        <c:minorTickMark val="in"/>
        <c:tickLblPos val="nextTo"/>
        <c:crossAx val="2878080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8760364213732539"/>
          <c:y val="0.32603188457034271"/>
          <c:w val="0.28935109037296264"/>
          <c:h val="0.19350763417813818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2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 sz="1400"/>
              <a:t>Domestic Water Consumption m3 2015 Versus 2014</a:t>
            </a:r>
          </a:p>
        </c:rich>
      </c:tx>
      <c:layout>
        <c:manualLayout>
          <c:xMode val="edge"/>
          <c:yMode val="edge"/>
          <c:x val="0.27656657750317098"/>
          <c:y val="2.76496637272042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651011267545038"/>
          <c:y val="0.12596026966391599"/>
          <c:w val="0.62891577982680891"/>
          <c:h val="0.7880196152848011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'D Water Data'!$I$4</c:f>
              <c:strCache>
                <c:ptCount val="1"/>
                <c:pt idx="0">
                  <c:v>Target 2015 (4%)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  <a:alpha val="72000"/>
              </a:schemeClr>
            </a:solidFill>
            <a:ln w="25400">
              <a:noFill/>
              <a:prstDash val="solid"/>
            </a:ln>
          </c:spPr>
          <c:invertIfNegative val="0"/>
          <c:cat>
            <c:strRef>
              <c:f>'D Water Data'!$B$5:$B$16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 Water Data'!$I$5:$I$16</c:f>
              <c:numCache>
                <c:formatCode>#,##0</c:formatCode>
                <c:ptCount val="12"/>
                <c:pt idx="0">
                  <c:v>3867.84</c:v>
                </c:pt>
                <c:pt idx="1">
                  <c:v>2313.6</c:v>
                </c:pt>
                <c:pt idx="2">
                  <c:v>2103.36</c:v>
                </c:pt>
                <c:pt idx="3">
                  <c:v>2256</c:v>
                </c:pt>
                <c:pt idx="4">
                  <c:v>2469.12</c:v>
                </c:pt>
                <c:pt idx="5">
                  <c:v>2175.36</c:v>
                </c:pt>
                <c:pt idx="6">
                  <c:v>2120.64</c:v>
                </c:pt>
                <c:pt idx="7">
                  <c:v>2653.44</c:v>
                </c:pt>
                <c:pt idx="8">
                  <c:v>2513.2800000000002</c:v>
                </c:pt>
                <c:pt idx="9">
                  <c:v>1709.76</c:v>
                </c:pt>
                <c:pt idx="10">
                  <c:v>2581.44</c:v>
                </c:pt>
                <c:pt idx="11">
                  <c:v>2081.2800000000002</c:v>
                </c:pt>
              </c:numCache>
            </c:numRef>
          </c:val>
        </c:ser>
        <c:ser>
          <c:idx val="2"/>
          <c:order val="1"/>
          <c:tx>
            <c:strRef>
              <c:f>'D Water Data'!$J$4</c:f>
              <c:strCache>
                <c:ptCount val="1"/>
                <c:pt idx="0">
                  <c:v>Stretch Target (5%)</c:v>
                </c:pt>
              </c:strCache>
            </c:strRef>
          </c:tx>
          <c:invertIfNegative val="0"/>
          <c:val>
            <c:numRef>
              <c:f>'D Water Data'!$J$5:$J$16</c:f>
              <c:numCache>
                <c:formatCode>#,##0</c:formatCode>
                <c:ptCount val="12"/>
                <c:pt idx="0">
                  <c:v>3827.55</c:v>
                </c:pt>
                <c:pt idx="1">
                  <c:v>2289.5</c:v>
                </c:pt>
                <c:pt idx="2">
                  <c:v>2081.4499999999998</c:v>
                </c:pt>
                <c:pt idx="3">
                  <c:v>2232.5</c:v>
                </c:pt>
                <c:pt idx="4">
                  <c:v>2443.4</c:v>
                </c:pt>
                <c:pt idx="5">
                  <c:v>2152.6999999999998</c:v>
                </c:pt>
                <c:pt idx="6">
                  <c:v>2098.5500000000002</c:v>
                </c:pt>
                <c:pt idx="7">
                  <c:v>2625.8</c:v>
                </c:pt>
                <c:pt idx="8">
                  <c:v>2487.1</c:v>
                </c:pt>
                <c:pt idx="9">
                  <c:v>1691.95</c:v>
                </c:pt>
                <c:pt idx="10">
                  <c:v>2554.5500000000002</c:v>
                </c:pt>
                <c:pt idx="11">
                  <c:v>2059.6</c:v>
                </c:pt>
              </c:numCache>
            </c:numRef>
          </c:val>
        </c:ser>
        <c:ser>
          <c:idx val="1"/>
          <c:order val="2"/>
          <c:tx>
            <c:strRef>
              <c:f>'D Water Data'!$K$4</c:f>
              <c:strCache>
                <c:ptCount val="1"/>
                <c:pt idx="0">
                  <c:v>Actual 2015 (m3)</c:v>
                </c:pt>
              </c:strCache>
            </c:strRef>
          </c:tx>
          <c:spPr>
            <a:solidFill>
              <a:schemeClr val="accent1"/>
            </a:solidFill>
            <a:ln w="41275" cap="rnd" cmpd="sng">
              <a:noFill/>
              <a:prstDash val="sysDash"/>
            </a:ln>
          </c:spPr>
          <c:invertIfNegative val="0"/>
          <c:cat>
            <c:strRef>
              <c:f>'D Water Data'!$B$5:$B$16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 Water Data'!$K$5:$K$16</c:f>
              <c:numCache>
                <c:formatCode>#,##0</c:formatCode>
                <c:ptCount val="12"/>
                <c:pt idx="0">
                  <c:v>2732.25</c:v>
                </c:pt>
                <c:pt idx="1">
                  <c:v>2059</c:v>
                </c:pt>
                <c:pt idx="2">
                  <c:v>2401</c:v>
                </c:pt>
                <c:pt idx="3">
                  <c:v>2593</c:v>
                </c:pt>
                <c:pt idx="4">
                  <c:v>2325</c:v>
                </c:pt>
                <c:pt idx="5">
                  <c:v>2191</c:v>
                </c:pt>
                <c:pt idx="6">
                  <c:v>2275</c:v>
                </c:pt>
                <c:pt idx="7">
                  <c:v>1924</c:v>
                </c:pt>
                <c:pt idx="8">
                  <c:v>1923</c:v>
                </c:pt>
                <c:pt idx="9">
                  <c:v>2422</c:v>
                </c:pt>
                <c:pt idx="10">
                  <c:v>1940</c:v>
                </c:pt>
                <c:pt idx="11">
                  <c:v>2575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87809208"/>
        <c:axId val="287809600"/>
      </c:barChart>
      <c:catAx>
        <c:axId val="287809208"/>
        <c:scaling>
          <c:orientation val="minMax"/>
        </c:scaling>
        <c:delete val="0"/>
        <c:axPos val="b"/>
        <c:title>
          <c:tx>
            <c:strRef>
              <c:f>'D Water Chart'!$M$3</c:f>
              <c:strCache>
                <c:ptCount val="1"/>
              </c:strCache>
            </c:strRef>
          </c:tx>
          <c:layout>
            <c:manualLayout>
              <c:xMode val="edge"/>
              <c:yMode val="edge"/>
              <c:x val="5.0694233292097386E-2"/>
              <c:y val="0.49308823919574518"/>
            </c:manualLayout>
          </c:layout>
          <c:overlay val="0"/>
          <c:spPr>
            <a:noFill/>
            <a:ln w="25400">
              <a:noFill/>
            </a:ln>
          </c:spPr>
          <c:txPr>
            <a:bodyPr/>
            <a:lstStyle/>
            <a:p>
              <a:pPr>
                <a:defRPr sz="1050" b="1" i="0" u="none" strike="noStrike" baseline="0">
                  <a:solidFill>
                    <a:srgbClr val="000000"/>
                  </a:solidFill>
                  <a:latin typeface="Arial"/>
                  <a:ea typeface="Arial"/>
                  <a:cs typeface="Arial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87809600"/>
        <c:crosses val="autoZero"/>
        <c:auto val="1"/>
        <c:lblAlgn val="ctr"/>
        <c:lblOffset val="100"/>
        <c:noMultiLvlLbl val="0"/>
      </c:catAx>
      <c:valAx>
        <c:axId val="287809600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87809208"/>
        <c:crosses val="autoZero"/>
        <c:crossBetween val="between"/>
        <c:dispUnits>
          <c:builtInUnit val="thousands"/>
          <c:dispUnitsLbl/>
        </c:dispUnits>
      </c:valAx>
    </c:plotArea>
    <c:legend>
      <c:legendPos val="r"/>
      <c:layout>
        <c:manualLayout>
          <c:xMode val="edge"/>
          <c:yMode val="edge"/>
          <c:x val="0.80297550692149244"/>
          <c:y val="0.29291008412437347"/>
          <c:w val="0.13503019922007969"/>
          <c:h val="0.12747832144770518"/>
        </c:manualLayout>
      </c:layout>
      <c:overlay val="0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 sz="1400"/>
              <a:t>Domestic Water Consumption: m3 Used per Productive Hour Booked (2015 Vs 2014)</a:t>
            </a:r>
          </a:p>
        </c:rich>
      </c:tx>
      <c:layout>
        <c:manualLayout>
          <c:xMode val="edge"/>
          <c:yMode val="edge"/>
          <c:x val="0.15825675746643494"/>
          <c:y val="1.969043885100842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651011267545038"/>
          <c:y val="0.12596026966391599"/>
          <c:w val="0.63086367322912029"/>
          <c:h val="0.7959790183129124"/>
        </c:manualLayout>
      </c:layout>
      <c:barChart>
        <c:barDir val="col"/>
        <c:grouping val="clustered"/>
        <c:varyColors val="0"/>
        <c:ser>
          <c:idx val="2"/>
          <c:order val="0"/>
          <c:tx>
            <c:strRef>
              <c:f>'D Water Data'!$H$4</c:f>
              <c:strCache>
                <c:ptCount val="1"/>
                <c:pt idx="0">
                  <c:v>m3 per Standard Hour Booked 2014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 w="25400">
              <a:noFill/>
            </a:ln>
          </c:spPr>
          <c:invertIfNegative val="0"/>
          <c:val>
            <c:numRef>
              <c:f>'D Water Data'!$H$5:$H$16</c:f>
              <c:numCache>
                <c:formatCode>#,##0.000</c:formatCode>
                <c:ptCount val="12"/>
                <c:pt idx="0">
                  <c:v>0.46267799724391362</c:v>
                </c:pt>
                <c:pt idx="1">
                  <c:v>0.18784099766173032</c:v>
                </c:pt>
                <c:pt idx="2">
                  <c:v>0.13717756073127974</c:v>
                </c:pt>
                <c:pt idx="3">
                  <c:v>0.34558823529411764</c:v>
                </c:pt>
                <c:pt idx="4">
                  <c:v>0.28565082185695245</c:v>
                </c:pt>
                <c:pt idx="5">
                  <c:v>0.16996699669966997</c:v>
                </c:pt>
                <c:pt idx="6">
                  <c:v>0.20755426101663066</c:v>
                </c:pt>
                <c:pt idx="7">
                  <c:v>0.47046808510638299</c:v>
                </c:pt>
                <c:pt idx="8">
                  <c:v>0.20937300063979528</c:v>
                </c:pt>
                <c:pt idx="9">
                  <c:v>0.13424285821964271</c:v>
                </c:pt>
                <c:pt idx="10">
                  <c:v>0.16008811097219741</c:v>
                </c:pt>
                <c:pt idx="11">
                  <c:v>0.12835997631734755</c:v>
                </c:pt>
              </c:numCache>
            </c:numRef>
          </c:val>
        </c:ser>
        <c:ser>
          <c:idx val="1"/>
          <c:order val="1"/>
          <c:tx>
            <c:strRef>
              <c:f>'D Water Data'!$O$4</c:f>
              <c:strCache>
                <c:ptCount val="1"/>
                <c:pt idx="0">
                  <c:v>m3 per Standard Hour Booked 2015</c:v>
                </c:pt>
              </c:strCache>
            </c:strRef>
          </c:tx>
          <c:spPr>
            <a:solidFill>
              <a:schemeClr val="accent1"/>
            </a:solidFill>
            <a:ln w="41275" cap="rnd" cmpd="sng">
              <a:noFill/>
              <a:prstDash val="sysDash"/>
            </a:ln>
          </c:spPr>
          <c:invertIfNegative val="0"/>
          <c:cat>
            <c:strRef>
              <c:f>'D Water Data'!$B$5:$B$16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 Water Data'!$O$5:$O$16</c:f>
              <c:numCache>
                <c:formatCode>#,##0.000</c:formatCode>
                <c:ptCount val="12"/>
                <c:pt idx="0">
                  <c:v>0.28882135306553913</c:v>
                </c:pt>
                <c:pt idx="1">
                  <c:v>0.15693597560975608</c:v>
                </c:pt>
                <c:pt idx="2">
                  <c:v>0.16955017301038061</c:v>
                </c:pt>
                <c:pt idx="3">
                  <c:v>0.26715433752318152</c:v>
                </c:pt>
                <c:pt idx="4">
                  <c:v>0.19041769041769041</c:v>
                </c:pt>
                <c:pt idx="5">
                  <c:v>0.14500330906684314</c:v>
                </c:pt>
                <c:pt idx="6">
                  <c:v>0.18489921976592977</c:v>
                </c:pt>
                <c:pt idx="7">
                  <c:v>0.43529411764705883</c:v>
                </c:pt>
                <c:pt idx="8">
                  <c:v>0.13683910908702768</c:v>
                </c:pt>
                <c:pt idx="9">
                  <c:v>0.2015813566375364</c:v>
                </c:pt>
                <c:pt idx="10">
                  <c:v>0.16929924077144604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87807640"/>
        <c:axId val="288194008"/>
      </c:barChart>
      <c:catAx>
        <c:axId val="287807640"/>
        <c:scaling>
          <c:orientation val="minMax"/>
        </c:scaling>
        <c:delete val="0"/>
        <c:axPos val="b"/>
        <c:title>
          <c:tx>
            <c:strRef>
              <c:f>'D Water Chart'!$M$3</c:f>
              <c:strCache>
                <c:ptCount val="1"/>
              </c:strCache>
            </c:strRef>
          </c:tx>
          <c:layout>
            <c:manualLayout>
              <c:xMode val="edge"/>
              <c:yMode val="edge"/>
              <c:x val="6.5767315350261354E-2"/>
              <c:y val="0.49308823919574518"/>
            </c:manualLayout>
          </c:layout>
          <c:overlay val="0"/>
          <c:spPr>
            <a:noFill/>
            <a:ln w="25400">
              <a:noFill/>
            </a:ln>
          </c:spPr>
          <c:txPr>
            <a:bodyPr/>
            <a:lstStyle/>
            <a:p>
              <a:pPr>
                <a:defRPr sz="1050" b="1" i="0" u="none" strike="noStrike" baseline="0">
                  <a:solidFill>
                    <a:srgbClr val="000000"/>
                  </a:solidFill>
                  <a:latin typeface="Arial"/>
                  <a:ea typeface="Arial"/>
                  <a:cs typeface="Arial"/>
                </a:defRPr>
              </a:pPr>
              <a:endParaRPr lang="en-US"/>
            </a:p>
          </c:txPr>
        </c:title>
        <c:numFmt formatCode="dd\-mmm\-yy" sourceLinked="1"/>
        <c:majorTickMark val="out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88194008"/>
        <c:crosses val="autoZero"/>
        <c:auto val="1"/>
        <c:lblAlgn val="ctr"/>
        <c:lblOffset val="100"/>
        <c:noMultiLvlLbl val="0"/>
      </c:catAx>
      <c:valAx>
        <c:axId val="288194008"/>
        <c:scaling>
          <c:orientation val="minMax"/>
        </c:scaling>
        <c:delete val="0"/>
        <c:axPos val="l"/>
        <c:numFmt formatCode="#,##0.000" sourceLinked="1"/>
        <c:majorTickMark val="out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87807640"/>
        <c:crosses val="autoZero"/>
        <c:crossBetween val="between"/>
        <c:minorUnit val="5.000000000000001E-2"/>
      </c:valAx>
    </c:plotArea>
    <c:legend>
      <c:legendPos val="r"/>
      <c:layout>
        <c:manualLayout>
          <c:xMode val="edge"/>
          <c:yMode val="edge"/>
          <c:x val="0.75346137267758406"/>
          <c:y val="0.19739824238991852"/>
          <c:w val="0.24535377635905592"/>
          <c:h val="0.17428111775594801"/>
        </c:manualLayout>
      </c:layout>
      <c:overlay val="0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  <c:userShapes r:id="rId2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GB"/>
              <a:t>2015 Target</a:t>
            </a:r>
            <a:r>
              <a:rPr lang="en-GB" baseline="0"/>
              <a:t> Achievement Chart 4%</a:t>
            </a:r>
            <a:endParaRPr lang="en-GB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'D Water Data'!$Q$4</c:f>
              <c:strCache>
                <c:ptCount val="1"/>
                <c:pt idx="0">
                  <c:v>Cumulative Target Saving (m3)</c:v>
                </c:pt>
              </c:strCache>
            </c:strRef>
          </c:tx>
          <c:cat>
            <c:strRef>
              <c:f>'D Water Data'!$B$5:$B$16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 Water Data'!$Q$5:$Q$16</c:f>
              <c:numCache>
                <c:formatCode>#,##0</c:formatCode>
                <c:ptCount val="12"/>
                <c:pt idx="0">
                  <c:v>-1324.8400000000001</c:v>
                </c:pt>
                <c:pt idx="1">
                  <c:v>-1041.44</c:v>
                </c:pt>
                <c:pt idx="2">
                  <c:v>-617.80000000000018</c:v>
                </c:pt>
                <c:pt idx="3">
                  <c:v>-518.80000000000018</c:v>
                </c:pt>
                <c:pt idx="4">
                  <c:v>-101.92000000000007</c:v>
                </c:pt>
                <c:pt idx="5">
                  <c:v>692.7199999999998</c:v>
                </c:pt>
                <c:pt idx="6">
                  <c:v>727.07999999999993</c:v>
                </c:pt>
                <c:pt idx="7">
                  <c:v>184.63999999999987</c:v>
                </c:pt>
                <c:pt idx="8">
                  <c:v>-363.64000000000033</c:v>
                </c:pt>
                <c:pt idx="9">
                  <c:v>862.59999999999968</c:v>
                </c:pt>
                <c:pt idx="10">
                  <c:v>737.15999999999963</c:v>
                </c:pt>
                <c:pt idx="11">
                  <c:v>3554.8799999999992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'D Water Data'!$T$4</c:f>
              <c:strCache>
                <c:ptCount val="1"/>
                <c:pt idx="0">
                  <c:v>In Month Gap Cumulative (m3)</c:v>
                </c:pt>
              </c:strCache>
            </c:strRef>
          </c:tx>
          <c:spPr>
            <a:ln w="22225">
              <a:solidFill>
                <a:srgbClr val="F79646">
                  <a:lumMod val="75000"/>
                </a:srgbClr>
              </a:solidFill>
            </a:ln>
          </c:spPr>
          <c:trendline>
            <c:spPr>
              <a:ln>
                <a:noFill/>
              </a:ln>
            </c:spPr>
            <c:trendlineType val="movingAvg"/>
            <c:period val="2"/>
            <c:dispRSqr val="0"/>
            <c:dispEq val="0"/>
          </c:trendline>
          <c:val>
            <c:numRef>
              <c:f>'D Water Data'!$T$5:$T$16</c:f>
              <c:numCache>
                <c:formatCode>#,##0</c:formatCode>
                <c:ptCount val="12"/>
                <c:pt idx="0">
                  <c:v>-189.25</c:v>
                </c:pt>
                <c:pt idx="1">
                  <c:v>348.75</c:v>
                </c:pt>
                <c:pt idx="2">
                  <c:v>474.75</c:v>
                </c:pt>
                <c:pt idx="3">
                  <c:v>236.75</c:v>
                </c:pt>
                <c:pt idx="4">
                  <c:v>797.75</c:v>
                </c:pt>
                <c:pt idx="5">
                  <c:v>1576.75</c:v>
                </c:pt>
                <c:pt idx="6">
                  <c:v>1456.75</c:v>
                </c:pt>
                <c:pt idx="7">
                  <c:v>1643.75</c:v>
                </c:pt>
                <c:pt idx="8">
                  <c:v>1685.75</c:v>
                </c:pt>
                <c:pt idx="9">
                  <c:v>2199.75</c:v>
                </c:pt>
                <c:pt idx="10">
                  <c:v>2715.75</c:v>
                </c:pt>
                <c:pt idx="11">
                  <c:v>5039.75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8194792"/>
        <c:axId val="288195184"/>
      </c:lineChart>
      <c:catAx>
        <c:axId val="2881947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88195184"/>
        <c:crosses val="autoZero"/>
        <c:auto val="1"/>
        <c:lblAlgn val="ctr"/>
        <c:lblOffset val="100"/>
        <c:noMultiLvlLbl val="0"/>
      </c:catAx>
      <c:valAx>
        <c:axId val="288195184"/>
        <c:scaling>
          <c:orientation val="minMax"/>
          <c:max val="1700"/>
        </c:scaling>
        <c:delete val="0"/>
        <c:axPos val="l"/>
        <c:majorGridlines/>
        <c:numFmt formatCode="#,##0" sourceLinked="1"/>
        <c:majorTickMark val="out"/>
        <c:minorTickMark val="in"/>
        <c:tickLblPos val="nextTo"/>
        <c:crossAx val="2881947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8760364213732539"/>
          <c:y val="0.32603188457034271"/>
          <c:w val="0.28935109037296264"/>
          <c:h val="0.19350763417813818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2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 sz="1400"/>
              <a:t>Waste Consumption Tonnes 2015 Versus 2014</a:t>
            </a:r>
          </a:p>
        </c:rich>
      </c:tx>
      <c:layout>
        <c:manualLayout>
          <c:xMode val="edge"/>
          <c:yMode val="edge"/>
          <c:x val="0.27656657750317098"/>
          <c:y val="2.76496637272042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651011267545038"/>
          <c:y val="0.12596026966391599"/>
          <c:w val="0.62891577982680891"/>
          <c:h val="0.7880196152848011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'Waste Data'!$I$4</c:f>
              <c:strCache>
                <c:ptCount val="1"/>
                <c:pt idx="0">
                  <c:v>Target 2015 (4%)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  <a:alpha val="72000"/>
              </a:schemeClr>
            </a:solidFill>
            <a:ln w="25400">
              <a:noFill/>
              <a:prstDash val="solid"/>
            </a:ln>
          </c:spPr>
          <c:invertIfNegative val="0"/>
          <c:cat>
            <c:strRef>
              <c:f>'Waste Data'!$B$5:$B$16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'Waste Data'!$I$5:$I$16</c:f>
              <c:numCache>
                <c:formatCode>#,##0</c:formatCode>
                <c:ptCount val="12"/>
                <c:pt idx="0">
                  <c:v>27.955200000000001</c:v>
                </c:pt>
                <c:pt idx="1">
                  <c:v>20.428800000000003</c:v>
                </c:pt>
                <c:pt idx="2">
                  <c:v>48.057600000000001</c:v>
                </c:pt>
                <c:pt idx="3">
                  <c:v>52.089599999999997</c:v>
                </c:pt>
                <c:pt idx="4">
                  <c:v>30.9696</c:v>
                </c:pt>
                <c:pt idx="5">
                  <c:v>15.801600000000001</c:v>
                </c:pt>
                <c:pt idx="6">
                  <c:v>28.665599999999998</c:v>
                </c:pt>
                <c:pt idx="7">
                  <c:v>20.3904</c:v>
                </c:pt>
                <c:pt idx="8">
                  <c:v>29.0016</c:v>
                </c:pt>
                <c:pt idx="9">
                  <c:v>44.88</c:v>
                </c:pt>
                <c:pt idx="10">
                  <c:v>23.183999999999997</c:v>
                </c:pt>
                <c:pt idx="11">
                  <c:v>14.956799999999999</c:v>
                </c:pt>
              </c:numCache>
            </c:numRef>
          </c:val>
        </c:ser>
        <c:ser>
          <c:idx val="2"/>
          <c:order val="1"/>
          <c:tx>
            <c:strRef>
              <c:f>'Waste Data'!$J$4</c:f>
              <c:strCache>
                <c:ptCount val="1"/>
                <c:pt idx="0">
                  <c:v>Stretch Target (4%)</c:v>
                </c:pt>
              </c:strCache>
            </c:strRef>
          </c:tx>
          <c:invertIfNegative val="0"/>
          <c:val>
            <c:numRef>
              <c:f>'Waste Data'!$J$5:$J$16</c:f>
              <c:numCache>
                <c:formatCode>#,##0</c:formatCode>
                <c:ptCount val="12"/>
                <c:pt idx="0">
                  <c:v>27.955200000000001</c:v>
                </c:pt>
                <c:pt idx="1">
                  <c:v>20.428800000000003</c:v>
                </c:pt>
                <c:pt idx="2">
                  <c:v>48.057600000000001</c:v>
                </c:pt>
                <c:pt idx="3">
                  <c:v>52.089599999999997</c:v>
                </c:pt>
                <c:pt idx="4">
                  <c:v>30.9696</c:v>
                </c:pt>
                <c:pt idx="5">
                  <c:v>15.801600000000001</c:v>
                </c:pt>
                <c:pt idx="6">
                  <c:v>28.665599999999998</c:v>
                </c:pt>
                <c:pt idx="7">
                  <c:v>20.3904</c:v>
                </c:pt>
                <c:pt idx="8">
                  <c:v>29.0016</c:v>
                </c:pt>
                <c:pt idx="9">
                  <c:v>44.88</c:v>
                </c:pt>
                <c:pt idx="10">
                  <c:v>23.183999999999997</c:v>
                </c:pt>
                <c:pt idx="11">
                  <c:v>14.956799999999999</c:v>
                </c:pt>
              </c:numCache>
            </c:numRef>
          </c:val>
        </c:ser>
        <c:ser>
          <c:idx val="1"/>
          <c:order val="2"/>
          <c:tx>
            <c:strRef>
              <c:f>'Waste Data'!$K$4</c:f>
              <c:strCache>
                <c:ptCount val="1"/>
                <c:pt idx="0">
                  <c:v>Actual 2015</c:v>
                </c:pt>
              </c:strCache>
            </c:strRef>
          </c:tx>
          <c:spPr>
            <a:solidFill>
              <a:schemeClr val="accent1"/>
            </a:solidFill>
            <a:ln w="41275" cap="rnd" cmpd="sng">
              <a:noFill/>
              <a:prstDash val="sysDash"/>
            </a:ln>
          </c:spPr>
          <c:invertIfNegative val="0"/>
          <c:cat>
            <c:strRef>
              <c:f>'Waste Data'!$B$5:$B$16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'Waste Data'!$K$5:$K$16</c:f>
              <c:numCache>
                <c:formatCode>#,##0</c:formatCode>
                <c:ptCount val="12"/>
                <c:pt idx="0">
                  <c:v>20.02</c:v>
                </c:pt>
                <c:pt idx="1">
                  <c:v>14.87</c:v>
                </c:pt>
                <c:pt idx="2">
                  <c:v>17.829999999999998</c:v>
                </c:pt>
                <c:pt idx="3">
                  <c:v>30.8</c:v>
                </c:pt>
                <c:pt idx="4">
                  <c:v>37.79</c:v>
                </c:pt>
                <c:pt idx="5">
                  <c:v>44.64</c:v>
                </c:pt>
                <c:pt idx="6">
                  <c:v>26.06</c:v>
                </c:pt>
                <c:pt idx="7">
                  <c:v>27.93</c:v>
                </c:pt>
                <c:pt idx="8">
                  <c:v>139.93</c:v>
                </c:pt>
                <c:pt idx="9">
                  <c:v>23.79</c:v>
                </c:pt>
                <c:pt idx="10">
                  <c:v>28.13</c:v>
                </c:pt>
                <c:pt idx="11">
                  <c:v>29.76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88195968"/>
        <c:axId val="288196360"/>
      </c:barChart>
      <c:catAx>
        <c:axId val="2881959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Tonne</a:t>
                </a:r>
              </a:p>
            </c:rich>
          </c:tx>
          <c:layout>
            <c:manualLayout>
              <c:xMode val="edge"/>
              <c:yMode val="edge"/>
              <c:x val="2.0833364728930413E-2"/>
              <c:y val="0.49308830723550157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88196360"/>
        <c:crosses val="autoZero"/>
        <c:auto val="1"/>
        <c:lblAlgn val="ctr"/>
        <c:lblOffset val="100"/>
        <c:noMultiLvlLbl val="0"/>
      </c:catAx>
      <c:valAx>
        <c:axId val="288196360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881959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0297550692149244"/>
          <c:y val="0.29291008412437347"/>
          <c:w val="0.13503019922007969"/>
          <c:h val="0.12747832144770518"/>
        </c:manualLayout>
      </c:layout>
      <c:overlay val="0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 sz="1400"/>
              <a:t>Waste Consumption: Kg used per Productive Hour Booked (2015 Vs 2014)</a:t>
            </a:r>
          </a:p>
        </c:rich>
      </c:tx>
      <c:layout>
        <c:manualLayout>
          <c:xMode val="edge"/>
          <c:yMode val="edge"/>
          <c:x val="0.15825675746643494"/>
          <c:y val="1.969043885100842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651011267545038"/>
          <c:y val="0.12596026966391599"/>
          <c:w val="0.65689404946574248"/>
          <c:h val="0.78801961528480113"/>
        </c:manualLayout>
      </c:layout>
      <c:barChart>
        <c:barDir val="col"/>
        <c:grouping val="clustered"/>
        <c:varyColors val="0"/>
        <c:ser>
          <c:idx val="2"/>
          <c:order val="0"/>
          <c:tx>
            <c:strRef>
              <c:f>'Waste Data'!$H$4</c:f>
              <c:strCache>
                <c:ptCount val="1"/>
                <c:pt idx="0">
                  <c:v>Kg per Standard Hour Booked 2014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 w="25400">
              <a:noFill/>
            </a:ln>
          </c:spPr>
          <c:invertIfNegative val="0"/>
          <c:dLbls>
            <c:numFmt formatCode="#,##0.0000" sourceLinked="0"/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'Waste Data'!$H$5:$H$16</c:f>
              <c:numCache>
                <c:formatCode>#,##0.0000</c:formatCode>
                <c:ptCount val="12"/>
                <c:pt idx="0">
                  <c:v>3.344051446945338</c:v>
                </c:pt>
                <c:pt idx="1">
                  <c:v>1.6586126266562744</c:v>
                </c:pt>
                <c:pt idx="2">
                  <c:v>3.1342349110944152</c:v>
                </c:pt>
                <c:pt idx="3">
                  <c:v>7.9794117647058824</c:v>
                </c:pt>
                <c:pt idx="4">
                  <c:v>3.5828520657485559</c:v>
                </c:pt>
                <c:pt idx="5">
                  <c:v>1.2346234623462347</c:v>
                </c:pt>
                <c:pt idx="6">
                  <c:v>2.8055999248332237</c:v>
                </c:pt>
                <c:pt idx="7">
                  <c:v>3.61531914893617</c:v>
                </c:pt>
                <c:pt idx="8">
                  <c:v>2.4160268714011517</c:v>
                </c:pt>
                <c:pt idx="9">
                  <c:v>3.5237808095273988</c:v>
                </c:pt>
                <c:pt idx="10">
                  <c:v>1.4377567422754063</c:v>
                </c:pt>
                <c:pt idx="11">
                  <c:v>0.9224393132030787</c:v>
                </c:pt>
              </c:numCache>
            </c:numRef>
          </c:val>
        </c:ser>
        <c:ser>
          <c:idx val="1"/>
          <c:order val="1"/>
          <c:tx>
            <c:strRef>
              <c:f>'Waste Data'!$P$4</c:f>
              <c:strCache>
                <c:ptCount val="1"/>
                <c:pt idx="0">
                  <c:v>Kg per Standard Hour Booked 2015</c:v>
                </c:pt>
              </c:strCache>
            </c:strRef>
          </c:tx>
          <c:spPr>
            <a:solidFill>
              <a:schemeClr val="accent1"/>
            </a:solidFill>
            <a:ln w="41275" cap="rnd" cmpd="sng">
              <a:noFill/>
              <a:prstDash val="sysDash"/>
            </a:ln>
          </c:spPr>
          <c:invertIfNegative val="0"/>
          <c:cat>
            <c:strRef>
              <c:f>'Waste Data'!$B$5:$B$16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'Waste Data'!$P$5:$P$16</c:f>
              <c:numCache>
                <c:formatCode>#,##0.000</c:formatCode>
                <c:ptCount val="12"/>
                <c:pt idx="0">
                  <c:v>2.1162790697674416</c:v>
                </c:pt>
                <c:pt idx="1">
                  <c:v>1.1333841463414633</c:v>
                </c:pt>
                <c:pt idx="2">
                  <c:v>1.2590918720429347</c:v>
                </c:pt>
                <c:pt idx="3">
                  <c:v>3.1732948691531013</c:v>
                </c:pt>
                <c:pt idx="4">
                  <c:v>3.0950040950040951</c:v>
                </c:pt>
                <c:pt idx="5">
                  <c:v>2.9543348775645271</c:v>
                </c:pt>
                <c:pt idx="6">
                  <c:v>2.1180104031209361</c:v>
                </c:pt>
                <c:pt idx="7">
                  <c:v>6.3190045248868776</c:v>
                </c:pt>
                <c:pt idx="8">
                  <c:v>13.382746748278501</c:v>
                </c:pt>
                <c:pt idx="9">
                  <c:v>2.0408338337479628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88197144"/>
        <c:axId val="288197536"/>
      </c:barChart>
      <c:catAx>
        <c:axId val="2881971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Kg</a:t>
                </a:r>
              </a:p>
            </c:rich>
          </c:tx>
          <c:layout>
            <c:manualLayout>
              <c:xMode val="edge"/>
              <c:yMode val="edge"/>
              <c:x val="4.726511334888088E-2"/>
              <c:y val="0.36839222359798457"/>
            </c:manualLayout>
          </c:layout>
          <c:overlay val="0"/>
          <c:spPr>
            <a:noFill/>
            <a:ln w="25400">
              <a:noFill/>
            </a:ln>
          </c:spPr>
        </c:title>
        <c:numFmt formatCode="dd\-mmm\-yy" sourceLinked="1"/>
        <c:majorTickMark val="out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88197536"/>
        <c:crosses val="autoZero"/>
        <c:auto val="1"/>
        <c:lblAlgn val="ctr"/>
        <c:lblOffset val="100"/>
        <c:noMultiLvlLbl val="0"/>
      </c:catAx>
      <c:valAx>
        <c:axId val="288197536"/>
        <c:scaling>
          <c:orientation val="minMax"/>
        </c:scaling>
        <c:delete val="0"/>
        <c:axPos val="l"/>
        <c:numFmt formatCode="#,##0" sourceLinked="0"/>
        <c:majorTickMark val="out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881971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5215984329907304"/>
          <c:y val="0.17882649538599674"/>
          <c:w val="0.24535377635905592"/>
          <c:h val="0.17428111775594801"/>
        </c:manualLayout>
      </c:layout>
      <c:overlay val="0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  <c:userShapes r:id="rId2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GB"/>
              <a:t>2015 Target</a:t>
            </a:r>
            <a:r>
              <a:rPr lang="en-GB" baseline="0"/>
              <a:t> Achievement Chart 4%</a:t>
            </a:r>
            <a:endParaRPr lang="en-GB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'Waste Data'!$R$4</c:f>
              <c:strCache>
                <c:ptCount val="1"/>
                <c:pt idx="0">
                  <c:v>Cumulative Target Saving (T)</c:v>
                </c:pt>
              </c:strCache>
            </c:strRef>
          </c:tx>
          <c:cat>
            <c:strRef>
              <c:f>'Waste Data'!$B$5:$B$16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'Waste Data'!$R$5:$R$16</c:f>
              <c:numCache>
                <c:formatCode>#,##0</c:formatCode>
                <c:ptCount val="12"/>
                <c:pt idx="0">
                  <c:v>20.434799999999999</c:v>
                </c:pt>
                <c:pt idx="1">
                  <c:v>28.515999999999998</c:v>
                </c:pt>
                <c:pt idx="2">
                  <c:v>22.178399999999996</c:v>
                </c:pt>
                <c:pt idx="3">
                  <c:v>61.038800000000002</c:v>
                </c:pt>
                <c:pt idx="4">
                  <c:v>64.549199999999999</c:v>
                </c:pt>
                <c:pt idx="5">
                  <c:v>84.007599999999996</c:v>
                </c:pt>
                <c:pt idx="6">
                  <c:v>78.721999999999994</c:v>
                </c:pt>
                <c:pt idx="7">
                  <c:v>102.7516</c:v>
                </c:pt>
                <c:pt idx="8">
                  <c:v>109.96</c:v>
                </c:pt>
                <c:pt idx="9">
                  <c:v>100.89999999999999</c:v>
                </c:pt>
                <c:pt idx="10">
                  <c:v>145.42599999999999</c:v>
                </c:pt>
                <c:pt idx="11">
                  <c:v>130.4692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'Waste Data'!$U$4</c:f>
              <c:strCache>
                <c:ptCount val="1"/>
                <c:pt idx="0">
                  <c:v>In Month Gap Cumulative (T)</c:v>
                </c:pt>
              </c:strCache>
            </c:strRef>
          </c:tx>
          <c:spPr>
            <a:ln w="22225">
              <a:solidFill>
                <a:srgbClr val="F79646">
                  <a:lumMod val="75000"/>
                </a:srgbClr>
              </a:solidFill>
            </a:ln>
          </c:spPr>
          <c:val>
            <c:numRef>
              <c:f>'Waste Data'!$U$5:$U$16</c:f>
              <c:numCache>
                <c:formatCode>#,##0</c:formatCode>
                <c:ptCount val="12"/>
                <c:pt idx="0">
                  <c:v>28.37</c:v>
                </c:pt>
                <c:pt idx="1">
                  <c:v>42.010000000000005</c:v>
                </c:pt>
                <c:pt idx="2">
                  <c:v>65.900000000000006</c:v>
                </c:pt>
                <c:pt idx="3">
                  <c:v>126.05000000000001</c:v>
                </c:pt>
                <c:pt idx="4">
                  <c:v>122.74000000000001</c:v>
                </c:pt>
                <c:pt idx="5">
                  <c:v>113.36000000000001</c:v>
                </c:pt>
                <c:pt idx="6">
                  <c:v>110.68</c:v>
                </c:pt>
                <c:pt idx="7">
                  <c:v>127.17000000000002</c:v>
                </c:pt>
                <c:pt idx="8">
                  <c:v>23.450000000000017</c:v>
                </c:pt>
                <c:pt idx="9">
                  <c:v>35.480000000000018</c:v>
                </c:pt>
                <c:pt idx="10">
                  <c:v>75.060000000000016</c:v>
                </c:pt>
                <c:pt idx="11">
                  <c:v>45.300000000000011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6991168"/>
        <c:axId val="286991560"/>
      </c:lineChart>
      <c:catAx>
        <c:axId val="2869911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86991560"/>
        <c:crosses val="autoZero"/>
        <c:auto val="1"/>
        <c:lblAlgn val="ctr"/>
        <c:lblOffset val="100"/>
        <c:noMultiLvlLbl val="0"/>
      </c:catAx>
      <c:valAx>
        <c:axId val="286991560"/>
        <c:scaling>
          <c:orientation val="minMax"/>
          <c:max val="180"/>
          <c:min val="-40"/>
        </c:scaling>
        <c:delete val="0"/>
        <c:axPos val="l"/>
        <c:majorGridlines/>
        <c:numFmt formatCode="#,##0" sourceLinked="1"/>
        <c:majorTickMark val="out"/>
        <c:minorTickMark val="in"/>
        <c:tickLblPos val="nextTo"/>
        <c:crossAx val="2869911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8760364213732539"/>
          <c:y val="0.32603188457034271"/>
          <c:w val="0.28935109037296264"/>
          <c:h val="0.19350763417813818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2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/>
              <a:t>2015 Recycling Rate %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'Waste Data'!$L$4</c:f>
              <c:strCache>
                <c:ptCount val="1"/>
                <c:pt idx="0">
                  <c:v>2015 Recycling Rate %</c:v>
                </c:pt>
              </c:strCache>
            </c:strRef>
          </c:tx>
          <c:marker>
            <c:symbol val="none"/>
          </c:marker>
          <c:cat>
            <c:strRef>
              <c:f>'Waste Data'!$B$5:$B$16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'Waste Data'!$L$5:$L$16</c:f>
              <c:numCache>
                <c:formatCode>#,##0</c:formatCode>
                <c:ptCount val="12"/>
                <c:pt idx="0">
                  <c:v>35.46</c:v>
                </c:pt>
                <c:pt idx="1">
                  <c:v>34.700000000000003</c:v>
                </c:pt>
                <c:pt idx="2">
                  <c:v>16.850000000000001</c:v>
                </c:pt>
                <c:pt idx="3">
                  <c:v>74.55</c:v>
                </c:pt>
                <c:pt idx="4">
                  <c:v>74.7</c:v>
                </c:pt>
                <c:pt idx="5">
                  <c:v>81.739999999999995</c:v>
                </c:pt>
                <c:pt idx="6">
                  <c:v>35.04</c:v>
                </c:pt>
                <c:pt idx="7">
                  <c:v>66.52</c:v>
                </c:pt>
                <c:pt idx="8">
                  <c:v>49.75</c:v>
                </c:pt>
                <c:pt idx="9">
                  <c:v>47.5</c:v>
                </c:pt>
                <c:pt idx="10">
                  <c:v>68.69</c:v>
                </c:pt>
                <c:pt idx="11">
                  <c:v>81.819999999999993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86992344"/>
        <c:axId val="286992736"/>
      </c:lineChart>
      <c:catAx>
        <c:axId val="28699234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86992736"/>
        <c:crosses val="autoZero"/>
        <c:auto val="1"/>
        <c:lblAlgn val="ctr"/>
        <c:lblOffset val="100"/>
        <c:noMultiLvlLbl val="0"/>
      </c:catAx>
      <c:valAx>
        <c:axId val="286992736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2869923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4857138146908209"/>
          <c:y val="0.41873177311169435"/>
          <c:w val="0.23398112434522286"/>
          <c:h val="8.3717191601049873E-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image" Target="../media/image1.jpeg"/><Relationship Id="rId1" Type="http://schemas.openxmlformats.org/officeDocument/2006/relationships/chart" Target="../charts/chart1.xml"/><Relationship Id="rId4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2.xml"/><Relationship Id="rId2" Type="http://schemas.openxmlformats.org/officeDocument/2006/relationships/chart" Target="../charts/chart11.xml"/><Relationship Id="rId1" Type="http://schemas.openxmlformats.org/officeDocument/2006/relationships/chart" Target="../charts/chart10.xml"/><Relationship Id="rId4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31750</xdr:colOff>
      <xdr:row>0</xdr:row>
      <xdr:rowOff>10584</xdr:rowOff>
    </xdr:from>
    <xdr:to>
      <xdr:col>15</xdr:col>
      <xdr:colOff>95250</xdr:colOff>
      <xdr:row>30</xdr:row>
      <xdr:rowOff>1</xdr:rowOff>
    </xdr:to>
    <xdr:graphicFrame macro="">
      <xdr:nvGraphicFramePr>
        <xdr:cNvPr id="433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11</xdr:col>
      <xdr:colOff>245533</xdr:colOff>
      <xdr:row>15</xdr:row>
      <xdr:rowOff>123825</xdr:rowOff>
    </xdr:from>
    <xdr:to>
      <xdr:col>14</xdr:col>
      <xdr:colOff>468842</xdr:colOff>
      <xdr:row>24</xdr:row>
      <xdr:rowOff>40217</xdr:rowOff>
    </xdr:to>
    <xdr:pic>
      <xdr:nvPicPr>
        <xdr:cNvPr id="4341" name="Picture 1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09933" y="2646892"/>
          <a:ext cx="1865842" cy="1423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35</xdr:row>
      <xdr:rowOff>52917</xdr:rowOff>
    </xdr:from>
    <xdr:to>
      <xdr:col>15</xdr:col>
      <xdr:colOff>391583</xdr:colOff>
      <xdr:row>64</xdr:row>
      <xdr:rowOff>87841</xdr:rowOff>
    </xdr:to>
    <xdr:graphicFrame macro="">
      <xdr:nvGraphicFramePr>
        <xdr:cNvPr id="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243416</xdr:colOff>
      <xdr:row>66</xdr:row>
      <xdr:rowOff>148166</xdr:rowOff>
    </xdr:from>
    <xdr:to>
      <xdr:col>13</xdr:col>
      <xdr:colOff>359833</xdr:colOff>
      <xdr:row>89</xdr:row>
      <xdr:rowOff>117476</xdr:rowOff>
    </xdr:to>
    <xdr:graphicFrame macro="">
      <xdr:nvGraphicFramePr>
        <xdr:cNvPr id="7" name="Chart 6" title="Target Chart 2014 5%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0.17517</cdr:x>
      <cdr:y>0.09407</cdr:y>
    </cdr:from>
    <cdr:to>
      <cdr:x>0.27999</cdr:x>
      <cdr:y>0.12292</cdr:y>
    </cdr:to>
    <cdr:sp macro="" textlink="">
      <cdr:nvSpPr>
        <cdr:cNvPr id="512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400608" y="544081"/>
          <a:ext cx="838115" cy="1668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GB" sz="975" b="1" i="1" u="none" strike="noStrike" baseline="0">
              <a:solidFill>
                <a:srgbClr val="000000"/>
              </a:solidFill>
              <a:latin typeface="Arial"/>
              <a:cs typeface="Arial"/>
            </a:rPr>
            <a:t>Winter/Spring</a:t>
          </a:r>
        </a:p>
      </cdr:txBody>
    </cdr:sp>
  </cdr:relSizeAnchor>
  <cdr:relSizeAnchor xmlns:cdr="http://schemas.openxmlformats.org/drawingml/2006/chartDrawing">
    <cdr:from>
      <cdr:x>0.64374</cdr:x>
      <cdr:y>0.12731</cdr:y>
    </cdr:from>
    <cdr:to>
      <cdr:x>0.64374</cdr:x>
      <cdr:y>0.91307</cdr:y>
    </cdr:to>
    <cdr:sp macro="" textlink="">
      <cdr:nvSpPr>
        <cdr:cNvPr id="5122" name="Line 2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 flipV="1">
          <a:off x="5895652" y="793779"/>
          <a:ext cx="0" cy="4879809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  <cdr:relSizeAnchor xmlns:cdr="http://schemas.openxmlformats.org/drawingml/2006/chartDrawing">
    <cdr:from>
      <cdr:x>0.3387</cdr:x>
      <cdr:y>0.09407</cdr:y>
    </cdr:from>
    <cdr:to>
      <cdr:x>0.45745</cdr:x>
      <cdr:y>0.12292</cdr:y>
    </cdr:to>
    <cdr:sp macro="" textlink="">
      <cdr:nvSpPr>
        <cdr:cNvPr id="5123" name="Text Box 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708146" y="544081"/>
          <a:ext cx="949491" cy="1668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GB" sz="975" b="1" i="1" u="none" strike="noStrike" baseline="0">
              <a:solidFill>
                <a:srgbClr val="000000"/>
              </a:solidFill>
              <a:latin typeface="Arial"/>
              <a:cs typeface="Arial"/>
            </a:rPr>
            <a:t>Spring/Summer</a:t>
          </a:r>
        </a:p>
      </cdr:txBody>
    </cdr:sp>
  </cdr:relSizeAnchor>
  <cdr:relSizeAnchor xmlns:cdr="http://schemas.openxmlformats.org/drawingml/2006/chartDrawing">
    <cdr:from>
      <cdr:x>0.50891</cdr:x>
      <cdr:y>0.09407</cdr:y>
    </cdr:from>
    <cdr:to>
      <cdr:x>0.6372</cdr:x>
      <cdr:y>0.12292</cdr:y>
    </cdr:to>
    <cdr:sp macro="" textlink="">
      <cdr:nvSpPr>
        <cdr:cNvPr id="5124" name="Text Box 4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069096" y="544081"/>
          <a:ext cx="1025730" cy="1668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GB" sz="975" b="1" i="1" u="none" strike="noStrike" baseline="0">
              <a:solidFill>
                <a:srgbClr val="000000"/>
              </a:solidFill>
              <a:latin typeface="Arial"/>
              <a:cs typeface="Arial"/>
            </a:rPr>
            <a:t>Summer/Autumn</a:t>
          </a:r>
        </a:p>
      </cdr:txBody>
    </cdr:sp>
  </cdr:relSizeAnchor>
  <cdr:relSizeAnchor xmlns:cdr="http://schemas.openxmlformats.org/drawingml/2006/chartDrawing">
    <cdr:from>
      <cdr:x>0.66353</cdr:x>
      <cdr:y>0.09407</cdr:y>
    </cdr:from>
    <cdr:to>
      <cdr:x>0.77789</cdr:x>
      <cdr:y>0.12292</cdr:y>
    </cdr:to>
    <cdr:sp macro="" textlink="">
      <cdr:nvSpPr>
        <cdr:cNvPr id="5125" name="Text Box 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305392" y="544081"/>
          <a:ext cx="914353" cy="1668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GB" sz="975" b="1" i="1" u="none" strike="noStrike" baseline="0">
              <a:solidFill>
                <a:srgbClr val="000000"/>
              </a:solidFill>
              <a:latin typeface="Arial"/>
              <a:cs typeface="Arial"/>
            </a:rPr>
            <a:t>Autumn/Winter</a:t>
          </a:r>
        </a:p>
      </cdr:txBody>
    </cdr:sp>
  </cdr:relSizeAnchor>
  <cdr:relSizeAnchor xmlns:cdr="http://schemas.openxmlformats.org/drawingml/2006/chartDrawing">
    <cdr:from>
      <cdr:x>0.47427</cdr:x>
      <cdr:y>0.12731</cdr:y>
    </cdr:from>
    <cdr:to>
      <cdr:x>0.47427</cdr:x>
      <cdr:y>0.91405</cdr:y>
    </cdr:to>
    <cdr:sp macro="" textlink="">
      <cdr:nvSpPr>
        <cdr:cNvPr id="5126" name="Line 6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 flipV="1">
          <a:off x="4344422" y="793779"/>
          <a:ext cx="0" cy="4885925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  <cdr:relSizeAnchor xmlns:cdr="http://schemas.openxmlformats.org/drawingml/2006/chartDrawing">
    <cdr:from>
      <cdr:x>0.3048</cdr:x>
      <cdr:y>0.12657</cdr:y>
    </cdr:from>
    <cdr:to>
      <cdr:x>0.3048</cdr:x>
      <cdr:y>0.91356</cdr:y>
    </cdr:to>
    <cdr:sp macro="" textlink="">
      <cdr:nvSpPr>
        <cdr:cNvPr id="5127" name="Line 7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 flipV="1">
          <a:off x="2793193" y="789192"/>
          <a:ext cx="0" cy="4887454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0.17517</cdr:x>
      <cdr:y>0.09407</cdr:y>
    </cdr:from>
    <cdr:to>
      <cdr:x>0.27999</cdr:x>
      <cdr:y>0.12292</cdr:y>
    </cdr:to>
    <cdr:sp macro="" textlink="">
      <cdr:nvSpPr>
        <cdr:cNvPr id="512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400608" y="544081"/>
          <a:ext cx="838115" cy="1668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GB" sz="975" b="1" i="1" u="none" strike="noStrike" baseline="0">
              <a:solidFill>
                <a:srgbClr val="000000"/>
              </a:solidFill>
              <a:latin typeface="Arial"/>
              <a:cs typeface="Arial"/>
            </a:rPr>
            <a:t>Winter/Spring</a:t>
          </a:r>
        </a:p>
      </cdr:txBody>
    </cdr:sp>
  </cdr:relSizeAnchor>
  <cdr:relSizeAnchor xmlns:cdr="http://schemas.openxmlformats.org/drawingml/2006/chartDrawing">
    <cdr:from>
      <cdr:x>0.64374</cdr:x>
      <cdr:y>0.12731</cdr:y>
    </cdr:from>
    <cdr:to>
      <cdr:x>0.64374</cdr:x>
      <cdr:y>0.91307</cdr:y>
    </cdr:to>
    <cdr:sp macro="" textlink="">
      <cdr:nvSpPr>
        <cdr:cNvPr id="5122" name="Line 2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 flipV="1">
          <a:off x="5895652" y="793779"/>
          <a:ext cx="0" cy="4879809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  <cdr:relSizeAnchor xmlns:cdr="http://schemas.openxmlformats.org/drawingml/2006/chartDrawing">
    <cdr:from>
      <cdr:x>0.3387</cdr:x>
      <cdr:y>0.09407</cdr:y>
    </cdr:from>
    <cdr:to>
      <cdr:x>0.45745</cdr:x>
      <cdr:y>0.12292</cdr:y>
    </cdr:to>
    <cdr:sp macro="" textlink="">
      <cdr:nvSpPr>
        <cdr:cNvPr id="5123" name="Text Box 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708146" y="544081"/>
          <a:ext cx="949491" cy="1668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GB" sz="975" b="1" i="1" u="none" strike="noStrike" baseline="0">
              <a:solidFill>
                <a:srgbClr val="000000"/>
              </a:solidFill>
              <a:latin typeface="Arial"/>
              <a:cs typeface="Arial"/>
            </a:rPr>
            <a:t>Spring/Summer</a:t>
          </a:r>
        </a:p>
      </cdr:txBody>
    </cdr:sp>
  </cdr:relSizeAnchor>
  <cdr:relSizeAnchor xmlns:cdr="http://schemas.openxmlformats.org/drawingml/2006/chartDrawing">
    <cdr:from>
      <cdr:x>0.50891</cdr:x>
      <cdr:y>0.09407</cdr:y>
    </cdr:from>
    <cdr:to>
      <cdr:x>0.6372</cdr:x>
      <cdr:y>0.12292</cdr:y>
    </cdr:to>
    <cdr:sp macro="" textlink="">
      <cdr:nvSpPr>
        <cdr:cNvPr id="5124" name="Text Box 4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069096" y="544081"/>
          <a:ext cx="1025730" cy="1668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GB" sz="975" b="1" i="1" u="none" strike="noStrike" baseline="0">
              <a:solidFill>
                <a:srgbClr val="000000"/>
              </a:solidFill>
              <a:latin typeface="Arial"/>
              <a:cs typeface="Arial"/>
            </a:rPr>
            <a:t>Summer/Autumn</a:t>
          </a:r>
        </a:p>
      </cdr:txBody>
    </cdr:sp>
  </cdr:relSizeAnchor>
  <cdr:relSizeAnchor xmlns:cdr="http://schemas.openxmlformats.org/drawingml/2006/chartDrawing">
    <cdr:from>
      <cdr:x>0.66353</cdr:x>
      <cdr:y>0.09407</cdr:y>
    </cdr:from>
    <cdr:to>
      <cdr:x>0.77789</cdr:x>
      <cdr:y>0.12292</cdr:y>
    </cdr:to>
    <cdr:sp macro="" textlink="">
      <cdr:nvSpPr>
        <cdr:cNvPr id="5125" name="Text Box 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305392" y="544081"/>
          <a:ext cx="914353" cy="1668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GB" sz="975" b="1" i="1" u="none" strike="noStrike" baseline="0">
              <a:solidFill>
                <a:srgbClr val="000000"/>
              </a:solidFill>
              <a:latin typeface="Arial"/>
              <a:cs typeface="Arial"/>
            </a:rPr>
            <a:t>Autumn/Winter</a:t>
          </a:r>
        </a:p>
      </cdr:txBody>
    </cdr:sp>
  </cdr:relSizeAnchor>
  <cdr:relSizeAnchor xmlns:cdr="http://schemas.openxmlformats.org/drawingml/2006/chartDrawing">
    <cdr:from>
      <cdr:x>0.47427</cdr:x>
      <cdr:y>0.12731</cdr:y>
    </cdr:from>
    <cdr:to>
      <cdr:x>0.47427</cdr:x>
      <cdr:y>0.91405</cdr:y>
    </cdr:to>
    <cdr:sp macro="" textlink="">
      <cdr:nvSpPr>
        <cdr:cNvPr id="5126" name="Line 6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 flipV="1">
          <a:off x="4344422" y="793779"/>
          <a:ext cx="0" cy="4885925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  <cdr:relSizeAnchor xmlns:cdr="http://schemas.openxmlformats.org/drawingml/2006/chartDrawing">
    <cdr:from>
      <cdr:x>0.3048</cdr:x>
      <cdr:y>0.12657</cdr:y>
    </cdr:from>
    <cdr:to>
      <cdr:x>0.3048</cdr:x>
      <cdr:y>0.91356</cdr:y>
    </cdr:to>
    <cdr:sp macro="" textlink="">
      <cdr:nvSpPr>
        <cdr:cNvPr id="5127" name="Line 7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 flipV="1">
          <a:off x="2793193" y="789192"/>
          <a:ext cx="0" cy="4887454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  <cdr:relSizeAnchor xmlns:cdr="http://schemas.openxmlformats.org/drawingml/2006/chartDrawing">
    <cdr:from>
      <cdr:x>0.77646</cdr:x>
      <cdr:y>0.38647</cdr:y>
    </cdr:from>
    <cdr:to>
      <cdr:x>0.96183</cdr:x>
      <cdr:y>0.66969</cdr:y>
    </cdr:to>
    <cdr:pic>
      <cdr:nvPicPr>
        <cdr:cNvPr id="9" name="Picture 8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xmlns:a="http://schemas.openxmlformats.org/drawingml/2006/main"/>
        <a:stretch xmlns:a="http://schemas.openxmlformats.org/drawingml/2006/main">
          <a:fillRect/>
        </a:stretch>
      </cdr:blipFill>
      <cdr:spPr bwMode="auto">
        <a:xfrm xmlns:a="http://schemas.openxmlformats.org/drawingml/2006/main">
          <a:off x="7461517" y="1849984"/>
          <a:ext cx="1781344" cy="135572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cdr:spPr>
    </cdr:pic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0.0192</cdr:x>
      <cdr:y>0.04092</cdr:y>
    </cdr:from>
    <cdr:to>
      <cdr:x>0.09191</cdr:x>
      <cdr:y>0.10523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48167" y="148166"/>
          <a:ext cx="560916" cy="23283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GB" sz="1100" b="1"/>
            <a:t>Kwh</a:t>
          </a:r>
        </a:p>
      </cdr:txBody>
    </cdr:sp>
  </cdr:relSizeAnchor>
  <cdr:relSizeAnchor xmlns:cdr="http://schemas.openxmlformats.org/drawingml/2006/chartDrawing">
    <cdr:from>
      <cdr:x>0.75556</cdr:x>
      <cdr:y>0.60414</cdr:y>
    </cdr:from>
    <cdr:to>
      <cdr:x>0.95062</cdr:x>
      <cdr:y>0.92049</cdr:y>
    </cdr:to>
    <cdr:pic>
      <cdr:nvPicPr>
        <cdr:cNvPr id="4" name="Picture 3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xmlns:a="http://schemas.openxmlformats.org/drawingml/2006/main"/>
        <a:stretch xmlns:a="http://schemas.openxmlformats.org/drawingml/2006/main">
          <a:fillRect/>
        </a:stretch>
      </cdr:blipFill>
      <cdr:spPr bwMode="auto">
        <a:xfrm xmlns:a="http://schemas.openxmlformats.org/drawingml/2006/main">
          <a:off x="5829300" y="2187322"/>
          <a:ext cx="1504950" cy="114537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cdr:spPr>
    </cdr:pic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147109</xdr:colOff>
      <xdr:row>0</xdr:row>
      <xdr:rowOff>70907</xdr:rowOff>
    </xdr:from>
    <xdr:to>
      <xdr:col>15</xdr:col>
      <xdr:colOff>116417</xdr:colOff>
      <xdr:row>29</xdr:row>
      <xdr:rowOff>148165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33866</xdr:colOff>
      <xdr:row>36</xdr:row>
      <xdr:rowOff>84667</xdr:rowOff>
    </xdr:from>
    <xdr:to>
      <xdr:col>15</xdr:col>
      <xdr:colOff>425449</xdr:colOff>
      <xdr:row>65</xdr:row>
      <xdr:rowOff>119591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243416</xdr:colOff>
      <xdr:row>66</xdr:row>
      <xdr:rowOff>148166</xdr:rowOff>
    </xdr:from>
    <xdr:to>
      <xdr:col>13</xdr:col>
      <xdr:colOff>359833</xdr:colOff>
      <xdr:row>89</xdr:row>
      <xdr:rowOff>117476</xdr:rowOff>
    </xdr:to>
    <xdr:graphicFrame macro="">
      <xdr:nvGraphicFramePr>
        <xdr:cNvPr id="4" name="Chart 3" title="Target Chart 2014 5%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0.17517</cdr:x>
      <cdr:y>0.09407</cdr:y>
    </cdr:from>
    <cdr:to>
      <cdr:x>0.27999</cdr:x>
      <cdr:y>0.12292</cdr:y>
    </cdr:to>
    <cdr:sp macro="" textlink="">
      <cdr:nvSpPr>
        <cdr:cNvPr id="512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400608" y="544081"/>
          <a:ext cx="838115" cy="1668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GB" sz="975" b="1" i="1" u="none" strike="noStrike" baseline="0">
              <a:solidFill>
                <a:srgbClr val="000000"/>
              </a:solidFill>
              <a:latin typeface="Arial"/>
              <a:cs typeface="Arial"/>
            </a:rPr>
            <a:t>Winter/Spring</a:t>
          </a:r>
        </a:p>
      </cdr:txBody>
    </cdr:sp>
  </cdr:relSizeAnchor>
  <cdr:relSizeAnchor xmlns:cdr="http://schemas.openxmlformats.org/drawingml/2006/chartDrawing">
    <cdr:from>
      <cdr:x>0.64374</cdr:x>
      <cdr:y>0.12731</cdr:y>
    </cdr:from>
    <cdr:to>
      <cdr:x>0.64374</cdr:x>
      <cdr:y>0.91307</cdr:y>
    </cdr:to>
    <cdr:sp macro="" textlink="">
      <cdr:nvSpPr>
        <cdr:cNvPr id="5122" name="Line 2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 flipV="1">
          <a:off x="5895652" y="793779"/>
          <a:ext cx="0" cy="4879809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  <cdr:relSizeAnchor xmlns:cdr="http://schemas.openxmlformats.org/drawingml/2006/chartDrawing">
    <cdr:from>
      <cdr:x>0.3387</cdr:x>
      <cdr:y>0.09407</cdr:y>
    </cdr:from>
    <cdr:to>
      <cdr:x>0.45745</cdr:x>
      <cdr:y>0.12292</cdr:y>
    </cdr:to>
    <cdr:sp macro="" textlink="">
      <cdr:nvSpPr>
        <cdr:cNvPr id="5123" name="Text Box 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708146" y="544081"/>
          <a:ext cx="949491" cy="1668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GB" sz="975" b="1" i="1" u="none" strike="noStrike" baseline="0">
              <a:solidFill>
                <a:srgbClr val="000000"/>
              </a:solidFill>
              <a:latin typeface="Arial"/>
              <a:cs typeface="Arial"/>
            </a:rPr>
            <a:t>Spring/Summer</a:t>
          </a:r>
        </a:p>
      </cdr:txBody>
    </cdr:sp>
  </cdr:relSizeAnchor>
  <cdr:relSizeAnchor xmlns:cdr="http://schemas.openxmlformats.org/drawingml/2006/chartDrawing">
    <cdr:from>
      <cdr:x>0.50891</cdr:x>
      <cdr:y>0.09407</cdr:y>
    </cdr:from>
    <cdr:to>
      <cdr:x>0.6372</cdr:x>
      <cdr:y>0.12292</cdr:y>
    </cdr:to>
    <cdr:sp macro="" textlink="">
      <cdr:nvSpPr>
        <cdr:cNvPr id="5124" name="Text Box 4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069096" y="544081"/>
          <a:ext cx="1025730" cy="1668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GB" sz="975" b="1" i="1" u="none" strike="noStrike" baseline="0">
              <a:solidFill>
                <a:srgbClr val="000000"/>
              </a:solidFill>
              <a:latin typeface="Arial"/>
              <a:cs typeface="Arial"/>
            </a:rPr>
            <a:t>Summer/Autumn</a:t>
          </a:r>
        </a:p>
      </cdr:txBody>
    </cdr:sp>
  </cdr:relSizeAnchor>
  <cdr:relSizeAnchor xmlns:cdr="http://schemas.openxmlformats.org/drawingml/2006/chartDrawing">
    <cdr:from>
      <cdr:x>0.66353</cdr:x>
      <cdr:y>0.09407</cdr:y>
    </cdr:from>
    <cdr:to>
      <cdr:x>0.77789</cdr:x>
      <cdr:y>0.12292</cdr:y>
    </cdr:to>
    <cdr:sp macro="" textlink="">
      <cdr:nvSpPr>
        <cdr:cNvPr id="5125" name="Text Box 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305392" y="544081"/>
          <a:ext cx="914353" cy="1668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GB" sz="975" b="1" i="1" u="none" strike="noStrike" baseline="0">
              <a:solidFill>
                <a:srgbClr val="000000"/>
              </a:solidFill>
              <a:latin typeface="Arial"/>
              <a:cs typeface="Arial"/>
            </a:rPr>
            <a:t>Autumn/Winter</a:t>
          </a:r>
        </a:p>
      </cdr:txBody>
    </cdr:sp>
  </cdr:relSizeAnchor>
  <cdr:relSizeAnchor xmlns:cdr="http://schemas.openxmlformats.org/drawingml/2006/chartDrawing">
    <cdr:from>
      <cdr:x>0.47427</cdr:x>
      <cdr:y>0.12731</cdr:y>
    </cdr:from>
    <cdr:to>
      <cdr:x>0.47427</cdr:x>
      <cdr:y>0.91405</cdr:y>
    </cdr:to>
    <cdr:sp macro="" textlink="">
      <cdr:nvSpPr>
        <cdr:cNvPr id="5126" name="Line 6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 flipV="1">
          <a:off x="4344422" y="793779"/>
          <a:ext cx="0" cy="4885925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  <cdr:relSizeAnchor xmlns:cdr="http://schemas.openxmlformats.org/drawingml/2006/chartDrawing">
    <cdr:from>
      <cdr:x>0.3048</cdr:x>
      <cdr:y>0.12657</cdr:y>
    </cdr:from>
    <cdr:to>
      <cdr:x>0.3048</cdr:x>
      <cdr:y>0.91356</cdr:y>
    </cdr:to>
    <cdr:sp macro="" textlink="">
      <cdr:nvSpPr>
        <cdr:cNvPr id="5127" name="Line 7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 flipV="1">
          <a:off x="2793193" y="789192"/>
          <a:ext cx="0" cy="4887454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  <cdr:relSizeAnchor xmlns:cdr="http://schemas.openxmlformats.org/drawingml/2006/chartDrawing">
    <cdr:from>
      <cdr:x>0.78702</cdr:x>
      <cdr:y>0.56334</cdr:y>
    </cdr:from>
    <cdr:to>
      <cdr:x>0.97206</cdr:x>
      <cdr:y>0.8308</cdr:y>
    </cdr:to>
    <cdr:pic>
      <cdr:nvPicPr>
        <cdr:cNvPr id="9" name="Picture 8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7363883" y="2696634"/>
          <a:ext cx="1731414" cy="1280271"/>
        </a:xfrm>
        <a:prstGeom xmlns:a="http://schemas.openxmlformats.org/drawingml/2006/main" prst="rect">
          <a:avLst/>
        </a:prstGeom>
      </cdr:spPr>
    </cdr:pic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0.17517</cdr:x>
      <cdr:y>0.09407</cdr:y>
    </cdr:from>
    <cdr:to>
      <cdr:x>0.27999</cdr:x>
      <cdr:y>0.12292</cdr:y>
    </cdr:to>
    <cdr:sp macro="" textlink="">
      <cdr:nvSpPr>
        <cdr:cNvPr id="512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400608" y="544081"/>
          <a:ext cx="838115" cy="1668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GB" sz="975" b="1" i="1" u="none" strike="noStrike" baseline="0">
              <a:solidFill>
                <a:srgbClr val="000000"/>
              </a:solidFill>
              <a:latin typeface="Arial"/>
              <a:cs typeface="Arial"/>
            </a:rPr>
            <a:t>Winter/Spring</a:t>
          </a:r>
        </a:p>
      </cdr:txBody>
    </cdr:sp>
  </cdr:relSizeAnchor>
  <cdr:relSizeAnchor xmlns:cdr="http://schemas.openxmlformats.org/drawingml/2006/chartDrawing">
    <cdr:from>
      <cdr:x>0.64374</cdr:x>
      <cdr:y>0.12731</cdr:y>
    </cdr:from>
    <cdr:to>
      <cdr:x>0.64374</cdr:x>
      <cdr:y>0.91307</cdr:y>
    </cdr:to>
    <cdr:sp macro="" textlink="">
      <cdr:nvSpPr>
        <cdr:cNvPr id="5122" name="Line 2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 flipV="1">
          <a:off x="5895652" y="793779"/>
          <a:ext cx="0" cy="4879809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  <cdr:relSizeAnchor xmlns:cdr="http://schemas.openxmlformats.org/drawingml/2006/chartDrawing">
    <cdr:from>
      <cdr:x>0.3387</cdr:x>
      <cdr:y>0.09407</cdr:y>
    </cdr:from>
    <cdr:to>
      <cdr:x>0.45745</cdr:x>
      <cdr:y>0.12292</cdr:y>
    </cdr:to>
    <cdr:sp macro="" textlink="">
      <cdr:nvSpPr>
        <cdr:cNvPr id="5123" name="Text Box 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708146" y="544081"/>
          <a:ext cx="949491" cy="1668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GB" sz="975" b="1" i="1" u="none" strike="noStrike" baseline="0">
              <a:solidFill>
                <a:srgbClr val="000000"/>
              </a:solidFill>
              <a:latin typeface="Arial"/>
              <a:cs typeface="Arial"/>
            </a:rPr>
            <a:t>Spring/Summer</a:t>
          </a:r>
        </a:p>
      </cdr:txBody>
    </cdr:sp>
  </cdr:relSizeAnchor>
  <cdr:relSizeAnchor xmlns:cdr="http://schemas.openxmlformats.org/drawingml/2006/chartDrawing">
    <cdr:from>
      <cdr:x>0.50891</cdr:x>
      <cdr:y>0.09407</cdr:y>
    </cdr:from>
    <cdr:to>
      <cdr:x>0.6372</cdr:x>
      <cdr:y>0.12292</cdr:y>
    </cdr:to>
    <cdr:sp macro="" textlink="">
      <cdr:nvSpPr>
        <cdr:cNvPr id="5124" name="Text Box 4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069096" y="544081"/>
          <a:ext cx="1025730" cy="1668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GB" sz="975" b="1" i="1" u="none" strike="noStrike" baseline="0">
              <a:solidFill>
                <a:srgbClr val="000000"/>
              </a:solidFill>
              <a:latin typeface="Arial"/>
              <a:cs typeface="Arial"/>
            </a:rPr>
            <a:t>Summer/Autumn</a:t>
          </a:r>
        </a:p>
      </cdr:txBody>
    </cdr:sp>
  </cdr:relSizeAnchor>
  <cdr:relSizeAnchor xmlns:cdr="http://schemas.openxmlformats.org/drawingml/2006/chartDrawing">
    <cdr:from>
      <cdr:x>0.66353</cdr:x>
      <cdr:y>0.09407</cdr:y>
    </cdr:from>
    <cdr:to>
      <cdr:x>0.77789</cdr:x>
      <cdr:y>0.12292</cdr:y>
    </cdr:to>
    <cdr:sp macro="" textlink="">
      <cdr:nvSpPr>
        <cdr:cNvPr id="5125" name="Text Box 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305392" y="544081"/>
          <a:ext cx="914353" cy="1668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GB" sz="975" b="1" i="1" u="none" strike="noStrike" baseline="0">
              <a:solidFill>
                <a:srgbClr val="000000"/>
              </a:solidFill>
              <a:latin typeface="Arial"/>
              <a:cs typeface="Arial"/>
            </a:rPr>
            <a:t>Autumn/Winter</a:t>
          </a:r>
        </a:p>
      </cdr:txBody>
    </cdr:sp>
  </cdr:relSizeAnchor>
  <cdr:relSizeAnchor xmlns:cdr="http://schemas.openxmlformats.org/drawingml/2006/chartDrawing">
    <cdr:from>
      <cdr:x>0.47427</cdr:x>
      <cdr:y>0.12731</cdr:y>
    </cdr:from>
    <cdr:to>
      <cdr:x>0.47427</cdr:x>
      <cdr:y>0.91405</cdr:y>
    </cdr:to>
    <cdr:sp macro="" textlink="">
      <cdr:nvSpPr>
        <cdr:cNvPr id="5126" name="Line 6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 flipV="1">
          <a:off x="4344422" y="793779"/>
          <a:ext cx="0" cy="4885925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  <cdr:relSizeAnchor xmlns:cdr="http://schemas.openxmlformats.org/drawingml/2006/chartDrawing">
    <cdr:from>
      <cdr:x>0.3048</cdr:x>
      <cdr:y>0.12657</cdr:y>
    </cdr:from>
    <cdr:to>
      <cdr:x>0.3048</cdr:x>
      <cdr:y>0.91356</cdr:y>
    </cdr:to>
    <cdr:sp macro="" textlink="">
      <cdr:nvSpPr>
        <cdr:cNvPr id="5127" name="Line 7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 flipV="1">
          <a:off x="2793193" y="789192"/>
          <a:ext cx="0" cy="4887454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  <cdr:relSizeAnchor xmlns:cdr="http://schemas.openxmlformats.org/drawingml/2006/chartDrawing">
    <cdr:from>
      <cdr:x>0.78612</cdr:x>
      <cdr:y>0.46827</cdr:y>
    </cdr:from>
    <cdr:to>
      <cdr:x>0.9663</cdr:x>
      <cdr:y>0.73573</cdr:y>
    </cdr:to>
    <cdr:pic>
      <cdr:nvPicPr>
        <cdr:cNvPr id="11" name="Picture 10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7554383" y="2241550"/>
          <a:ext cx="1731414" cy="1280271"/>
        </a:xfrm>
        <a:prstGeom xmlns:a="http://schemas.openxmlformats.org/drawingml/2006/main" prst="rect">
          <a:avLst/>
        </a:prstGeom>
      </cdr:spPr>
    </cdr:pic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0.0192</cdr:x>
      <cdr:y>0.04092</cdr:y>
    </cdr:from>
    <cdr:to>
      <cdr:x>0.09191</cdr:x>
      <cdr:y>0.10523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48167" y="148166"/>
          <a:ext cx="560916" cy="23283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GB" sz="1100" b="1"/>
            <a:t>Kwh</a:t>
          </a:r>
        </a:p>
      </cdr:txBody>
    </cdr:sp>
  </cdr:relSizeAnchor>
  <cdr:relSizeAnchor xmlns:cdr="http://schemas.openxmlformats.org/drawingml/2006/chartDrawing">
    <cdr:from>
      <cdr:x>0.7487</cdr:x>
      <cdr:y>0.58404</cdr:y>
    </cdr:from>
    <cdr:to>
      <cdr:x>0.97311</cdr:x>
      <cdr:y>0.93765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5776383" y="2114550"/>
          <a:ext cx="1731414" cy="1280271"/>
        </a:xfrm>
        <a:prstGeom xmlns:a="http://schemas.openxmlformats.org/drawingml/2006/main" prst="rect">
          <a:avLst/>
        </a:prstGeom>
      </cdr:spPr>
    </cdr:pic>
  </cdr:relSizeAnchor>
</c:userShapes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73025</xdr:colOff>
      <xdr:row>0</xdr:row>
      <xdr:rowOff>102657</xdr:rowOff>
    </xdr:from>
    <xdr:to>
      <xdr:col>15</xdr:col>
      <xdr:colOff>42333</xdr:colOff>
      <xdr:row>30</xdr:row>
      <xdr:rowOff>21165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36</xdr:row>
      <xdr:rowOff>0</xdr:rowOff>
    </xdr:from>
    <xdr:to>
      <xdr:col>15</xdr:col>
      <xdr:colOff>539750</xdr:colOff>
      <xdr:row>65</xdr:row>
      <xdr:rowOff>34924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243416</xdr:colOff>
      <xdr:row>66</xdr:row>
      <xdr:rowOff>148166</xdr:rowOff>
    </xdr:from>
    <xdr:to>
      <xdr:col>13</xdr:col>
      <xdr:colOff>359833</xdr:colOff>
      <xdr:row>89</xdr:row>
      <xdr:rowOff>117476</xdr:rowOff>
    </xdr:to>
    <xdr:graphicFrame macro="">
      <xdr:nvGraphicFramePr>
        <xdr:cNvPr id="4" name="Chart 3" title="Target Chart 2014 5%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0.17517</cdr:x>
      <cdr:y>0.09407</cdr:y>
    </cdr:from>
    <cdr:to>
      <cdr:x>0.27999</cdr:x>
      <cdr:y>0.12292</cdr:y>
    </cdr:to>
    <cdr:sp macro="" textlink="">
      <cdr:nvSpPr>
        <cdr:cNvPr id="512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400608" y="544081"/>
          <a:ext cx="838115" cy="1668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GB" sz="975" b="1" i="1" u="none" strike="noStrike" baseline="0">
              <a:solidFill>
                <a:srgbClr val="000000"/>
              </a:solidFill>
              <a:latin typeface="Arial"/>
              <a:cs typeface="Arial"/>
            </a:rPr>
            <a:t>Winter/Spring</a:t>
          </a:r>
        </a:p>
      </cdr:txBody>
    </cdr:sp>
  </cdr:relSizeAnchor>
  <cdr:relSizeAnchor xmlns:cdr="http://schemas.openxmlformats.org/drawingml/2006/chartDrawing">
    <cdr:from>
      <cdr:x>0.64374</cdr:x>
      <cdr:y>0.12731</cdr:y>
    </cdr:from>
    <cdr:to>
      <cdr:x>0.64374</cdr:x>
      <cdr:y>0.91307</cdr:y>
    </cdr:to>
    <cdr:sp macro="" textlink="">
      <cdr:nvSpPr>
        <cdr:cNvPr id="5122" name="Line 2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 flipV="1">
          <a:off x="5895652" y="793779"/>
          <a:ext cx="0" cy="4879809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  <cdr:relSizeAnchor xmlns:cdr="http://schemas.openxmlformats.org/drawingml/2006/chartDrawing">
    <cdr:from>
      <cdr:x>0.3387</cdr:x>
      <cdr:y>0.09407</cdr:y>
    </cdr:from>
    <cdr:to>
      <cdr:x>0.45745</cdr:x>
      <cdr:y>0.12292</cdr:y>
    </cdr:to>
    <cdr:sp macro="" textlink="">
      <cdr:nvSpPr>
        <cdr:cNvPr id="5123" name="Text Box 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708146" y="544081"/>
          <a:ext cx="949491" cy="1668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GB" sz="975" b="1" i="1" u="none" strike="noStrike" baseline="0">
              <a:solidFill>
                <a:srgbClr val="000000"/>
              </a:solidFill>
              <a:latin typeface="Arial"/>
              <a:cs typeface="Arial"/>
            </a:rPr>
            <a:t>Spring/Summer</a:t>
          </a:r>
        </a:p>
      </cdr:txBody>
    </cdr:sp>
  </cdr:relSizeAnchor>
  <cdr:relSizeAnchor xmlns:cdr="http://schemas.openxmlformats.org/drawingml/2006/chartDrawing">
    <cdr:from>
      <cdr:x>0.50891</cdr:x>
      <cdr:y>0.09407</cdr:y>
    </cdr:from>
    <cdr:to>
      <cdr:x>0.6372</cdr:x>
      <cdr:y>0.12292</cdr:y>
    </cdr:to>
    <cdr:sp macro="" textlink="">
      <cdr:nvSpPr>
        <cdr:cNvPr id="5124" name="Text Box 4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069096" y="544081"/>
          <a:ext cx="1025730" cy="1668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GB" sz="975" b="1" i="1" u="none" strike="noStrike" baseline="0">
              <a:solidFill>
                <a:srgbClr val="000000"/>
              </a:solidFill>
              <a:latin typeface="Arial"/>
              <a:cs typeface="Arial"/>
            </a:rPr>
            <a:t>Summer/Autumn</a:t>
          </a:r>
        </a:p>
      </cdr:txBody>
    </cdr:sp>
  </cdr:relSizeAnchor>
  <cdr:relSizeAnchor xmlns:cdr="http://schemas.openxmlformats.org/drawingml/2006/chartDrawing">
    <cdr:from>
      <cdr:x>0.66353</cdr:x>
      <cdr:y>0.09407</cdr:y>
    </cdr:from>
    <cdr:to>
      <cdr:x>0.77789</cdr:x>
      <cdr:y>0.12292</cdr:y>
    </cdr:to>
    <cdr:sp macro="" textlink="">
      <cdr:nvSpPr>
        <cdr:cNvPr id="5125" name="Text Box 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305392" y="544081"/>
          <a:ext cx="914353" cy="1668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GB" sz="975" b="1" i="1" u="none" strike="noStrike" baseline="0">
              <a:solidFill>
                <a:srgbClr val="000000"/>
              </a:solidFill>
              <a:latin typeface="Arial"/>
              <a:cs typeface="Arial"/>
            </a:rPr>
            <a:t>Autumn/Winter</a:t>
          </a:r>
        </a:p>
      </cdr:txBody>
    </cdr:sp>
  </cdr:relSizeAnchor>
  <cdr:relSizeAnchor xmlns:cdr="http://schemas.openxmlformats.org/drawingml/2006/chartDrawing">
    <cdr:from>
      <cdr:x>0.47427</cdr:x>
      <cdr:y>0.12731</cdr:y>
    </cdr:from>
    <cdr:to>
      <cdr:x>0.47427</cdr:x>
      <cdr:y>0.91405</cdr:y>
    </cdr:to>
    <cdr:sp macro="" textlink="">
      <cdr:nvSpPr>
        <cdr:cNvPr id="5126" name="Line 6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 flipV="1">
          <a:off x="4344422" y="793779"/>
          <a:ext cx="0" cy="4885925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  <cdr:relSizeAnchor xmlns:cdr="http://schemas.openxmlformats.org/drawingml/2006/chartDrawing">
    <cdr:from>
      <cdr:x>0.3048</cdr:x>
      <cdr:y>0.12657</cdr:y>
    </cdr:from>
    <cdr:to>
      <cdr:x>0.3048</cdr:x>
      <cdr:y>0.91356</cdr:y>
    </cdr:to>
    <cdr:sp macro="" textlink="">
      <cdr:nvSpPr>
        <cdr:cNvPr id="5127" name="Line 7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 flipV="1">
          <a:off x="2793193" y="789192"/>
          <a:ext cx="0" cy="4887454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  <cdr:relSizeAnchor xmlns:cdr="http://schemas.openxmlformats.org/drawingml/2006/chartDrawing">
    <cdr:from>
      <cdr:x>0.78249</cdr:x>
      <cdr:y>0.53239</cdr:y>
    </cdr:from>
    <cdr:to>
      <cdr:x>0.96819</cdr:x>
      <cdr:y>0.81386</cdr:y>
    </cdr:to>
    <cdr:pic>
      <cdr:nvPicPr>
        <cdr:cNvPr id="9" name="Picture 8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7321550" y="2548466"/>
          <a:ext cx="1737511" cy="1347333"/>
        </a:xfrm>
        <a:prstGeom xmlns:a="http://schemas.openxmlformats.org/drawingml/2006/main" prst="rect">
          <a:avLst/>
        </a:prstGeom>
      </cdr:spPr>
    </cdr:pic>
  </cdr:relSizeAnchor>
</c:userShapes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0.17517</cdr:x>
      <cdr:y>0.09407</cdr:y>
    </cdr:from>
    <cdr:to>
      <cdr:x>0.27999</cdr:x>
      <cdr:y>0.12292</cdr:y>
    </cdr:to>
    <cdr:sp macro="" textlink="">
      <cdr:nvSpPr>
        <cdr:cNvPr id="512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400608" y="544081"/>
          <a:ext cx="838115" cy="1668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GB" sz="975" b="1" i="1" u="none" strike="noStrike" baseline="0">
              <a:solidFill>
                <a:srgbClr val="000000"/>
              </a:solidFill>
              <a:latin typeface="Arial"/>
              <a:cs typeface="Arial"/>
            </a:rPr>
            <a:t>Winter/Spring</a:t>
          </a:r>
        </a:p>
      </cdr:txBody>
    </cdr:sp>
  </cdr:relSizeAnchor>
  <cdr:relSizeAnchor xmlns:cdr="http://schemas.openxmlformats.org/drawingml/2006/chartDrawing">
    <cdr:from>
      <cdr:x>0.64374</cdr:x>
      <cdr:y>0.12731</cdr:y>
    </cdr:from>
    <cdr:to>
      <cdr:x>0.64374</cdr:x>
      <cdr:y>0.91307</cdr:y>
    </cdr:to>
    <cdr:sp macro="" textlink="">
      <cdr:nvSpPr>
        <cdr:cNvPr id="5122" name="Line 2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 flipV="1">
          <a:off x="5895652" y="793779"/>
          <a:ext cx="0" cy="4879809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  <cdr:relSizeAnchor xmlns:cdr="http://schemas.openxmlformats.org/drawingml/2006/chartDrawing">
    <cdr:from>
      <cdr:x>0.3387</cdr:x>
      <cdr:y>0.09407</cdr:y>
    </cdr:from>
    <cdr:to>
      <cdr:x>0.45745</cdr:x>
      <cdr:y>0.12292</cdr:y>
    </cdr:to>
    <cdr:sp macro="" textlink="">
      <cdr:nvSpPr>
        <cdr:cNvPr id="5123" name="Text Box 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708146" y="544081"/>
          <a:ext cx="949491" cy="1668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GB" sz="975" b="1" i="1" u="none" strike="noStrike" baseline="0">
              <a:solidFill>
                <a:srgbClr val="000000"/>
              </a:solidFill>
              <a:latin typeface="Arial"/>
              <a:cs typeface="Arial"/>
            </a:rPr>
            <a:t>Spring/Summer</a:t>
          </a:r>
        </a:p>
      </cdr:txBody>
    </cdr:sp>
  </cdr:relSizeAnchor>
  <cdr:relSizeAnchor xmlns:cdr="http://schemas.openxmlformats.org/drawingml/2006/chartDrawing">
    <cdr:from>
      <cdr:x>0.50891</cdr:x>
      <cdr:y>0.09407</cdr:y>
    </cdr:from>
    <cdr:to>
      <cdr:x>0.6372</cdr:x>
      <cdr:y>0.12292</cdr:y>
    </cdr:to>
    <cdr:sp macro="" textlink="">
      <cdr:nvSpPr>
        <cdr:cNvPr id="5124" name="Text Box 4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069096" y="544081"/>
          <a:ext cx="1025730" cy="1668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GB" sz="975" b="1" i="1" u="none" strike="noStrike" baseline="0">
              <a:solidFill>
                <a:srgbClr val="000000"/>
              </a:solidFill>
              <a:latin typeface="Arial"/>
              <a:cs typeface="Arial"/>
            </a:rPr>
            <a:t>Summer/Autumn</a:t>
          </a:r>
        </a:p>
      </cdr:txBody>
    </cdr:sp>
  </cdr:relSizeAnchor>
  <cdr:relSizeAnchor xmlns:cdr="http://schemas.openxmlformats.org/drawingml/2006/chartDrawing">
    <cdr:from>
      <cdr:x>0.66353</cdr:x>
      <cdr:y>0.09407</cdr:y>
    </cdr:from>
    <cdr:to>
      <cdr:x>0.77789</cdr:x>
      <cdr:y>0.12292</cdr:y>
    </cdr:to>
    <cdr:sp macro="" textlink="">
      <cdr:nvSpPr>
        <cdr:cNvPr id="5125" name="Text Box 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305392" y="544081"/>
          <a:ext cx="914353" cy="1668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GB" sz="975" b="1" i="1" u="none" strike="noStrike" baseline="0">
              <a:solidFill>
                <a:srgbClr val="000000"/>
              </a:solidFill>
              <a:latin typeface="Arial"/>
              <a:cs typeface="Arial"/>
            </a:rPr>
            <a:t>Autumn/Winter</a:t>
          </a:r>
        </a:p>
      </cdr:txBody>
    </cdr:sp>
  </cdr:relSizeAnchor>
  <cdr:relSizeAnchor xmlns:cdr="http://schemas.openxmlformats.org/drawingml/2006/chartDrawing">
    <cdr:from>
      <cdr:x>0.47427</cdr:x>
      <cdr:y>0.12731</cdr:y>
    </cdr:from>
    <cdr:to>
      <cdr:x>0.47427</cdr:x>
      <cdr:y>0.91405</cdr:y>
    </cdr:to>
    <cdr:sp macro="" textlink="">
      <cdr:nvSpPr>
        <cdr:cNvPr id="5126" name="Line 6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 flipV="1">
          <a:off x="4344422" y="793779"/>
          <a:ext cx="0" cy="4885925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  <cdr:relSizeAnchor xmlns:cdr="http://schemas.openxmlformats.org/drawingml/2006/chartDrawing">
    <cdr:from>
      <cdr:x>0.3048</cdr:x>
      <cdr:y>0.12657</cdr:y>
    </cdr:from>
    <cdr:to>
      <cdr:x>0.3048</cdr:x>
      <cdr:y>0.91356</cdr:y>
    </cdr:to>
    <cdr:sp macro="" textlink="">
      <cdr:nvSpPr>
        <cdr:cNvPr id="5127" name="Line 7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 flipV="1">
          <a:off x="2793193" y="789192"/>
          <a:ext cx="0" cy="4887454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  <cdr:relSizeAnchor xmlns:cdr="http://schemas.openxmlformats.org/drawingml/2006/chartDrawing">
    <cdr:from>
      <cdr:x>0.77621</cdr:x>
      <cdr:y>0.49259</cdr:y>
    </cdr:from>
    <cdr:to>
      <cdr:x>0.95702</cdr:x>
      <cdr:y>0.77406</cdr:y>
    </cdr:to>
    <cdr:pic>
      <cdr:nvPicPr>
        <cdr:cNvPr id="10" name="Picture 9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7459134" y="2357967"/>
          <a:ext cx="1737511" cy="1347333"/>
        </a:xfrm>
        <a:prstGeom xmlns:a="http://schemas.openxmlformats.org/drawingml/2006/main" prst="rect">
          <a:avLst/>
        </a:prstGeom>
      </cdr:spPr>
    </cdr:pic>
  </cdr:relSizeAnchor>
</c:userShapes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0.0192</cdr:x>
      <cdr:y>0.04092</cdr:y>
    </cdr:from>
    <cdr:to>
      <cdr:x>0.09191</cdr:x>
      <cdr:y>0.10523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48167" y="148166"/>
          <a:ext cx="560916" cy="23283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GB" sz="1100" b="1"/>
            <a:t>m3</a:t>
          </a:r>
        </a:p>
      </cdr:txBody>
    </cdr:sp>
  </cdr:relSizeAnchor>
  <cdr:relSizeAnchor xmlns:cdr="http://schemas.openxmlformats.org/drawingml/2006/chartDrawing">
    <cdr:from>
      <cdr:x>0.73772</cdr:x>
      <cdr:y>0.56358</cdr:y>
    </cdr:from>
    <cdr:to>
      <cdr:x>0.96293</cdr:x>
      <cdr:y>0.93571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5691716" y="2040466"/>
          <a:ext cx="1737511" cy="1347333"/>
        </a:xfrm>
        <a:prstGeom xmlns:a="http://schemas.openxmlformats.org/drawingml/2006/main" prst="rect">
          <a:avLst/>
        </a:prstGeom>
      </cdr:spPr>
    </cdr:pic>
  </cdr:relSizeAnchor>
</c:userShapes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73025</xdr:colOff>
      <xdr:row>0</xdr:row>
      <xdr:rowOff>102657</xdr:rowOff>
    </xdr:from>
    <xdr:to>
      <xdr:col>15</xdr:col>
      <xdr:colOff>42333</xdr:colOff>
      <xdr:row>30</xdr:row>
      <xdr:rowOff>21165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36</xdr:row>
      <xdr:rowOff>0</xdr:rowOff>
    </xdr:from>
    <xdr:to>
      <xdr:col>15</xdr:col>
      <xdr:colOff>391583</xdr:colOff>
      <xdr:row>65</xdr:row>
      <xdr:rowOff>34924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243416</xdr:colOff>
      <xdr:row>66</xdr:row>
      <xdr:rowOff>148166</xdr:rowOff>
    </xdr:from>
    <xdr:to>
      <xdr:col>13</xdr:col>
      <xdr:colOff>359833</xdr:colOff>
      <xdr:row>89</xdr:row>
      <xdr:rowOff>117476</xdr:rowOff>
    </xdr:to>
    <xdr:graphicFrame macro="">
      <xdr:nvGraphicFramePr>
        <xdr:cNvPr id="4" name="Chart 3" title="Target Chart 2014 5%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285749</xdr:colOff>
      <xdr:row>91</xdr:row>
      <xdr:rowOff>30691</xdr:rowOff>
    </xdr:from>
    <xdr:to>
      <xdr:col>11</xdr:col>
      <xdr:colOff>433917</xdr:colOff>
      <xdr:row>108</xdr:row>
      <xdr:rowOff>75141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0.17517</cdr:x>
      <cdr:y>0.09407</cdr:y>
    </cdr:from>
    <cdr:to>
      <cdr:x>0.27999</cdr:x>
      <cdr:y>0.12292</cdr:y>
    </cdr:to>
    <cdr:sp macro="" textlink="">
      <cdr:nvSpPr>
        <cdr:cNvPr id="512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400608" y="544081"/>
          <a:ext cx="838115" cy="1668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GB" sz="975" b="1" i="1" u="none" strike="noStrike" baseline="0">
              <a:solidFill>
                <a:srgbClr val="000000"/>
              </a:solidFill>
              <a:latin typeface="Arial"/>
              <a:cs typeface="Arial"/>
            </a:rPr>
            <a:t>Winter/Spring</a:t>
          </a:r>
        </a:p>
      </cdr:txBody>
    </cdr:sp>
  </cdr:relSizeAnchor>
  <cdr:relSizeAnchor xmlns:cdr="http://schemas.openxmlformats.org/drawingml/2006/chartDrawing">
    <cdr:from>
      <cdr:x>0.64374</cdr:x>
      <cdr:y>0.12731</cdr:y>
    </cdr:from>
    <cdr:to>
      <cdr:x>0.64374</cdr:x>
      <cdr:y>0.91307</cdr:y>
    </cdr:to>
    <cdr:sp macro="" textlink="">
      <cdr:nvSpPr>
        <cdr:cNvPr id="5122" name="Line 2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 flipV="1">
          <a:off x="5895652" y="793779"/>
          <a:ext cx="0" cy="4879809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  <cdr:relSizeAnchor xmlns:cdr="http://schemas.openxmlformats.org/drawingml/2006/chartDrawing">
    <cdr:from>
      <cdr:x>0.3387</cdr:x>
      <cdr:y>0.09407</cdr:y>
    </cdr:from>
    <cdr:to>
      <cdr:x>0.45745</cdr:x>
      <cdr:y>0.12292</cdr:y>
    </cdr:to>
    <cdr:sp macro="" textlink="">
      <cdr:nvSpPr>
        <cdr:cNvPr id="5123" name="Text Box 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708146" y="544081"/>
          <a:ext cx="949491" cy="1668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GB" sz="975" b="1" i="1" u="none" strike="noStrike" baseline="0">
              <a:solidFill>
                <a:srgbClr val="000000"/>
              </a:solidFill>
              <a:latin typeface="Arial"/>
              <a:cs typeface="Arial"/>
            </a:rPr>
            <a:t>Spring/Summer</a:t>
          </a:r>
        </a:p>
      </cdr:txBody>
    </cdr:sp>
  </cdr:relSizeAnchor>
  <cdr:relSizeAnchor xmlns:cdr="http://schemas.openxmlformats.org/drawingml/2006/chartDrawing">
    <cdr:from>
      <cdr:x>0.50891</cdr:x>
      <cdr:y>0.09407</cdr:y>
    </cdr:from>
    <cdr:to>
      <cdr:x>0.6372</cdr:x>
      <cdr:y>0.12292</cdr:y>
    </cdr:to>
    <cdr:sp macro="" textlink="">
      <cdr:nvSpPr>
        <cdr:cNvPr id="5124" name="Text Box 4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069096" y="544081"/>
          <a:ext cx="1025730" cy="1668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GB" sz="975" b="1" i="1" u="none" strike="noStrike" baseline="0">
              <a:solidFill>
                <a:srgbClr val="000000"/>
              </a:solidFill>
              <a:latin typeface="Arial"/>
              <a:cs typeface="Arial"/>
            </a:rPr>
            <a:t>Summer/Autumn</a:t>
          </a:r>
        </a:p>
      </cdr:txBody>
    </cdr:sp>
  </cdr:relSizeAnchor>
  <cdr:relSizeAnchor xmlns:cdr="http://schemas.openxmlformats.org/drawingml/2006/chartDrawing">
    <cdr:from>
      <cdr:x>0.66353</cdr:x>
      <cdr:y>0.09407</cdr:y>
    </cdr:from>
    <cdr:to>
      <cdr:x>0.77789</cdr:x>
      <cdr:y>0.12292</cdr:y>
    </cdr:to>
    <cdr:sp macro="" textlink="">
      <cdr:nvSpPr>
        <cdr:cNvPr id="5125" name="Text Box 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305392" y="544081"/>
          <a:ext cx="914353" cy="1668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GB" sz="975" b="1" i="1" u="none" strike="noStrike" baseline="0">
              <a:solidFill>
                <a:srgbClr val="000000"/>
              </a:solidFill>
              <a:latin typeface="Arial"/>
              <a:cs typeface="Arial"/>
            </a:rPr>
            <a:t>Autumn/Winter</a:t>
          </a:r>
        </a:p>
      </cdr:txBody>
    </cdr:sp>
  </cdr:relSizeAnchor>
  <cdr:relSizeAnchor xmlns:cdr="http://schemas.openxmlformats.org/drawingml/2006/chartDrawing">
    <cdr:from>
      <cdr:x>0.47427</cdr:x>
      <cdr:y>0.12731</cdr:y>
    </cdr:from>
    <cdr:to>
      <cdr:x>0.47427</cdr:x>
      <cdr:y>0.91405</cdr:y>
    </cdr:to>
    <cdr:sp macro="" textlink="">
      <cdr:nvSpPr>
        <cdr:cNvPr id="5126" name="Line 6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 flipV="1">
          <a:off x="4344422" y="793779"/>
          <a:ext cx="0" cy="4885925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  <cdr:relSizeAnchor xmlns:cdr="http://schemas.openxmlformats.org/drawingml/2006/chartDrawing">
    <cdr:from>
      <cdr:x>0.3048</cdr:x>
      <cdr:y>0.12657</cdr:y>
    </cdr:from>
    <cdr:to>
      <cdr:x>0.3048</cdr:x>
      <cdr:y>0.91356</cdr:y>
    </cdr:to>
    <cdr:sp macro="" textlink="">
      <cdr:nvSpPr>
        <cdr:cNvPr id="5127" name="Line 7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 flipV="1">
          <a:off x="2793193" y="789192"/>
          <a:ext cx="0" cy="4887454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  <cdr:relSizeAnchor xmlns:cdr="http://schemas.openxmlformats.org/drawingml/2006/chartDrawing">
    <cdr:from>
      <cdr:x>0.7791</cdr:x>
      <cdr:y>0.49923</cdr:y>
    </cdr:from>
    <cdr:to>
      <cdr:x>0.9473</cdr:x>
      <cdr:y>0.83249</cdr:y>
    </cdr:to>
    <cdr:pic>
      <cdr:nvPicPr>
        <cdr:cNvPr id="9" name="Picture 8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7289800" y="2389717"/>
          <a:ext cx="1573864" cy="1595299"/>
        </a:xfrm>
        <a:prstGeom xmlns:a="http://schemas.openxmlformats.org/drawingml/2006/main" prst="rect">
          <a:avLst/>
        </a:prstGeom>
      </cdr:spPr>
    </cdr:pic>
  </cdr:relSizeAnchor>
</c:userShapes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0.17517</cdr:x>
      <cdr:y>0.09407</cdr:y>
    </cdr:from>
    <cdr:to>
      <cdr:x>0.27999</cdr:x>
      <cdr:y>0.12292</cdr:y>
    </cdr:to>
    <cdr:sp macro="" textlink="">
      <cdr:nvSpPr>
        <cdr:cNvPr id="512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400608" y="544081"/>
          <a:ext cx="838115" cy="1668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GB" sz="975" b="1" i="1" u="none" strike="noStrike" baseline="0">
              <a:solidFill>
                <a:srgbClr val="000000"/>
              </a:solidFill>
              <a:latin typeface="Arial"/>
              <a:cs typeface="Arial"/>
            </a:rPr>
            <a:t>Winter/Spring</a:t>
          </a:r>
        </a:p>
      </cdr:txBody>
    </cdr:sp>
  </cdr:relSizeAnchor>
  <cdr:relSizeAnchor xmlns:cdr="http://schemas.openxmlformats.org/drawingml/2006/chartDrawing">
    <cdr:from>
      <cdr:x>0.64374</cdr:x>
      <cdr:y>0.12731</cdr:y>
    </cdr:from>
    <cdr:to>
      <cdr:x>0.64374</cdr:x>
      <cdr:y>0.91307</cdr:y>
    </cdr:to>
    <cdr:sp macro="" textlink="">
      <cdr:nvSpPr>
        <cdr:cNvPr id="5122" name="Line 2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 flipV="1">
          <a:off x="5895652" y="793779"/>
          <a:ext cx="0" cy="4879809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  <cdr:relSizeAnchor xmlns:cdr="http://schemas.openxmlformats.org/drawingml/2006/chartDrawing">
    <cdr:from>
      <cdr:x>0.3387</cdr:x>
      <cdr:y>0.09407</cdr:y>
    </cdr:from>
    <cdr:to>
      <cdr:x>0.45745</cdr:x>
      <cdr:y>0.12292</cdr:y>
    </cdr:to>
    <cdr:sp macro="" textlink="">
      <cdr:nvSpPr>
        <cdr:cNvPr id="5123" name="Text Box 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708146" y="544081"/>
          <a:ext cx="949491" cy="1668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GB" sz="975" b="1" i="1" u="none" strike="noStrike" baseline="0">
              <a:solidFill>
                <a:srgbClr val="000000"/>
              </a:solidFill>
              <a:latin typeface="Arial"/>
              <a:cs typeface="Arial"/>
            </a:rPr>
            <a:t>Spring/Summer</a:t>
          </a:r>
        </a:p>
      </cdr:txBody>
    </cdr:sp>
  </cdr:relSizeAnchor>
  <cdr:relSizeAnchor xmlns:cdr="http://schemas.openxmlformats.org/drawingml/2006/chartDrawing">
    <cdr:from>
      <cdr:x>0.50891</cdr:x>
      <cdr:y>0.09407</cdr:y>
    </cdr:from>
    <cdr:to>
      <cdr:x>0.6372</cdr:x>
      <cdr:y>0.12292</cdr:y>
    </cdr:to>
    <cdr:sp macro="" textlink="">
      <cdr:nvSpPr>
        <cdr:cNvPr id="5124" name="Text Box 4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069096" y="544081"/>
          <a:ext cx="1025730" cy="1668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GB" sz="975" b="1" i="1" u="none" strike="noStrike" baseline="0">
              <a:solidFill>
                <a:srgbClr val="000000"/>
              </a:solidFill>
              <a:latin typeface="Arial"/>
              <a:cs typeface="Arial"/>
            </a:rPr>
            <a:t>Summer/Autumn</a:t>
          </a:r>
        </a:p>
      </cdr:txBody>
    </cdr:sp>
  </cdr:relSizeAnchor>
  <cdr:relSizeAnchor xmlns:cdr="http://schemas.openxmlformats.org/drawingml/2006/chartDrawing">
    <cdr:from>
      <cdr:x>0.66353</cdr:x>
      <cdr:y>0.09407</cdr:y>
    </cdr:from>
    <cdr:to>
      <cdr:x>0.77789</cdr:x>
      <cdr:y>0.12292</cdr:y>
    </cdr:to>
    <cdr:sp macro="" textlink="">
      <cdr:nvSpPr>
        <cdr:cNvPr id="5125" name="Text Box 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305392" y="544081"/>
          <a:ext cx="914353" cy="1668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GB" sz="975" b="1" i="1" u="none" strike="noStrike" baseline="0">
              <a:solidFill>
                <a:srgbClr val="000000"/>
              </a:solidFill>
              <a:latin typeface="Arial"/>
              <a:cs typeface="Arial"/>
            </a:rPr>
            <a:t>Autumn/Winter</a:t>
          </a:r>
        </a:p>
      </cdr:txBody>
    </cdr:sp>
  </cdr:relSizeAnchor>
  <cdr:relSizeAnchor xmlns:cdr="http://schemas.openxmlformats.org/drawingml/2006/chartDrawing">
    <cdr:from>
      <cdr:x>0.47427</cdr:x>
      <cdr:y>0.12731</cdr:y>
    </cdr:from>
    <cdr:to>
      <cdr:x>0.47427</cdr:x>
      <cdr:y>0.91405</cdr:y>
    </cdr:to>
    <cdr:sp macro="" textlink="">
      <cdr:nvSpPr>
        <cdr:cNvPr id="5126" name="Line 6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 flipV="1">
          <a:off x="4344422" y="793779"/>
          <a:ext cx="0" cy="4885925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  <cdr:relSizeAnchor xmlns:cdr="http://schemas.openxmlformats.org/drawingml/2006/chartDrawing">
    <cdr:from>
      <cdr:x>0.3048</cdr:x>
      <cdr:y>0.12657</cdr:y>
    </cdr:from>
    <cdr:to>
      <cdr:x>0.3048</cdr:x>
      <cdr:y>0.91356</cdr:y>
    </cdr:to>
    <cdr:sp macro="" textlink="">
      <cdr:nvSpPr>
        <cdr:cNvPr id="5127" name="Line 7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 flipV="1">
          <a:off x="2793193" y="789192"/>
          <a:ext cx="0" cy="4887454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  <cdr:relSizeAnchor xmlns:cdr="http://schemas.openxmlformats.org/drawingml/2006/chartDrawing">
    <cdr:from>
      <cdr:x>0.78062</cdr:x>
      <cdr:y>0.42848</cdr:y>
    </cdr:from>
    <cdr:to>
      <cdr:x>0.9444</cdr:x>
      <cdr:y>0.76174</cdr:y>
    </cdr:to>
    <cdr:pic>
      <cdr:nvPicPr>
        <cdr:cNvPr id="10" name="Picture 9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7501467" y="2051051"/>
          <a:ext cx="1573864" cy="1595299"/>
        </a:xfrm>
        <a:prstGeom xmlns:a="http://schemas.openxmlformats.org/drawingml/2006/main" prst="rect">
          <a:avLst/>
        </a:prstGeom>
      </cdr:spPr>
    </cdr:pic>
  </cdr:relSizeAnchor>
</c:userShapes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0.04389</cdr:x>
      <cdr:y>0.03507</cdr:y>
    </cdr:from>
    <cdr:to>
      <cdr:x>0.1166</cdr:x>
      <cdr:y>0.09938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8633" y="126987"/>
          <a:ext cx="560976" cy="23283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GB" sz="1100" b="1"/>
            <a:t>Kg</a:t>
          </a:r>
        </a:p>
      </cdr:txBody>
    </cdr:sp>
  </cdr:relSizeAnchor>
  <cdr:relSizeAnchor xmlns:cdr="http://schemas.openxmlformats.org/drawingml/2006/chartDrawing">
    <cdr:from>
      <cdr:x>0.79259</cdr:x>
      <cdr:y>0.5934</cdr:y>
    </cdr:from>
    <cdr:to>
      <cdr:x>0.95437</cdr:x>
      <cdr:y>0.94282</cdr:y>
    </cdr:to>
    <cdr:pic>
      <cdr:nvPicPr>
        <cdr:cNvPr id="6" name="Picture 5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6115010" y="2148430"/>
          <a:ext cx="1248173" cy="1265096"/>
        </a:xfrm>
        <a:prstGeom xmlns:a="http://schemas.openxmlformats.org/drawingml/2006/main" prst="rect">
          <a:avLst/>
        </a:prstGeom>
      </cdr:spPr>
    </cdr:pic>
  </cdr:relSizeAnchor>
</c:userShapes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0.79645</cdr:x>
      <cdr:y>0.61402</cdr:y>
    </cdr:from>
    <cdr:to>
      <cdr:x>0.94648</cdr:x>
      <cdr:y>0.98843</cdr:y>
    </cdr:to>
    <cdr:pic>
      <cdr:nvPicPr>
        <cdr:cNvPr id="3" name="Picture 2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5217583" y="1684368"/>
          <a:ext cx="982863" cy="1027082"/>
        </a:xfrm>
        <a:prstGeom xmlns:a="http://schemas.openxmlformats.org/drawingml/2006/main" prst="rect">
          <a:avLst/>
        </a:prstGeom>
      </cdr:spPr>
    </cdr:pic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3:R42"/>
  <sheetViews>
    <sheetView showGridLines="0" tabSelected="1" zoomScale="90" zoomScaleNormal="90" workbookViewId="0">
      <selection activeCell="T69" sqref="T69"/>
    </sheetView>
  </sheetViews>
  <sheetFormatPr defaultRowHeight="13.2" x14ac:dyDescent="0.25"/>
  <cols>
    <col min="1" max="1" width="2.5546875" customWidth="1"/>
    <col min="4" max="4" width="10.44140625" customWidth="1"/>
    <col min="5" max="5" width="9.33203125" bestFit="1" customWidth="1"/>
    <col min="6" max="6" width="14" bestFit="1" customWidth="1"/>
    <col min="11" max="11" width="16.109375" customWidth="1"/>
    <col min="12" max="12" width="7.109375" customWidth="1"/>
    <col min="13" max="13" width="10.88671875" customWidth="1"/>
    <col min="14" max="14" width="5.88671875" customWidth="1"/>
    <col min="17" max="17" width="1" customWidth="1"/>
    <col min="19" max="19" width="11.109375" customWidth="1"/>
  </cols>
  <sheetData>
    <row r="3" spans="14:14" ht="12.75" customHeight="1" x14ac:dyDescent="0.25"/>
    <row r="4" spans="14:14" ht="12.75" customHeight="1" x14ac:dyDescent="0.25"/>
    <row r="8" spans="14:14" x14ac:dyDescent="0.25">
      <c r="N8" s="10"/>
    </row>
    <row r="11" spans="14:14" x14ac:dyDescent="0.25">
      <c r="N11" s="10"/>
    </row>
    <row r="12" spans="14:14" x14ac:dyDescent="0.25">
      <c r="N12" s="10"/>
    </row>
    <row r="20" spans="4:18" ht="12.75" customHeight="1" x14ac:dyDescent="0.25"/>
    <row r="21" spans="4:18" ht="12.75" customHeight="1" x14ac:dyDescent="0.25"/>
    <row r="22" spans="4:18" ht="13.5" customHeight="1" x14ac:dyDescent="0.25"/>
    <row r="24" spans="4:18" x14ac:dyDescent="0.25">
      <c r="M24" s="9"/>
      <c r="N24" s="9"/>
      <c r="O24" s="9"/>
      <c r="P24" s="9"/>
      <c r="Q24" s="9"/>
      <c r="R24" s="9"/>
    </row>
    <row r="25" spans="4:18" ht="18.75" customHeight="1" x14ac:dyDescent="0.25">
      <c r="M25" s="9"/>
      <c r="N25" s="117"/>
      <c r="O25" s="117"/>
      <c r="P25" s="14"/>
      <c r="Q25" s="9"/>
      <c r="R25" s="9"/>
    </row>
    <row r="26" spans="4:18" ht="12.75" customHeight="1" x14ac:dyDescent="0.25">
      <c r="M26" s="9"/>
      <c r="N26" s="13"/>
      <c r="O26" s="14"/>
      <c r="P26" s="14"/>
      <c r="Q26" s="9"/>
      <c r="R26" s="9"/>
    </row>
    <row r="27" spans="4:18" ht="13.5" customHeight="1" x14ac:dyDescent="0.25">
      <c r="M27" s="9"/>
      <c r="N27" s="9"/>
      <c r="O27" s="9"/>
      <c r="P27" s="9"/>
      <c r="Q27" s="9"/>
      <c r="R27" s="9"/>
    </row>
    <row r="28" spans="4:18" ht="12.75" customHeight="1" x14ac:dyDescent="0.25"/>
    <row r="31" spans="4:18" ht="13.8" thickBot="1" x14ac:dyDescent="0.3"/>
    <row r="32" spans="4:18" ht="15" customHeight="1" x14ac:dyDescent="0.25">
      <c r="D32" s="118" t="str">
        <f>'Gas Data'!B19</f>
        <v>Target YTD Achievement (%)</v>
      </c>
      <c r="E32" s="119"/>
      <c r="F32" s="119"/>
      <c r="G32" s="124">
        <f>'Gas Data'!K27</f>
        <v>0.13281610790939616</v>
      </c>
      <c r="H32" s="124"/>
      <c r="I32" s="124"/>
      <c r="J32" s="124"/>
      <c r="K32" s="125"/>
    </row>
    <row r="33" spans="2:11" ht="12.75" customHeight="1" x14ac:dyDescent="0.25">
      <c r="D33" s="120"/>
      <c r="E33" s="121"/>
      <c r="F33" s="121"/>
      <c r="G33" s="126"/>
      <c r="H33" s="126"/>
      <c r="I33" s="126"/>
      <c r="J33" s="126"/>
      <c r="K33" s="127"/>
    </row>
    <row r="34" spans="2:11" ht="13.5" customHeight="1" thickBot="1" x14ac:dyDescent="0.3">
      <c r="D34" s="122"/>
      <c r="E34" s="123"/>
      <c r="F34" s="123"/>
      <c r="G34" s="128"/>
      <c r="H34" s="128"/>
      <c r="I34" s="128"/>
      <c r="J34" s="128"/>
      <c r="K34" s="129"/>
    </row>
    <row r="40" spans="2:11" ht="24" customHeight="1" x14ac:dyDescent="0.25">
      <c r="B40" s="1"/>
      <c r="C40" s="1"/>
      <c r="E40" s="6"/>
      <c r="F40" s="7"/>
      <c r="G40" s="8"/>
      <c r="H40" s="116"/>
      <c r="I40" s="116"/>
      <c r="J40" s="9"/>
      <c r="K40" s="9"/>
    </row>
    <row r="41" spans="2:11" x14ac:dyDescent="0.25">
      <c r="E41" s="9"/>
      <c r="F41" s="9"/>
      <c r="G41" s="9"/>
      <c r="H41" s="9"/>
      <c r="I41" s="9"/>
      <c r="J41" s="9"/>
      <c r="K41" s="9"/>
    </row>
    <row r="42" spans="2:11" x14ac:dyDescent="0.25">
      <c r="E42" s="9"/>
      <c r="F42" s="9"/>
      <c r="G42" s="9"/>
      <c r="H42" s="9"/>
      <c r="I42" s="9"/>
      <c r="J42" s="9"/>
      <c r="K42" s="9"/>
    </row>
  </sheetData>
  <mergeCells count="4">
    <mergeCell ref="H40:I40"/>
    <mergeCell ref="N25:O25"/>
    <mergeCell ref="D32:F34"/>
    <mergeCell ref="G32:K34"/>
  </mergeCells>
  <phoneticPr fontId="4" type="noConversion"/>
  <conditionalFormatting sqref="G32:K34">
    <cfRule type="cellIs" dxfId="8" priority="1" operator="greaterThan">
      <formula>0</formula>
    </cfRule>
    <cfRule type="cellIs" dxfId="7" priority="2" operator="lessThan">
      <formula>"&lt;=0%"</formula>
    </cfRule>
    <cfRule type="cellIs" dxfId="6" priority="3" operator="greaterThan">
      <formula>0</formula>
    </cfRule>
  </conditionalFormatting>
  <pageMargins left="0.39370078740157483" right="0.39370078740157483" top="1.1811023622047245" bottom="0.78740157480314965" header="0.51181102362204722" footer="0.51181102362204722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B1:AP41"/>
  <sheetViews>
    <sheetView topLeftCell="A4" zoomScale="90" zoomScaleNormal="90" workbookViewId="0">
      <selection activeCell="L16" sqref="L16"/>
    </sheetView>
  </sheetViews>
  <sheetFormatPr defaultRowHeight="13.2" x14ac:dyDescent="0.25"/>
  <cols>
    <col min="1" max="1" width="1" customWidth="1"/>
    <col min="2" max="2" width="10.109375" customWidth="1"/>
    <col min="3" max="3" width="11.33203125" customWidth="1"/>
    <col min="4" max="5" width="10.5546875" customWidth="1"/>
    <col min="6" max="6" width="11.33203125" customWidth="1"/>
    <col min="7" max="7" width="13.109375" customWidth="1"/>
    <col min="8" max="8" width="13.88671875" customWidth="1"/>
    <col min="9" max="10" width="12.6640625" customWidth="1"/>
    <col min="11" max="11" width="15.44140625" customWidth="1"/>
    <col min="12" max="12" width="11.109375" customWidth="1"/>
    <col min="13" max="13" width="13.5546875" customWidth="1"/>
    <col min="14" max="14" width="29.33203125" customWidth="1"/>
    <col min="15" max="15" width="13.6640625" customWidth="1"/>
    <col min="16" max="16" width="12.6640625" customWidth="1"/>
    <col min="17" max="18" width="15.33203125" customWidth="1"/>
    <col min="19" max="19" width="16.33203125" customWidth="1"/>
    <col min="20" max="20" width="14.33203125" customWidth="1"/>
    <col min="21" max="21" width="16.109375" customWidth="1"/>
    <col min="22" max="22" width="10.109375" bestFit="1" customWidth="1"/>
  </cols>
  <sheetData>
    <row r="1" spans="2:24" ht="10.5" customHeight="1" thickBot="1" x14ac:dyDescent="0.3"/>
    <row r="2" spans="2:24" ht="21" thickBot="1" x14ac:dyDescent="0.3">
      <c r="B2" s="130" t="s">
        <v>32</v>
      </c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  <c r="T2" s="132"/>
    </row>
    <row r="3" spans="2:24" ht="9.75" customHeight="1" thickBot="1" x14ac:dyDescent="0.3"/>
    <row r="4" spans="2:24" ht="55.2" x14ac:dyDescent="0.25">
      <c r="B4" s="25" t="s">
        <v>14</v>
      </c>
      <c r="C4" s="61" t="s">
        <v>13</v>
      </c>
      <c r="D4" s="26" t="s">
        <v>15</v>
      </c>
      <c r="E4" s="27" t="s">
        <v>18</v>
      </c>
      <c r="F4" s="27" t="s">
        <v>25</v>
      </c>
      <c r="G4" s="73" t="s">
        <v>40</v>
      </c>
      <c r="H4" s="73" t="s">
        <v>41</v>
      </c>
      <c r="I4" s="28" t="s">
        <v>38</v>
      </c>
      <c r="J4" s="28" t="s">
        <v>37</v>
      </c>
      <c r="K4" s="29" t="s">
        <v>34</v>
      </c>
      <c r="L4" s="73" t="s">
        <v>35</v>
      </c>
      <c r="M4" s="73" t="s">
        <v>30</v>
      </c>
      <c r="N4" s="73" t="s">
        <v>31</v>
      </c>
      <c r="O4" s="73" t="s">
        <v>39</v>
      </c>
      <c r="P4" s="30" t="s">
        <v>28</v>
      </c>
      <c r="Q4" s="31" t="s">
        <v>29</v>
      </c>
      <c r="R4" s="79" t="s">
        <v>36</v>
      </c>
      <c r="S4" s="32" t="s">
        <v>19</v>
      </c>
      <c r="T4" s="32" t="s">
        <v>42</v>
      </c>
      <c r="U4" s="32" t="s">
        <v>12</v>
      </c>
      <c r="V4" s="33" t="s">
        <v>17</v>
      </c>
    </row>
    <row r="5" spans="2:24" ht="15" x14ac:dyDescent="0.25">
      <c r="B5" s="34" t="s">
        <v>0</v>
      </c>
      <c r="C5" s="63">
        <v>8811514</v>
      </c>
      <c r="D5" s="11">
        <v>7860080</v>
      </c>
      <c r="E5" s="21">
        <v>6507587</v>
      </c>
      <c r="F5" s="23">
        <v>7459678</v>
      </c>
      <c r="G5" s="23">
        <v>8708</v>
      </c>
      <c r="H5" s="21">
        <f>F5/G5</f>
        <v>856.64653192466699</v>
      </c>
      <c r="I5" s="3">
        <f t="shared" ref="I5:I16" si="0">SUM(F5-(F5*4%))</f>
        <v>7161290.8799999999</v>
      </c>
      <c r="J5" s="3">
        <f>SUM(F5-(F5*9%))</f>
        <v>6788306.9800000004</v>
      </c>
      <c r="K5" s="23">
        <v>6605398</v>
      </c>
      <c r="L5" s="23">
        <v>9460</v>
      </c>
      <c r="M5" s="23"/>
      <c r="N5" s="23"/>
      <c r="O5" s="23">
        <f t="shared" ref="O5:O16" si="1">K5/L5</f>
        <v>698.24503171247352</v>
      </c>
      <c r="P5" s="76">
        <f t="shared" ref="P5:P16" si="2">F5-I5</f>
        <v>298387.12000000011</v>
      </c>
      <c r="Q5" s="76">
        <f>P5</f>
        <v>298387.12000000011</v>
      </c>
      <c r="R5" s="76">
        <f t="shared" ref="R5:R16" si="3">K5-F5</f>
        <v>-854280</v>
      </c>
      <c r="S5" s="74">
        <f>P5+R5</f>
        <v>-555892.87999999989</v>
      </c>
      <c r="T5" s="74">
        <f>-(R5)</f>
        <v>854280</v>
      </c>
      <c r="U5" s="74">
        <f>R5</f>
        <v>-854280</v>
      </c>
      <c r="V5" s="35">
        <f>R5/S21</f>
        <v>-0.42089905196316774</v>
      </c>
    </row>
    <row r="6" spans="2:24" ht="15" x14ac:dyDescent="0.25">
      <c r="B6" s="34" t="s">
        <v>1</v>
      </c>
      <c r="C6" s="63">
        <v>7420616</v>
      </c>
      <c r="D6" s="11">
        <v>7804891</v>
      </c>
      <c r="E6" s="22">
        <v>6152366</v>
      </c>
      <c r="F6" s="23">
        <v>6704268</v>
      </c>
      <c r="G6" s="23">
        <v>12830</v>
      </c>
      <c r="H6" s="21">
        <f t="shared" ref="H6:H16" si="4">F6/G6</f>
        <v>522.54621979734998</v>
      </c>
      <c r="I6" s="3">
        <f t="shared" si="0"/>
        <v>6436097.2800000003</v>
      </c>
      <c r="J6" s="3">
        <f t="shared" ref="J6:J16" si="5">SUM(F6-(F6*9%))</f>
        <v>6100883.8799999999</v>
      </c>
      <c r="K6" s="23">
        <v>6336270</v>
      </c>
      <c r="L6" s="23">
        <v>13120</v>
      </c>
      <c r="M6" s="23"/>
      <c r="N6" s="23"/>
      <c r="O6" s="23">
        <f t="shared" si="1"/>
        <v>482.94740853658539</v>
      </c>
      <c r="P6" s="76">
        <f t="shared" si="2"/>
        <v>268170.71999999974</v>
      </c>
      <c r="Q6" s="76">
        <f>P5+P6</f>
        <v>566557.83999999985</v>
      </c>
      <c r="R6" s="76">
        <f t="shared" si="3"/>
        <v>-367998</v>
      </c>
      <c r="S6" s="74">
        <f t="shared" ref="S6:S16" si="6">P6+R6</f>
        <v>-99827.280000000261</v>
      </c>
      <c r="T6" s="74">
        <f>-(R5+R6)</f>
        <v>1222278</v>
      </c>
      <c r="U6" s="74">
        <f>R5+R6</f>
        <v>-1222278</v>
      </c>
      <c r="V6" s="35">
        <f>(R5+R6)/S21</f>
        <v>-0.60220964020629864</v>
      </c>
    </row>
    <row r="7" spans="2:24" ht="15" x14ac:dyDescent="0.25">
      <c r="B7" s="34" t="s">
        <v>2</v>
      </c>
      <c r="C7" s="63">
        <v>7568360</v>
      </c>
      <c r="D7" s="11">
        <v>6733125</v>
      </c>
      <c r="E7" s="22">
        <v>7032326</v>
      </c>
      <c r="F7" s="23">
        <v>6719595</v>
      </c>
      <c r="G7" s="23">
        <v>15972</v>
      </c>
      <c r="H7" s="21">
        <f t="shared" si="4"/>
        <v>420.71093163035312</v>
      </c>
      <c r="I7" s="3">
        <f t="shared" si="0"/>
        <v>6450811.2000000002</v>
      </c>
      <c r="J7" s="3">
        <f t="shared" si="5"/>
        <v>6114831.4500000002</v>
      </c>
      <c r="K7" s="23">
        <v>6340861</v>
      </c>
      <c r="L7" s="23">
        <v>14161</v>
      </c>
      <c r="M7" s="23"/>
      <c r="N7" s="23"/>
      <c r="O7" s="23">
        <f t="shared" si="1"/>
        <v>447.76929595367557</v>
      </c>
      <c r="P7" s="76">
        <f t="shared" si="2"/>
        <v>268783.79999999981</v>
      </c>
      <c r="Q7" s="76">
        <f>P5+P6+P7</f>
        <v>835341.63999999966</v>
      </c>
      <c r="R7" s="76">
        <f t="shared" si="3"/>
        <v>-378734</v>
      </c>
      <c r="S7" s="74">
        <f t="shared" si="6"/>
        <v>-109950.20000000019</v>
      </c>
      <c r="T7" s="74">
        <f>-(R5+R6+R7)</f>
        <v>1601012</v>
      </c>
      <c r="U7" s="74">
        <f>R5+R6+R7</f>
        <v>-1601012</v>
      </c>
      <c r="V7" s="35">
        <f>(R5+R6+R7)/S21</f>
        <v>-0.78880979653234906</v>
      </c>
    </row>
    <row r="8" spans="2:24" s="94" customFormat="1" ht="39.6" x14ac:dyDescent="0.25">
      <c r="B8" s="89" t="s">
        <v>3</v>
      </c>
      <c r="C8" s="90">
        <v>4316111</v>
      </c>
      <c r="D8" s="11">
        <v>5581462</v>
      </c>
      <c r="E8" s="22">
        <v>6343428</v>
      </c>
      <c r="F8" s="23">
        <v>5190043</v>
      </c>
      <c r="G8" s="23">
        <v>6800</v>
      </c>
      <c r="H8" s="91">
        <f t="shared" si="4"/>
        <v>763.24161764705877</v>
      </c>
      <c r="I8" s="92">
        <f t="shared" si="0"/>
        <v>4982441.28</v>
      </c>
      <c r="J8" s="92">
        <f t="shared" si="5"/>
        <v>4722939.13</v>
      </c>
      <c r="K8" s="23">
        <v>3526478</v>
      </c>
      <c r="L8" s="23">
        <v>9706</v>
      </c>
      <c r="M8" s="87" t="s">
        <v>43</v>
      </c>
      <c r="N8" s="88" t="s">
        <v>44</v>
      </c>
      <c r="O8" s="23">
        <f t="shared" si="1"/>
        <v>363.3296929734185</v>
      </c>
      <c r="P8" s="93">
        <f t="shared" si="2"/>
        <v>207601.71999999974</v>
      </c>
      <c r="Q8" s="93">
        <f>P5+P6+P7+P8</f>
        <v>1042943.3599999994</v>
      </c>
      <c r="R8" s="93">
        <f t="shared" si="3"/>
        <v>-1663565</v>
      </c>
      <c r="S8" s="74">
        <f t="shared" si="6"/>
        <v>-1455963.2800000003</v>
      </c>
      <c r="T8" s="74">
        <f>-(R5+R6+R7+R8)</f>
        <v>3264577</v>
      </c>
      <c r="U8" s="74">
        <f>R5+R6+R7+R8</f>
        <v>-3264577</v>
      </c>
      <c r="V8" s="35">
        <f>(R5+R6+R8)/S21</f>
        <v>-1.4218389553946527</v>
      </c>
    </row>
    <row r="9" spans="2:24" s="94" customFormat="1" ht="39.6" x14ac:dyDescent="0.25">
      <c r="B9" s="89" t="s">
        <v>4</v>
      </c>
      <c r="C9" s="90">
        <v>4838236</v>
      </c>
      <c r="D9" s="11">
        <v>5187779</v>
      </c>
      <c r="E9" s="22">
        <v>4237437</v>
      </c>
      <c r="F9" s="23">
        <v>4280091</v>
      </c>
      <c r="G9" s="23">
        <v>9004</v>
      </c>
      <c r="H9" s="91">
        <f t="shared" si="4"/>
        <v>475.35439804531319</v>
      </c>
      <c r="I9" s="92">
        <f t="shared" si="0"/>
        <v>4108887.36</v>
      </c>
      <c r="J9" s="92">
        <f t="shared" si="5"/>
        <v>3894882.81</v>
      </c>
      <c r="K9" s="23">
        <v>3240949</v>
      </c>
      <c r="L9" s="23">
        <v>12210</v>
      </c>
      <c r="M9" s="87" t="s">
        <v>43</v>
      </c>
      <c r="N9" s="88" t="s">
        <v>44</v>
      </c>
      <c r="O9" s="23">
        <f t="shared" si="1"/>
        <v>265.43398853398855</v>
      </c>
      <c r="P9" s="93">
        <f t="shared" si="2"/>
        <v>171203.64000000013</v>
      </c>
      <c r="Q9" s="93">
        <f>P5+P6+P7+P8+P9</f>
        <v>1214146.9999999995</v>
      </c>
      <c r="R9" s="93">
        <f t="shared" si="3"/>
        <v>-1039142</v>
      </c>
      <c r="S9" s="74">
        <f t="shared" si="6"/>
        <v>-867938.35999999987</v>
      </c>
      <c r="T9" s="74">
        <f>-(R5+R6+R7+R8+R9)</f>
        <v>4303719</v>
      </c>
      <c r="U9" s="74">
        <f>R5+R6+R7+R8+R9</f>
        <v>-4303719</v>
      </c>
      <c r="V9" s="35">
        <f>(R5+R6+R7+R8+R9)/S21</f>
        <v>-2.1204186531533833</v>
      </c>
    </row>
    <row r="10" spans="2:24" s="94" customFormat="1" ht="52.8" x14ac:dyDescent="0.25">
      <c r="B10" s="89" t="s">
        <v>5</v>
      </c>
      <c r="C10" s="90">
        <v>4278015</v>
      </c>
      <c r="D10" s="11">
        <v>2702698</v>
      </c>
      <c r="E10" s="22">
        <v>2791667</v>
      </c>
      <c r="F10" s="23">
        <v>2396533</v>
      </c>
      <c r="G10" s="23">
        <v>13332</v>
      </c>
      <c r="H10" s="91">
        <f t="shared" si="4"/>
        <v>179.75795079507949</v>
      </c>
      <c r="I10" s="92">
        <f t="shared" si="0"/>
        <v>2300671.6800000002</v>
      </c>
      <c r="J10" s="92">
        <f t="shared" si="5"/>
        <v>2180845.0299999998</v>
      </c>
      <c r="K10" s="23">
        <v>2785385</v>
      </c>
      <c r="L10" s="23">
        <v>15110</v>
      </c>
      <c r="M10" s="87" t="s">
        <v>43</v>
      </c>
      <c r="N10" s="88" t="s">
        <v>45</v>
      </c>
      <c r="O10" s="23">
        <f t="shared" si="1"/>
        <v>184.34050297816015</v>
      </c>
      <c r="P10" s="93">
        <f t="shared" si="2"/>
        <v>95861.319999999832</v>
      </c>
      <c r="Q10" s="93">
        <f>P5+P6+P7+P8+P9+P10</f>
        <v>1310008.3199999994</v>
      </c>
      <c r="R10" s="93">
        <f t="shared" si="3"/>
        <v>388852</v>
      </c>
      <c r="S10" s="74">
        <f t="shared" si="6"/>
        <v>484713.31999999983</v>
      </c>
      <c r="T10" s="74">
        <f>-(R5+R6+R7+R8+R9+R10)</f>
        <v>3914867</v>
      </c>
      <c r="U10" s="74">
        <f>R5+R6+R7+R8+R9+R10</f>
        <v>-3914867</v>
      </c>
      <c r="V10" s="35">
        <f>(R5+R6+R7+R8+R9+R10)/S21</f>
        <v>-1.9288334139414369</v>
      </c>
    </row>
    <row r="11" spans="2:24" ht="15" x14ac:dyDescent="0.25">
      <c r="B11" s="36" t="s">
        <v>6</v>
      </c>
      <c r="C11" s="64">
        <v>2523052</v>
      </c>
      <c r="D11" s="11">
        <v>2786562</v>
      </c>
      <c r="E11" s="22">
        <v>1788533</v>
      </c>
      <c r="F11" s="23">
        <v>1274140</v>
      </c>
      <c r="G11" s="23">
        <v>10643</v>
      </c>
      <c r="H11" s="21">
        <f t="shared" si="4"/>
        <v>119.71624541952457</v>
      </c>
      <c r="I11" s="3">
        <f t="shared" si="0"/>
        <v>1223174.3999999999</v>
      </c>
      <c r="J11" s="3">
        <f t="shared" si="5"/>
        <v>1159467.3999999999</v>
      </c>
      <c r="K11" s="23">
        <v>924936</v>
      </c>
      <c r="L11" s="23">
        <v>12304</v>
      </c>
      <c r="M11" s="23"/>
      <c r="N11" s="23"/>
      <c r="O11" s="23">
        <f t="shared" si="1"/>
        <v>75.173602080624192</v>
      </c>
      <c r="P11" s="76">
        <f t="shared" si="2"/>
        <v>50965.600000000093</v>
      </c>
      <c r="Q11" s="76">
        <f>P5+P6+P7+P8+P9+P10+P11</f>
        <v>1360973.9199999995</v>
      </c>
      <c r="R11" s="76">
        <f t="shared" si="3"/>
        <v>-349204</v>
      </c>
      <c r="S11" s="74">
        <f t="shared" si="6"/>
        <v>-298238.39999999991</v>
      </c>
      <c r="T11" s="74">
        <f>-(R5+R6+R7+R8+R9+R10+R11)</f>
        <v>4264071</v>
      </c>
      <c r="U11" s="74">
        <f>R5+R6+R7+R8+R9+R10+R11</f>
        <v>-4264071</v>
      </c>
      <c r="V11" s="35">
        <f>(R5+R6+R7+R8+R9+R10+R11)/S21</f>
        <v>-2.100884301872497</v>
      </c>
    </row>
    <row r="12" spans="2:24" ht="15" x14ac:dyDescent="0.25">
      <c r="B12" s="36" t="s">
        <v>7</v>
      </c>
      <c r="C12" s="64">
        <v>2924971</v>
      </c>
      <c r="D12" s="11">
        <v>2015127</v>
      </c>
      <c r="E12" s="22">
        <v>2024975</v>
      </c>
      <c r="F12" s="23">
        <v>1293961</v>
      </c>
      <c r="G12" s="23">
        <v>5875</v>
      </c>
      <c r="H12" s="21">
        <f t="shared" si="4"/>
        <v>220.24868085106382</v>
      </c>
      <c r="I12" s="3">
        <f t="shared" si="0"/>
        <v>1242202.56</v>
      </c>
      <c r="J12" s="3">
        <f t="shared" si="5"/>
        <v>1177504.51</v>
      </c>
      <c r="K12" s="23">
        <v>921334</v>
      </c>
      <c r="L12" s="23">
        <v>4420</v>
      </c>
      <c r="M12" s="23"/>
      <c r="N12" s="23"/>
      <c r="O12" s="23">
        <f t="shared" si="1"/>
        <v>208.44660633484162</v>
      </c>
      <c r="P12" s="76">
        <f t="shared" si="2"/>
        <v>51758.439999999944</v>
      </c>
      <c r="Q12" s="76">
        <f>P5+P6+P7+P8+P9+P10+P11+P12</f>
        <v>1412732.3599999994</v>
      </c>
      <c r="R12" s="76">
        <f t="shared" si="3"/>
        <v>-372627</v>
      </c>
      <c r="S12" s="74">
        <f t="shared" si="6"/>
        <v>-320868.56000000006</v>
      </c>
      <c r="T12" s="74">
        <f>-(R5+R6+R7+R8+R9+R10+R11+R12)</f>
        <v>4636698</v>
      </c>
      <c r="U12" s="74">
        <f>R5+R6+R7+R8+R9+R10+R11+R12</f>
        <v>-4636698</v>
      </c>
      <c r="V12" s="35">
        <f>(R5+R6+R7+R8+R9+R10+R11+R12)/S21</f>
        <v>-2.2844755729263428</v>
      </c>
      <c r="X12" s="4"/>
    </row>
    <row r="13" spans="2:24" ht="15" x14ac:dyDescent="0.25">
      <c r="B13" s="34" t="s">
        <v>8</v>
      </c>
      <c r="C13" s="63">
        <v>4059803</v>
      </c>
      <c r="D13" s="11">
        <v>4205790</v>
      </c>
      <c r="E13" s="22">
        <v>3267538</v>
      </c>
      <c r="F13" s="23">
        <v>2033967</v>
      </c>
      <c r="G13" s="23">
        <v>12504</v>
      </c>
      <c r="H13" s="21">
        <f t="shared" si="4"/>
        <v>162.66530710172745</v>
      </c>
      <c r="I13" s="3">
        <f t="shared" si="0"/>
        <v>1952608.32</v>
      </c>
      <c r="J13" s="3">
        <f t="shared" si="5"/>
        <v>1850909.97</v>
      </c>
      <c r="K13" s="23">
        <v>2479967</v>
      </c>
      <c r="L13" s="88">
        <v>14053</v>
      </c>
      <c r="M13" s="23"/>
      <c r="N13" s="23"/>
      <c r="O13" s="23">
        <f t="shared" si="1"/>
        <v>176.47242581655163</v>
      </c>
      <c r="P13" s="76">
        <f t="shared" si="2"/>
        <v>81358.679999999935</v>
      </c>
      <c r="Q13" s="76">
        <f>P5+P6+P7+P8+P9+P10+P11+P12+P13</f>
        <v>1494091.0399999993</v>
      </c>
      <c r="R13" s="76">
        <f t="shared" si="3"/>
        <v>446000</v>
      </c>
      <c r="S13" s="74">
        <f t="shared" si="6"/>
        <v>527358.67999999993</v>
      </c>
      <c r="T13" s="74">
        <f>-(R5+R6+R7+R8+R9+R10+R11+R12+R13)</f>
        <v>4190698</v>
      </c>
      <c r="U13" s="74">
        <f>R5+R6+R7+R8+R9+R10+R11+R12+R13</f>
        <v>-4190698</v>
      </c>
      <c r="V13" s="35">
        <f>(R5+R6+R7+R8+R9+R10+R11+R12+R13)/S21</f>
        <v>-2.0647338287961126</v>
      </c>
    </row>
    <row r="14" spans="2:24" ht="15" x14ac:dyDescent="0.25">
      <c r="B14" s="34" t="s">
        <v>9</v>
      </c>
      <c r="C14" s="63">
        <v>5292438</v>
      </c>
      <c r="D14" s="12">
        <v>6592652</v>
      </c>
      <c r="E14" s="21">
        <v>4946404</v>
      </c>
      <c r="F14" s="23">
        <v>2995902</v>
      </c>
      <c r="G14" s="23">
        <v>13267</v>
      </c>
      <c r="H14" s="21">
        <f t="shared" si="4"/>
        <v>225.81608502298937</v>
      </c>
      <c r="I14" s="3">
        <f t="shared" si="0"/>
        <v>2876065.92</v>
      </c>
      <c r="J14" s="3">
        <f t="shared" si="5"/>
        <v>2726270.82</v>
      </c>
      <c r="K14" s="23">
        <v>3233966</v>
      </c>
      <c r="L14" s="88">
        <v>12015</v>
      </c>
      <c r="M14" s="23"/>
      <c r="N14" s="23"/>
      <c r="O14" s="23">
        <f t="shared" si="1"/>
        <v>269.16071577195174</v>
      </c>
      <c r="P14" s="76">
        <f t="shared" si="2"/>
        <v>119836.08000000007</v>
      </c>
      <c r="Q14" s="76">
        <f>P5+P6+P7+P8+P9+P10+P11+P12+P13+P14</f>
        <v>1613927.1199999994</v>
      </c>
      <c r="R14" s="76">
        <f t="shared" si="3"/>
        <v>238064</v>
      </c>
      <c r="S14" s="74">
        <f t="shared" si="6"/>
        <v>357900.08000000007</v>
      </c>
      <c r="T14" s="74">
        <f>-(R5+R6+R7+R8+R9+R10+R11+R12+R13+R14)</f>
        <v>3952634</v>
      </c>
      <c r="U14" s="74">
        <f>R5+R6+R7+R8+R9+R10+R11+R12+R13+R14</f>
        <v>-3952634</v>
      </c>
      <c r="V14" s="35">
        <f>(R5+R6+R7+R8+R9+R10+R11+R12+R13+R14)/S21</f>
        <v>-1.9474410068799266</v>
      </c>
    </row>
    <row r="15" spans="2:24" ht="15" x14ac:dyDescent="0.25">
      <c r="B15" s="34" t="s">
        <v>10</v>
      </c>
      <c r="C15" s="63">
        <v>6285227</v>
      </c>
      <c r="D15" s="11">
        <v>7240123</v>
      </c>
      <c r="E15" s="22">
        <v>6774475</v>
      </c>
      <c r="F15" s="23">
        <v>5007072</v>
      </c>
      <c r="G15" s="23">
        <v>16797</v>
      </c>
      <c r="H15" s="21">
        <f t="shared" si="4"/>
        <v>298.0932309340954</v>
      </c>
      <c r="I15" s="3">
        <f t="shared" si="0"/>
        <v>4806789.1200000001</v>
      </c>
      <c r="J15" s="3">
        <f t="shared" si="5"/>
        <v>4556435.5199999996</v>
      </c>
      <c r="K15" s="23">
        <v>4049880</v>
      </c>
      <c r="L15" s="88">
        <v>11459</v>
      </c>
      <c r="M15" s="23"/>
      <c r="N15" s="23"/>
      <c r="O15" s="23">
        <f t="shared" si="1"/>
        <v>353.42350990487824</v>
      </c>
      <c r="P15" s="76">
        <f t="shared" si="2"/>
        <v>200282.87999999989</v>
      </c>
      <c r="Q15" s="76">
        <f>P5+P6+P7+P8+P9+P10+P11+P12+P13+P14+P15</f>
        <v>1814209.9999999993</v>
      </c>
      <c r="R15" s="76">
        <f t="shared" si="3"/>
        <v>-957192</v>
      </c>
      <c r="S15" s="74">
        <f t="shared" si="6"/>
        <v>-756909.12000000011</v>
      </c>
      <c r="T15" s="74">
        <f>-(R5+R6+R7+R8+R9+R10+R11+R12+R13+R14+R15)</f>
        <v>4909826</v>
      </c>
      <c r="U15" s="74">
        <f>R5+R6+R7+R8+R9+R10+R11+R12+R13+R14+R15</f>
        <v>-4909826</v>
      </c>
      <c r="V15" s="35">
        <f>(R5+R6+R7+R8+R9+R10+R11+R12+R13+R14+R15)/S21</f>
        <v>-2.419044234564911</v>
      </c>
    </row>
    <row r="16" spans="2:24" ht="15" x14ac:dyDescent="0.25">
      <c r="B16" s="36" t="s">
        <v>11</v>
      </c>
      <c r="C16" s="64">
        <v>5502512</v>
      </c>
      <c r="D16" s="11">
        <v>5381132</v>
      </c>
      <c r="E16" s="22">
        <v>5248636</v>
      </c>
      <c r="F16" s="23">
        <v>5386133</v>
      </c>
      <c r="G16" s="23">
        <v>16890</v>
      </c>
      <c r="H16" s="21">
        <f t="shared" si="4"/>
        <v>318.89478981645942</v>
      </c>
      <c r="I16" s="3">
        <f t="shared" si="0"/>
        <v>5170687.68</v>
      </c>
      <c r="J16" s="3">
        <f t="shared" si="5"/>
        <v>4901381.03</v>
      </c>
      <c r="K16" s="23">
        <v>3556686</v>
      </c>
      <c r="L16" s="96"/>
      <c r="M16" s="23"/>
      <c r="N16" s="23"/>
      <c r="O16" s="23" t="e">
        <f t="shared" si="1"/>
        <v>#DIV/0!</v>
      </c>
      <c r="P16" s="76">
        <f t="shared" si="2"/>
        <v>215445.3200000003</v>
      </c>
      <c r="Q16" s="76">
        <f>P5+P6+P7+P8+P9+P10+P11+P12+P13+P14+P15+P16</f>
        <v>2029655.3199999996</v>
      </c>
      <c r="R16" s="76">
        <f t="shared" si="3"/>
        <v>-1829447</v>
      </c>
      <c r="S16" s="74">
        <f t="shared" si="6"/>
        <v>-1614001.6799999997</v>
      </c>
      <c r="T16" s="74">
        <f>-(R5+R6+R7+R8+R9+R10+R11+R12+R13+R14+R15+R16)</f>
        <v>6739273</v>
      </c>
      <c r="U16" s="74">
        <f>R5+R6+R7+R8+R9+R10+R11+R12+R13+R14+R15+R16</f>
        <v>-6739273</v>
      </c>
      <c r="V16" s="35">
        <f>(R5+R6+R7+R8+R9+R10+R11+R12+R13+R14+R15+R16)/S21</f>
        <v>-3.3204026977349037</v>
      </c>
    </row>
    <row r="17" spans="2:42" s="2" customFormat="1" ht="13.8" thickBot="1" x14ac:dyDescent="0.3">
      <c r="B17" s="37" t="s">
        <v>16</v>
      </c>
      <c r="C17" s="62">
        <f t="shared" ref="C17:H17" si="7">SUM(C5:C16)</f>
        <v>63820855</v>
      </c>
      <c r="D17" s="38">
        <f t="shared" si="7"/>
        <v>64091421</v>
      </c>
      <c r="E17" s="38">
        <f t="shared" si="7"/>
        <v>57115372</v>
      </c>
      <c r="F17" s="38">
        <f t="shared" si="7"/>
        <v>50741383</v>
      </c>
      <c r="G17" s="38">
        <f t="shared" si="7"/>
        <v>142622</v>
      </c>
      <c r="H17" s="38">
        <f t="shared" si="7"/>
        <v>4563.6919889856817</v>
      </c>
      <c r="I17" s="38">
        <f t="shared" ref="I17:U17" si="8">SUM(I5:I16)</f>
        <v>48711727.68</v>
      </c>
      <c r="J17" s="38">
        <f>SUM(J5:J16)</f>
        <v>46174658.530000001</v>
      </c>
      <c r="K17" s="38">
        <f>SUM(K5:K16)</f>
        <v>44002110</v>
      </c>
      <c r="L17" s="38"/>
      <c r="M17" s="38"/>
      <c r="N17" s="38"/>
      <c r="O17" s="38" t="e">
        <f>SUM(O5:O16)</f>
        <v>#DIV/0!</v>
      </c>
      <c r="P17" s="75">
        <f t="shared" si="8"/>
        <v>2029655.3199999996</v>
      </c>
      <c r="Q17" s="75"/>
      <c r="R17" s="75">
        <f t="shared" si="8"/>
        <v>-6739273</v>
      </c>
      <c r="S17" s="75">
        <f t="shared" si="8"/>
        <v>-4709617.6800000006</v>
      </c>
      <c r="T17" s="75"/>
      <c r="U17" s="75">
        <f t="shared" si="8"/>
        <v>-43853933</v>
      </c>
      <c r="V17" s="39"/>
    </row>
    <row r="18" spans="2:42" ht="6" customHeight="1" thickBot="1" x14ac:dyDescent="0.3"/>
    <row r="19" spans="2:42" ht="31.5" customHeight="1" thickBot="1" x14ac:dyDescent="0.3">
      <c r="B19" s="135" t="s">
        <v>20</v>
      </c>
      <c r="C19" s="136"/>
      <c r="D19" s="136"/>
      <c r="E19" s="136"/>
      <c r="F19" s="136"/>
      <c r="G19" s="136"/>
      <c r="H19" s="136"/>
      <c r="I19" s="136"/>
      <c r="J19" s="136"/>
      <c r="K19" s="136"/>
      <c r="L19" s="60"/>
      <c r="M19" s="60"/>
      <c r="N19" s="24"/>
      <c r="O19" s="24"/>
      <c r="P19" s="41">
        <f>V13</f>
        <v>-2.0647338287961126</v>
      </c>
      <c r="Q19" s="133" t="s">
        <v>26</v>
      </c>
      <c r="R19" s="133"/>
      <c r="S19" s="133"/>
      <c r="T19" s="134"/>
    </row>
    <row r="20" spans="2:42" ht="6" customHeight="1" thickBot="1" x14ac:dyDescent="0.3">
      <c r="T20" s="5"/>
    </row>
    <row r="21" spans="2:42" ht="18.75" customHeight="1" thickBot="1" x14ac:dyDescent="0.3">
      <c r="D21" s="137" t="s">
        <v>33</v>
      </c>
      <c r="E21" s="138"/>
      <c r="F21" s="138"/>
      <c r="G21" s="138"/>
      <c r="H21" s="138"/>
      <c r="I21" s="138"/>
      <c r="J21" s="138"/>
      <c r="K21" s="138"/>
      <c r="L21" s="138"/>
      <c r="M21" s="138"/>
      <c r="N21" s="138"/>
      <c r="O21" s="138"/>
      <c r="P21" s="138"/>
      <c r="Q21" s="138"/>
      <c r="R21" s="78"/>
      <c r="S21" s="40">
        <f>F17-I17</f>
        <v>2029655.3200000003</v>
      </c>
      <c r="T21" s="20"/>
    </row>
    <row r="22" spans="2:42" ht="7.5" customHeight="1" thickBot="1" x14ac:dyDescent="0.3">
      <c r="B22" s="16"/>
      <c r="C22" s="16"/>
      <c r="D22" s="16"/>
      <c r="E22" s="16"/>
      <c r="F22" s="17"/>
      <c r="G22" s="17"/>
      <c r="H22" s="17"/>
    </row>
    <row r="23" spans="2:42" x14ac:dyDescent="0.25">
      <c r="B23" s="16"/>
      <c r="C23" s="16"/>
      <c r="D23" s="18"/>
      <c r="E23" s="18"/>
      <c r="F23" s="42" t="s">
        <v>21</v>
      </c>
      <c r="G23" s="44"/>
      <c r="H23" s="44"/>
      <c r="I23" s="43"/>
      <c r="J23" s="43"/>
      <c r="K23" s="44">
        <v>4</v>
      </c>
      <c r="L23" s="44"/>
      <c r="M23" s="44"/>
      <c r="N23" s="45"/>
      <c r="O23" s="45"/>
      <c r="P23" s="46"/>
      <c r="Q23" s="47"/>
      <c r="R23" s="9"/>
    </row>
    <row r="24" spans="2:42" x14ac:dyDescent="0.25">
      <c r="B24" s="16"/>
      <c r="C24" s="16"/>
      <c r="D24" s="18"/>
      <c r="E24" s="18"/>
      <c r="F24" s="48" t="s">
        <v>25</v>
      </c>
      <c r="G24" s="68"/>
      <c r="H24" s="68"/>
      <c r="I24" s="49"/>
      <c r="J24" s="49"/>
      <c r="K24" s="77">
        <f>SUM(F5:F16)</f>
        <v>50741383</v>
      </c>
      <c r="L24" s="65" t="s">
        <v>22</v>
      </c>
      <c r="M24" s="65"/>
      <c r="N24" s="67" t="s">
        <v>27</v>
      </c>
      <c r="O24" s="67"/>
      <c r="P24" s="66"/>
      <c r="Q24" s="51"/>
      <c r="R24" s="9"/>
    </row>
    <row r="25" spans="2:42" x14ac:dyDescent="0.25">
      <c r="B25" s="16"/>
      <c r="C25" s="16"/>
      <c r="D25" s="18"/>
      <c r="E25" s="18"/>
      <c r="F25" s="48" t="s">
        <v>34</v>
      </c>
      <c r="G25" s="68"/>
      <c r="H25" s="68"/>
      <c r="I25" s="49"/>
      <c r="J25" s="49"/>
      <c r="K25" s="77">
        <f>SUM(K5:K16)</f>
        <v>44002110</v>
      </c>
      <c r="L25" s="65" t="s">
        <v>22</v>
      </c>
      <c r="M25" s="65"/>
      <c r="N25" s="67" t="s">
        <v>27</v>
      </c>
      <c r="O25" s="67"/>
      <c r="P25" s="66"/>
      <c r="Q25" s="51"/>
      <c r="R25" s="9"/>
    </row>
    <row r="26" spans="2:42" x14ac:dyDescent="0.25">
      <c r="B26" s="16"/>
      <c r="C26" s="16"/>
      <c r="D26" s="18"/>
      <c r="E26" s="18"/>
      <c r="F26" s="52" t="s">
        <v>23</v>
      </c>
      <c r="G26" s="69"/>
      <c r="H26" s="69"/>
      <c r="I26" s="53"/>
      <c r="J26" s="53"/>
      <c r="K26" s="50">
        <f>K24-K25</f>
        <v>6739273</v>
      </c>
      <c r="L26" s="50"/>
      <c r="M26" s="50"/>
      <c r="N26" s="54"/>
      <c r="O26" s="54"/>
      <c r="P26" s="54"/>
      <c r="Q26" s="51"/>
      <c r="R26" s="9"/>
    </row>
    <row r="27" spans="2:42" ht="13.8" thickBot="1" x14ac:dyDescent="0.3">
      <c r="B27" s="16"/>
      <c r="C27" s="16"/>
      <c r="D27" s="18"/>
      <c r="E27" s="18"/>
      <c r="F27" s="55" t="s">
        <v>24</v>
      </c>
      <c r="G27" s="70"/>
      <c r="H27" s="70"/>
      <c r="I27" s="56"/>
      <c r="J27" s="56"/>
      <c r="K27" s="86">
        <f>K26/K24</f>
        <v>0.13281610790939616</v>
      </c>
      <c r="L27" s="57"/>
      <c r="M27" s="57"/>
      <c r="N27" s="58"/>
      <c r="O27" s="58"/>
      <c r="P27" s="58"/>
      <c r="Q27" s="59"/>
      <c r="R27" s="9"/>
    </row>
    <row r="28" spans="2:42" x14ac:dyDescent="0.25">
      <c r="B28" s="16"/>
      <c r="C28" s="16"/>
      <c r="D28" s="18"/>
      <c r="E28" s="18"/>
      <c r="F28" s="9"/>
      <c r="G28" s="9"/>
      <c r="H28" s="9"/>
      <c r="I28" s="15"/>
      <c r="J28" s="15"/>
      <c r="K28" s="1"/>
      <c r="L28" s="1"/>
      <c r="M28" s="1"/>
    </row>
    <row r="29" spans="2:42" x14ac:dyDescent="0.25">
      <c r="B29" s="16"/>
      <c r="C29" s="16"/>
      <c r="D29" s="19"/>
      <c r="E29" s="19"/>
      <c r="F29" s="9"/>
      <c r="G29" s="9"/>
      <c r="H29" s="9"/>
      <c r="I29" s="15"/>
      <c r="J29" s="15"/>
      <c r="K29" s="1"/>
      <c r="L29" s="1"/>
      <c r="M29" s="1"/>
    </row>
    <row r="30" spans="2:42" ht="13.8" x14ac:dyDescent="0.25">
      <c r="B30" s="16"/>
      <c r="C30" s="71"/>
      <c r="D30" s="72"/>
      <c r="E30" s="72"/>
      <c r="F30" s="72"/>
      <c r="G30" s="71"/>
      <c r="H30" s="71"/>
      <c r="I30" s="72"/>
      <c r="J30" s="72"/>
      <c r="K30" s="72"/>
      <c r="L30" s="95">
        <v>9460</v>
      </c>
      <c r="M30" s="80"/>
      <c r="N30" s="72"/>
      <c r="O30" s="72"/>
      <c r="P30" s="72"/>
      <c r="Q30" s="71"/>
      <c r="R30" s="71"/>
      <c r="S30" s="72"/>
      <c r="T30" s="72"/>
      <c r="U30" s="71"/>
      <c r="V30" s="72"/>
      <c r="W30" s="72"/>
      <c r="X30" s="72"/>
      <c r="Y30" s="71"/>
      <c r="Z30" s="72"/>
      <c r="AA30" s="72"/>
      <c r="AB30" s="72"/>
      <c r="AC30" s="72"/>
      <c r="AD30" s="72"/>
      <c r="AE30" s="72"/>
      <c r="AF30" s="72"/>
      <c r="AG30" s="72"/>
      <c r="AH30" s="72"/>
      <c r="AI30" s="72"/>
      <c r="AJ30" s="72"/>
      <c r="AK30" s="72"/>
      <c r="AL30" s="72"/>
      <c r="AM30" s="72"/>
      <c r="AN30" s="72"/>
      <c r="AO30" s="72"/>
      <c r="AP30" s="72"/>
    </row>
    <row r="31" spans="2:42" ht="15" x14ac:dyDescent="0.25">
      <c r="B31" s="16"/>
      <c r="C31" s="16"/>
      <c r="D31" s="18"/>
      <c r="E31" s="18"/>
      <c r="F31" s="9"/>
      <c r="G31" s="9"/>
      <c r="H31" s="9"/>
      <c r="I31" s="83"/>
      <c r="J31" s="83"/>
      <c r="K31" s="1"/>
      <c r="L31" s="95">
        <v>13121</v>
      </c>
      <c r="M31" s="81"/>
    </row>
    <row r="32" spans="2:42" ht="15" x14ac:dyDescent="0.25">
      <c r="B32" s="16"/>
      <c r="C32" s="16"/>
      <c r="D32" s="18"/>
      <c r="E32" s="18"/>
      <c r="F32" s="9"/>
      <c r="G32" s="9"/>
      <c r="H32" s="9"/>
      <c r="I32" s="84"/>
      <c r="J32" s="84"/>
      <c r="K32" s="84"/>
      <c r="L32" s="95">
        <v>14175</v>
      </c>
      <c r="M32" s="81"/>
    </row>
    <row r="33" spans="2:13" ht="15" x14ac:dyDescent="0.25">
      <c r="B33" s="16"/>
      <c r="C33" s="16"/>
      <c r="D33" s="9"/>
      <c r="E33" s="9"/>
      <c r="F33" s="9"/>
      <c r="G33" s="9"/>
      <c r="H33" s="9"/>
      <c r="I33" s="83"/>
      <c r="J33" s="83"/>
      <c r="K33" s="1"/>
      <c r="L33" s="95">
        <v>9706</v>
      </c>
      <c r="M33" s="82"/>
    </row>
    <row r="34" spans="2:13" ht="15" x14ac:dyDescent="0.25">
      <c r="I34" s="84"/>
      <c r="J34" s="84"/>
      <c r="L34" s="95">
        <v>12207</v>
      </c>
    </row>
    <row r="35" spans="2:13" ht="13.8" x14ac:dyDescent="0.25">
      <c r="I35" s="85"/>
      <c r="J35" s="85"/>
      <c r="L35" s="95">
        <v>15110</v>
      </c>
    </row>
    <row r="36" spans="2:13" x14ac:dyDescent="0.25">
      <c r="L36" s="95">
        <v>12304</v>
      </c>
    </row>
    <row r="37" spans="2:13" x14ac:dyDescent="0.25">
      <c r="L37" s="95">
        <v>4420</v>
      </c>
    </row>
    <row r="38" spans="2:13" x14ac:dyDescent="0.25">
      <c r="L38" s="95">
        <v>14053</v>
      </c>
    </row>
    <row r="39" spans="2:13" x14ac:dyDescent="0.25">
      <c r="L39" s="95">
        <v>12015</v>
      </c>
    </row>
    <row r="40" spans="2:13" x14ac:dyDescent="0.25">
      <c r="L40" s="95">
        <v>11459</v>
      </c>
    </row>
    <row r="41" spans="2:13" ht="15" x14ac:dyDescent="0.25">
      <c r="L41" s="83"/>
    </row>
  </sheetData>
  <mergeCells count="4">
    <mergeCell ref="B2:T2"/>
    <mergeCell ref="Q19:T19"/>
    <mergeCell ref="B19:K19"/>
    <mergeCell ref="D21:Q21"/>
  </mergeCells>
  <dataValidations count="2">
    <dataValidation type="list" allowBlank="1" showInputMessage="1" showErrorMessage="1" sqref="M5:M7 M11:M16">
      <formula1>$M$30:$M$33</formula1>
    </dataValidation>
    <dataValidation type="list" allowBlank="1" showInputMessage="1" showErrorMessage="1" sqref="M8:M10">
      <formula1>$M$29:$M$32</formula1>
    </dataValidation>
  </dataValidations>
  <pageMargins left="0.11811023622047245" right="0" top="1.3779527559055118" bottom="0" header="0.31496062992125984" footer="0.31496062992125984"/>
  <pageSetup paperSize="9" scale="5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R42"/>
  <sheetViews>
    <sheetView showGridLines="0" zoomScale="90" zoomScaleNormal="90" workbookViewId="0">
      <selection activeCell="V15" sqref="V15"/>
    </sheetView>
  </sheetViews>
  <sheetFormatPr defaultRowHeight="13.2" x14ac:dyDescent="0.25"/>
  <cols>
    <col min="1" max="1" width="2.5546875" customWidth="1"/>
    <col min="4" max="4" width="10.44140625" customWidth="1"/>
    <col min="5" max="5" width="9.33203125" bestFit="1" customWidth="1"/>
    <col min="6" max="6" width="14" bestFit="1" customWidth="1"/>
    <col min="11" max="11" width="16.109375" customWidth="1"/>
    <col min="12" max="12" width="7.109375" customWidth="1"/>
    <col min="13" max="13" width="10.88671875" customWidth="1"/>
    <col min="14" max="14" width="5.88671875" customWidth="1"/>
    <col min="17" max="17" width="1" customWidth="1"/>
    <col min="19" max="19" width="11.109375" customWidth="1"/>
  </cols>
  <sheetData>
    <row r="3" spans="14:14" ht="12.75" customHeight="1" x14ac:dyDescent="0.25"/>
    <row r="4" spans="14:14" ht="12.75" customHeight="1" x14ac:dyDescent="0.25"/>
    <row r="8" spans="14:14" x14ac:dyDescent="0.25">
      <c r="N8" s="99"/>
    </row>
    <row r="11" spans="14:14" x14ac:dyDescent="0.25">
      <c r="N11" s="99"/>
    </row>
    <row r="12" spans="14:14" x14ac:dyDescent="0.25">
      <c r="N12" s="99"/>
    </row>
    <row r="20" spans="4:18" ht="12.75" customHeight="1" x14ac:dyDescent="0.25"/>
    <row r="21" spans="4:18" ht="12.75" customHeight="1" x14ac:dyDescent="0.25"/>
    <row r="22" spans="4:18" ht="13.5" customHeight="1" x14ac:dyDescent="0.25"/>
    <row r="24" spans="4:18" x14ac:dyDescent="0.25">
      <c r="M24" s="9"/>
      <c r="N24" s="9"/>
      <c r="O24" s="9"/>
      <c r="P24" s="9"/>
      <c r="Q24" s="9"/>
      <c r="R24" s="9"/>
    </row>
    <row r="25" spans="4:18" ht="18.75" customHeight="1" x14ac:dyDescent="0.25">
      <c r="M25" s="9"/>
      <c r="N25" s="117"/>
      <c r="O25" s="117"/>
      <c r="P25" s="14"/>
      <c r="Q25" s="9"/>
      <c r="R25" s="9"/>
    </row>
    <row r="26" spans="4:18" ht="12.75" customHeight="1" x14ac:dyDescent="0.25">
      <c r="M26" s="9"/>
      <c r="N26" s="13"/>
      <c r="O26" s="14"/>
      <c r="P26" s="14"/>
      <c r="Q26" s="9"/>
      <c r="R26" s="9"/>
    </row>
    <row r="27" spans="4:18" ht="13.5" customHeight="1" x14ac:dyDescent="0.25">
      <c r="M27" s="9"/>
      <c r="N27" s="9"/>
      <c r="O27" s="9"/>
      <c r="P27" s="9"/>
      <c r="Q27" s="9"/>
      <c r="R27" s="9"/>
    </row>
    <row r="28" spans="4:18" ht="12.75" customHeight="1" x14ac:dyDescent="0.25"/>
    <row r="31" spans="4:18" ht="13.8" thickBot="1" x14ac:dyDescent="0.3"/>
    <row r="32" spans="4:18" ht="15" customHeight="1" x14ac:dyDescent="0.25">
      <c r="D32" s="118" t="str">
        <f>'Electricity Data'!B19</f>
        <v>Target YTD Achievement (%)</v>
      </c>
      <c r="E32" s="119"/>
      <c r="F32" s="119"/>
      <c r="G32" s="139">
        <f>'Electricity Data'!L27</f>
        <v>4.0401110222320083E-2</v>
      </c>
      <c r="H32" s="139"/>
      <c r="I32" s="139"/>
      <c r="J32" s="139"/>
      <c r="K32" s="140"/>
    </row>
    <row r="33" spans="2:11" ht="12.75" customHeight="1" x14ac:dyDescent="0.25">
      <c r="D33" s="120"/>
      <c r="E33" s="121"/>
      <c r="F33" s="121"/>
      <c r="G33" s="141"/>
      <c r="H33" s="141"/>
      <c r="I33" s="141"/>
      <c r="J33" s="141"/>
      <c r="K33" s="142"/>
    </row>
    <row r="34" spans="2:11" ht="13.5" customHeight="1" thickBot="1" x14ac:dyDescent="0.3">
      <c r="D34" s="122"/>
      <c r="E34" s="123"/>
      <c r="F34" s="123"/>
      <c r="G34" s="143"/>
      <c r="H34" s="143"/>
      <c r="I34" s="143"/>
      <c r="J34" s="143"/>
      <c r="K34" s="144"/>
    </row>
    <row r="40" spans="2:11" ht="24" customHeight="1" x14ac:dyDescent="0.25">
      <c r="B40" s="1"/>
      <c r="C40" s="1"/>
      <c r="E40" s="6"/>
      <c r="F40" s="7"/>
      <c r="G40" s="8"/>
      <c r="H40" s="116"/>
      <c r="I40" s="116"/>
      <c r="J40" s="9"/>
      <c r="K40" s="9"/>
    </row>
    <row r="41" spans="2:11" x14ac:dyDescent="0.25">
      <c r="E41" s="9"/>
      <c r="F41" s="9"/>
      <c r="G41" s="9"/>
      <c r="H41" s="9"/>
      <c r="I41" s="9"/>
      <c r="J41" s="9"/>
      <c r="K41" s="9"/>
    </row>
    <row r="42" spans="2:11" x14ac:dyDescent="0.25">
      <c r="E42" s="9"/>
      <c r="F42" s="9"/>
      <c r="G42" s="9"/>
      <c r="H42" s="9"/>
      <c r="I42" s="9"/>
      <c r="J42" s="9"/>
      <c r="K42" s="9"/>
    </row>
  </sheetData>
  <mergeCells count="4">
    <mergeCell ref="H40:I40"/>
    <mergeCell ref="N25:O25"/>
    <mergeCell ref="D32:F34"/>
    <mergeCell ref="G32:K34"/>
  </mergeCells>
  <conditionalFormatting sqref="G32:K34">
    <cfRule type="cellIs" dxfId="5" priority="1" operator="lessThan">
      <formula>0</formula>
    </cfRule>
    <cfRule type="cellIs" dxfId="4" priority="2" operator="greaterThan">
      <formula>0</formula>
    </cfRule>
  </conditionalFormatting>
  <pageMargins left="0.39370078740157483" right="0.39370078740157483" top="0.39370078740157483" bottom="0.39370078740157483" header="0.51181102362204722" footer="0.51181102362204722"/>
  <pageSetup paperSize="9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Q33"/>
  <sheetViews>
    <sheetView topLeftCell="F1" zoomScaleNormal="100" workbookViewId="0">
      <selection activeCell="L32" sqref="L32"/>
    </sheetView>
  </sheetViews>
  <sheetFormatPr defaultRowHeight="13.2" x14ac:dyDescent="0.25"/>
  <cols>
    <col min="1" max="1" width="1" customWidth="1"/>
    <col min="2" max="2" width="9.33203125" customWidth="1"/>
    <col min="3" max="3" width="9.109375" customWidth="1"/>
    <col min="4" max="4" width="9.33203125" customWidth="1"/>
    <col min="5" max="5" width="9.44140625" customWidth="1"/>
    <col min="6" max="6" width="9.33203125" customWidth="1"/>
    <col min="7" max="7" width="12.109375" customWidth="1"/>
    <col min="8" max="8" width="12.33203125" customWidth="1"/>
    <col min="9" max="9" width="12.6640625" customWidth="1"/>
    <col min="10" max="10" width="9.5546875" customWidth="1"/>
    <col min="11" max="11" width="12.6640625" customWidth="1"/>
    <col min="12" max="12" width="15.44140625" customWidth="1"/>
    <col min="13" max="13" width="11.6640625" customWidth="1"/>
    <col min="14" max="14" width="13.5546875" customWidth="1"/>
    <col min="15" max="15" width="28.88671875" customWidth="1"/>
    <col min="16" max="16" width="13.6640625" customWidth="1"/>
    <col min="17" max="17" width="12.6640625" customWidth="1"/>
    <col min="18" max="19" width="15.33203125" customWidth="1"/>
    <col min="20" max="20" width="13.88671875" customWidth="1"/>
    <col min="21" max="21" width="14.33203125" customWidth="1"/>
    <col min="23" max="23" width="10.109375" bestFit="1" customWidth="1"/>
  </cols>
  <sheetData>
    <row r="1" spans="2:25" ht="10.5" customHeight="1" thickBot="1" x14ac:dyDescent="0.3"/>
    <row r="2" spans="2:25" ht="21" thickBot="1" x14ac:dyDescent="0.3">
      <c r="B2" s="130" t="s">
        <v>54</v>
      </c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  <c r="T2" s="131"/>
      <c r="U2" s="132"/>
    </row>
    <row r="3" spans="2:25" ht="9.75" customHeight="1" thickBot="1" x14ac:dyDescent="0.3"/>
    <row r="4" spans="2:25" ht="66" x14ac:dyDescent="0.25">
      <c r="B4" s="25" t="s">
        <v>14</v>
      </c>
      <c r="C4" s="61" t="s">
        <v>13</v>
      </c>
      <c r="D4" s="26" t="s">
        <v>15</v>
      </c>
      <c r="E4" s="27" t="s">
        <v>18</v>
      </c>
      <c r="F4" s="27" t="s">
        <v>25</v>
      </c>
      <c r="G4" s="73" t="s">
        <v>40</v>
      </c>
      <c r="H4" s="73" t="s">
        <v>53</v>
      </c>
      <c r="I4" s="28" t="s">
        <v>52</v>
      </c>
      <c r="J4" s="28" t="s">
        <v>51</v>
      </c>
      <c r="K4" s="107" t="s">
        <v>50</v>
      </c>
      <c r="L4" s="29" t="s">
        <v>34</v>
      </c>
      <c r="M4" s="73" t="s">
        <v>35</v>
      </c>
      <c r="N4" s="106" t="s">
        <v>49</v>
      </c>
      <c r="O4" s="73" t="s">
        <v>31</v>
      </c>
      <c r="P4" s="73" t="s">
        <v>39</v>
      </c>
      <c r="Q4" s="30" t="s">
        <v>28</v>
      </c>
      <c r="R4" s="31" t="s">
        <v>29</v>
      </c>
      <c r="S4" s="79" t="s">
        <v>36</v>
      </c>
      <c r="T4" s="32" t="s">
        <v>19</v>
      </c>
      <c r="U4" s="32" t="s">
        <v>42</v>
      </c>
      <c r="V4" s="32" t="s">
        <v>12</v>
      </c>
      <c r="W4" s="33" t="s">
        <v>17</v>
      </c>
    </row>
    <row r="5" spans="2:25" ht="15" x14ac:dyDescent="0.25">
      <c r="B5" s="34" t="s">
        <v>0</v>
      </c>
      <c r="C5" s="11">
        <v>769133</v>
      </c>
      <c r="D5" s="103">
        <v>765674</v>
      </c>
      <c r="E5" s="104">
        <v>691341</v>
      </c>
      <c r="F5" s="23">
        <v>605398</v>
      </c>
      <c r="G5" s="23">
        <v>8708</v>
      </c>
      <c r="H5" s="103">
        <f t="shared" ref="H5:H16" si="0">E5/G5</f>
        <v>79.391479099678463</v>
      </c>
      <c r="I5" s="102">
        <f t="shared" ref="I5:I16" si="1">SUM(F5-(F5*4%))</f>
        <v>581182.07999999996</v>
      </c>
      <c r="J5" s="102">
        <f t="shared" ref="J5:J16" si="2">SUM(F5-(F5*5%))</f>
        <v>575128.1</v>
      </c>
      <c r="K5" s="102"/>
      <c r="L5" s="23">
        <v>625774</v>
      </c>
      <c r="M5" s="23">
        <v>9460</v>
      </c>
      <c r="N5" s="23"/>
      <c r="O5" s="23"/>
      <c r="P5" s="23">
        <f t="shared" ref="P5:P16" si="3">L5/M5</f>
        <v>66.149471458773789</v>
      </c>
      <c r="Q5" s="76">
        <f t="shared" ref="Q5:Q16" si="4">E5-I5</f>
        <v>110158.92000000004</v>
      </c>
      <c r="R5" s="76">
        <f>Q5</f>
        <v>110158.92000000004</v>
      </c>
      <c r="S5" s="76">
        <f t="shared" ref="S5:S16" si="5">L5-E5</f>
        <v>-65567</v>
      </c>
      <c r="T5" s="74">
        <f t="shared" ref="T5:T16" si="6">Q5+S5</f>
        <v>44591.920000000042</v>
      </c>
      <c r="U5" s="74">
        <f>-(S5)</f>
        <v>65567</v>
      </c>
      <c r="V5" s="74">
        <f>S5</f>
        <v>-65567</v>
      </c>
      <c r="W5" s="35">
        <f>S5/T21</f>
        <v>-9.0565417052592176E-2</v>
      </c>
    </row>
    <row r="6" spans="2:25" ht="15" x14ac:dyDescent="0.25">
      <c r="B6" s="34" t="s">
        <v>1</v>
      </c>
      <c r="C6" s="11">
        <v>737972</v>
      </c>
      <c r="D6" s="11">
        <v>729006</v>
      </c>
      <c r="E6" s="104">
        <v>686718</v>
      </c>
      <c r="F6" s="23">
        <v>576373</v>
      </c>
      <c r="G6" s="23">
        <v>12830</v>
      </c>
      <c r="H6" s="103">
        <f t="shared" si="0"/>
        <v>53.524395946999221</v>
      </c>
      <c r="I6" s="102">
        <f t="shared" si="1"/>
        <v>553318.07999999996</v>
      </c>
      <c r="J6" s="102">
        <f t="shared" si="2"/>
        <v>547554.35</v>
      </c>
      <c r="K6" s="102"/>
      <c r="L6" s="23">
        <v>599310</v>
      </c>
      <c r="M6" s="23">
        <v>13120</v>
      </c>
      <c r="N6" s="23"/>
      <c r="O6" s="23"/>
      <c r="P6" s="23">
        <f t="shared" si="3"/>
        <v>45.679115853658537</v>
      </c>
      <c r="Q6" s="76">
        <f t="shared" si="4"/>
        <v>133399.92000000004</v>
      </c>
      <c r="R6" s="76">
        <f>Q5+Q6</f>
        <v>243558.84000000008</v>
      </c>
      <c r="S6" s="76">
        <f t="shared" si="5"/>
        <v>-87408</v>
      </c>
      <c r="T6" s="74">
        <f t="shared" si="6"/>
        <v>45991.920000000042</v>
      </c>
      <c r="U6" s="74">
        <f>-(S5+S6)</f>
        <v>152975</v>
      </c>
      <c r="V6" s="74">
        <f>S5+S6</f>
        <v>-152975</v>
      </c>
      <c r="W6" s="35">
        <f>(S5+S6)/T21</f>
        <v>-0.21129904789940501</v>
      </c>
    </row>
    <row r="7" spans="2:25" ht="15" x14ac:dyDescent="0.25">
      <c r="B7" s="34" t="s">
        <v>2</v>
      </c>
      <c r="C7" s="11">
        <v>819251</v>
      </c>
      <c r="D7" s="11">
        <v>727472</v>
      </c>
      <c r="E7" s="104">
        <v>741196</v>
      </c>
      <c r="F7" s="23">
        <v>596482</v>
      </c>
      <c r="G7" s="23">
        <v>15972</v>
      </c>
      <c r="H7" s="103">
        <f t="shared" si="0"/>
        <v>46.405960430753822</v>
      </c>
      <c r="I7" s="102">
        <f t="shared" si="1"/>
        <v>572622.72</v>
      </c>
      <c r="J7" s="102">
        <f t="shared" si="2"/>
        <v>566657.9</v>
      </c>
      <c r="K7" s="102"/>
      <c r="L7" s="23">
        <v>623038</v>
      </c>
      <c r="M7" s="23">
        <v>14161</v>
      </c>
      <c r="N7" s="23"/>
      <c r="O7" s="23"/>
      <c r="P7" s="23">
        <f t="shared" si="3"/>
        <v>43.996751641833207</v>
      </c>
      <c r="Q7" s="76">
        <f t="shared" si="4"/>
        <v>168573.28000000003</v>
      </c>
      <c r="R7" s="76">
        <f>Q5+Q6+Q7</f>
        <v>412132.12000000011</v>
      </c>
      <c r="S7" s="76">
        <f t="shared" si="5"/>
        <v>-118158</v>
      </c>
      <c r="T7" s="74">
        <f t="shared" si="6"/>
        <v>50415.280000000028</v>
      </c>
      <c r="U7" s="74">
        <f>-(S5+S6+S7)</f>
        <v>271133</v>
      </c>
      <c r="V7" s="74">
        <f>S5+S6+S7</f>
        <v>-271133</v>
      </c>
      <c r="W7" s="35">
        <f>(S5+S6+S7)/T21</f>
        <v>-0.37450658443608026</v>
      </c>
    </row>
    <row r="8" spans="2:25" ht="15" x14ac:dyDescent="0.25">
      <c r="B8" s="36" t="s">
        <v>3</v>
      </c>
      <c r="C8" s="11">
        <v>541626</v>
      </c>
      <c r="D8" s="11">
        <v>620700</v>
      </c>
      <c r="E8" s="104">
        <v>613121</v>
      </c>
      <c r="F8" s="23">
        <v>547538</v>
      </c>
      <c r="G8" s="23">
        <v>6800</v>
      </c>
      <c r="H8" s="103">
        <f t="shared" si="0"/>
        <v>90.164852941176477</v>
      </c>
      <c r="I8" s="102">
        <f t="shared" si="1"/>
        <v>525636.48</v>
      </c>
      <c r="J8" s="102">
        <f t="shared" si="2"/>
        <v>520161.1</v>
      </c>
      <c r="K8" s="102"/>
      <c r="L8" s="23">
        <v>497775</v>
      </c>
      <c r="M8" s="23">
        <v>9706</v>
      </c>
      <c r="N8" s="23"/>
      <c r="O8" s="23"/>
      <c r="P8" s="23">
        <f t="shared" si="3"/>
        <v>51.285287451061201</v>
      </c>
      <c r="Q8" s="76">
        <f t="shared" si="4"/>
        <v>87484.520000000019</v>
      </c>
      <c r="R8" s="76">
        <f>Q5+Q6+Q7+Q8</f>
        <v>499616.64000000013</v>
      </c>
      <c r="S8" s="76">
        <f t="shared" si="5"/>
        <v>-115346</v>
      </c>
      <c r="T8" s="74">
        <f t="shared" si="6"/>
        <v>-27861.479999999981</v>
      </c>
      <c r="U8" s="74">
        <f>-(S5+S6+S7+S8)</f>
        <v>386479</v>
      </c>
      <c r="V8" s="74">
        <f>S5+S6+S7+S8</f>
        <v>-386479</v>
      </c>
      <c r="W8" s="35">
        <f>(S5+S6+S8)/T21</f>
        <v>-0.3706224666214496</v>
      </c>
    </row>
    <row r="9" spans="2:25" ht="15" x14ac:dyDescent="0.25">
      <c r="B9" s="36" t="s">
        <v>4</v>
      </c>
      <c r="C9" s="11">
        <v>616496</v>
      </c>
      <c r="D9" s="11">
        <v>617351</v>
      </c>
      <c r="E9" s="104">
        <v>576528</v>
      </c>
      <c r="F9" s="23">
        <v>557161</v>
      </c>
      <c r="G9" s="23">
        <v>9004</v>
      </c>
      <c r="H9" s="103">
        <f t="shared" si="0"/>
        <v>64.030208796090633</v>
      </c>
      <c r="I9" s="102">
        <f t="shared" si="1"/>
        <v>534874.56000000006</v>
      </c>
      <c r="J9" s="102">
        <f t="shared" si="2"/>
        <v>529302.94999999995</v>
      </c>
      <c r="K9" s="102"/>
      <c r="L9" s="23">
        <v>502932</v>
      </c>
      <c r="M9" s="23">
        <v>12210</v>
      </c>
      <c r="N9" s="23"/>
      <c r="O9" s="23"/>
      <c r="P9" s="23">
        <f t="shared" si="3"/>
        <v>41.19017199017199</v>
      </c>
      <c r="Q9" s="76">
        <f t="shared" si="4"/>
        <v>41653.439999999944</v>
      </c>
      <c r="R9" s="76">
        <f>Q5+Q6+Q7+Q8+Q9</f>
        <v>541270.08000000007</v>
      </c>
      <c r="S9" s="76">
        <f t="shared" si="5"/>
        <v>-73596</v>
      </c>
      <c r="T9" s="74">
        <f t="shared" si="6"/>
        <v>-31942.560000000056</v>
      </c>
      <c r="U9" s="74">
        <f>-(S5+S6+S7+S8+S9)</f>
        <v>460075</v>
      </c>
      <c r="V9" s="74">
        <f>S5+S6+S7+S8+S9</f>
        <v>-460075</v>
      </c>
      <c r="W9" s="35">
        <f>(S5+S6+S7+S8+S9)/T21</f>
        <v>-0.63548559870775467</v>
      </c>
    </row>
    <row r="10" spans="2:25" ht="15" x14ac:dyDescent="0.25">
      <c r="B10" s="36" t="s">
        <v>5</v>
      </c>
      <c r="C10" s="11">
        <v>615368</v>
      </c>
      <c r="D10" s="11">
        <v>504543</v>
      </c>
      <c r="E10" s="104">
        <v>547666</v>
      </c>
      <c r="F10" s="23">
        <v>500766</v>
      </c>
      <c r="G10" s="23">
        <v>13332</v>
      </c>
      <c r="H10" s="103">
        <f t="shared" si="0"/>
        <v>41.079057905790577</v>
      </c>
      <c r="I10" s="102">
        <f t="shared" si="1"/>
        <v>480735.36</v>
      </c>
      <c r="J10" s="102">
        <f t="shared" si="2"/>
        <v>475727.7</v>
      </c>
      <c r="K10" s="102">
        <v>3616</v>
      </c>
      <c r="L10" s="23">
        <v>475022</v>
      </c>
      <c r="M10" s="23">
        <v>15110</v>
      </c>
      <c r="N10" s="23"/>
      <c r="O10" s="23"/>
      <c r="P10" s="23">
        <f t="shared" si="3"/>
        <v>31.437590999338187</v>
      </c>
      <c r="Q10" s="76">
        <f t="shared" si="4"/>
        <v>66930.640000000014</v>
      </c>
      <c r="R10" s="76">
        <f>Q5+Q6+Q7+Q8+Q9+Q10</f>
        <v>608200.72000000009</v>
      </c>
      <c r="S10" s="76">
        <f t="shared" si="5"/>
        <v>-72644</v>
      </c>
      <c r="T10" s="74">
        <f t="shared" si="6"/>
        <v>-5713.359999999986</v>
      </c>
      <c r="U10" s="74">
        <f>-(S5+S6+S7+S8+S9+S10)</f>
        <v>532719</v>
      </c>
      <c r="V10" s="74">
        <f>S5+S6+S7+S8+S9+S10</f>
        <v>-532719</v>
      </c>
      <c r="W10" s="35">
        <f>(S5+S6+S7+S8+S9+S10)/T21</f>
        <v>-0.73582622976253076</v>
      </c>
    </row>
    <row r="11" spans="2:25" ht="15" x14ac:dyDescent="0.25">
      <c r="B11" s="36" t="s">
        <v>6</v>
      </c>
      <c r="C11" s="11">
        <v>511371</v>
      </c>
      <c r="D11" s="11">
        <v>459786</v>
      </c>
      <c r="E11" s="104">
        <v>432304</v>
      </c>
      <c r="F11" s="23">
        <v>442619</v>
      </c>
      <c r="G11" s="23">
        <v>10643</v>
      </c>
      <c r="H11" s="103">
        <f t="shared" si="0"/>
        <v>40.618622568824577</v>
      </c>
      <c r="I11" s="102">
        <f t="shared" si="1"/>
        <v>424914.24</v>
      </c>
      <c r="J11" s="102">
        <f t="shared" si="2"/>
        <v>420488.05</v>
      </c>
      <c r="K11" s="102">
        <v>3728</v>
      </c>
      <c r="L11" s="23">
        <v>422279</v>
      </c>
      <c r="M11" s="23">
        <v>12304</v>
      </c>
      <c r="N11" s="23"/>
      <c r="O11" s="23"/>
      <c r="P11" s="23">
        <f t="shared" si="3"/>
        <v>34.320464889466841</v>
      </c>
      <c r="Q11" s="76">
        <f t="shared" si="4"/>
        <v>7389.7600000000093</v>
      </c>
      <c r="R11" s="76">
        <f>Q5+Q6+Q7+Q8+Q9+Q10+Q11</f>
        <v>615590.4800000001</v>
      </c>
      <c r="S11" s="76">
        <f t="shared" si="5"/>
        <v>-10025</v>
      </c>
      <c r="T11" s="74">
        <f t="shared" si="6"/>
        <v>-2635.2399999999907</v>
      </c>
      <c r="U11" s="74">
        <f>-(S5+S6+S7+S8+S9+S10+S11)</f>
        <v>542744</v>
      </c>
      <c r="V11" s="74">
        <f>S5+S6+S7+S8+S9+S10+S11</f>
        <v>-542744</v>
      </c>
      <c r="W11" s="35">
        <f>(S5+S6+S7+S8+S9+S10+S11)/T21</f>
        <v>-0.7496734136500387</v>
      </c>
    </row>
    <row r="12" spans="2:25" ht="15" x14ac:dyDescent="0.25">
      <c r="B12" s="36" t="s">
        <v>7</v>
      </c>
      <c r="C12" s="11">
        <v>525540</v>
      </c>
      <c r="D12" s="11">
        <v>469132</v>
      </c>
      <c r="E12" s="104">
        <v>423019</v>
      </c>
      <c r="F12" s="23">
        <v>436652</v>
      </c>
      <c r="G12" s="23">
        <v>5875</v>
      </c>
      <c r="H12" s="103">
        <f t="shared" si="0"/>
        <v>72.003234042553188</v>
      </c>
      <c r="I12" s="102">
        <f t="shared" si="1"/>
        <v>419185.91999999998</v>
      </c>
      <c r="J12" s="102">
        <f t="shared" si="2"/>
        <v>414819.4</v>
      </c>
      <c r="K12" s="102">
        <v>3123</v>
      </c>
      <c r="L12" s="23">
        <v>387198</v>
      </c>
      <c r="M12" s="23">
        <v>4420</v>
      </c>
      <c r="N12" s="23"/>
      <c r="O12" s="23"/>
      <c r="P12" s="23">
        <f t="shared" si="3"/>
        <v>87.601357466063348</v>
      </c>
      <c r="Q12" s="76">
        <f t="shared" si="4"/>
        <v>3833.0800000000163</v>
      </c>
      <c r="R12" s="76">
        <f>Q5+Q6+Q7+Q8+Q9+Q10+Q11+Q12</f>
        <v>619423.56000000006</v>
      </c>
      <c r="S12" s="76">
        <f t="shared" si="5"/>
        <v>-35821</v>
      </c>
      <c r="T12" s="74">
        <f t="shared" si="6"/>
        <v>-31987.919999999984</v>
      </c>
      <c r="U12" s="74">
        <f>-(S5+S6+S7+S8+S9+S10+S11+S12)</f>
        <v>578565</v>
      </c>
      <c r="V12" s="74">
        <f>S5+S6+S7+S8+S9+S10+S11+S12</f>
        <v>-578565</v>
      </c>
      <c r="W12" s="35">
        <f>(S5+S6+S7+S8+S9+S10+S11+S12)/T21</f>
        <v>-0.7991517152993578</v>
      </c>
      <c r="Y12" s="105"/>
    </row>
    <row r="13" spans="2:25" ht="15" x14ac:dyDescent="0.25">
      <c r="B13" s="34" t="s">
        <v>8</v>
      </c>
      <c r="C13" s="11">
        <v>606690</v>
      </c>
      <c r="D13" s="11">
        <v>618398</v>
      </c>
      <c r="E13" s="104">
        <v>535521</v>
      </c>
      <c r="F13" s="23">
        <v>507669</v>
      </c>
      <c r="G13" s="23">
        <v>12504</v>
      </c>
      <c r="H13" s="103">
        <f t="shared" si="0"/>
        <v>42.827975047984644</v>
      </c>
      <c r="I13" s="102">
        <f t="shared" si="1"/>
        <v>487362.24</v>
      </c>
      <c r="J13" s="102">
        <f t="shared" si="2"/>
        <v>482285.55</v>
      </c>
      <c r="K13" s="102">
        <v>3455</v>
      </c>
      <c r="L13" s="23">
        <v>461535</v>
      </c>
      <c r="M13" s="88">
        <v>14053</v>
      </c>
      <c r="N13" s="23"/>
      <c r="O13" s="23"/>
      <c r="P13" s="23">
        <f t="shared" si="3"/>
        <v>32.842453568633033</v>
      </c>
      <c r="Q13" s="76">
        <f t="shared" si="4"/>
        <v>48158.760000000009</v>
      </c>
      <c r="R13" s="76">
        <f>Q5+Q6+Q7+Q8+Q9+Q10+Q11+Q12+Q13</f>
        <v>667582.32000000007</v>
      </c>
      <c r="S13" s="76">
        <f t="shared" si="5"/>
        <v>-73986</v>
      </c>
      <c r="T13" s="74">
        <f t="shared" si="6"/>
        <v>-25827.239999999991</v>
      </c>
      <c r="U13" s="74">
        <f>-(S5+S6+S7+S8+S9+S10+S11+S12+S13)</f>
        <v>652551</v>
      </c>
      <c r="V13" s="74">
        <f>S5+S6+S7+S8+S9+S10+S11+S12+S13</f>
        <v>-652551</v>
      </c>
      <c r="W13" s="35">
        <f>(S5+S6+S7+S8+S9+S10+S11+S12+S13)/T21</f>
        <v>-0.9013460042870054</v>
      </c>
    </row>
    <row r="14" spans="2:25" ht="15" x14ac:dyDescent="0.25">
      <c r="B14" s="34" t="s">
        <v>9</v>
      </c>
      <c r="C14" s="12">
        <v>652852</v>
      </c>
      <c r="D14" s="103">
        <v>751218</v>
      </c>
      <c r="E14" s="104">
        <v>601605</v>
      </c>
      <c r="F14" s="23">
        <v>588863</v>
      </c>
      <c r="G14" s="23">
        <v>13267</v>
      </c>
      <c r="H14" s="103">
        <f t="shared" si="0"/>
        <v>45.345971206753596</v>
      </c>
      <c r="I14" s="102">
        <f t="shared" si="1"/>
        <v>565308.48</v>
      </c>
      <c r="J14" s="102">
        <f t="shared" si="2"/>
        <v>559419.85</v>
      </c>
      <c r="K14" s="102">
        <v>3795</v>
      </c>
      <c r="L14" s="23">
        <v>529774</v>
      </c>
      <c r="M14" s="88">
        <v>12015</v>
      </c>
      <c r="N14" s="23"/>
      <c r="O14" s="23"/>
      <c r="P14" s="23">
        <f t="shared" si="3"/>
        <v>44.092717436537662</v>
      </c>
      <c r="Q14" s="76">
        <f t="shared" si="4"/>
        <v>36296.520000000019</v>
      </c>
      <c r="R14" s="76">
        <f>Q5+Q6+Q7+Q8+Q9+Q10+Q11+Q12+Q13+Q14</f>
        <v>703878.84000000008</v>
      </c>
      <c r="S14" s="76">
        <f t="shared" si="5"/>
        <v>-71831</v>
      </c>
      <c r="T14" s="74">
        <f t="shared" si="6"/>
        <v>-35534.479999999981</v>
      </c>
      <c r="U14" s="74">
        <f>-(S5+S6+S7+S8+S9+S10+S11+S12+S13+S14)</f>
        <v>724382</v>
      </c>
      <c r="V14" s="74">
        <f>S5+S6+S7+S8+S9+S10+S11+S12+S13+S14</f>
        <v>-724382</v>
      </c>
      <c r="W14" s="35">
        <f>(S5+S6+S7+S8+S9+S10+S11+S12+S13+S14)/T21</f>
        <v>-1.0005636667132982</v>
      </c>
    </row>
    <row r="15" spans="2:25" ht="15" x14ac:dyDescent="0.25">
      <c r="B15" s="34" t="s">
        <v>10</v>
      </c>
      <c r="C15" s="11">
        <v>725690</v>
      </c>
      <c r="D15" s="11">
        <v>748393</v>
      </c>
      <c r="E15" s="104">
        <v>638804</v>
      </c>
      <c r="F15" s="23">
        <v>633253</v>
      </c>
      <c r="G15" s="23">
        <v>16797</v>
      </c>
      <c r="H15" s="103">
        <f t="shared" si="0"/>
        <v>38.030838840269098</v>
      </c>
      <c r="I15" s="102">
        <f t="shared" si="1"/>
        <v>607922.88</v>
      </c>
      <c r="J15" s="102">
        <f t="shared" si="2"/>
        <v>601590.35</v>
      </c>
      <c r="K15" s="102"/>
      <c r="L15" s="23">
        <v>613387</v>
      </c>
      <c r="M15" s="88">
        <v>11459</v>
      </c>
      <c r="N15" s="23"/>
      <c r="O15" s="23"/>
      <c r="P15" s="23">
        <f t="shared" si="3"/>
        <v>53.528841958286066</v>
      </c>
      <c r="Q15" s="76">
        <f t="shared" si="4"/>
        <v>30881.119999999995</v>
      </c>
      <c r="R15" s="76">
        <f>Q5+Q6+Q7+Q8+Q9+Q10+Q11+Q12+Q13+Q14+Q15</f>
        <v>734759.96000000008</v>
      </c>
      <c r="S15" s="76">
        <f t="shared" si="5"/>
        <v>-25417</v>
      </c>
      <c r="T15" s="74">
        <f t="shared" si="6"/>
        <v>5464.1199999999953</v>
      </c>
      <c r="U15" s="74">
        <f>-(S5+S6+S7+S8+S9+S10+S11+S12+S13+S14+S15)</f>
        <v>749799</v>
      </c>
      <c r="V15" s="74">
        <f>S5+S6+S7+S8+S9+S10+S11+S12+S13+S14+S15</f>
        <v>-749799</v>
      </c>
      <c r="W15" s="35">
        <f>(S5+S6+S7+S8+S9+S10+S11+S12+S13+S14+S15)/T21</f>
        <v>-1.0356712849545742</v>
      </c>
    </row>
    <row r="16" spans="2:25" ht="15" x14ac:dyDescent="0.25">
      <c r="B16" s="36" t="s">
        <v>11</v>
      </c>
      <c r="C16" s="11">
        <v>665285</v>
      </c>
      <c r="D16" s="11">
        <v>644567.5</v>
      </c>
      <c r="E16" s="104">
        <v>540445</v>
      </c>
      <c r="F16" s="23">
        <v>574199</v>
      </c>
      <c r="G16" s="23">
        <v>16890</v>
      </c>
      <c r="H16" s="103">
        <f t="shared" si="0"/>
        <v>31.997927767910006</v>
      </c>
      <c r="I16" s="102">
        <f t="shared" si="1"/>
        <v>551231.04</v>
      </c>
      <c r="J16" s="102">
        <f t="shared" si="2"/>
        <v>545489.05000000005</v>
      </c>
      <c r="K16" s="102"/>
      <c r="L16" s="23">
        <v>563636</v>
      </c>
      <c r="M16" s="23"/>
      <c r="N16" s="23"/>
      <c r="O16" s="23"/>
      <c r="P16" s="23" t="e">
        <f t="shared" si="3"/>
        <v>#DIV/0!</v>
      </c>
      <c r="Q16" s="76">
        <f t="shared" si="4"/>
        <v>-10786.040000000037</v>
      </c>
      <c r="R16" s="76">
        <f>Q5+Q6+Q7+Q8+Q9+Q10+Q11+Q12+Q13+Q14+Q15+Q16</f>
        <v>723973.92</v>
      </c>
      <c r="S16" s="76">
        <f t="shared" si="5"/>
        <v>23191</v>
      </c>
      <c r="T16" s="74">
        <f t="shared" si="6"/>
        <v>12404.959999999963</v>
      </c>
      <c r="U16" s="74">
        <f>-(S5+S6+S7+S8+S9+S10+S11+S12+S13+S14+S15+S16)</f>
        <v>726608</v>
      </c>
      <c r="V16" s="74">
        <f>S5+S6+S7+S8+S9+S10+S11+S12+S13+S14+S15+S16</f>
        <v>-726608</v>
      </c>
      <c r="W16" s="35">
        <f>(S5+S6+S7+S8+S9+S10+S11+S12+S13+S14+S15+S16)/T21</f>
        <v>-1.0036383631056767</v>
      </c>
    </row>
    <row r="17" spans="2:43" s="2" customFormat="1" ht="13.8" thickBot="1" x14ac:dyDescent="0.3">
      <c r="B17" s="37" t="s">
        <v>16</v>
      </c>
      <c r="C17" s="62">
        <f t="shared" ref="C17:J17" si="7">SUM(C5:C16)</f>
        <v>7787274</v>
      </c>
      <c r="D17" s="38">
        <f t="shared" si="7"/>
        <v>7656240.5</v>
      </c>
      <c r="E17" s="38">
        <f t="shared" si="7"/>
        <v>7028268</v>
      </c>
      <c r="F17" s="38">
        <f t="shared" si="7"/>
        <v>6566973</v>
      </c>
      <c r="G17" s="38">
        <f t="shared" si="7"/>
        <v>142622</v>
      </c>
      <c r="H17" s="38">
        <f t="shared" si="7"/>
        <v>645.4205245947843</v>
      </c>
      <c r="I17" s="38">
        <f t="shared" si="7"/>
        <v>6304294.0800000001</v>
      </c>
      <c r="J17" s="38">
        <f t="shared" si="7"/>
        <v>6238624.3499999996</v>
      </c>
      <c r="K17" s="38"/>
      <c r="L17" s="38">
        <f>SUM(L5:L16)</f>
        <v>6301660</v>
      </c>
      <c r="M17" s="38"/>
      <c r="N17" s="38"/>
      <c r="O17" s="38"/>
      <c r="P17" s="38" t="e">
        <f>SUM(P5:P16)</f>
        <v>#DIV/0!</v>
      </c>
      <c r="Q17" s="75">
        <f>SUM(Q5:Q16)</f>
        <v>723973.92</v>
      </c>
      <c r="R17" s="75"/>
      <c r="S17" s="75">
        <f>SUM(S5:S16)</f>
        <v>-726608</v>
      </c>
      <c r="T17" s="75">
        <f>SUM(T5:T16)</f>
        <v>-2634.0799999998999</v>
      </c>
      <c r="U17" s="75"/>
      <c r="V17" s="75">
        <f>SUM(V5:V16)</f>
        <v>-5843597</v>
      </c>
      <c r="W17" s="39"/>
    </row>
    <row r="18" spans="2:43" ht="6" customHeight="1" thickBot="1" x14ac:dyDescent="0.3"/>
    <row r="19" spans="2:43" ht="31.5" customHeight="1" thickBot="1" x14ac:dyDescent="0.3">
      <c r="B19" s="135" t="s">
        <v>20</v>
      </c>
      <c r="C19" s="136"/>
      <c r="D19" s="136"/>
      <c r="E19" s="136"/>
      <c r="F19" s="136"/>
      <c r="G19" s="136"/>
      <c r="H19" s="136"/>
      <c r="I19" s="136"/>
      <c r="J19" s="136"/>
      <c r="K19" s="136"/>
      <c r="L19" s="136"/>
      <c r="M19" s="97"/>
      <c r="N19" s="97"/>
      <c r="O19" s="24"/>
      <c r="P19" s="24"/>
      <c r="Q19" s="41">
        <f>W13</f>
        <v>-0.9013460042870054</v>
      </c>
      <c r="R19" s="133" t="s">
        <v>26</v>
      </c>
      <c r="S19" s="133"/>
      <c r="T19" s="133"/>
      <c r="U19" s="134"/>
    </row>
    <row r="20" spans="2:43" ht="6" customHeight="1" thickBot="1" x14ac:dyDescent="0.3">
      <c r="U20" s="5"/>
    </row>
    <row r="21" spans="2:43" ht="18.75" customHeight="1" thickBot="1" x14ac:dyDescent="0.3">
      <c r="D21" s="137" t="s">
        <v>33</v>
      </c>
      <c r="E21" s="138"/>
      <c r="F21" s="138"/>
      <c r="G21" s="138"/>
      <c r="H21" s="138"/>
      <c r="I21" s="138"/>
      <c r="J21" s="138"/>
      <c r="K21" s="138"/>
      <c r="L21" s="138"/>
      <c r="M21" s="138"/>
      <c r="N21" s="138"/>
      <c r="O21" s="138"/>
      <c r="P21" s="138"/>
      <c r="Q21" s="138"/>
      <c r="R21" s="138"/>
      <c r="S21" s="98"/>
      <c r="T21" s="40">
        <f>E17-I17</f>
        <v>723973.91999999993</v>
      </c>
      <c r="U21" s="20"/>
    </row>
    <row r="22" spans="2:43" ht="7.5" customHeight="1" thickBot="1" x14ac:dyDescent="0.3">
      <c r="B22" s="16"/>
      <c r="C22" s="16"/>
      <c r="D22" s="16"/>
      <c r="E22" s="17"/>
      <c r="F22" s="17"/>
      <c r="G22" s="17"/>
      <c r="H22" s="17"/>
    </row>
    <row r="23" spans="2:43" x14ac:dyDescent="0.25">
      <c r="B23" s="16"/>
      <c r="C23" s="16"/>
      <c r="D23" s="18"/>
      <c r="E23" s="151" t="s">
        <v>21</v>
      </c>
      <c r="F23" s="152"/>
      <c r="G23" s="44"/>
      <c r="H23" s="44"/>
      <c r="I23" s="43"/>
      <c r="J23" s="43"/>
      <c r="K23" s="43"/>
      <c r="L23" s="44">
        <v>4</v>
      </c>
      <c r="M23" s="44"/>
      <c r="N23" s="44"/>
      <c r="O23" s="45"/>
      <c r="P23" s="45"/>
      <c r="Q23" s="46"/>
      <c r="R23" s="47"/>
      <c r="S23" s="54"/>
    </row>
    <row r="24" spans="2:43" x14ac:dyDescent="0.25">
      <c r="B24" s="16"/>
      <c r="C24" s="16"/>
      <c r="D24" s="18"/>
      <c r="E24" s="145" t="s">
        <v>25</v>
      </c>
      <c r="F24" s="146"/>
      <c r="G24" s="68"/>
      <c r="H24" s="68"/>
      <c r="I24" s="49"/>
      <c r="J24" s="49"/>
      <c r="K24" s="49"/>
      <c r="L24" s="77">
        <f>SUM(F5:F16)</f>
        <v>6566973</v>
      </c>
      <c r="M24" s="65" t="s">
        <v>22</v>
      </c>
      <c r="N24" s="65"/>
      <c r="O24" s="67" t="s">
        <v>27</v>
      </c>
      <c r="P24" s="67"/>
      <c r="Q24" s="101"/>
      <c r="R24" s="51"/>
      <c r="S24" s="54"/>
    </row>
    <row r="25" spans="2:43" x14ac:dyDescent="0.25">
      <c r="B25" s="16"/>
      <c r="C25" s="16"/>
      <c r="D25" s="18"/>
      <c r="E25" s="145" t="s">
        <v>34</v>
      </c>
      <c r="F25" s="146"/>
      <c r="G25" s="68"/>
      <c r="H25" s="68"/>
      <c r="I25" s="49"/>
      <c r="J25" s="49"/>
      <c r="K25" s="49"/>
      <c r="L25" s="77">
        <f>SUM(L5:L16)</f>
        <v>6301660</v>
      </c>
      <c r="M25" s="65" t="s">
        <v>22</v>
      </c>
      <c r="N25" s="65"/>
      <c r="O25" s="67" t="s">
        <v>27</v>
      </c>
      <c r="P25" s="67"/>
      <c r="Q25" s="101"/>
      <c r="R25" s="51"/>
      <c r="S25" s="54"/>
    </row>
    <row r="26" spans="2:43" x14ac:dyDescent="0.25">
      <c r="B26" s="16"/>
      <c r="C26" s="16"/>
      <c r="D26" s="18"/>
      <c r="E26" s="147" t="s">
        <v>23</v>
      </c>
      <c r="F26" s="148"/>
      <c r="G26" s="69"/>
      <c r="H26" s="69"/>
      <c r="I26" s="53"/>
      <c r="J26" s="53"/>
      <c r="K26" s="53"/>
      <c r="L26" s="50">
        <f>L24-L25</f>
        <v>265313</v>
      </c>
      <c r="M26" s="50"/>
      <c r="N26" s="50"/>
      <c r="O26" s="54"/>
      <c r="P26" s="54"/>
      <c r="Q26" s="54"/>
      <c r="R26" s="51"/>
      <c r="S26" s="54"/>
    </row>
    <row r="27" spans="2:43" ht="13.8" thickBot="1" x14ac:dyDescent="0.3">
      <c r="B27" s="16"/>
      <c r="C27" s="16"/>
      <c r="D27" s="18"/>
      <c r="E27" s="149" t="s">
        <v>24</v>
      </c>
      <c r="F27" s="150"/>
      <c r="G27" s="70"/>
      <c r="H27" s="70"/>
      <c r="I27" s="56"/>
      <c r="J27" s="56"/>
      <c r="K27" s="56"/>
      <c r="L27" s="57">
        <f>L26/L24</f>
        <v>4.0401110222320083E-2</v>
      </c>
      <c r="M27" s="57"/>
      <c r="N27" s="57"/>
      <c r="O27" s="58"/>
      <c r="P27" s="58"/>
      <c r="Q27" s="58"/>
      <c r="R27" s="59"/>
      <c r="S27" s="54"/>
    </row>
    <row r="28" spans="2:43" x14ac:dyDescent="0.25">
      <c r="B28" s="16"/>
      <c r="C28" s="16"/>
      <c r="D28" s="18"/>
      <c r="E28" s="9"/>
      <c r="F28" s="9"/>
      <c r="G28" s="9"/>
      <c r="H28" s="9"/>
      <c r="I28" s="18"/>
      <c r="J28" s="18"/>
      <c r="K28" s="18"/>
      <c r="L28" s="1"/>
      <c r="M28" s="1"/>
      <c r="N28" s="1"/>
    </row>
    <row r="29" spans="2:43" x14ac:dyDescent="0.25">
      <c r="B29" s="16"/>
      <c r="C29" s="16"/>
      <c r="D29" s="19"/>
      <c r="E29" s="9"/>
      <c r="F29" s="9"/>
      <c r="G29" s="9"/>
      <c r="H29" s="9"/>
      <c r="I29" s="18"/>
      <c r="J29" s="18"/>
      <c r="K29" s="18"/>
      <c r="L29" s="1"/>
      <c r="M29" s="1"/>
      <c r="N29" s="81" t="s">
        <v>48</v>
      </c>
    </row>
    <row r="30" spans="2:43" ht="13.8" x14ac:dyDescent="0.25">
      <c r="B30" s="16"/>
      <c r="C30" s="71"/>
      <c r="D30" s="72"/>
      <c r="E30" s="72"/>
      <c r="F30" s="72"/>
      <c r="G30" s="71"/>
      <c r="H30" s="71"/>
      <c r="I30" s="72"/>
      <c r="J30" s="72"/>
      <c r="K30" s="72"/>
      <c r="L30" s="72"/>
      <c r="M30" s="71"/>
      <c r="N30" s="80" t="s">
        <v>47</v>
      </c>
      <c r="O30" s="72"/>
      <c r="P30" s="72"/>
      <c r="Q30" s="72"/>
      <c r="R30" s="71"/>
      <c r="S30" s="71"/>
      <c r="T30" s="72"/>
      <c r="U30" s="72"/>
      <c r="V30" s="71"/>
      <c r="W30" s="72"/>
      <c r="X30" s="72"/>
      <c r="Y30" s="72"/>
      <c r="Z30" s="71"/>
      <c r="AA30" s="72"/>
      <c r="AB30" s="72"/>
      <c r="AC30" s="72"/>
      <c r="AD30" s="72"/>
      <c r="AE30" s="72"/>
      <c r="AF30" s="72"/>
      <c r="AG30" s="72"/>
      <c r="AH30" s="72"/>
      <c r="AI30" s="72"/>
      <c r="AJ30" s="72"/>
      <c r="AK30" s="72"/>
      <c r="AL30" s="72"/>
      <c r="AM30" s="72"/>
      <c r="AN30" s="72"/>
      <c r="AO30" s="72"/>
      <c r="AP30" s="72"/>
      <c r="AQ30" s="72"/>
    </row>
    <row r="31" spans="2:43" x14ac:dyDescent="0.25">
      <c r="B31" s="16"/>
      <c r="C31" s="16"/>
      <c r="D31" s="18"/>
      <c r="E31" s="9"/>
      <c r="F31" s="9"/>
      <c r="G31" s="9"/>
      <c r="H31" s="9"/>
      <c r="I31" s="100"/>
      <c r="J31" s="100"/>
      <c r="K31" s="100"/>
      <c r="L31" s="1"/>
      <c r="M31" s="1"/>
      <c r="N31" s="81" t="s">
        <v>46</v>
      </c>
    </row>
    <row r="32" spans="2:43" x14ac:dyDescent="0.25">
      <c r="B32" s="16"/>
      <c r="C32" s="16"/>
      <c r="D32" s="18"/>
      <c r="E32" s="9"/>
      <c r="F32" s="9"/>
      <c r="G32" s="9"/>
      <c r="H32" s="9"/>
      <c r="I32" s="18"/>
      <c r="J32" s="18"/>
      <c r="K32" s="18"/>
      <c r="L32" s="1"/>
      <c r="M32" s="1"/>
      <c r="N32" s="82" t="s">
        <v>43</v>
      </c>
    </row>
    <row r="33" spans="2:14" x14ac:dyDescent="0.25">
      <c r="B33" s="16"/>
      <c r="C33" s="16"/>
      <c r="D33" s="9"/>
      <c r="E33" s="9"/>
      <c r="F33" s="9"/>
      <c r="G33" s="9"/>
      <c r="H33" s="9"/>
      <c r="I33" s="1"/>
      <c r="J33" s="1"/>
      <c r="K33" s="1"/>
      <c r="L33" s="1"/>
      <c r="M33" s="1"/>
      <c r="N33" s="1"/>
    </row>
  </sheetData>
  <mergeCells count="9">
    <mergeCell ref="E24:F24"/>
    <mergeCell ref="E25:F25"/>
    <mergeCell ref="E26:F26"/>
    <mergeCell ref="E27:F27"/>
    <mergeCell ref="B2:U2"/>
    <mergeCell ref="R19:U19"/>
    <mergeCell ref="B19:L19"/>
    <mergeCell ref="D21:R21"/>
    <mergeCell ref="E23:F23"/>
  </mergeCells>
  <dataValidations count="1">
    <dataValidation type="list" allowBlank="1" showInputMessage="1" showErrorMessage="1" sqref="N5:N16">
      <formula1>$N$29:$N$32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R42"/>
  <sheetViews>
    <sheetView showGridLines="0" zoomScale="90" zoomScaleNormal="90" workbookViewId="0">
      <selection activeCell="P11" sqref="P11"/>
    </sheetView>
  </sheetViews>
  <sheetFormatPr defaultRowHeight="13.2" x14ac:dyDescent="0.25"/>
  <cols>
    <col min="1" max="1" width="2.5546875" customWidth="1"/>
    <col min="4" max="4" width="10.44140625" customWidth="1"/>
    <col min="5" max="5" width="9.33203125" bestFit="1" customWidth="1"/>
    <col min="6" max="6" width="14" bestFit="1" customWidth="1"/>
    <col min="11" max="11" width="16.109375" customWidth="1"/>
    <col min="12" max="12" width="7.109375" customWidth="1"/>
    <col min="13" max="13" width="10.88671875" customWidth="1"/>
    <col min="14" max="14" width="5.88671875" customWidth="1"/>
    <col min="17" max="17" width="1" customWidth="1"/>
    <col min="19" max="19" width="11.109375" customWidth="1"/>
  </cols>
  <sheetData>
    <row r="3" spans="14:14" ht="12.75" customHeight="1" x14ac:dyDescent="0.25"/>
    <row r="4" spans="14:14" ht="12.75" customHeight="1" x14ac:dyDescent="0.25"/>
    <row r="8" spans="14:14" x14ac:dyDescent="0.25">
      <c r="N8" s="99"/>
    </row>
    <row r="11" spans="14:14" x14ac:dyDescent="0.25">
      <c r="N11" s="99"/>
    </row>
    <row r="12" spans="14:14" x14ac:dyDescent="0.25">
      <c r="N12" s="99"/>
    </row>
    <row r="20" spans="4:18" ht="12.75" customHeight="1" x14ac:dyDescent="0.25"/>
    <row r="21" spans="4:18" ht="12.75" customHeight="1" x14ac:dyDescent="0.25"/>
    <row r="22" spans="4:18" ht="13.5" customHeight="1" x14ac:dyDescent="0.25"/>
    <row r="24" spans="4:18" x14ac:dyDescent="0.25">
      <c r="M24" s="9"/>
      <c r="N24" s="9"/>
      <c r="O24" s="9"/>
      <c r="P24" s="9"/>
      <c r="Q24" s="9"/>
      <c r="R24" s="9"/>
    </row>
    <row r="25" spans="4:18" ht="18.75" customHeight="1" x14ac:dyDescent="0.25">
      <c r="M25" s="9"/>
      <c r="N25" s="117"/>
      <c r="O25" s="117"/>
      <c r="P25" s="14"/>
      <c r="Q25" s="9"/>
      <c r="R25" s="9"/>
    </row>
    <row r="26" spans="4:18" ht="12.75" customHeight="1" x14ac:dyDescent="0.25">
      <c r="M26" s="9"/>
      <c r="N26" s="13"/>
      <c r="O26" s="14"/>
      <c r="P26" s="14"/>
      <c r="Q26" s="9"/>
      <c r="R26" s="9"/>
    </row>
    <row r="27" spans="4:18" ht="13.5" customHeight="1" x14ac:dyDescent="0.25">
      <c r="M27" s="9"/>
      <c r="N27" s="9"/>
      <c r="O27" s="9"/>
      <c r="P27" s="9"/>
      <c r="Q27" s="9"/>
      <c r="R27" s="9"/>
    </row>
    <row r="28" spans="4:18" ht="12.75" customHeight="1" x14ac:dyDescent="0.25"/>
    <row r="31" spans="4:18" ht="13.8" thickBot="1" x14ac:dyDescent="0.3"/>
    <row r="32" spans="4:18" ht="15" customHeight="1" x14ac:dyDescent="0.25">
      <c r="D32" s="118" t="str">
        <f>'D Water Data'!B19</f>
        <v>Target YTD Achievement (%)</v>
      </c>
      <c r="E32" s="119"/>
      <c r="F32" s="119"/>
      <c r="G32" s="139">
        <f>'D Water Data'!K27</f>
        <v>0.11097062304960723</v>
      </c>
      <c r="H32" s="139"/>
      <c r="I32" s="139"/>
      <c r="J32" s="139"/>
      <c r="K32" s="140"/>
    </row>
    <row r="33" spans="2:11" ht="12.75" customHeight="1" x14ac:dyDescent="0.25">
      <c r="D33" s="120"/>
      <c r="E33" s="121"/>
      <c r="F33" s="121"/>
      <c r="G33" s="141"/>
      <c r="H33" s="141"/>
      <c r="I33" s="141"/>
      <c r="J33" s="141"/>
      <c r="K33" s="142"/>
    </row>
    <row r="34" spans="2:11" ht="13.5" customHeight="1" thickBot="1" x14ac:dyDescent="0.3">
      <c r="D34" s="122"/>
      <c r="E34" s="123"/>
      <c r="F34" s="123"/>
      <c r="G34" s="143"/>
      <c r="H34" s="143"/>
      <c r="I34" s="143"/>
      <c r="J34" s="143"/>
      <c r="K34" s="144"/>
    </row>
    <row r="40" spans="2:11" ht="24" customHeight="1" x14ac:dyDescent="0.25">
      <c r="B40" s="1"/>
      <c r="C40" s="1"/>
      <c r="E40" s="6"/>
      <c r="F40" s="7"/>
      <c r="G40" s="8"/>
      <c r="H40" s="116"/>
      <c r="I40" s="116"/>
      <c r="J40" s="9"/>
      <c r="K40" s="9"/>
    </row>
    <row r="41" spans="2:11" x14ac:dyDescent="0.25">
      <c r="E41" s="9"/>
      <c r="F41" s="9"/>
      <c r="G41" s="9"/>
      <c r="H41" s="9"/>
      <c r="I41" s="9"/>
      <c r="J41" s="9"/>
      <c r="K41" s="9"/>
    </row>
    <row r="42" spans="2:11" x14ac:dyDescent="0.25">
      <c r="E42" s="9"/>
      <c r="F42" s="9"/>
      <c r="G42" s="9"/>
      <c r="H42" s="9"/>
      <c r="I42" s="9"/>
      <c r="J42" s="9"/>
      <c r="K42" s="9"/>
    </row>
  </sheetData>
  <mergeCells count="4">
    <mergeCell ref="H40:I40"/>
    <mergeCell ref="N25:O25"/>
    <mergeCell ref="D32:F34"/>
    <mergeCell ref="G32:K34"/>
  </mergeCells>
  <conditionalFormatting sqref="G32:K34">
    <cfRule type="cellIs" dxfId="3" priority="1" operator="lessThan">
      <formula>0</formula>
    </cfRule>
    <cfRule type="cellIs" dxfId="2" priority="2" operator="greaterThan">
      <formula>0</formula>
    </cfRule>
  </conditionalFormatting>
  <pageMargins left="0.39370078740157483" right="0.39370078740157483" top="0.39370078740157483" bottom="0.39370078740157483" header="0.51181102362204722" footer="0.51181102362204722"/>
  <pageSetup paperSize="9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P36"/>
  <sheetViews>
    <sheetView zoomScale="90" zoomScaleNormal="90" workbookViewId="0">
      <selection activeCell="I13" sqref="I13"/>
    </sheetView>
  </sheetViews>
  <sheetFormatPr defaultRowHeight="13.2" x14ac:dyDescent="0.25"/>
  <cols>
    <col min="1" max="1" width="1" customWidth="1"/>
    <col min="2" max="2" width="10.109375" customWidth="1"/>
    <col min="3" max="3" width="10.44140625" customWidth="1"/>
    <col min="4" max="4" width="9.109375" customWidth="1"/>
    <col min="5" max="6" width="10.109375" customWidth="1"/>
    <col min="7" max="7" width="13.109375" customWidth="1"/>
    <col min="8" max="8" width="13.88671875" customWidth="1"/>
    <col min="9" max="9" width="12.6640625" customWidth="1"/>
    <col min="10" max="10" width="11.88671875" customWidth="1"/>
    <col min="11" max="11" width="15.44140625" customWidth="1"/>
    <col min="12" max="12" width="11.109375" customWidth="1"/>
    <col min="13" max="13" width="13.5546875" customWidth="1"/>
    <col min="14" max="14" width="35.44140625" customWidth="1"/>
    <col min="15" max="15" width="13.6640625" customWidth="1"/>
    <col min="16" max="16" width="12.6640625" customWidth="1"/>
    <col min="17" max="18" width="15.33203125" customWidth="1"/>
    <col min="19" max="19" width="12.33203125" customWidth="1"/>
    <col min="20" max="20" width="14.33203125" customWidth="1"/>
    <col min="21" max="21" width="11.88671875" customWidth="1"/>
    <col min="22" max="22" width="10.109375" bestFit="1" customWidth="1"/>
  </cols>
  <sheetData>
    <row r="1" spans="2:24" ht="10.5" customHeight="1" thickBot="1" x14ac:dyDescent="0.3"/>
    <row r="2" spans="2:24" ht="21" thickBot="1" x14ac:dyDescent="0.3">
      <c r="B2" s="130" t="s">
        <v>68</v>
      </c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  <c r="T2" s="132"/>
    </row>
    <row r="3" spans="2:24" ht="9.75" customHeight="1" thickBot="1" x14ac:dyDescent="0.3"/>
    <row r="4" spans="2:24" ht="55.2" x14ac:dyDescent="0.25">
      <c r="B4" s="25" t="s">
        <v>14</v>
      </c>
      <c r="C4" s="61" t="s">
        <v>13</v>
      </c>
      <c r="D4" s="26" t="s">
        <v>15</v>
      </c>
      <c r="E4" s="27" t="s">
        <v>18</v>
      </c>
      <c r="F4" s="27" t="s">
        <v>25</v>
      </c>
      <c r="G4" s="73" t="s">
        <v>67</v>
      </c>
      <c r="H4" s="73" t="s">
        <v>66</v>
      </c>
      <c r="I4" s="28" t="s">
        <v>52</v>
      </c>
      <c r="J4" s="28" t="s">
        <v>51</v>
      </c>
      <c r="K4" s="29" t="s">
        <v>65</v>
      </c>
      <c r="L4" s="73" t="s">
        <v>35</v>
      </c>
      <c r="M4" s="106" t="s">
        <v>64</v>
      </c>
      <c r="N4" s="73" t="s">
        <v>31</v>
      </c>
      <c r="O4" s="73" t="s">
        <v>63</v>
      </c>
      <c r="P4" s="30" t="s">
        <v>62</v>
      </c>
      <c r="Q4" s="31" t="s">
        <v>61</v>
      </c>
      <c r="R4" s="79" t="s">
        <v>60</v>
      </c>
      <c r="S4" s="32" t="s">
        <v>59</v>
      </c>
      <c r="T4" s="32" t="s">
        <v>58</v>
      </c>
      <c r="U4" s="32" t="s">
        <v>57</v>
      </c>
      <c r="V4" s="33" t="s">
        <v>17</v>
      </c>
    </row>
    <row r="5" spans="2:24" ht="15" x14ac:dyDescent="0.25">
      <c r="B5" s="34" t="s">
        <v>0</v>
      </c>
      <c r="C5" s="11">
        <v>6895</v>
      </c>
      <c r="D5" s="103">
        <v>4993</v>
      </c>
      <c r="E5" s="104">
        <v>2543</v>
      </c>
      <c r="F5" s="23">
        <v>4029</v>
      </c>
      <c r="G5" s="23">
        <v>8708</v>
      </c>
      <c r="H5" s="111">
        <f t="shared" ref="H5:H16" si="0">F5/G5</f>
        <v>0.46267799724391362</v>
      </c>
      <c r="I5" s="102">
        <f t="shared" ref="I5:I16" si="1">SUM(F5-(F5*4%))</f>
        <v>3867.84</v>
      </c>
      <c r="J5" s="102">
        <f t="shared" ref="J5:J16" si="2">SUM(F5-(F5*5%))</f>
        <v>3827.55</v>
      </c>
      <c r="K5" s="23">
        <v>2732.25</v>
      </c>
      <c r="L5" s="23">
        <v>9460</v>
      </c>
      <c r="M5" s="23"/>
      <c r="N5" s="23"/>
      <c r="O5" s="110">
        <f t="shared" ref="O5:O16" si="3">K5/L5</f>
        <v>0.28882135306553913</v>
      </c>
      <c r="P5" s="76">
        <f t="shared" ref="P5:P16" si="4">E5-I5</f>
        <v>-1324.8400000000001</v>
      </c>
      <c r="Q5" s="76">
        <f>P5</f>
        <v>-1324.8400000000001</v>
      </c>
      <c r="R5" s="76">
        <f t="shared" ref="R5:R16" si="5">K5-E5</f>
        <v>189.25</v>
      </c>
      <c r="S5" s="74">
        <f t="shared" ref="S5:S16" si="6">P5+R5</f>
        <v>-1135.5900000000001</v>
      </c>
      <c r="T5" s="74">
        <f>-(R5)</f>
        <v>-189.25</v>
      </c>
      <c r="U5" s="74">
        <f>R5</f>
        <v>189.25</v>
      </c>
      <c r="V5" s="35">
        <f>R5/S21</f>
        <v>5.323667746871899E-2</v>
      </c>
    </row>
    <row r="6" spans="2:24" ht="15" x14ac:dyDescent="0.25">
      <c r="B6" s="34" t="s">
        <v>1</v>
      </c>
      <c r="C6" s="11">
        <v>6199</v>
      </c>
      <c r="D6" s="11">
        <v>5444</v>
      </c>
      <c r="E6" s="104">
        <v>2597</v>
      </c>
      <c r="F6" s="23">
        <v>2410</v>
      </c>
      <c r="G6" s="23">
        <v>12830</v>
      </c>
      <c r="H6" s="111">
        <f t="shared" si="0"/>
        <v>0.18784099766173032</v>
      </c>
      <c r="I6" s="102">
        <f t="shared" si="1"/>
        <v>2313.6</v>
      </c>
      <c r="J6" s="102">
        <f t="shared" si="2"/>
        <v>2289.5</v>
      </c>
      <c r="K6" s="23">
        <v>2059</v>
      </c>
      <c r="L6" s="23">
        <v>13120</v>
      </c>
      <c r="M6" s="23"/>
      <c r="N6" s="23"/>
      <c r="O6" s="110">
        <f t="shared" si="3"/>
        <v>0.15693597560975608</v>
      </c>
      <c r="P6" s="76">
        <f t="shared" si="4"/>
        <v>283.40000000000009</v>
      </c>
      <c r="Q6" s="76">
        <f>P5+P6</f>
        <v>-1041.44</v>
      </c>
      <c r="R6" s="76">
        <f t="shared" si="5"/>
        <v>-538</v>
      </c>
      <c r="S6" s="74">
        <f t="shared" si="6"/>
        <v>-254.59999999999991</v>
      </c>
      <c r="T6" s="74">
        <f>-(R5+R6)</f>
        <v>348.75</v>
      </c>
      <c r="U6" s="74">
        <f>R5+R6</f>
        <v>-348.75</v>
      </c>
      <c r="V6" s="35">
        <f>(R5+R6)/S21</f>
        <v>-9.8104577369700116E-2</v>
      </c>
    </row>
    <row r="7" spans="2:24" ht="20.399999999999999" x14ac:dyDescent="0.25">
      <c r="B7" s="34" t="s">
        <v>2</v>
      </c>
      <c r="C7" s="11">
        <v>5389</v>
      </c>
      <c r="D7" s="11">
        <v>4793</v>
      </c>
      <c r="E7" s="104">
        <v>2527</v>
      </c>
      <c r="F7" s="23">
        <v>2191</v>
      </c>
      <c r="G7" s="23">
        <v>15972</v>
      </c>
      <c r="H7" s="111">
        <f t="shared" si="0"/>
        <v>0.13717756073127974</v>
      </c>
      <c r="I7" s="102">
        <f t="shared" si="1"/>
        <v>2103.36</v>
      </c>
      <c r="J7" s="102">
        <f t="shared" si="2"/>
        <v>2081.4499999999998</v>
      </c>
      <c r="K7" s="23">
        <v>2401</v>
      </c>
      <c r="L7" s="23">
        <v>14161</v>
      </c>
      <c r="M7" s="112"/>
      <c r="N7" s="87" t="s">
        <v>56</v>
      </c>
      <c r="O7" s="110">
        <f t="shared" si="3"/>
        <v>0.16955017301038061</v>
      </c>
      <c r="P7" s="76">
        <f t="shared" si="4"/>
        <v>423.63999999999987</v>
      </c>
      <c r="Q7" s="76">
        <f>P5+P6+P7</f>
        <v>-617.80000000000018</v>
      </c>
      <c r="R7" s="76">
        <f t="shared" si="5"/>
        <v>-126</v>
      </c>
      <c r="S7" s="74">
        <f t="shared" si="6"/>
        <v>297.63999999999987</v>
      </c>
      <c r="T7" s="74">
        <f>-(R5+R6+R7)</f>
        <v>474.75</v>
      </c>
      <c r="U7" s="74">
        <f>R5+R6+R7</f>
        <v>-474.75</v>
      </c>
      <c r="V7" s="35">
        <f>(R5+R6+R7)/S21</f>
        <v>-0.13354881177423694</v>
      </c>
    </row>
    <row r="8" spans="2:24" ht="20.399999999999999" x14ac:dyDescent="0.25">
      <c r="B8" s="36" t="s">
        <v>3</v>
      </c>
      <c r="C8" s="11">
        <v>6592</v>
      </c>
      <c r="D8" s="11">
        <v>5680</v>
      </c>
      <c r="E8" s="104">
        <v>2355</v>
      </c>
      <c r="F8" s="23">
        <v>2350</v>
      </c>
      <c r="G8" s="23">
        <v>6800</v>
      </c>
      <c r="H8" s="111">
        <f t="shared" si="0"/>
        <v>0.34558823529411764</v>
      </c>
      <c r="I8" s="102">
        <f t="shared" si="1"/>
        <v>2256</v>
      </c>
      <c r="J8" s="102">
        <f t="shared" si="2"/>
        <v>2232.5</v>
      </c>
      <c r="K8" s="23">
        <v>2593</v>
      </c>
      <c r="L8" s="23">
        <v>9706</v>
      </c>
      <c r="M8" s="112"/>
      <c r="N8" s="87" t="s">
        <v>56</v>
      </c>
      <c r="O8" s="110">
        <f t="shared" si="3"/>
        <v>0.26715433752318152</v>
      </c>
      <c r="P8" s="76">
        <f t="shared" si="4"/>
        <v>99</v>
      </c>
      <c r="Q8" s="76">
        <f>P5+P6+P7+P8</f>
        <v>-518.80000000000018</v>
      </c>
      <c r="R8" s="76">
        <f t="shared" si="5"/>
        <v>238</v>
      </c>
      <c r="S8" s="74">
        <f t="shared" si="6"/>
        <v>337</v>
      </c>
      <c r="T8" s="74">
        <f>-(R5+R6+R7+R8)</f>
        <v>236.75</v>
      </c>
      <c r="U8" s="74">
        <f>R5+R6+R7+R8</f>
        <v>-236.75</v>
      </c>
      <c r="V8" s="35">
        <f>(R5+R6+R8)/S21</f>
        <v>-3.1154356827797242E-2</v>
      </c>
    </row>
    <row r="9" spans="2:24" ht="15" x14ac:dyDescent="0.25">
      <c r="B9" s="36" t="s">
        <v>4</v>
      </c>
      <c r="C9" s="11">
        <v>9055</v>
      </c>
      <c r="D9" s="11">
        <v>4536</v>
      </c>
      <c r="E9" s="104">
        <v>2886</v>
      </c>
      <c r="F9" s="23">
        <v>2572</v>
      </c>
      <c r="G9" s="23">
        <v>9004</v>
      </c>
      <c r="H9" s="111">
        <f t="shared" si="0"/>
        <v>0.28565082185695245</v>
      </c>
      <c r="I9" s="102">
        <f t="shared" si="1"/>
        <v>2469.12</v>
      </c>
      <c r="J9" s="102">
        <f t="shared" si="2"/>
        <v>2443.4</v>
      </c>
      <c r="K9" s="23">
        <v>2325</v>
      </c>
      <c r="L9" s="23">
        <v>12210</v>
      </c>
      <c r="M9" s="87"/>
      <c r="N9" s="88"/>
      <c r="O9" s="110">
        <f t="shared" si="3"/>
        <v>0.19041769041769041</v>
      </c>
      <c r="P9" s="76">
        <f t="shared" si="4"/>
        <v>416.88000000000011</v>
      </c>
      <c r="Q9" s="76">
        <f>P5+P6+P7+P8+P9</f>
        <v>-101.92000000000007</v>
      </c>
      <c r="R9" s="76">
        <f t="shared" si="5"/>
        <v>-561</v>
      </c>
      <c r="S9" s="74">
        <f t="shared" si="6"/>
        <v>-144.11999999999989</v>
      </c>
      <c r="T9" s="74">
        <f>-(R5+R6+R7+R8+R9)</f>
        <v>797.75</v>
      </c>
      <c r="U9" s="74">
        <f>R5+R6+R7+R8+R9</f>
        <v>-797.75</v>
      </c>
      <c r="V9" s="35">
        <f>(R5+R6+R7+R8+R9)/S21</f>
        <v>-0.22440982536681942</v>
      </c>
    </row>
    <row r="10" spans="2:24" ht="15" x14ac:dyDescent="0.25">
      <c r="B10" s="36" t="s">
        <v>5</v>
      </c>
      <c r="C10" s="11">
        <v>6281</v>
      </c>
      <c r="D10" s="11">
        <v>5727</v>
      </c>
      <c r="E10" s="104">
        <v>2970</v>
      </c>
      <c r="F10" s="23">
        <v>2266</v>
      </c>
      <c r="G10" s="23">
        <v>13332</v>
      </c>
      <c r="H10" s="111">
        <f t="shared" si="0"/>
        <v>0.16996699669966997</v>
      </c>
      <c r="I10" s="102">
        <f t="shared" si="1"/>
        <v>2175.36</v>
      </c>
      <c r="J10" s="102">
        <f t="shared" si="2"/>
        <v>2152.6999999999998</v>
      </c>
      <c r="K10" s="23">
        <v>2191</v>
      </c>
      <c r="L10" s="23">
        <v>15110</v>
      </c>
      <c r="M10" s="23"/>
      <c r="N10" s="23"/>
      <c r="O10" s="110">
        <f t="shared" si="3"/>
        <v>0.14500330906684314</v>
      </c>
      <c r="P10" s="76">
        <f t="shared" si="4"/>
        <v>794.63999999999987</v>
      </c>
      <c r="Q10" s="76">
        <f>P5+P6+P7+P8+P9+P10</f>
        <v>692.7199999999998</v>
      </c>
      <c r="R10" s="76">
        <f t="shared" si="5"/>
        <v>-779</v>
      </c>
      <c r="S10" s="74">
        <f t="shared" si="6"/>
        <v>15.639999999999873</v>
      </c>
      <c r="T10" s="74">
        <f>-(R5+R6+R7+R8+R9+R10)</f>
        <v>1576.75</v>
      </c>
      <c r="U10" s="74">
        <f>R5+R6+R7+R8+R9+R10</f>
        <v>-1576.75</v>
      </c>
      <c r="V10" s="35">
        <f>(R5+R6+R7+R8+R9+R10)/S21</f>
        <v>-0.44354521109010653</v>
      </c>
    </row>
    <row r="11" spans="2:24" ht="15" x14ac:dyDescent="0.25">
      <c r="B11" s="36" t="s">
        <v>6</v>
      </c>
      <c r="C11" s="11">
        <v>7950</v>
      </c>
      <c r="D11" s="11">
        <v>4984</v>
      </c>
      <c r="E11" s="104">
        <v>2155</v>
      </c>
      <c r="F11" s="23">
        <v>2209</v>
      </c>
      <c r="G11" s="23">
        <v>10643</v>
      </c>
      <c r="H11" s="111">
        <f t="shared" si="0"/>
        <v>0.20755426101663066</v>
      </c>
      <c r="I11" s="102">
        <f t="shared" si="1"/>
        <v>2120.64</v>
      </c>
      <c r="J11" s="102">
        <f t="shared" si="2"/>
        <v>2098.5500000000002</v>
      </c>
      <c r="K11" s="23">
        <v>2275</v>
      </c>
      <c r="L11" s="23">
        <v>12304</v>
      </c>
      <c r="M11" s="23"/>
      <c r="N11" s="23"/>
      <c r="O11" s="110">
        <f t="shared" si="3"/>
        <v>0.18489921976592977</v>
      </c>
      <c r="P11" s="76">
        <f t="shared" si="4"/>
        <v>34.360000000000127</v>
      </c>
      <c r="Q11" s="76">
        <f>P5+P6+P7+P8+P9+P10+P11</f>
        <v>727.07999999999993</v>
      </c>
      <c r="R11" s="76">
        <f t="shared" si="5"/>
        <v>120</v>
      </c>
      <c r="S11" s="74">
        <f t="shared" si="6"/>
        <v>154.36000000000013</v>
      </c>
      <c r="T11" s="74">
        <f>-(R5+R6+R7+R8+R9+R10+R11)</f>
        <v>1456.75</v>
      </c>
      <c r="U11" s="74">
        <f>R5+R6+R7+R8+R9+R10+R11</f>
        <v>-1456.75</v>
      </c>
      <c r="V11" s="35">
        <f>(R5+R6+R7+R8+R9+R10+R11)/S21</f>
        <v>-0.40978879737150004</v>
      </c>
    </row>
    <row r="12" spans="2:24" ht="15" x14ac:dyDescent="0.25">
      <c r="B12" s="36" t="s">
        <v>7</v>
      </c>
      <c r="C12" s="11">
        <v>9411</v>
      </c>
      <c r="D12" s="11">
        <v>4989</v>
      </c>
      <c r="E12" s="104">
        <v>2111</v>
      </c>
      <c r="F12" s="23">
        <v>2764</v>
      </c>
      <c r="G12" s="23">
        <v>5875</v>
      </c>
      <c r="H12" s="111">
        <f t="shared" si="0"/>
        <v>0.47046808510638299</v>
      </c>
      <c r="I12" s="102">
        <f t="shared" si="1"/>
        <v>2653.44</v>
      </c>
      <c r="J12" s="102">
        <f t="shared" si="2"/>
        <v>2625.8</v>
      </c>
      <c r="K12" s="23">
        <v>1924</v>
      </c>
      <c r="L12" s="23">
        <v>4420</v>
      </c>
      <c r="M12" s="23"/>
      <c r="N12" s="23"/>
      <c r="O12" s="110">
        <f t="shared" si="3"/>
        <v>0.43529411764705883</v>
      </c>
      <c r="P12" s="76">
        <f t="shared" si="4"/>
        <v>-542.44000000000005</v>
      </c>
      <c r="Q12" s="76">
        <f>P5+P6+P7+P8+P9+P10+P11+P12</f>
        <v>184.63999999999987</v>
      </c>
      <c r="R12" s="76">
        <f t="shared" si="5"/>
        <v>-187</v>
      </c>
      <c r="S12" s="74">
        <f t="shared" si="6"/>
        <v>-729.44</v>
      </c>
      <c r="T12" s="74">
        <f>-(R5+R6+R7+R8+R9+R10+R11+R12)</f>
        <v>1643.75</v>
      </c>
      <c r="U12" s="74">
        <f>R5+R6+R7+R8+R9+R10+R11+R12</f>
        <v>-1643.75</v>
      </c>
      <c r="V12" s="35">
        <f>(R5+R6+R7+R8+R9+R10+R11+R12)/S21</f>
        <v>-0.46239254208299518</v>
      </c>
      <c r="X12" s="105"/>
    </row>
    <row r="13" spans="2:24" ht="15" x14ac:dyDescent="0.25">
      <c r="B13" s="34" t="s">
        <v>8</v>
      </c>
      <c r="C13" s="11">
        <v>5514</v>
      </c>
      <c r="D13" s="11">
        <v>4315</v>
      </c>
      <c r="E13" s="104">
        <v>1965</v>
      </c>
      <c r="F13" s="23">
        <v>2618</v>
      </c>
      <c r="G13" s="23">
        <v>12504</v>
      </c>
      <c r="H13" s="111">
        <f t="shared" si="0"/>
        <v>0.20937300063979528</v>
      </c>
      <c r="I13" s="102">
        <f t="shared" si="1"/>
        <v>2513.2800000000002</v>
      </c>
      <c r="J13" s="102">
        <f t="shared" si="2"/>
        <v>2487.1</v>
      </c>
      <c r="K13" s="23">
        <v>1923</v>
      </c>
      <c r="L13" s="88">
        <v>14053</v>
      </c>
      <c r="M13" s="23"/>
      <c r="N13" s="23"/>
      <c r="O13" s="110">
        <f t="shared" si="3"/>
        <v>0.13683910908702768</v>
      </c>
      <c r="P13" s="76">
        <f t="shared" si="4"/>
        <v>-548.2800000000002</v>
      </c>
      <c r="Q13" s="76">
        <f>P5+P6+P7+P8+P9+P10+P11+P12+P13</f>
        <v>-363.64000000000033</v>
      </c>
      <c r="R13" s="76">
        <f t="shared" si="5"/>
        <v>-42</v>
      </c>
      <c r="S13" s="74">
        <f t="shared" si="6"/>
        <v>-590.2800000000002</v>
      </c>
      <c r="T13" s="74">
        <f>-(R5+R6+R7+R8+R9+R10+R11+R12+R13)</f>
        <v>1685.75</v>
      </c>
      <c r="U13" s="74">
        <f>R5+R6+R7+R8+R9+R10+R11+R12+R13</f>
        <v>-1685.75</v>
      </c>
      <c r="V13" s="35">
        <f>(R5+R6+R7+R8+R9+R10+R11+R12+R13)/S21</f>
        <v>-0.47420728688450742</v>
      </c>
    </row>
    <row r="14" spans="2:24" ht="15" x14ac:dyDescent="0.25">
      <c r="B14" s="34" t="s">
        <v>9</v>
      </c>
      <c r="C14" s="103">
        <v>5571</v>
      </c>
      <c r="D14" s="103">
        <v>3823</v>
      </c>
      <c r="E14" s="104">
        <v>2936</v>
      </c>
      <c r="F14" s="23">
        <v>1781</v>
      </c>
      <c r="G14" s="23">
        <v>13267</v>
      </c>
      <c r="H14" s="111">
        <f t="shared" si="0"/>
        <v>0.13424285821964271</v>
      </c>
      <c r="I14" s="102">
        <f t="shared" si="1"/>
        <v>1709.76</v>
      </c>
      <c r="J14" s="102">
        <f t="shared" si="2"/>
        <v>1691.95</v>
      </c>
      <c r="K14" s="23">
        <v>2422</v>
      </c>
      <c r="L14" s="88">
        <v>12015</v>
      </c>
      <c r="M14" s="23"/>
      <c r="N14" s="23"/>
      <c r="O14" s="110">
        <f t="shared" si="3"/>
        <v>0.2015813566375364</v>
      </c>
      <c r="P14" s="76">
        <f t="shared" si="4"/>
        <v>1226.24</v>
      </c>
      <c r="Q14" s="76">
        <f>P5+P6+P7+P8+P9+P10+P11+P12+P13+P14</f>
        <v>862.59999999999968</v>
      </c>
      <c r="R14" s="76">
        <f t="shared" si="5"/>
        <v>-514</v>
      </c>
      <c r="S14" s="74">
        <f t="shared" si="6"/>
        <v>712.24</v>
      </c>
      <c r="T14" s="74">
        <f>-(R5+R6+R7+R8+R9+R10+R11+R12+R13+R14)</f>
        <v>2199.75</v>
      </c>
      <c r="U14" s="74">
        <f>R5+R6+R7+R8+R9+R10+R11+R12+R13+R14</f>
        <v>-2199.75</v>
      </c>
      <c r="V14" s="35">
        <f>(R5+R6+R7+R8+R9+R10+R11+R12+R13+R14)/S21</f>
        <v>-0.61879725897920523</v>
      </c>
    </row>
    <row r="15" spans="2:24" ht="15" x14ac:dyDescent="0.25">
      <c r="B15" s="34" t="s">
        <v>10</v>
      </c>
      <c r="C15" s="11">
        <v>6097</v>
      </c>
      <c r="D15" s="11">
        <v>2676</v>
      </c>
      <c r="E15" s="104">
        <v>2456</v>
      </c>
      <c r="F15" s="23">
        <v>2689</v>
      </c>
      <c r="G15" s="23">
        <v>16797</v>
      </c>
      <c r="H15" s="111">
        <f t="shared" si="0"/>
        <v>0.16008811097219741</v>
      </c>
      <c r="I15" s="102">
        <f t="shared" si="1"/>
        <v>2581.44</v>
      </c>
      <c r="J15" s="102">
        <f t="shared" si="2"/>
        <v>2554.5500000000002</v>
      </c>
      <c r="K15" s="23">
        <v>1940</v>
      </c>
      <c r="L15" s="88">
        <v>11459</v>
      </c>
      <c r="M15" s="23"/>
      <c r="N15" s="23"/>
      <c r="O15" s="110">
        <f t="shared" si="3"/>
        <v>0.16929924077144604</v>
      </c>
      <c r="P15" s="76">
        <f t="shared" si="4"/>
        <v>-125.44000000000005</v>
      </c>
      <c r="Q15" s="76">
        <f>P5+P6+P7+P8+P9+P10+P11+P12+P13+P14+P15</f>
        <v>737.15999999999963</v>
      </c>
      <c r="R15" s="76">
        <f t="shared" si="5"/>
        <v>-516</v>
      </c>
      <c r="S15" s="74">
        <f t="shared" si="6"/>
        <v>-641.44000000000005</v>
      </c>
      <c r="T15" s="74">
        <f>-(R5+R6+R7+R8+R9+R10+R11+R12+R13+R14+R15)</f>
        <v>2715.75</v>
      </c>
      <c r="U15" s="74">
        <f>R5+R6+R7+R8+R9+R10+R11+R12+R13+R14+R15</f>
        <v>-2715.75</v>
      </c>
      <c r="V15" s="35">
        <f>(R5+R6+R7+R8+R9+R10+R11+R12+R13+R14+R15)/S21</f>
        <v>-0.76394983796921312</v>
      </c>
    </row>
    <row r="16" spans="2:24" ht="15" x14ac:dyDescent="0.25">
      <c r="B16" s="36" t="s">
        <v>11</v>
      </c>
      <c r="C16" s="11">
        <v>7263</v>
      </c>
      <c r="D16" s="11">
        <v>2711</v>
      </c>
      <c r="E16" s="104">
        <v>4899</v>
      </c>
      <c r="F16" s="23">
        <v>2168</v>
      </c>
      <c r="G16" s="23">
        <v>16890</v>
      </c>
      <c r="H16" s="111">
        <f t="shared" si="0"/>
        <v>0.12835997631734755</v>
      </c>
      <c r="I16" s="102">
        <f t="shared" si="1"/>
        <v>2081.2800000000002</v>
      </c>
      <c r="J16" s="102">
        <f t="shared" si="2"/>
        <v>2059.6</v>
      </c>
      <c r="K16" s="23">
        <v>2575</v>
      </c>
      <c r="L16" s="23"/>
      <c r="M16" s="23"/>
      <c r="N16" s="23"/>
      <c r="O16" s="110" t="e">
        <f t="shared" si="3"/>
        <v>#DIV/0!</v>
      </c>
      <c r="P16" s="76">
        <f t="shared" si="4"/>
        <v>2817.72</v>
      </c>
      <c r="Q16" s="76">
        <f>P5+P6+P7+P8+P9+P10+P11+P12+P13+P14+P15+P16</f>
        <v>3554.8799999999992</v>
      </c>
      <c r="R16" s="76">
        <f t="shared" si="5"/>
        <v>-2324</v>
      </c>
      <c r="S16" s="74">
        <f t="shared" si="6"/>
        <v>493.7199999999998</v>
      </c>
      <c r="T16" s="74">
        <f>-(R5+R6+R7+R8+R9+R10+R11+R12+R13+R14+R15+R16)</f>
        <v>5039.75</v>
      </c>
      <c r="U16" s="74">
        <f>R5+R6+R7+R8+R9+R10+R11+R12+R13+R14+R15+R16</f>
        <v>-5039.75</v>
      </c>
      <c r="V16" s="35">
        <f>(R5+R6+R7+R8+R9+R10+R11+R12+R13+R14+R15+R16)/S21</f>
        <v>-1.4176990503195588</v>
      </c>
    </row>
    <row r="17" spans="2:42" s="2" customFormat="1" ht="13.8" thickBot="1" x14ac:dyDescent="0.3">
      <c r="B17" s="37" t="s">
        <v>16</v>
      </c>
      <c r="C17" s="62">
        <f t="shared" ref="C17:K17" si="7">SUM(C5:C16)</f>
        <v>82217</v>
      </c>
      <c r="D17" s="38">
        <f t="shared" si="7"/>
        <v>54671</v>
      </c>
      <c r="E17" s="38">
        <f t="shared" si="7"/>
        <v>32400</v>
      </c>
      <c r="F17" s="38">
        <f t="shared" si="7"/>
        <v>30047</v>
      </c>
      <c r="G17" s="38">
        <f t="shared" si="7"/>
        <v>142622</v>
      </c>
      <c r="H17" s="109">
        <f t="shared" si="7"/>
        <v>2.8989889017596604</v>
      </c>
      <c r="I17" s="38">
        <f t="shared" si="7"/>
        <v>28845.119999999995</v>
      </c>
      <c r="J17" s="38">
        <f t="shared" si="7"/>
        <v>28544.649999999994</v>
      </c>
      <c r="K17" s="38">
        <f t="shared" si="7"/>
        <v>27360.25</v>
      </c>
      <c r="L17" s="38"/>
      <c r="M17" s="38"/>
      <c r="N17" s="38"/>
      <c r="O17" s="38" t="e">
        <f>SUM(O5:O16)</f>
        <v>#DIV/0!</v>
      </c>
      <c r="P17" s="75">
        <f>SUM(P5:P16)</f>
        <v>3554.8799999999992</v>
      </c>
      <c r="Q17" s="75"/>
      <c r="R17" s="75">
        <f>SUM(R5:R16)</f>
        <v>-5039.75</v>
      </c>
      <c r="S17" s="75">
        <f>SUM(S5:S16)</f>
        <v>-1484.8700000000006</v>
      </c>
      <c r="T17" s="75"/>
      <c r="U17" s="75">
        <f>SUM(U5:U16)</f>
        <v>-17987</v>
      </c>
      <c r="V17" s="39"/>
    </row>
    <row r="18" spans="2:42" ht="6" customHeight="1" thickBot="1" x14ac:dyDescent="0.3"/>
    <row r="19" spans="2:42" ht="31.5" customHeight="1" thickBot="1" x14ac:dyDescent="0.3">
      <c r="B19" s="135" t="s">
        <v>20</v>
      </c>
      <c r="C19" s="136"/>
      <c r="D19" s="136"/>
      <c r="E19" s="136"/>
      <c r="F19" s="136"/>
      <c r="G19" s="136"/>
      <c r="H19" s="136"/>
      <c r="I19" s="136"/>
      <c r="J19" s="136"/>
      <c r="K19" s="136"/>
      <c r="L19" s="97"/>
      <c r="M19" s="97"/>
      <c r="N19" s="24"/>
      <c r="O19" s="24"/>
      <c r="P19" s="41">
        <f>V13</f>
        <v>-0.47420728688450742</v>
      </c>
      <c r="Q19" s="133" t="s">
        <v>26</v>
      </c>
      <c r="R19" s="133"/>
      <c r="S19" s="133"/>
      <c r="T19" s="134"/>
    </row>
    <row r="20" spans="2:42" ht="6" customHeight="1" thickBot="1" x14ac:dyDescent="0.3">
      <c r="T20" s="5"/>
    </row>
    <row r="21" spans="2:42" ht="18.75" customHeight="1" thickBot="1" x14ac:dyDescent="0.3">
      <c r="D21" s="137" t="s">
        <v>55</v>
      </c>
      <c r="E21" s="138"/>
      <c r="F21" s="138"/>
      <c r="G21" s="138"/>
      <c r="H21" s="138"/>
      <c r="I21" s="138"/>
      <c r="J21" s="138"/>
      <c r="K21" s="138"/>
      <c r="L21" s="138"/>
      <c r="M21" s="138"/>
      <c r="N21" s="138"/>
      <c r="O21" s="138"/>
      <c r="P21" s="138"/>
      <c r="Q21" s="138"/>
      <c r="R21" s="98"/>
      <c r="S21" s="40">
        <f>E17-I17</f>
        <v>3554.8800000000047</v>
      </c>
      <c r="T21" s="20"/>
    </row>
    <row r="22" spans="2:42" ht="7.5" customHeight="1" thickBot="1" x14ac:dyDescent="0.3">
      <c r="B22" s="16"/>
      <c r="C22" s="16"/>
      <c r="D22" s="16"/>
      <c r="E22" s="17"/>
      <c r="F22" s="17"/>
      <c r="G22" s="17"/>
      <c r="H22" s="17"/>
    </row>
    <row r="23" spans="2:42" x14ac:dyDescent="0.25">
      <c r="B23" s="16"/>
      <c r="C23" s="16"/>
      <c r="D23" s="18"/>
      <c r="E23" s="42" t="s">
        <v>21</v>
      </c>
      <c r="F23" s="44"/>
      <c r="G23" s="44"/>
      <c r="H23" s="44"/>
      <c r="I23" s="43"/>
      <c r="J23" s="43"/>
      <c r="K23" s="44">
        <v>4</v>
      </c>
      <c r="L23" s="44"/>
      <c r="M23" s="44"/>
      <c r="N23" s="45"/>
      <c r="O23" s="45"/>
      <c r="P23" s="46"/>
      <c r="Q23" s="47"/>
      <c r="R23" s="9"/>
    </row>
    <row r="24" spans="2:42" x14ac:dyDescent="0.25">
      <c r="B24" s="16"/>
      <c r="C24" s="16"/>
      <c r="D24" s="18"/>
      <c r="E24" s="48" t="s">
        <v>25</v>
      </c>
      <c r="F24" s="68"/>
      <c r="G24" s="68"/>
      <c r="H24" s="68"/>
      <c r="I24" s="49"/>
      <c r="J24" s="49"/>
      <c r="K24" s="77">
        <f>SUM(F5:F15)</f>
        <v>27879</v>
      </c>
      <c r="L24" s="65" t="s">
        <v>22</v>
      </c>
      <c r="M24" s="65"/>
      <c r="N24" s="67" t="s">
        <v>27</v>
      </c>
      <c r="O24" s="67"/>
      <c r="P24" s="101"/>
      <c r="Q24" s="51"/>
      <c r="R24" s="9"/>
    </row>
    <row r="25" spans="2:42" x14ac:dyDescent="0.25">
      <c r="B25" s="16"/>
      <c r="C25" s="16"/>
      <c r="D25" s="18"/>
      <c r="E25" s="48" t="s">
        <v>34</v>
      </c>
      <c r="F25" s="68"/>
      <c r="G25" s="68"/>
      <c r="H25" s="68"/>
      <c r="I25" s="49"/>
      <c r="J25" s="49"/>
      <c r="K25" s="77">
        <f>SUM(K5:K15)</f>
        <v>24785.25</v>
      </c>
      <c r="L25" s="65" t="s">
        <v>22</v>
      </c>
      <c r="M25" s="65"/>
      <c r="N25" s="67" t="s">
        <v>27</v>
      </c>
      <c r="O25" s="67"/>
      <c r="P25" s="101"/>
      <c r="Q25" s="51"/>
      <c r="R25" s="9"/>
    </row>
    <row r="26" spans="2:42" x14ac:dyDescent="0.25">
      <c r="B26" s="16"/>
      <c r="C26" s="16"/>
      <c r="D26" s="18"/>
      <c r="E26" s="52" t="s">
        <v>23</v>
      </c>
      <c r="F26" s="69"/>
      <c r="G26" s="69"/>
      <c r="H26" s="69"/>
      <c r="I26" s="53"/>
      <c r="J26" s="53"/>
      <c r="K26" s="50">
        <f>K24-K25</f>
        <v>3093.75</v>
      </c>
      <c r="L26" s="50"/>
      <c r="M26" s="50"/>
      <c r="N26" s="54"/>
      <c r="O26" s="54"/>
      <c r="P26" s="54"/>
      <c r="Q26" s="51"/>
      <c r="R26" s="9"/>
    </row>
    <row r="27" spans="2:42" ht="13.8" thickBot="1" x14ac:dyDescent="0.3">
      <c r="B27" s="16"/>
      <c r="C27" s="16"/>
      <c r="D27" s="18"/>
      <c r="E27" s="55" t="s">
        <v>24</v>
      </c>
      <c r="F27" s="70"/>
      <c r="G27" s="70"/>
      <c r="H27" s="70"/>
      <c r="I27" s="56"/>
      <c r="J27" s="56"/>
      <c r="K27" s="57">
        <f>K26/K24</f>
        <v>0.11097062304960723</v>
      </c>
      <c r="L27" s="57"/>
      <c r="M27" s="57"/>
      <c r="N27" s="58"/>
      <c r="O27" s="58"/>
      <c r="P27" s="58"/>
      <c r="Q27" s="59"/>
      <c r="R27" s="9"/>
    </row>
    <row r="28" spans="2:42" x14ac:dyDescent="0.25">
      <c r="B28" s="16"/>
      <c r="C28" s="16"/>
      <c r="D28" s="18"/>
      <c r="E28" s="9"/>
      <c r="F28" s="9"/>
      <c r="G28" s="9"/>
      <c r="H28" s="9"/>
      <c r="I28" s="18"/>
      <c r="J28" s="18"/>
      <c r="K28" s="1"/>
      <c r="L28" s="1"/>
      <c r="M28" s="1"/>
    </row>
    <row r="29" spans="2:42" x14ac:dyDescent="0.25">
      <c r="B29" s="16"/>
      <c r="C29" s="16"/>
      <c r="D29" s="19"/>
      <c r="E29" s="9"/>
      <c r="F29" s="9"/>
      <c r="G29" s="9"/>
      <c r="H29" s="9"/>
      <c r="I29" s="18"/>
      <c r="J29" s="18"/>
      <c r="K29" s="1"/>
      <c r="L29" s="1"/>
      <c r="M29" s="81" t="s">
        <v>48</v>
      </c>
    </row>
    <row r="30" spans="2:42" ht="13.8" x14ac:dyDescent="0.25">
      <c r="B30" s="16"/>
      <c r="C30" s="71"/>
      <c r="D30" s="72"/>
      <c r="E30" s="72"/>
      <c r="F30" s="72"/>
      <c r="G30" s="71"/>
      <c r="H30" s="71"/>
      <c r="I30" s="72"/>
      <c r="J30" s="72"/>
      <c r="K30" s="72"/>
      <c r="L30" s="71"/>
      <c r="M30" s="80" t="s">
        <v>46</v>
      </c>
      <c r="N30" s="72"/>
      <c r="O30" s="72"/>
      <c r="P30" s="72"/>
      <c r="Q30" s="71"/>
      <c r="R30" s="71"/>
      <c r="S30" s="72"/>
      <c r="T30" s="72"/>
      <c r="U30" s="71"/>
      <c r="V30" s="72"/>
      <c r="W30" s="72"/>
      <c r="X30" s="72"/>
      <c r="Y30" s="71"/>
      <c r="Z30" s="72"/>
      <c r="AA30" s="72"/>
      <c r="AB30" s="72"/>
      <c r="AC30" s="72"/>
      <c r="AD30" s="72"/>
      <c r="AE30" s="72"/>
      <c r="AF30" s="72"/>
      <c r="AG30" s="72"/>
      <c r="AH30" s="72"/>
      <c r="AI30" s="72"/>
      <c r="AJ30" s="72"/>
      <c r="AK30" s="72"/>
      <c r="AL30" s="72"/>
      <c r="AM30" s="72"/>
      <c r="AN30" s="72"/>
      <c r="AO30" s="72"/>
      <c r="AP30" s="72"/>
    </row>
    <row r="31" spans="2:42" x14ac:dyDescent="0.25">
      <c r="B31" s="16"/>
      <c r="C31" s="16"/>
      <c r="D31" s="18"/>
      <c r="E31" s="9"/>
      <c r="F31" s="9"/>
      <c r="G31" s="9"/>
      <c r="H31" s="9"/>
      <c r="I31" s="100"/>
      <c r="J31" s="100"/>
      <c r="K31" s="1"/>
      <c r="L31" s="1"/>
      <c r="M31" s="81" t="s">
        <v>47</v>
      </c>
    </row>
    <row r="32" spans="2:42" x14ac:dyDescent="0.25">
      <c r="B32" s="16"/>
      <c r="C32" s="16"/>
      <c r="D32" s="18"/>
      <c r="E32" s="9"/>
      <c r="F32" s="9"/>
      <c r="G32" s="9"/>
      <c r="H32" s="9"/>
      <c r="I32" s="18"/>
      <c r="J32" s="18"/>
      <c r="K32" s="1"/>
      <c r="L32" s="1"/>
      <c r="M32" s="82" t="s">
        <v>43</v>
      </c>
    </row>
    <row r="33" spans="2:13" x14ac:dyDescent="0.25">
      <c r="B33" s="16"/>
      <c r="C33" s="16"/>
      <c r="D33" s="9"/>
      <c r="E33" s="9"/>
      <c r="F33" s="9"/>
      <c r="G33" s="9"/>
      <c r="H33" s="9"/>
      <c r="I33" s="1"/>
      <c r="J33" s="1"/>
      <c r="K33" s="1"/>
      <c r="L33" s="1"/>
      <c r="M33" s="1"/>
    </row>
    <row r="36" spans="2:13" x14ac:dyDescent="0.25">
      <c r="I36" s="5"/>
      <c r="J36" s="5"/>
      <c r="K36" s="5"/>
      <c r="L36" s="5"/>
      <c r="M36" s="108"/>
    </row>
  </sheetData>
  <mergeCells count="4">
    <mergeCell ref="B2:T2"/>
    <mergeCell ref="Q19:T19"/>
    <mergeCell ref="B19:K19"/>
    <mergeCell ref="D21:Q21"/>
  </mergeCells>
  <dataValidations count="1">
    <dataValidation type="list" allowBlank="1" showInputMessage="1" showErrorMessage="1" sqref="M5:M16">
      <formula1>$M$29:$M$32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R42"/>
  <sheetViews>
    <sheetView showGridLines="0" zoomScale="90" zoomScaleNormal="90" workbookViewId="0">
      <selection activeCell="T10" sqref="T10:U10"/>
    </sheetView>
  </sheetViews>
  <sheetFormatPr defaultRowHeight="13.2" x14ac:dyDescent="0.25"/>
  <cols>
    <col min="1" max="1" width="2.5546875" customWidth="1"/>
    <col min="4" max="4" width="10.44140625" customWidth="1"/>
    <col min="5" max="5" width="9.33203125" bestFit="1" customWidth="1"/>
    <col min="6" max="6" width="14" bestFit="1" customWidth="1"/>
    <col min="11" max="11" width="16.109375" customWidth="1"/>
    <col min="12" max="12" width="7.109375" customWidth="1"/>
    <col min="13" max="13" width="10.88671875" customWidth="1"/>
    <col min="14" max="14" width="5.88671875" customWidth="1"/>
    <col min="17" max="17" width="1" customWidth="1"/>
    <col min="19" max="19" width="11.109375" customWidth="1"/>
  </cols>
  <sheetData>
    <row r="3" spans="14:14" ht="12.75" customHeight="1" x14ac:dyDescent="0.25"/>
    <row r="4" spans="14:14" ht="12.75" customHeight="1" x14ac:dyDescent="0.25"/>
    <row r="8" spans="14:14" x14ac:dyDescent="0.25">
      <c r="N8" s="99"/>
    </row>
    <row r="11" spans="14:14" x14ac:dyDescent="0.25">
      <c r="N11" s="99"/>
    </row>
    <row r="12" spans="14:14" x14ac:dyDescent="0.25">
      <c r="N12" s="99"/>
    </row>
    <row r="20" spans="4:18" ht="12.75" customHeight="1" x14ac:dyDescent="0.25"/>
    <row r="21" spans="4:18" ht="12.75" customHeight="1" x14ac:dyDescent="0.25"/>
    <row r="22" spans="4:18" ht="13.5" customHeight="1" x14ac:dyDescent="0.25"/>
    <row r="24" spans="4:18" x14ac:dyDescent="0.25">
      <c r="M24" s="9"/>
      <c r="N24" s="9"/>
      <c r="O24" s="9"/>
      <c r="P24" s="9"/>
      <c r="Q24" s="9"/>
      <c r="R24" s="9"/>
    </row>
    <row r="25" spans="4:18" ht="18.75" customHeight="1" x14ac:dyDescent="0.25">
      <c r="M25" s="9"/>
      <c r="N25" s="117"/>
      <c r="O25" s="117"/>
      <c r="P25" s="14"/>
      <c r="Q25" s="9"/>
      <c r="R25" s="9"/>
    </row>
    <row r="26" spans="4:18" ht="12.75" customHeight="1" x14ac:dyDescent="0.25">
      <c r="M26" s="9"/>
      <c r="N26" s="13"/>
      <c r="O26" s="14"/>
      <c r="P26" s="14"/>
      <c r="Q26" s="9"/>
      <c r="R26" s="9"/>
    </row>
    <row r="27" spans="4:18" ht="13.5" customHeight="1" x14ac:dyDescent="0.25">
      <c r="M27" s="9"/>
      <c r="N27" s="9"/>
      <c r="O27" s="9"/>
      <c r="P27" s="9"/>
      <c r="Q27" s="9"/>
      <c r="R27" s="9"/>
    </row>
    <row r="28" spans="4:18" ht="12.75" customHeight="1" x14ac:dyDescent="0.25"/>
    <row r="31" spans="4:18" ht="13.8" thickBot="1" x14ac:dyDescent="0.3"/>
    <row r="32" spans="4:18" ht="15" customHeight="1" x14ac:dyDescent="0.25">
      <c r="D32" s="118" t="str">
        <f>'Waste Data'!B19</f>
        <v>Target YTD Achievement (%)</v>
      </c>
      <c r="E32" s="119"/>
      <c r="F32" s="119"/>
      <c r="G32" s="139">
        <f>'Waste Data'!K27</f>
        <v>-0.2638103599648815</v>
      </c>
      <c r="H32" s="139"/>
      <c r="I32" s="139"/>
      <c r="J32" s="139"/>
      <c r="K32" s="140"/>
    </row>
    <row r="33" spans="2:11" ht="12.75" customHeight="1" x14ac:dyDescent="0.25">
      <c r="D33" s="120"/>
      <c r="E33" s="121"/>
      <c r="F33" s="121"/>
      <c r="G33" s="141"/>
      <c r="H33" s="141"/>
      <c r="I33" s="141"/>
      <c r="J33" s="141"/>
      <c r="K33" s="142"/>
    </row>
    <row r="34" spans="2:11" ht="13.5" customHeight="1" thickBot="1" x14ac:dyDescent="0.3">
      <c r="D34" s="122"/>
      <c r="E34" s="123"/>
      <c r="F34" s="123"/>
      <c r="G34" s="143"/>
      <c r="H34" s="143"/>
      <c r="I34" s="143"/>
      <c r="J34" s="143"/>
      <c r="K34" s="144"/>
    </row>
    <row r="40" spans="2:11" ht="24" customHeight="1" x14ac:dyDescent="0.25">
      <c r="B40" s="1"/>
      <c r="C40" s="1"/>
      <c r="E40" s="6"/>
      <c r="F40" s="7"/>
      <c r="G40" s="8"/>
      <c r="H40" s="116"/>
      <c r="I40" s="116"/>
      <c r="J40" s="9"/>
      <c r="K40" s="9"/>
    </row>
    <row r="41" spans="2:11" x14ac:dyDescent="0.25">
      <c r="E41" s="9"/>
      <c r="F41" s="9"/>
      <c r="G41" s="9"/>
      <c r="H41" s="9"/>
      <c r="I41" s="9"/>
      <c r="J41" s="9"/>
      <c r="K41" s="9"/>
    </row>
    <row r="42" spans="2:11" x14ac:dyDescent="0.25">
      <c r="E42" s="9"/>
      <c r="F42" s="9"/>
      <c r="G42" s="9"/>
      <c r="H42" s="9"/>
      <c r="I42" s="9"/>
      <c r="J42" s="9"/>
      <c r="K42" s="9"/>
    </row>
  </sheetData>
  <mergeCells count="4">
    <mergeCell ref="H40:I40"/>
    <mergeCell ref="N25:O25"/>
    <mergeCell ref="D32:F34"/>
    <mergeCell ref="G32:K34"/>
  </mergeCells>
  <conditionalFormatting sqref="G32:K34">
    <cfRule type="cellIs" dxfId="1" priority="1" operator="lessThan">
      <formula>0</formula>
    </cfRule>
    <cfRule type="cellIs" dxfId="0" priority="2" operator="greaterThan">
      <formula>0</formula>
    </cfRule>
  </conditionalFormatting>
  <pageMargins left="0.39370078740157483" right="0.39370078740157483" top="0.39370078740157483" bottom="0.39370078740157483" header="0.51181102362204722" footer="0.51181102362204722"/>
  <pageSetup paperSize="9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Q33"/>
  <sheetViews>
    <sheetView zoomScale="80" zoomScaleNormal="80" workbookViewId="0">
      <selection activeCell="D26" sqref="D26"/>
    </sheetView>
  </sheetViews>
  <sheetFormatPr defaultRowHeight="13.2" x14ac:dyDescent="0.25"/>
  <cols>
    <col min="1" max="1" width="1" customWidth="1"/>
    <col min="2" max="2" width="10.109375" customWidth="1"/>
    <col min="3" max="3" width="11.33203125" customWidth="1"/>
    <col min="4" max="4" width="12" customWidth="1"/>
    <col min="5" max="6" width="11.5546875" customWidth="1"/>
    <col min="7" max="7" width="13.109375" customWidth="1"/>
    <col min="8" max="8" width="13.88671875" customWidth="1"/>
    <col min="9" max="10" width="12.6640625" customWidth="1"/>
    <col min="11" max="12" width="15.44140625" customWidth="1"/>
    <col min="13" max="13" width="11.109375" customWidth="1"/>
    <col min="14" max="14" width="10.88671875" customWidth="1"/>
    <col min="15" max="15" width="34.33203125" customWidth="1"/>
    <col min="16" max="16" width="14.33203125" customWidth="1"/>
    <col min="17" max="17" width="9.6640625" customWidth="1"/>
    <col min="18" max="18" width="13.33203125" customWidth="1"/>
    <col min="19" max="19" width="11.33203125" customWidth="1"/>
    <col min="20" max="20" width="11.5546875" customWidth="1"/>
    <col min="21" max="21" width="14.33203125" customWidth="1"/>
    <col min="22" max="22" width="11.33203125" customWidth="1"/>
    <col min="23" max="23" width="14.33203125" customWidth="1"/>
  </cols>
  <sheetData>
    <row r="1" spans="2:25" ht="10.5" customHeight="1" thickBot="1" x14ac:dyDescent="0.3"/>
    <row r="2" spans="2:25" ht="21" thickBot="1" x14ac:dyDescent="0.3">
      <c r="B2" s="130" t="s">
        <v>82</v>
      </c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  <c r="T2" s="131"/>
      <c r="U2" s="132"/>
    </row>
    <row r="3" spans="2:25" ht="9.75" customHeight="1" thickBot="1" x14ac:dyDescent="0.3"/>
    <row r="4" spans="2:25" ht="52.8" x14ac:dyDescent="0.25">
      <c r="B4" s="25" t="s">
        <v>14</v>
      </c>
      <c r="C4" s="61" t="s">
        <v>13</v>
      </c>
      <c r="D4" s="26" t="s">
        <v>15</v>
      </c>
      <c r="E4" s="27" t="s">
        <v>18</v>
      </c>
      <c r="F4" s="27" t="s">
        <v>25</v>
      </c>
      <c r="G4" s="73" t="s">
        <v>40</v>
      </c>
      <c r="H4" s="73" t="s">
        <v>81</v>
      </c>
      <c r="I4" s="28" t="s">
        <v>52</v>
      </c>
      <c r="J4" s="28" t="s">
        <v>80</v>
      </c>
      <c r="K4" s="29" t="s">
        <v>34</v>
      </c>
      <c r="L4" s="29" t="s">
        <v>79</v>
      </c>
      <c r="M4" s="73" t="s">
        <v>78</v>
      </c>
      <c r="N4" s="73" t="s">
        <v>30</v>
      </c>
      <c r="O4" s="73" t="s">
        <v>31</v>
      </c>
      <c r="P4" s="73" t="s">
        <v>77</v>
      </c>
      <c r="Q4" s="30" t="s">
        <v>76</v>
      </c>
      <c r="R4" s="31" t="s">
        <v>75</v>
      </c>
      <c r="S4" s="79" t="s">
        <v>74</v>
      </c>
      <c r="T4" s="32" t="s">
        <v>73</v>
      </c>
      <c r="U4" s="32" t="s">
        <v>72</v>
      </c>
      <c r="V4" s="32" t="s">
        <v>71</v>
      </c>
      <c r="W4" s="33" t="s">
        <v>17</v>
      </c>
    </row>
    <row r="5" spans="2:25" ht="15" x14ac:dyDescent="0.25">
      <c r="B5" s="34" t="s">
        <v>0</v>
      </c>
      <c r="C5" s="11">
        <v>89.1</v>
      </c>
      <c r="D5" s="103">
        <v>20.97</v>
      </c>
      <c r="E5" s="23">
        <v>48.39</v>
      </c>
      <c r="F5" s="23">
        <v>29.12</v>
      </c>
      <c r="G5" s="23">
        <v>8708</v>
      </c>
      <c r="H5" s="114">
        <f t="shared" ref="H5:H16" si="0">(F5/G5)*1000</f>
        <v>3.344051446945338</v>
      </c>
      <c r="I5" s="102">
        <f t="shared" ref="I5:I16" si="1">SUM(F5-(F5*4%))</f>
        <v>27.955200000000001</v>
      </c>
      <c r="J5" s="102">
        <f t="shared" ref="J5:J16" si="2">SUM(F5-(F5*4%))</f>
        <v>27.955200000000001</v>
      </c>
      <c r="K5" s="23">
        <v>20.02</v>
      </c>
      <c r="L5" s="23">
        <v>35.46</v>
      </c>
      <c r="M5" s="23">
        <v>9460</v>
      </c>
      <c r="N5" s="23"/>
      <c r="O5" s="23"/>
      <c r="P5" s="110">
        <f t="shared" ref="P5:P16" si="3">(K5/M5)*1000</f>
        <v>2.1162790697674416</v>
      </c>
      <c r="Q5" s="76">
        <f t="shared" ref="Q5:Q16" si="4">E5-I5</f>
        <v>20.434799999999999</v>
      </c>
      <c r="R5" s="76">
        <f>Q5</f>
        <v>20.434799999999999</v>
      </c>
      <c r="S5" s="76">
        <f t="shared" ref="S5:S16" si="5">K5-E5</f>
        <v>-28.37</v>
      </c>
      <c r="T5" s="74">
        <f t="shared" ref="T5:T16" si="6">Q5+S5</f>
        <v>-7.9352000000000018</v>
      </c>
      <c r="U5" s="74">
        <f>-(S5)</f>
        <v>28.37</v>
      </c>
      <c r="V5" s="74">
        <f>S5</f>
        <v>-28.37</v>
      </c>
      <c r="W5" s="35">
        <f>S5/T21</f>
        <v>-0.21744595659358684</v>
      </c>
    </row>
    <row r="6" spans="2:25" ht="15" x14ac:dyDescent="0.25">
      <c r="B6" s="34" t="s">
        <v>1</v>
      </c>
      <c r="C6" s="11">
        <v>74.739999999999995</v>
      </c>
      <c r="D6" s="11">
        <v>26.3</v>
      </c>
      <c r="E6" s="23">
        <v>28.51</v>
      </c>
      <c r="F6" s="23">
        <v>21.28</v>
      </c>
      <c r="G6" s="23">
        <v>12830</v>
      </c>
      <c r="H6" s="114">
        <f t="shared" si="0"/>
        <v>1.6586126266562744</v>
      </c>
      <c r="I6" s="102">
        <f t="shared" si="1"/>
        <v>20.428800000000003</v>
      </c>
      <c r="J6" s="102">
        <f t="shared" si="2"/>
        <v>20.428800000000003</v>
      </c>
      <c r="K6" s="23">
        <v>14.87</v>
      </c>
      <c r="L6" s="23">
        <v>34.700000000000003</v>
      </c>
      <c r="M6" s="23">
        <v>13120</v>
      </c>
      <c r="N6" s="23"/>
      <c r="O6" s="23"/>
      <c r="P6" s="110">
        <f t="shared" si="3"/>
        <v>1.1333841463414633</v>
      </c>
      <c r="Q6" s="76">
        <f t="shared" si="4"/>
        <v>8.0811999999999991</v>
      </c>
      <c r="R6" s="76">
        <f>Q5+Q6</f>
        <v>28.515999999999998</v>
      </c>
      <c r="S6" s="76">
        <f t="shared" si="5"/>
        <v>-13.640000000000002</v>
      </c>
      <c r="T6" s="74">
        <f t="shared" si="6"/>
        <v>-5.5588000000000033</v>
      </c>
      <c r="U6" s="74">
        <f>-(S5+S6)</f>
        <v>42.010000000000005</v>
      </c>
      <c r="V6" s="74">
        <f>S5+S6</f>
        <v>-42.010000000000005</v>
      </c>
      <c r="W6" s="35">
        <f>(S5+S6)/T21</f>
        <v>-0.32199170378909353</v>
      </c>
    </row>
    <row r="7" spans="2:25" ht="15" x14ac:dyDescent="0.25">
      <c r="B7" s="34" t="s">
        <v>2</v>
      </c>
      <c r="C7" s="11">
        <v>64.45</v>
      </c>
      <c r="D7" s="11">
        <v>30.14</v>
      </c>
      <c r="E7" s="23">
        <v>41.72</v>
      </c>
      <c r="F7" s="23">
        <v>50.06</v>
      </c>
      <c r="G7" s="23">
        <v>15972</v>
      </c>
      <c r="H7" s="114">
        <f t="shared" si="0"/>
        <v>3.1342349110944152</v>
      </c>
      <c r="I7" s="102">
        <f t="shared" si="1"/>
        <v>48.057600000000001</v>
      </c>
      <c r="J7" s="102">
        <f t="shared" si="2"/>
        <v>48.057600000000001</v>
      </c>
      <c r="K7" s="23">
        <v>17.829999999999998</v>
      </c>
      <c r="L7" s="23">
        <v>16.850000000000001</v>
      </c>
      <c r="M7" s="23">
        <v>14161</v>
      </c>
      <c r="N7" s="23"/>
      <c r="O7" s="23"/>
      <c r="P7" s="110">
        <f t="shared" si="3"/>
        <v>1.2590918720429347</v>
      </c>
      <c r="Q7" s="76">
        <f t="shared" si="4"/>
        <v>-6.3376000000000019</v>
      </c>
      <c r="R7" s="76">
        <f>Q5+Q6+Q7</f>
        <v>22.178399999999996</v>
      </c>
      <c r="S7" s="76">
        <f t="shared" si="5"/>
        <v>-23.89</v>
      </c>
      <c r="T7" s="74">
        <f t="shared" si="6"/>
        <v>-30.227600000000002</v>
      </c>
      <c r="U7" s="74">
        <f>-(S5+S6+S7)</f>
        <v>65.900000000000006</v>
      </c>
      <c r="V7" s="74">
        <f>S5+S6+S7</f>
        <v>-65.900000000000006</v>
      </c>
      <c r="W7" s="35">
        <f>(S5+S6+S7)/T21</f>
        <v>-0.50510005426568116</v>
      </c>
    </row>
    <row r="8" spans="2:25" ht="15" x14ac:dyDescent="0.25">
      <c r="B8" s="36" t="s">
        <v>3</v>
      </c>
      <c r="C8" s="11">
        <v>24.02</v>
      </c>
      <c r="D8" s="11">
        <v>34.79</v>
      </c>
      <c r="E8" s="23">
        <v>90.95</v>
      </c>
      <c r="F8" s="23">
        <v>54.26</v>
      </c>
      <c r="G8" s="23">
        <v>6800</v>
      </c>
      <c r="H8" s="114">
        <f t="shared" si="0"/>
        <v>7.9794117647058824</v>
      </c>
      <c r="I8" s="102">
        <f t="shared" si="1"/>
        <v>52.089599999999997</v>
      </c>
      <c r="J8" s="102">
        <f t="shared" si="2"/>
        <v>52.089599999999997</v>
      </c>
      <c r="K8" s="23">
        <v>30.8</v>
      </c>
      <c r="L8" s="23">
        <v>74.55</v>
      </c>
      <c r="M8" s="23">
        <v>9706</v>
      </c>
      <c r="N8" s="23"/>
      <c r="O8" s="23"/>
      <c r="P8" s="110">
        <f t="shared" si="3"/>
        <v>3.1732948691531013</v>
      </c>
      <c r="Q8" s="76">
        <f t="shared" si="4"/>
        <v>38.860400000000006</v>
      </c>
      <c r="R8" s="76">
        <f>Q5+Q6+Q7+Q8</f>
        <v>61.038800000000002</v>
      </c>
      <c r="S8" s="76">
        <f t="shared" si="5"/>
        <v>-60.150000000000006</v>
      </c>
      <c r="T8" s="74">
        <f t="shared" si="6"/>
        <v>-21.2896</v>
      </c>
      <c r="U8" s="74">
        <f>-(S5+S6+S7+S8)</f>
        <v>126.05000000000001</v>
      </c>
      <c r="V8" s="74">
        <f>S5+S6+S7+S8</f>
        <v>-126.05000000000001</v>
      </c>
      <c r="W8" s="35">
        <f>(S5+S6+S8)/T21</f>
        <v>-0.78302005377514394</v>
      </c>
    </row>
    <row r="9" spans="2:25" ht="15" x14ac:dyDescent="0.25">
      <c r="B9" s="36" t="s">
        <v>4</v>
      </c>
      <c r="C9" s="11">
        <v>46.48</v>
      </c>
      <c r="D9" s="11">
        <v>41.04</v>
      </c>
      <c r="E9" s="23">
        <v>34.479999999999997</v>
      </c>
      <c r="F9" s="23">
        <v>32.26</v>
      </c>
      <c r="G9" s="23">
        <v>9004</v>
      </c>
      <c r="H9" s="114">
        <f t="shared" si="0"/>
        <v>3.5828520657485559</v>
      </c>
      <c r="I9" s="102">
        <f t="shared" si="1"/>
        <v>30.9696</v>
      </c>
      <c r="J9" s="102">
        <f t="shared" si="2"/>
        <v>30.9696</v>
      </c>
      <c r="K9" s="23">
        <v>37.79</v>
      </c>
      <c r="L9" s="23">
        <v>74.7</v>
      </c>
      <c r="M9" s="23">
        <v>12210</v>
      </c>
      <c r="N9" s="23"/>
      <c r="O9" s="23"/>
      <c r="P9" s="110">
        <f t="shared" si="3"/>
        <v>3.0950040950040951</v>
      </c>
      <c r="Q9" s="76">
        <f t="shared" si="4"/>
        <v>3.5103999999999971</v>
      </c>
      <c r="R9" s="76">
        <f>Q5+Q6+Q7+Q8+Q9</f>
        <v>64.549199999999999</v>
      </c>
      <c r="S9" s="76">
        <f t="shared" si="5"/>
        <v>3.3100000000000023</v>
      </c>
      <c r="T9" s="74">
        <f t="shared" si="6"/>
        <v>6.8203999999999994</v>
      </c>
      <c r="U9" s="74">
        <f>-(S5+S6+S7+S8+S9)</f>
        <v>122.74000000000001</v>
      </c>
      <c r="V9" s="74">
        <f>S5+S6+S7+S8+S9</f>
        <v>-122.74000000000001</v>
      </c>
      <c r="W9" s="35">
        <f>(S5+S6+S7+S8+S9)/T21</f>
        <v>-0.94075843187510932</v>
      </c>
    </row>
    <row r="10" spans="2:25" ht="15" x14ac:dyDescent="0.25">
      <c r="B10" s="36" t="s">
        <v>5</v>
      </c>
      <c r="C10" s="11">
        <v>67.19</v>
      </c>
      <c r="D10" s="11">
        <v>41.32</v>
      </c>
      <c r="E10" s="23">
        <v>35.26</v>
      </c>
      <c r="F10" s="23">
        <v>16.46</v>
      </c>
      <c r="G10" s="23">
        <v>13332</v>
      </c>
      <c r="H10" s="114">
        <f t="shared" si="0"/>
        <v>1.2346234623462347</v>
      </c>
      <c r="I10" s="102">
        <f t="shared" si="1"/>
        <v>15.801600000000001</v>
      </c>
      <c r="J10" s="102">
        <f t="shared" si="2"/>
        <v>15.801600000000001</v>
      </c>
      <c r="K10" s="23">
        <v>44.64</v>
      </c>
      <c r="L10" s="23">
        <v>81.739999999999995</v>
      </c>
      <c r="M10" s="23">
        <v>15110</v>
      </c>
      <c r="N10" s="23"/>
      <c r="O10" s="23"/>
      <c r="P10" s="110">
        <f t="shared" si="3"/>
        <v>2.9543348775645271</v>
      </c>
      <c r="Q10" s="76">
        <f t="shared" si="4"/>
        <v>19.458399999999997</v>
      </c>
      <c r="R10" s="76">
        <f>Q5+Q6+Q7+Q8+Q9+Q10</f>
        <v>84.007599999999996</v>
      </c>
      <c r="S10" s="76">
        <f t="shared" si="5"/>
        <v>9.3800000000000026</v>
      </c>
      <c r="T10" s="74">
        <f t="shared" si="6"/>
        <v>28.8384</v>
      </c>
      <c r="U10" s="74">
        <f>-(S5+S6+S7+S8+S9+S10)</f>
        <v>113.36000000000001</v>
      </c>
      <c r="V10" s="74">
        <f>S5+S6+S7+S8+S9+S10</f>
        <v>-113.36000000000001</v>
      </c>
      <c r="W10" s="35">
        <f>(S5+S6+S7+S8+S9+S10)/T21</f>
        <v>-0.86886406906764213</v>
      </c>
    </row>
    <row r="11" spans="2:25" ht="15" x14ac:dyDescent="0.25">
      <c r="B11" s="36" t="s">
        <v>6</v>
      </c>
      <c r="C11" s="11">
        <v>63.73</v>
      </c>
      <c r="D11" s="11">
        <v>55.24</v>
      </c>
      <c r="E11" s="23">
        <v>23.38</v>
      </c>
      <c r="F11" s="23">
        <v>29.86</v>
      </c>
      <c r="G11" s="23">
        <v>10643</v>
      </c>
      <c r="H11" s="114">
        <f t="shared" si="0"/>
        <v>2.8055999248332237</v>
      </c>
      <c r="I11" s="102">
        <f t="shared" si="1"/>
        <v>28.665599999999998</v>
      </c>
      <c r="J11" s="102">
        <f t="shared" si="2"/>
        <v>28.665599999999998</v>
      </c>
      <c r="K11" s="23">
        <v>26.06</v>
      </c>
      <c r="L11" s="23">
        <v>35.04</v>
      </c>
      <c r="M11" s="23">
        <v>12304</v>
      </c>
      <c r="N11" s="23"/>
      <c r="O11" s="23"/>
      <c r="P11" s="110">
        <f t="shared" si="3"/>
        <v>2.1180104031209361</v>
      </c>
      <c r="Q11" s="76">
        <f t="shared" si="4"/>
        <v>-5.2855999999999987</v>
      </c>
      <c r="R11" s="76">
        <f>Q5+Q6+Q7+Q8+Q9+Q10+Q11</f>
        <v>78.721999999999994</v>
      </c>
      <c r="S11" s="76">
        <f t="shared" si="5"/>
        <v>2.6799999999999997</v>
      </c>
      <c r="T11" s="74">
        <f t="shared" si="6"/>
        <v>-2.605599999999999</v>
      </c>
      <c r="U11" s="74">
        <f>-(S5+S6+S7+S8+S9+S10+S11)</f>
        <v>110.68</v>
      </c>
      <c r="V11" s="74">
        <f>S5+S6+S7+S8+S9+S10+S11</f>
        <v>-110.68</v>
      </c>
      <c r="W11" s="35">
        <f>(S5+S6+S7+S8+S9+S10+S11)/T21</f>
        <v>-0.84832282255122282</v>
      </c>
    </row>
    <row r="12" spans="2:25" ht="15" x14ac:dyDescent="0.25">
      <c r="B12" s="36" t="s">
        <v>7</v>
      </c>
      <c r="C12" s="11">
        <v>68.16</v>
      </c>
      <c r="D12" s="11">
        <v>68.13</v>
      </c>
      <c r="E12" s="23">
        <v>44.42</v>
      </c>
      <c r="F12" s="23">
        <v>21.24</v>
      </c>
      <c r="G12" s="23">
        <v>5875</v>
      </c>
      <c r="H12" s="114">
        <f t="shared" si="0"/>
        <v>3.61531914893617</v>
      </c>
      <c r="I12" s="102">
        <f t="shared" si="1"/>
        <v>20.3904</v>
      </c>
      <c r="J12" s="102">
        <f t="shared" si="2"/>
        <v>20.3904</v>
      </c>
      <c r="K12" s="23">
        <v>27.93</v>
      </c>
      <c r="L12" s="23">
        <v>66.52</v>
      </c>
      <c r="M12" s="23">
        <v>4420</v>
      </c>
      <c r="N12" s="23"/>
      <c r="O12" s="23"/>
      <c r="P12" s="110">
        <f t="shared" si="3"/>
        <v>6.3190045248868776</v>
      </c>
      <c r="Q12" s="76">
        <f t="shared" si="4"/>
        <v>24.029600000000002</v>
      </c>
      <c r="R12" s="76">
        <f>Q5+Q6+Q7+Q8+Q9+Q10+Q11+Q12</f>
        <v>102.7516</v>
      </c>
      <c r="S12" s="76">
        <f t="shared" si="5"/>
        <v>-16.490000000000002</v>
      </c>
      <c r="T12" s="74">
        <f t="shared" si="6"/>
        <v>7.5396000000000001</v>
      </c>
      <c r="U12" s="74">
        <f>-(S5+S6+S7+S8+S9+S10+S11+S12)</f>
        <v>127.17000000000002</v>
      </c>
      <c r="V12" s="74">
        <f>S5+S6+S7+S8+S9+S10+S11+S12</f>
        <v>-127.17000000000002</v>
      </c>
      <c r="W12" s="35">
        <f>(S5+S6+S7+S8+S9+S10+S11+S12)/T21</f>
        <v>-0.97471280578098141</v>
      </c>
      <c r="Y12" s="105"/>
    </row>
    <row r="13" spans="2:25" ht="26.4" x14ac:dyDescent="0.25">
      <c r="B13" s="34" t="s">
        <v>8</v>
      </c>
      <c r="C13" s="11">
        <v>60.73</v>
      </c>
      <c r="D13" s="11">
        <v>87.64</v>
      </c>
      <c r="E13" s="23">
        <v>36.21</v>
      </c>
      <c r="F13" s="23">
        <v>30.21</v>
      </c>
      <c r="G13" s="23">
        <v>12504</v>
      </c>
      <c r="H13" s="114">
        <f t="shared" si="0"/>
        <v>2.4160268714011517</v>
      </c>
      <c r="I13" s="102">
        <f t="shared" si="1"/>
        <v>29.0016</v>
      </c>
      <c r="J13" s="102">
        <f t="shared" si="2"/>
        <v>29.0016</v>
      </c>
      <c r="K13" s="23">
        <v>139.93</v>
      </c>
      <c r="L13" s="23">
        <v>49.75</v>
      </c>
      <c r="M13" s="23">
        <v>10456</v>
      </c>
      <c r="N13" s="23"/>
      <c r="O13" s="115" t="s">
        <v>70</v>
      </c>
      <c r="P13" s="110">
        <f t="shared" si="3"/>
        <v>13.382746748278501</v>
      </c>
      <c r="Q13" s="76">
        <f t="shared" si="4"/>
        <v>7.208400000000001</v>
      </c>
      <c r="R13" s="76">
        <f>Q5+Q6+Q7+Q8+Q9+Q10+Q11+Q12+Q13</f>
        <v>109.96</v>
      </c>
      <c r="S13" s="76">
        <f t="shared" si="5"/>
        <v>103.72</v>
      </c>
      <c r="T13" s="74">
        <f t="shared" si="6"/>
        <v>110.9284</v>
      </c>
      <c r="U13" s="74">
        <f>-(S5+S6+S7+S8+S9+S10+S11+S12+S13)</f>
        <v>23.450000000000017</v>
      </c>
      <c r="V13" s="74">
        <f>S5+S6+S7+S8+S9+S10+S11+S12+S13</f>
        <v>-23.450000000000017</v>
      </c>
      <c r="W13" s="35">
        <f>(S5+S6+S7+S8+S9+S10+S11+S12+S13)/T21</f>
        <v>-0.17973590701866815</v>
      </c>
    </row>
    <row r="14" spans="2:25" ht="15" x14ac:dyDescent="0.25">
      <c r="B14" s="34" t="s">
        <v>9</v>
      </c>
      <c r="C14" s="12">
        <v>44.5</v>
      </c>
      <c r="D14" s="103">
        <v>40.01</v>
      </c>
      <c r="E14" s="23">
        <v>35.82</v>
      </c>
      <c r="F14" s="23">
        <v>46.75</v>
      </c>
      <c r="G14" s="23">
        <v>13267</v>
      </c>
      <c r="H14" s="114">
        <f t="shared" si="0"/>
        <v>3.5237808095273988</v>
      </c>
      <c r="I14" s="102">
        <f t="shared" si="1"/>
        <v>44.88</v>
      </c>
      <c r="J14" s="102">
        <f t="shared" si="2"/>
        <v>44.88</v>
      </c>
      <c r="K14" s="23">
        <v>23.79</v>
      </c>
      <c r="L14" s="23">
        <v>47.5</v>
      </c>
      <c r="M14" s="23">
        <v>11657</v>
      </c>
      <c r="N14" s="23"/>
      <c r="O14" s="23"/>
      <c r="P14" s="110">
        <f t="shared" si="3"/>
        <v>2.0408338337479628</v>
      </c>
      <c r="Q14" s="76">
        <f t="shared" si="4"/>
        <v>-9.0600000000000023</v>
      </c>
      <c r="R14" s="76">
        <f>Q5+Q6+Q7+Q8+Q9+Q10+Q11+Q12+Q13+Q14</f>
        <v>100.89999999999999</v>
      </c>
      <c r="S14" s="76">
        <f t="shared" si="5"/>
        <v>-12.030000000000001</v>
      </c>
      <c r="T14" s="74">
        <f t="shared" si="6"/>
        <v>-21.090000000000003</v>
      </c>
      <c r="U14" s="74">
        <f>-(S5+S6+S7+S8+S9+S10+S11+S12+S13+S14)</f>
        <v>35.480000000000018</v>
      </c>
      <c r="V14" s="74">
        <f>S5+S6+S7+S8+S9+S10+S11+S12+S13+S14</f>
        <v>-35.480000000000018</v>
      </c>
      <c r="W14" s="35">
        <f>(S5+S6+S7+S8+S9+S10+S11+S12+S13+S14)/T21</f>
        <v>-0.27194157701587823</v>
      </c>
    </row>
    <row r="15" spans="2:25" ht="15" x14ac:dyDescent="0.25">
      <c r="B15" s="34" t="s">
        <v>10</v>
      </c>
      <c r="C15" s="11">
        <v>39.08</v>
      </c>
      <c r="D15" s="11">
        <v>38.950000000000003</v>
      </c>
      <c r="E15" s="23">
        <v>67.709999999999994</v>
      </c>
      <c r="F15" s="23">
        <v>24.15</v>
      </c>
      <c r="G15" s="23">
        <v>16797</v>
      </c>
      <c r="H15" s="114">
        <f t="shared" si="0"/>
        <v>1.4377567422754063</v>
      </c>
      <c r="I15" s="102">
        <f t="shared" si="1"/>
        <v>23.183999999999997</v>
      </c>
      <c r="J15" s="102">
        <f t="shared" si="2"/>
        <v>23.183999999999997</v>
      </c>
      <c r="K15" s="23">
        <v>28.13</v>
      </c>
      <c r="L15" s="23">
        <v>68.69</v>
      </c>
      <c r="M15" s="23"/>
      <c r="N15" s="23"/>
      <c r="O15" s="23"/>
      <c r="P15" s="110" t="e">
        <f t="shared" si="3"/>
        <v>#DIV/0!</v>
      </c>
      <c r="Q15" s="76">
        <f t="shared" si="4"/>
        <v>44.525999999999996</v>
      </c>
      <c r="R15" s="76">
        <f>Q5+Q6+Q7+Q8+Q9+Q10+Q11+Q12+Q13+Q14+Q15</f>
        <v>145.42599999999999</v>
      </c>
      <c r="S15" s="76">
        <f t="shared" si="5"/>
        <v>-39.58</v>
      </c>
      <c r="T15" s="74">
        <f t="shared" si="6"/>
        <v>4.945999999999998</v>
      </c>
      <c r="U15" s="74">
        <f>-(S5+S6+S7+S8+S9+S10+S11+S12+S13+S14+S15)</f>
        <v>75.060000000000016</v>
      </c>
      <c r="V15" s="74">
        <f>S5+S6+S7+S8+S9+S10+S11+S12+S13+S14+S15</f>
        <v>-75.060000000000016</v>
      </c>
      <c r="W15" s="35">
        <f>(S5+S6+S7+S8+S9+S10+S11+S12+S13+S14+S15)/T21</f>
        <v>-0.57530819534418864</v>
      </c>
    </row>
    <row r="16" spans="2:25" ht="15" x14ac:dyDescent="0.25">
      <c r="B16" s="36" t="s">
        <v>11</v>
      </c>
      <c r="C16" s="11">
        <v>38.57</v>
      </c>
      <c r="D16" s="11">
        <v>20.93</v>
      </c>
      <c r="E16" s="23"/>
      <c r="F16" s="23">
        <v>15.58</v>
      </c>
      <c r="G16" s="23">
        <v>16890</v>
      </c>
      <c r="H16" s="114">
        <f t="shared" si="0"/>
        <v>0.9224393132030787</v>
      </c>
      <c r="I16" s="102">
        <f t="shared" si="1"/>
        <v>14.956799999999999</v>
      </c>
      <c r="J16" s="102">
        <f t="shared" si="2"/>
        <v>14.956799999999999</v>
      </c>
      <c r="K16" s="23">
        <v>29.76</v>
      </c>
      <c r="L16" s="23">
        <v>81.819999999999993</v>
      </c>
      <c r="M16" s="23"/>
      <c r="N16" s="23"/>
      <c r="O16" s="23"/>
      <c r="P16" s="110" t="e">
        <f t="shared" si="3"/>
        <v>#DIV/0!</v>
      </c>
      <c r="Q16" s="76">
        <f t="shared" si="4"/>
        <v>-14.956799999999999</v>
      </c>
      <c r="R16" s="76">
        <f>Q5+Q6+Q7+Q8+Q9+Q10+Q11+Q12+Q13+Q14+Q15+Q16</f>
        <v>130.4692</v>
      </c>
      <c r="S16" s="76">
        <f t="shared" si="5"/>
        <v>29.76</v>
      </c>
      <c r="T16" s="74">
        <f t="shared" si="6"/>
        <v>14.803200000000002</v>
      </c>
      <c r="U16" s="74">
        <f>-(S5+S6+S7+S8+S9+S10+S11+S12+S13+S14+S15+S16)</f>
        <v>45.300000000000011</v>
      </c>
      <c r="V16" s="74">
        <f>S5+S6+S7+S8+S9+S10+S11+S12+S13+S14+S15+S16</f>
        <v>-45.300000000000011</v>
      </c>
      <c r="W16" s="35">
        <f>(S5+S6+S7+S8+S9+S10+S11+S12+S13+S14+S15+S16)/T21</f>
        <v>-0.34720838328126491</v>
      </c>
    </row>
    <row r="17" spans="2:43" s="2" customFormat="1" ht="13.8" thickBot="1" x14ac:dyDescent="0.3">
      <c r="B17" s="37" t="s">
        <v>16</v>
      </c>
      <c r="C17" s="62">
        <f>SUM(C5:C16)</f>
        <v>680.75000000000011</v>
      </c>
      <c r="D17" s="38">
        <f>SUM(D5:D16)</f>
        <v>505.45999999999992</v>
      </c>
      <c r="E17" s="38">
        <f>SUM(E5:E16)</f>
        <v>486.84999999999997</v>
      </c>
      <c r="F17" s="38"/>
      <c r="G17" s="38">
        <f>SUM(G5:G16)</f>
        <v>142622</v>
      </c>
      <c r="H17" s="113">
        <f>SUM(H5:H16)</f>
        <v>35.654709087673126</v>
      </c>
      <c r="I17" s="38">
        <f>SUM(I5:I16)</f>
        <v>356.38079999999997</v>
      </c>
      <c r="J17" s="38">
        <f>SUM(J5:J16)</f>
        <v>356.38079999999997</v>
      </c>
      <c r="K17" s="38">
        <f>SUM(K5:K16)</f>
        <v>441.55</v>
      </c>
      <c r="L17" s="38"/>
      <c r="M17" s="38"/>
      <c r="N17" s="38"/>
      <c r="O17" s="38"/>
      <c r="P17" s="109" t="e">
        <f>SUM(P5:P16)</f>
        <v>#DIV/0!</v>
      </c>
      <c r="Q17" s="75">
        <f>SUM(Q5:Q16)</f>
        <v>130.4692</v>
      </c>
      <c r="R17" s="75"/>
      <c r="S17" s="75">
        <f>SUM(S5:S16)</f>
        <v>-45.300000000000011</v>
      </c>
      <c r="T17" s="75">
        <f>SUM(T5:T16)</f>
        <v>85.169199999999989</v>
      </c>
      <c r="U17" s="75"/>
      <c r="V17" s="75">
        <f>SUM(V5:V16)</f>
        <v>-915.57000000000039</v>
      </c>
      <c r="W17" s="39"/>
    </row>
    <row r="18" spans="2:43" ht="6" customHeight="1" thickBot="1" x14ac:dyDescent="0.3"/>
    <row r="19" spans="2:43" ht="31.5" customHeight="1" thickBot="1" x14ac:dyDescent="0.3">
      <c r="B19" s="135" t="s">
        <v>20</v>
      </c>
      <c r="C19" s="136"/>
      <c r="D19" s="136"/>
      <c r="E19" s="136"/>
      <c r="F19" s="136"/>
      <c r="G19" s="136"/>
      <c r="H19" s="136"/>
      <c r="I19" s="136"/>
      <c r="J19" s="136"/>
      <c r="K19" s="136"/>
      <c r="L19" s="97"/>
      <c r="M19" s="97"/>
      <c r="N19" s="97"/>
      <c r="O19" s="24"/>
      <c r="P19" s="24"/>
      <c r="Q19" s="41">
        <f>W13</f>
        <v>-0.17973590701866815</v>
      </c>
      <c r="R19" s="133" t="s">
        <v>26</v>
      </c>
      <c r="S19" s="133"/>
      <c r="T19" s="133"/>
      <c r="U19" s="134"/>
    </row>
    <row r="20" spans="2:43" ht="6" customHeight="1" thickBot="1" x14ac:dyDescent="0.3">
      <c r="U20" s="5"/>
    </row>
    <row r="21" spans="2:43" ht="18.75" customHeight="1" thickBot="1" x14ac:dyDescent="0.3">
      <c r="D21" s="137" t="s">
        <v>69</v>
      </c>
      <c r="E21" s="138"/>
      <c r="F21" s="138"/>
      <c r="G21" s="138"/>
      <c r="H21" s="138"/>
      <c r="I21" s="138"/>
      <c r="J21" s="138"/>
      <c r="K21" s="138"/>
      <c r="L21" s="138"/>
      <c r="M21" s="138"/>
      <c r="N21" s="138"/>
      <c r="O21" s="138"/>
      <c r="P21" s="138"/>
      <c r="Q21" s="138"/>
      <c r="R21" s="138"/>
      <c r="S21" s="98"/>
      <c r="T21" s="40">
        <f>E17-I17</f>
        <v>130.4692</v>
      </c>
      <c r="U21" s="20"/>
    </row>
    <row r="22" spans="2:43" ht="7.5" customHeight="1" thickBot="1" x14ac:dyDescent="0.3">
      <c r="B22" s="16"/>
      <c r="C22" s="16"/>
      <c r="D22" s="16"/>
      <c r="E22" s="17"/>
      <c r="F22" s="17"/>
      <c r="G22" s="17"/>
      <c r="H22" s="17"/>
    </row>
    <row r="23" spans="2:43" x14ac:dyDescent="0.25">
      <c r="B23" s="16"/>
      <c r="C23" s="16"/>
      <c r="D23" s="18"/>
      <c r="E23" s="42" t="s">
        <v>21</v>
      </c>
      <c r="F23" s="44"/>
      <c r="G23" s="44"/>
      <c r="H23" s="44"/>
      <c r="I23" s="43"/>
      <c r="J23" s="43"/>
      <c r="K23" s="44">
        <v>4</v>
      </c>
      <c r="L23" s="44"/>
      <c r="M23" s="44"/>
      <c r="N23" s="44"/>
      <c r="O23" s="45"/>
      <c r="P23" s="45"/>
      <c r="Q23" s="46"/>
      <c r="R23" s="47"/>
      <c r="S23" s="54"/>
    </row>
    <row r="24" spans="2:43" x14ac:dyDescent="0.25">
      <c r="B24" s="16"/>
      <c r="C24" s="16"/>
      <c r="D24" s="18"/>
      <c r="E24" s="48" t="s">
        <v>25</v>
      </c>
      <c r="F24" s="68"/>
      <c r="G24" s="68"/>
      <c r="H24" s="68"/>
      <c r="I24" s="49"/>
      <c r="J24" s="49"/>
      <c r="K24" s="77">
        <f>SUM(F5:F13)</f>
        <v>284.75</v>
      </c>
      <c r="L24" s="77"/>
      <c r="M24" s="65" t="s">
        <v>22</v>
      </c>
      <c r="N24" s="65"/>
      <c r="O24" s="67" t="s">
        <v>27</v>
      </c>
      <c r="P24" s="67"/>
      <c r="Q24" s="101"/>
      <c r="R24" s="51"/>
      <c r="S24" s="54"/>
    </row>
    <row r="25" spans="2:43" x14ac:dyDescent="0.25">
      <c r="B25" s="16"/>
      <c r="C25" s="16"/>
      <c r="D25" s="18"/>
      <c r="E25" s="48" t="s">
        <v>34</v>
      </c>
      <c r="F25" s="68"/>
      <c r="G25" s="68"/>
      <c r="H25" s="68"/>
      <c r="I25" s="49"/>
      <c r="J25" s="49"/>
      <c r="K25" s="77">
        <f>SUM(K5:K13)</f>
        <v>359.87</v>
      </c>
      <c r="L25" s="77"/>
      <c r="M25" s="65" t="s">
        <v>22</v>
      </c>
      <c r="N25" s="65"/>
      <c r="O25" s="67" t="s">
        <v>27</v>
      </c>
      <c r="P25" s="67"/>
      <c r="Q25" s="101"/>
      <c r="R25" s="51"/>
      <c r="S25" s="54"/>
    </row>
    <row r="26" spans="2:43" x14ac:dyDescent="0.25">
      <c r="B26" s="16"/>
      <c r="C26" s="16"/>
      <c r="D26" s="18"/>
      <c r="E26" s="52" t="s">
        <v>23</v>
      </c>
      <c r="F26" s="69"/>
      <c r="G26" s="69"/>
      <c r="H26" s="69"/>
      <c r="I26" s="53"/>
      <c r="J26" s="53"/>
      <c r="K26" s="50">
        <f>K24-K25</f>
        <v>-75.12</v>
      </c>
      <c r="L26" s="50"/>
      <c r="M26" s="50"/>
      <c r="N26" s="50"/>
      <c r="O26" s="54"/>
      <c r="P26" s="54"/>
      <c r="Q26" s="54"/>
      <c r="R26" s="51"/>
      <c r="S26" s="54"/>
    </row>
    <row r="27" spans="2:43" ht="13.8" thickBot="1" x14ac:dyDescent="0.3">
      <c r="B27" s="16"/>
      <c r="C27" s="16"/>
      <c r="D27" s="18"/>
      <c r="E27" s="55" t="s">
        <v>24</v>
      </c>
      <c r="F27" s="70"/>
      <c r="G27" s="70"/>
      <c r="H27" s="70"/>
      <c r="I27" s="56"/>
      <c r="J27" s="56"/>
      <c r="K27" s="57">
        <f>K26/K24</f>
        <v>-0.2638103599648815</v>
      </c>
      <c r="L27" s="57"/>
      <c r="M27" s="57"/>
      <c r="N27" s="57"/>
      <c r="O27" s="58"/>
      <c r="P27" s="58"/>
      <c r="Q27" s="58"/>
      <c r="R27" s="59"/>
      <c r="S27" s="54"/>
    </row>
    <row r="28" spans="2:43" x14ac:dyDescent="0.25">
      <c r="B28" s="16"/>
      <c r="C28" s="16"/>
      <c r="D28" s="18"/>
      <c r="E28" s="9"/>
      <c r="F28" s="9"/>
      <c r="G28" s="9"/>
      <c r="H28" s="9"/>
      <c r="I28" s="18"/>
      <c r="J28" s="18"/>
      <c r="K28" s="1"/>
      <c r="L28" s="1"/>
      <c r="M28" s="1"/>
      <c r="N28" s="1"/>
    </row>
    <row r="29" spans="2:43" x14ac:dyDescent="0.25">
      <c r="B29" s="16"/>
      <c r="C29" s="16"/>
      <c r="D29" s="19"/>
      <c r="E29" s="9"/>
      <c r="F29" s="9"/>
      <c r="G29" s="9"/>
      <c r="H29" s="9"/>
      <c r="I29" s="18"/>
      <c r="J29" s="18"/>
      <c r="K29" s="1"/>
      <c r="L29" s="1"/>
      <c r="M29" s="1"/>
      <c r="N29" s="81" t="s">
        <v>48</v>
      </c>
    </row>
    <row r="30" spans="2:43" ht="13.8" x14ac:dyDescent="0.25">
      <c r="B30" s="16"/>
      <c r="C30" s="71"/>
      <c r="D30" s="72"/>
      <c r="E30" s="72"/>
      <c r="F30" s="72"/>
      <c r="G30" s="71"/>
      <c r="H30" s="71"/>
      <c r="I30" s="72"/>
      <c r="J30" s="72"/>
      <c r="K30" s="72"/>
      <c r="L30" s="72"/>
      <c r="M30" s="71"/>
      <c r="N30" s="80" t="s">
        <v>47</v>
      </c>
      <c r="O30" s="72"/>
      <c r="P30" s="72"/>
      <c r="Q30" s="72"/>
      <c r="R30" s="71"/>
      <c r="S30" s="71"/>
      <c r="T30" s="72"/>
      <c r="U30" s="72"/>
      <c r="V30" s="71"/>
      <c r="W30" s="72"/>
      <c r="X30" s="72"/>
      <c r="Y30" s="72"/>
      <c r="Z30" s="71"/>
      <c r="AA30" s="72"/>
      <c r="AB30" s="72"/>
      <c r="AC30" s="72"/>
      <c r="AD30" s="72"/>
      <c r="AE30" s="72"/>
      <c r="AF30" s="72"/>
      <c r="AG30" s="72"/>
      <c r="AH30" s="72"/>
      <c r="AI30" s="72"/>
      <c r="AJ30" s="72"/>
      <c r="AK30" s="72"/>
      <c r="AL30" s="72"/>
      <c r="AM30" s="72"/>
      <c r="AN30" s="72"/>
      <c r="AO30" s="72"/>
      <c r="AP30" s="72"/>
      <c r="AQ30" s="72"/>
    </row>
    <row r="31" spans="2:43" x14ac:dyDescent="0.25">
      <c r="B31" s="16"/>
      <c r="C31" s="16"/>
      <c r="D31" s="18"/>
      <c r="E31" s="9"/>
      <c r="F31" s="9"/>
      <c r="G31" s="9"/>
      <c r="H31" s="9"/>
      <c r="I31" s="100"/>
      <c r="J31" s="100"/>
      <c r="K31" s="1"/>
      <c r="L31" s="1"/>
      <c r="M31" s="1"/>
      <c r="N31" s="81" t="s">
        <v>46</v>
      </c>
    </row>
    <row r="32" spans="2:43" x14ac:dyDescent="0.25">
      <c r="B32" s="16"/>
      <c r="C32" s="16"/>
      <c r="D32" s="18"/>
      <c r="E32" s="9"/>
      <c r="F32" s="9"/>
      <c r="G32" s="9"/>
      <c r="H32" s="9"/>
      <c r="I32" s="18"/>
      <c r="J32" s="18"/>
      <c r="K32" s="1"/>
      <c r="L32" s="1"/>
      <c r="M32" s="1"/>
      <c r="N32" s="82" t="s">
        <v>43</v>
      </c>
    </row>
    <row r="33" spans="2:14" x14ac:dyDescent="0.25">
      <c r="B33" s="16"/>
      <c r="C33" s="16"/>
      <c r="D33" s="9"/>
      <c r="E33" s="9"/>
      <c r="F33" s="9"/>
      <c r="G33" s="9"/>
      <c r="H33" s="9"/>
      <c r="I33" s="1"/>
      <c r="J33" s="1"/>
      <c r="K33" s="1"/>
      <c r="L33" s="1"/>
      <c r="M33" s="1"/>
      <c r="N33" s="1"/>
    </row>
  </sheetData>
  <mergeCells count="4">
    <mergeCell ref="B2:U2"/>
    <mergeCell ref="R19:U19"/>
    <mergeCell ref="B19:K19"/>
    <mergeCell ref="D21:R21"/>
  </mergeCells>
  <dataValidations count="1">
    <dataValidation type="list" allowBlank="1" showInputMessage="1" showErrorMessage="1" sqref="N5:N16">
      <formula1>$N$29:$N$32</formula1>
    </dataValidation>
  </dataValidation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Glascoed Munitions Factory</Site_x0020_Name>
    <Internal_x002f_External xmlns="859f7ad6-93f6-4205-b62b-a17f28acbbac">Incoming document</Internal_x002f_External>
    <Document_x0020_Type xmlns="859f7ad6-93f6-4205-b62b-a17f28acbbac">Form/Proforma</Document_x0020_Type>
    <Welsh_x0020_Local_x0020_Authority xmlns="859f7ad6-93f6-4205-b62b-a17f28acbbac">Monmouthshire CC</Welsh_x0020_Local_x0020_Authority>
    <Disclosure_x0020_Status xmlns="859f7ad6-93f6-4205-b62b-a17f28acbbac">Public register</Disclosure_x0020_Status>
    <Addressee xmlns="859f7ad6-93f6-4205-b62b-a17f28acbbac">Warwick House, PO BOx 87, Farnborough Aerospace Centre, Farnborough, Hampshire GU14 6YU </Addressee>
    <Process_x0020_Type xmlns="859f7ad6-93f6-4205-b62b-a17f28acbbac">Compliance</Process_x0020_Type>
    <License_x002f_Activity_x0020_Type xmlns="859f7ad6-93f6-4205-b62b-a17f28acbbac">3. EPR Regulated Industry</License_x002f_Activity_x0020_Type>
    <Document_x0020_Date xmlns="859f7ad6-93f6-4205-b62b-a17f28acbbac">2016-03-15T00:00:00+00:00</Document_x0020_Date>
    <Facility_x0020_Address xmlns="859f7ad6-93f6-4205-b62b-a17f28acbbac">Glascoed, Usk, Monmouthshire NP15 1XL</Facility_x0020_Address>
    <Environment_x0020_Sub_x0020_Folder xmlns="859f7ad6-93f6-4205-b62b-a17f28acbbac">Licence supervision</Environment_x0020_Sub_x0020_Folder>
    <Customer_x0020_Name xmlns="859f7ad6-93f6-4205-b62b-a17f28acbbac">BAE Systems Land Systems (Munitions and Ordnance) Ltd acting under the trading name of BAE Systems Land (UK)</Customer_x0020_Name>
    <Surrendered_x002f_Expired xmlns="859f7ad6-93f6-4205-b62b-a17f28acbbac" xsi:nil="true"/>
    <Post_x0020_code xmlns="859f7ad6-93f6-4205-b62b-a17f28acbbac">NP15 1XL</Post_x0020_code>
    <Surrendered_x002f_Expired_x0020_Date xmlns="859f7ad6-93f6-4205-b62b-a17f28acbbac" xsi:nil="true"/>
    <_dlc_DocId xmlns="9be56660-2c31-41ef-bc00-23e72f632f2a">REGU-386-12462</_dlc_DocId>
    <_dlc_DocIdUrl xmlns="9be56660-2c31-41ef-bc00-23e72f632f2a">
      <Url>https://cyfoethnaturiolcymru.sharepoint.com/teams/Regulatory/Permitting/_layouts/15/DocIdRedir.aspx?ID=REGU-386-12462</Url>
      <Description>REGU-386-12462</Description>
    </_dlc_DocIdUrl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AE6C253E6AC9944EAB397828DB234ACA" ma:contentTypeVersion="771" ma:contentTypeDescription="Permitting &amp; Compliance Excel Document" ma:contentTypeScope="" ma:versionID="4578bad82673d9d9303eb493f31c8b7a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targetNamespace="http://schemas.microsoft.com/office/2006/metadata/properties" ma:root="true" ma:fieldsID="239d702eee03ee8c2bd94faf93946083" ns2:_="" ns4:_="" ns5:_="">
    <xsd:import namespace="859f7ad6-93f6-4205-b62b-a17f28acbbac"/>
    <xsd:import namespace="005db27c-c37f-4c3b-898d-3fee1249b08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5:_dlc_DocId" minOccurs="0"/>
                <xsd:element ref="ns5:_dlc_DocIdUrl" minOccurs="0"/>
                <xsd:element ref="ns5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6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AFF487A7-2F2F-4F66-927E-48B30A5AED82}">
  <ds:schemaRefs>
    <ds:schemaRef ds:uri="http://purl.org/dc/elements/1.1/"/>
    <ds:schemaRef ds:uri="c5dc1146-186d-4656-bf78-08ad8eaa07fc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sharepoint/v3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cdb461a0-7479-431a-aff8-32582ad0a235"/>
    <ds:schemaRef ds:uri="590f49ed-8d5d-4f10-9703-db5fb8dde4be"/>
    <ds:schemaRef ds:uri="C5DC1146-186D-4656-BF78-08AD8EAA07FC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4B34BBA9-5B81-40A3-8945-C84C099CEF1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9177080-3C69-4DD3-BE84-67262F73DD91}"/>
</file>

<file path=customXml/itemProps4.xml><?xml version="1.0" encoding="utf-8"?>
<ds:datastoreItem xmlns:ds="http://schemas.openxmlformats.org/officeDocument/2006/customXml" ds:itemID="{1E6C66BB-3401-44BB-B0C2-18F488EF3FD5}"/>
</file>

<file path=customXml/itemProps5.xml><?xml version="1.0" encoding="utf-8"?>
<ds:datastoreItem xmlns:ds="http://schemas.openxmlformats.org/officeDocument/2006/customXml" ds:itemID="{0588530A-E468-49C6-8F00-11BCA68A7F8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Gas Chart</vt:lpstr>
      <vt:lpstr>Gas Data</vt:lpstr>
      <vt:lpstr>Electricity Charts</vt:lpstr>
      <vt:lpstr>Electricity Data</vt:lpstr>
      <vt:lpstr>D Water Chart</vt:lpstr>
      <vt:lpstr>D Water Data</vt:lpstr>
      <vt:lpstr>Waste Charts</vt:lpstr>
      <vt:lpstr>Waste Data</vt:lpstr>
    </vt:vector>
  </TitlesOfParts>
  <Company>BAE SYSTEMS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Annual 2015 PC 4.2.1b-EMS Targets and objectives</dc:title>
  <dc:creator>BAE</dc:creator>
  <cp:keywords>Glascoed Gas Graphs and data</cp:keywords>
  <cp:lastModifiedBy>Parr, Elizabeth</cp:lastModifiedBy>
  <cp:lastPrinted>2014-08-08T10:02:50Z</cp:lastPrinted>
  <dcterms:created xsi:type="dcterms:W3CDTF">2011-03-29T09:38:52Z</dcterms:created>
  <dcterms:modified xsi:type="dcterms:W3CDTF">2016-04-04T08:36:00Z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0x01010067EB80C5FE939D4A9B3D8BA62129B7F5020200AE6C253E6AC9944EAB397828DB234ACA</vt:lpwstr>
  </property>
  <property fmtid="{D5CDD505-2E9C-101B-9397-08002B2CF9AE}" pid="3" name="_dlc_DocIdItemGuid">
    <vt:lpwstr>c410f678-dcf6-41f7-9b65-06841d532bd5</vt:lpwstr>
  </property>
  <property fmtid="{D5CDD505-2E9C-101B-9397-08002B2CF9AE}" pid="4" name="TaxKeyword">
    <vt:lpwstr>2692;#Glascoed Gas Graphs and data|9d1a64f1-3a8b-47d9-ba7f-9824110e1574</vt:lpwstr>
  </property>
  <property fmtid="{D5CDD505-2E9C-101B-9397-08002B2CF9AE}" pid="5" name="Document Type">
    <vt:lpwstr>446;#Energy|877bbe0a-507a-4151-91f7-52cb610832a0</vt:lpwstr>
  </property>
  <property fmtid="{D5CDD505-2E9C-101B-9397-08002B2CF9AE}" pid="6" name="_docset_NoMedatataSyncRequired">
    <vt:lpwstr>False</vt:lpwstr>
  </property>
  <property fmtid="{D5CDD505-2E9C-101B-9397-08002B2CF9AE}" pid="7" name="_dlc_DocId">
    <vt:lpwstr>REGU-386-12462</vt:lpwstr>
  </property>
  <property fmtid="{D5CDD505-2E9C-101B-9397-08002B2CF9AE}" pid="8" name="_dlc_DocIdUrl">
    <vt:lpwstr>https://cyfoethnaturiolcymru.sharepoint.com/teams/Regulatory/Permitting/_layouts/15/DocIdRedir.aspx?ID=REGU-386-12462, REGU-386-12462</vt:lpwstr>
  </property>
</Properties>
</file>