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drawings/drawing2.xml" ContentType="application/vnd.openxmlformats-officedocument.drawingml.chartshapes+xml"/>
  <Override PartName="/xl/drawings/drawing4.xml" ContentType="application/vnd.openxmlformats-officedocument.drawingml.chartshapes+xml"/>
  <Override PartName="/xl/drawings/drawing3.xml" ContentType="application/vnd.openxmlformats-officedocument.drawingml.chartshapes+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drawings/drawing1.xml" ContentType="application/vnd.openxmlformats-officedocument.drawing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customXml/itemProps1.xml" ContentType="application/vnd.openxmlformats-officedocument.customXmlProperties+xml"/>
  <Override PartName="/xl/comments1.xml" ContentType="application/vnd.openxmlformats-officedocument.spreadsheetml.comment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BAE Systems Global Combat Systems Munitions Ltd LP3731SU/"/>
    </mc:Choice>
  </mc:AlternateContent>
  <bookViews>
    <workbookView xWindow="0" yWindow="0" windowWidth="20160" windowHeight="8472" tabRatio="288"/>
  </bookViews>
  <sheets>
    <sheet name="D Water Chart" sheetId="5" r:id="rId1"/>
    <sheet name="D Water Data" sheetId="6" r:id="rId2"/>
    <sheet name="Sheet1" sheetId="7" r:id="rId3"/>
  </sheets>
  <calcPr calcId="152511"/>
</workbook>
</file>

<file path=xl/calcChain.xml><?xml version="1.0" encoding="utf-8"?>
<calcChain xmlns="http://schemas.openxmlformats.org/spreadsheetml/2006/main">
  <c r="I24" i="6" l="1"/>
  <c r="I25" i="6"/>
  <c r="H16" i="6" l="1"/>
  <c r="H15" i="6"/>
  <c r="H14" i="6"/>
  <c r="H13" i="6"/>
  <c r="H12" i="6"/>
  <c r="H11" i="6"/>
  <c r="H10" i="6"/>
  <c r="H9" i="6"/>
  <c r="H8" i="6"/>
  <c r="H7" i="6"/>
  <c r="H6" i="6"/>
  <c r="H5" i="6"/>
  <c r="M6" i="6" l="1"/>
  <c r="M7" i="6"/>
  <c r="M8" i="6"/>
  <c r="M9" i="6"/>
  <c r="M10" i="6"/>
  <c r="M11" i="6"/>
  <c r="M12" i="6"/>
  <c r="M13" i="6"/>
  <c r="M14" i="6"/>
  <c r="M15" i="6"/>
  <c r="M16" i="6"/>
  <c r="M5" i="6"/>
  <c r="G6" i="6"/>
  <c r="G7" i="6"/>
  <c r="G8" i="6"/>
  <c r="G9" i="6"/>
  <c r="G10" i="6"/>
  <c r="G11" i="6"/>
  <c r="G12" i="6"/>
  <c r="G13" i="6"/>
  <c r="G14" i="6"/>
  <c r="G15" i="6"/>
  <c r="G16" i="6"/>
  <c r="G5" i="6"/>
  <c r="G17" i="6" l="1"/>
  <c r="M17" i="6"/>
  <c r="F17" i="6"/>
  <c r="E17" i="6" l="1"/>
  <c r="C17" i="6"/>
  <c r="I26" i="6" l="1"/>
  <c r="I27" i="6" l="1"/>
  <c r="G32" i="5" s="1"/>
  <c r="N6" i="6"/>
  <c r="N7" i="6"/>
  <c r="N8" i="6"/>
  <c r="N9" i="6"/>
  <c r="N10" i="6"/>
  <c r="N11" i="6"/>
  <c r="N12" i="6"/>
  <c r="N13" i="6"/>
  <c r="N14" i="6"/>
  <c r="N15" i="6"/>
  <c r="N16" i="6"/>
  <c r="P16" i="6"/>
  <c r="I17" i="6"/>
  <c r="P14" i="6"/>
  <c r="P12" i="6"/>
  <c r="P10" i="6"/>
  <c r="P8" i="6"/>
  <c r="D17" i="6"/>
  <c r="P6" i="6"/>
  <c r="P7" i="6"/>
  <c r="P9" i="6"/>
  <c r="P11" i="6"/>
  <c r="P13" i="6"/>
  <c r="P15" i="6"/>
  <c r="P5" i="6"/>
  <c r="R5" i="6" s="1"/>
  <c r="N5" i="6"/>
  <c r="R6" i="6" l="1"/>
  <c r="O14" i="6"/>
  <c r="O10" i="6"/>
  <c r="O6" i="6"/>
  <c r="O13" i="6"/>
  <c r="O9" i="6"/>
  <c r="O5" i="6"/>
  <c r="O16" i="6"/>
  <c r="O12" i="6"/>
  <c r="O8" i="6"/>
  <c r="O15" i="6"/>
  <c r="O11" i="6"/>
  <c r="O7" i="6"/>
  <c r="R8" i="6"/>
  <c r="R7" i="6"/>
  <c r="R14" i="6"/>
  <c r="R10" i="6"/>
  <c r="R13" i="6"/>
  <c r="R9" i="6"/>
  <c r="R16" i="6"/>
  <c r="R12" i="6"/>
  <c r="R15" i="6"/>
  <c r="R11" i="6"/>
  <c r="Q5" i="6"/>
  <c r="Q6" i="6"/>
  <c r="Q7" i="6"/>
  <c r="S12" i="6"/>
  <c r="Q13" i="6"/>
  <c r="Q10" i="6"/>
  <c r="Q16" i="6"/>
  <c r="S6" i="6"/>
  <c r="S8" i="6"/>
  <c r="S10" i="6"/>
  <c r="S14" i="6"/>
  <c r="S16" i="6"/>
  <c r="Q15" i="6"/>
  <c r="Q11" i="6"/>
  <c r="Q8" i="6"/>
  <c r="Q12" i="6"/>
  <c r="S5" i="6"/>
  <c r="S7" i="6"/>
  <c r="S9" i="6"/>
  <c r="S11" i="6"/>
  <c r="S13" i="6"/>
  <c r="S15" i="6"/>
  <c r="Q9" i="6"/>
  <c r="Q14" i="6"/>
  <c r="D32" i="5"/>
  <c r="H17" i="6"/>
  <c r="Q21" i="6" l="1"/>
  <c r="T7" i="6" s="1"/>
  <c r="N17" i="6"/>
  <c r="P17" i="6"/>
  <c r="T13" i="6" l="1"/>
  <c r="T15" i="6"/>
  <c r="N19" i="6" s="1"/>
  <c r="T6" i="6"/>
  <c r="T10" i="6"/>
  <c r="T11" i="6"/>
  <c r="T9" i="6"/>
  <c r="T12" i="6"/>
  <c r="T8" i="6"/>
  <c r="T5" i="6"/>
  <c r="T16" i="6"/>
  <c r="T14" i="6"/>
  <c r="Q17" i="6"/>
  <c r="S17" i="6" l="1"/>
</calcChain>
</file>

<file path=xl/comments1.xml><?xml version="1.0" encoding="utf-8"?>
<comments xmlns="http://schemas.openxmlformats.org/spreadsheetml/2006/main">
  <authors>
    <author>Wyatt, Lee (UK)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Wyatt, Lee (UK):</t>
        </r>
        <r>
          <rPr>
            <sz val="9"/>
            <color indexed="81"/>
            <rFont val="Tahoma"/>
            <family val="2"/>
          </rPr>
          <t xml:space="preserve">
NATO Security/Showers</t>
        </r>
      </text>
    </comment>
  </commentList>
</comments>
</file>

<file path=xl/sharedStrings.xml><?xml version="1.0" encoding="utf-8"?>
<sst xmlns="http://schemas.openxmlformats.org/spreadsheetml/2006/main" count="48" uniqueCount="46">
  <si>
    <t>Jan</t>
  </si>
  <si>
    <t>Feb</t>
  </si>
  <si>
    <t>Mar</t>
  </si>
  <si>
    <t>April</t>
  </si>
  <si>
    <t>May</t>
  </si>
  <si>
    <t>June</t>
  </si>
  <si>
    <t>July</t>
  </si>
  <si>
    <t>Aug</t>
  </si>
  <si>
    <t>Sept</t>
  </si>
  <si>
    <t>Oct</t>
  </si>
  <si>
    <t>Nov</t>
  </si>
  <si>
    <t>Dec</t>
  </si>
  <si>
    <t>Actual 2011</t>
  </si>
  <si>
    <t>Month</t>
  </si>
  <si>
    <t>Actual 2012</t>
  </si>
  <si>
    <t>Totals</t>
  </si>
  <si>
    <t>YTD % Achievement to Target</t>
  </si>
  <si>
    <t>Actual 2013</t>
  </si>
  <si>
    <t>Target YTD Achievement (%)</t>
  </si>
  <si>
    <t>Target %</t>
  </si>
  <si>
    <t>&lt;&lt;&lt;&lt;&lt;</t>
  </si>
  <si>
    <t>Difference YTD</t>
  </si>
  <si>
    <t>Percentage</t>
  </si>
  <si>
    <t>Actual 2014</t>
  </si>
  <si>
    <t>&lt;&lt;&lt;&lt;&lt;&lt; Change to current row</t>
  </si>
  <si>
    <t>Alter these for current row / month data….</t>
  </si>
  <si>
    <t>Actual Standard Hours for 2013</t>
  </si>
  <si>
    <t>Actual Productive Hours 2014</t>
  </si>
  <si>
    <t>m3 per Standard Hour Booked 2014</t>
  </si>
  <si>
    <t>Cumulative Target Saving (m3)</t>
  </si>
  <si>
    <t>Month Deviation from Target (m3)</t>
  </si>
  <si>
    <t>In Month Gap Cumulative (m3)</t>
  </si>
  <si>
    <t>Cumulative Difference YTD m3</t>
  </si>
  <si>
    <t>Target Saving for 2014  (m3)</t>
  </si>
  <si>
    <t>Domestic Water 2014</t>
  </si>
  <si>
    <t>Target 2014 (5%)</t>
  </si>
  <si>
    <t>m3 per Standard Hour Booked 2013</t>
  </si>
  <si>
    <t>Actual Difference vs 2013 (m3)</t>
  </si>
  <si>
    <t>Target Savings (m3)</t>
  </si>
  <si>
    <t>Actual 2014 (m3)</t>
  </si>
  <si>
    <t>Reason for Variance</t>
  </si>
  <si>
    <t>Production Variance</t>
  </si>
  <si>
    <t>Organisational Variance</t>
  </si>
  <si>
    <t>Climatic Variance</t>
  </si>
  <si>
    <t>Other (Please Comment)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</si>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</sst>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mmm\ yyyy"/>
    <numFmt numFmtId="166" formatCode="#,##0.000"/>
  </numFmts>
  <fonts count="24" x14ac:knownFonts="1">
    <font>
      <sz val="10"/>
      <name val="Arial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26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7FCB6"/>
        <bgColor indexed="64"/>
      </patternFill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3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Border="1"/>
    <xf numFmtId="0" fontId="0" fillId="0" borderId="0" xfId="0" applyAlignment="1">
      <alignment horizontal="center" vertical="center"/>
    </xf>
    <xf numFmtId="3" fontId="10" fillId="0" borderId="1" xfId="0" applyNumberFormat="1" applyFont="1" applyBorder="1" applyAlignment="1">
      <alignment horizontal="center"/>
    </xf>
    <xf numFmtId="4" fontId="10" fillId="0" borderId="0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4" fontId="2" fillId="0" borderId="0" xfId="0" applyNumberFormat="1" applyFont="1" applyFill="1" applyBorder="1" applyAlignment="1">
      <alignment vertical="center"/>
    </xf>
    <xf numFmtId="0" fontId="0" fillId="0" borderId="0" xfId="0" applyFill="1" applyBorder="1"/>
    <xf numFmtId="0" fontId="6" fillId="0" borderId="0" xfId="0" applyFont="1"/>
    <xf numFmtId="164" fontId="5" fillId="0" borderId="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 vertical="center" wrapText="1"/>
    </xf>
    <xf numFmtId="3" fontId="10" fillId="0" borderId="0" xfId="0" applyNumberFormat="1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3" fontId="1" fillId="0" borderId="0" xfId="0" applyNumberFormat="1" applyFont="1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/>
    </xf>
    <xf numFmtId="9" fontId="0" fillId="0" borderId="0" xfId="0" applyNumberFormat="1"/>
    <xf numFmtId="3" fontId="10" fillId="6" borderId="1" xfId="0" applyNumberFormat="1" applyFont="1" applyFill="1" applyBorder="1" applyAlignment="1">
      <alignment horizontal="center"/>
    </xf>
    <xf numFmtId="3" fontId="10" fillId="6" borderId="1" xfId="0" applyNumberFormat="1" applyFont="1" applyFill="1" applyBorder="1" applyAlignment="1">
      <alignment horizontal="center" vertical="center" wrapText="1"/>
    </xf>
    <xf numFmtId="3" fontId="0" fillId="9" borderId="1" xfId="0" applyNumberFormat="1" applyFill="1" applyBorder="1" applyAlignment="1">
      <alignment horizontal="center" vertical="center"/>
    </xf>
    <xf numFmtId="0" fontId="5" fillId="9" borderId="3" xfId="0" applyFont="1" applyFill="1" applyBorder="1" applyAlignment="1">
      <alignment vertical="center"/>
    </xf>
    <xf numFmtId="0" fontId="7" fillId="4" borderId="13" xfId="0" applyFont="1" applyFill="1" applyBorder="1" applyAlignment="1">
      <alignment horizontal="center" vertical="center"/>
    </xf>
    <xf numFmtId="3" fontId="9" fillId="4" borderId="14" xfId="0" applyNumberFormat="1" applyFont="1" applyFill="1" applyBorder="1" applyAlignment="1">
      <alignment horizontal="center" vertical="center" wrapText="1"/>
    </xf>
    <xf numFmtId="0" fontId="9" fillId="4" borderId="14" xfId="0" applyNumberFormat="1" applyFont="1" applyFill="1" applyBorder="1" applyAlignment="1">
      <alignment horizontal="center" vertical="center" wrapText="1"/>
    </xf>
    <xf numFmtId="0" fontId="9" fillId="2" borderId="14" xfId="0" applyNumberFormat="1" applyFont="1" applyFill="1" applyBorder="1" applyAlignment="1">
      <alignment horizontal="center" vertical="center" wrapText="1"/>
    </xf>
    <xf numFmtId="0" fontId="5" fillId="5" borderId="14" xfId="0" applyNumberFormat="1" applyFont="1" applyFill="1" applyBorder="1" applyAlignment="1">
      <alignment horizontal="center" vertical="center" wrapText="1"/>
    </xf>
    <xf numFmtId="0" fontId="9" fillId="8" borderId="14" xfId="0" applyNumberFormat="1" applyFont="1" applyFill="1" applyBorder="1" applyAlignment="1">
      <alignment horizontal="center" vertical="center" wrapText="1"/>
    </xf>
    <xf numFmtId="0" fontId="7" fillId="8" borderId="14" xfId="0" applyNumberFormat="1" applyFont="1" applyFill="1" applyBorder="1" applyAlignment="1">
      <alignment horizontal="center" vertical="center" wrapText="1"/>
    </xf>
    <xf numFmtId="3" fontId="7" fillId="4" borderId="14" xfId="0" applyNumberFormat="1" applyFont="1" applyFill="1" applyBorder="1" applyAlignment="1">
      <alignment horizontal="center" vertical="center" wrapText="1"/>
    </xf>
    <xf numFmtId="3" fontId="9" fillId="4" borderId="15" xfId="0" applyNumberFormat="1" applyFont="1" applyFill="1" applyBorder="1" applyAlignment="1">
      <alignment horizontal="center" vertical="center" wrapText="1"/>
    </xf>
    <xf numFmtId="15" fontId="3" fillId="4" borderId="16" xfId="0" applyNumberFormat="1" applyFont="1" applyFill="1" applyBorder="1" applyAlignment="1">
      <alignment horizontal="center" vertical="center" wrapText="1"/>
    </xf>
    <xf numFmtId="164" fontId="0" fillId="0" borderId="17" xfId="0" applyNumberFormat="1" applyFill="1" applyBorder="1" applyAlignment="1">
      <alignment horizontal="center" vertical="center"/>
    </xf>
    <xf numFmtId="15" fontId="3" fillId="4" borderId="16" xfId="0" applyNumberFormat="1" applyFont="1" applyFill="1" applyBorder="1" applyAlignment="1">
      <alignment horizontal="center"/>
    </xf>
    <xf numFmtId="0" fontId="7" fillId="8" borderId="18" xfId="0" applyFont="1" applyFill="1" applyBorder="1" applyAlignment="1">
      <alignment horizontal="center" vertical="center"/>
    </xf>
    <xf numFmtId="3" fontId="7" fillId="8" borderId="19" xfId="0" applyNumberFormat="1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3" fontId="7" fillId="4" borderId="4" xfId="0" applyNumberFormat="1" applyFont="1" applyFill="1" applyBorder="1" applyAlignment="1">
      <alignment horizontal="center" vertical="center"/>
    </xf>
    <xf numFmtId="9" fontId="2" fillId="9" borderId="3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horizontal="center" vertical="center"/>
    </xf>
    <xf numFmtId="3" fontId="7" fillId="5" borderId="8" xfId="0" applyNumberFormat="1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/>
    </xf>
    <xf numFmtId="0" fontId="0" fillId="5" borderId="8" xfId="0" applyFill="1" applyBorder="1"/>
    <xf numFmtId="10" fontId="0" fillId="5" borderId="8" xfId="0" applyNumberFormat="1" applyFill="1" applyBorder="1"/>
    <xf numFmtId="0" fontId="0" fillId="5" borderId="10" xfId="0" applyFill="1" applyBorder="1"/>
    <xf numFmtId="0" fontId="7" fillId="5" borderId="6" xfId="0" applyFont="1" applyFill="1" applyBorder="1" applyAlignment="1">
      <alignment horizontal="center" vertical="center"/>
    </xf>
    <xf numFmtId="4" fontId="7" fillId="5" borderId="0" xfId="0" applyNumberFormat="1" applyFont="1" applyFill="1" applyBorder="1" applyAlignment="1">
      <alignment horizontal="center" vertical="center" wrapText="1"/>
    </xf>
    <xf numFmtId="3" fontId="7" fillId="5" borderId="0" xfId="0" applyNumberFormat="1" applyFont="1" applyFill="1" applyBorder="1" applyAlignment="1">
      <alignment horizontal="center" vertical="center"/>
    </xf>
    <xf numFmtId="0" fontId="0" fillId="5" borderId="11" xfId="0" applyFill="1" applyBorder="1"/>
    <xf numFmtId="0" fontId="7" fillId="5" borderId="6" xfId="0" applyFont="1" applyFill="1" applyBorder="1"/>
    <xf numFmtId="3" fontId="7" fillId="5" borderId="0" xfId="0" applyNumberFormat="1" applyFont="1" applyFill="1" applyBorder="1" applyAlignment="1">
      <alignment horizontal="center" vertical="center" wrapText="1"/>
    </xf>
    <xf numFmtId="0" fontId="0" fillId="5" borderId="0" xfId="0" applyFill="1" applyBorder="1"/>
    <xf numFmtId="0" fontId="7" fillId="5" borderId="7" xfId="0" applyFont="1" applyFill="1" applyBorder="1" applyAlignment="1">
      <alignment horizontal="center" vertical="center"/>
    </xf>
    <xf numFmtId="3" fontId="7" fillId="5" borderId="9" xfId="0" applyNumberFormat="1" applyFont="1" applyFill="1" applyBorder="1" applyAlignment="1">
      <alignment horizontal="center" vertical="center" wrapText="1"/>
    </xf>
    <xf numFmtId="164" fontId="7" fillId="5" borderId="9" xfId="0" applyNumberFormat="1" applyFont="1" applyFill="1" applyBorder="1" applyAlignment="1">
      <alignment horizontal="center" vertical="center"/>
    </xf>
    <xf numFmtId="0" fontId="0" fillId="5" borderId="9" xfId="0" applyFill="1" applyBorder="1"/>
    <xf numFmtId="0" fontId="0" fillId="5" borderId="12" xfId="0" applyFill="1" applyBorder="1"/>
    <xf numFmtId="0" fontId="5" fillId="9" borderId="3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 wrapText="1"/>
    </xf>
    <xf numFmtId="3" fontId="7" fillId="8" borderId="22" xfId="0" applyNumberFormat="1" applyFont="1" applyFill="1" applyBorder="1" applyAlignment="1">
      <alignment horizontal="center" vertical="center"/>
    </xf>
    <xf numFmtId="0" fontId="15" fillId="5" borderId="0" xfId="0" applyFont="1" applyFill="1" applyBorder="1"/>
    <xf numFmtId="0" fontId="6" fillId="5" borderId="0" xfId="0" applyFont="1" applyFill="1" applyBorder="1" applyAlignment="1"/>
    <xf numFmtId="0" fontId="14" fillId="5" borderId="0" xfId="0" applyFont="1" applyFill="1" applyBorder="1" applyAlignment="1"/>
    <xf numFmtId="0" fontId="7" fillId="5" borderId="0" xfId="0" applyFont="1" applyFill="1" applyBorder="1" applyAlignment="1">
      <alignment horizontal="center" vertical="center"/>
    </xf>
    <xf numFmtId="0" fontId="7" fillId="5" borderId="0" xfId="0" applyFont="1" applyFill="1" applyBorder="1"/>
    <xf numFmtId="0" fontId="7" fillId="5" borderId="9" xfId="0" applyFont="1" applyFill="1" applyBorder="1" applyAlignment="1">
      <alignment horizontal="center" vertical="center"/>
    </xf>
    <xf numFmtId="1" fontId="13" fillId="0" borderId="0" xfId="0" applyNumberFormat="1" applyFont="1" applyBorder="1"/>
    <xf numFmtId="0" fontId="13" fillId="0" borderId="0" xfId="0" applyFont="1" applyBorder="1"/>
    <xf numFmtId="0" fontId="8" fillId="5" borderId="14" xfId="0" applyNumberFormat="1" applyFont="1" applyFill="1" applyBorder="1" applyAlignment="1">
      <alignment horizontal="center" vertical="center" wrapText="1"/>
    </xf>
    <xf numFmtId="3" fontId="17" fillId="0" borderId="1" xfId="0" applyNumberFormat="1" applyFont="1" applyFill="1" applyBorder="1" applyAlignment="1">
      <alignment horizontal="center" vertical="center"/>
    </xf>
    <xf numFmtId="3" fontId="8" fillId="8" borderId="19" xfId="0" applyNumberFormat="1" applyFont="1" applyFill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/>
    </xf>
    <xf numFmtId="3" fontId="7" fillId="10" borderId="0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8" fillId="8" borderId="14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/>
    </xf>
    <xf numFmtId="166" fontId="10" fillId="6" borderId="1" xfId="0" applyNumberFormat="1" applyFont="1" applyFill="1" applyBorder="1" applyAlignment="1">
      <alignment horizontal="center"/>
    </xf>
    <xf numFmtId="166" fontId="7" fillId="8" borderId="19" xfId="0" applyNumberFormat="1" applyFont="1" applyFill="1" applyBorder="1" applyAlignment="1">
      <alignment horizontal="center" vertical="center"/>
    </xf>
    <xf numFmtId="166" fontId="0" fillId="9" borderId="1" xfId="0" applyNumberFormat="1" applyFill="1" applyBorder="1" applyAlignment="1">
      <alignment horizontal="center" vertical="center"/>
    </xf>
    <xf numFmtId="0" fontId="19" fillId="0" borderId="0" xfId="0" applyFont="1" applyBorder="1"/>
    <xf numFmtId="0" fontId="19" fillId="0" borderId="0" xfId="0" applyFont="1" applyFill="1" applyBorder="1"/>
    <xf numFmtId="1" fontId="20" fillId="0" borderId="0" xfId="0" applyNumberFormat="1" applyFont="1" applyBorder="1"/>
    <xf numFmtId="10" fontId="0" fillId="0" borderId="0" xfId="1" applyNumberFormat="1" applyFont="1"/>
    <xf numFmtId="165" fontId="2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164" fontId="11" fillId="7" borderId="8" xfId="0" applyNumberFormat="1" applyFont="1" applyFill="1" applyBorder="1" applyAlignment="1">
      <alignment horizontal="center" vertical="center"/>
    </xf>
    <xf numFmtId="164" fontId="11" fillId="7" borderId="10" xfId="0" applyNumberFormat="1" applyFont="1" applyFill="1" applyBorder="1" applyAlignment="1">
      <alignment horizontal="center" vertical="center"/>
    </xf>
    <xf numFmtId="164" fontId="11" fillId="7" borderId="0" xfId="0" applyNumberFormat="1" applyFont="1" applyFill="1" applyBorder="1" applyAlignment="1">
      <alignment horizontal="center" vertical="center"/>
    </xf>
    <xf numFmtId="164" fontId="11" fillId="7" borderId="11" xfId="0" applyNumberFormat="1" applyFont="1" applyFill="1" applyBorder="1" applyAlignment="1">
      <alignment horizontal="center" vertical="center"/>
    </xf>
    <xf numFmtId="164" fontId="11" fillId="7" borderId="9" xfId="0" applyNumberFormat="1" applyFont="1" applyFill="1" applyBorder="1" applyAlignment="1">
      <alignment horizontal="center" vertical="center"/>
    </xf>
    <xf numFmtId="164" fontId="11" fillId="7" borderId="12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6" fillId="9" borderId="3" xfId="0" applyFont="1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7FCB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3.xml"/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4.xml"/><Relationship Id="rId1" Type="http://schemas.openxmlformats.org/officeDocument/2006/relationships/themeOverride" Target="../theme/themeOverrid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 sz="1400"/>
              <a:t>Domestic Water Consumption m3 2014 Versus 2013</a:t>
            </a:r>
          </a:p>
        </c:rich>
      </c:tx>
      <c:layout>
        <c:manualLayout>
          <c:xMode val="edge"/>
          <c:yMode val="edge"/>
          <c:x val="0.27656657750317098"/>
          <c:y val="2.76496637272042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51011267545038"/>
          <c:y val="0.12596026966391599"/>
          <c:w val="0.62891577982680891"/>
          <c:h val="0.78801961528480113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'D Water Data'!$E$4</c:f>
              <c:strCache>
                <c:ptCount val="1"/>
                <c:pt idx="0">
                  <c:v>Actual 2013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noFill/>
            </a:ln>
          </c:spPr>
          <c:invertIfNegative val="0"/>
          <c:val>
            <c:numRef>
              <c:f>'D Water Data'!$E$5:$E$16</c:f>
              <c:numCache>
                <c:formatCode>#,##0</c:formatCode>
                <c:ptCount val="12"/>
                <c:pt idx="0">
                  <c:v>2543</c:v>
                </c:pt>
                <c:pt idx="1">
                  <c:v>2597</c:v>
                </c:pt>
                <c:pt idx="2">
                  <c:v>2527</c:v>
                </c:pt>
                <c:pt idx="3">
                  <c:v>2355</c:v>
                </c:pt>
                <c:pt idx="4">
                  <c:v>2886</c:v>
                </c:pt>
                <c:pt idx="5">
                  <c:v>2970</c:v>
                </c:pt>
                <c:pt idx="6">
                  <c:v>2155</c:v>
                </c:pt>
                <c:pt idx="7">
                  <c:v>2111</c:v>
                </c:pt>
                <c:pt idx="8">
                  <c:v>1965</c:v>
                </c:pt>
                <c:pt idx="9">
                  <c:v>2936</c:v>
                </c:pt>
                <c:pt idx="10">
                  <c:v>2456</c:v>
                </c:pt>
                <c:pt idx="11">
                  <c:v>4899</c:v>
                </c:pt>
              </c:numCache>
            </c:numRef>
          </c:val>
        </c:ser>
        <c:ser>
          <c:idx val="0"/>
          <c:order val="1"/>
          <c:tx>
            <c:strRef>
              <c:f>'D Water Data'!$H$4</c:f>
              <c:strCache>
                <c:ptCount val="1"/>
                <c:pt idx="0">
                  <c:v>Target 2014 (5%)</c:v>
                </c:pt>
              </c:strCache>
            </c:strRef>
          </c:tx>
          <c:spPr>
            <a:solidFill>
              <a:srgbClr val="FFC000">
                <a:alpha val="72000"/>
              </a:srgbClr>
            </a:solidFill>
            <a:ln w="25400">
              <a:noFill/>
              <a:prstDash val="solid"/>
            </a:ln>
          </c:spPr>
          <c:invertIfNegative val="0"/>
          <c:cat>
            <c:strRef>
              <c:f>'D Water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 Water Data'!$H$5:$H$16</c:f>
              <c:numCache>
                <c:formatCode>#,##0</c:formatCode>
                <c:ptCount val="12"/>
                <c:pt idx="0">
                  <c:v>2415.85</c:v>
                </c:pt>
                <c:pt idx="1">
                  <c:v>2467.15</c:v>
                </c:pt>
                <c:pt idx="2">
                  <c:v>2400.65</c:v>
                </c:pt>
                <c:pt idx="3">
                  <c:v>2237.25</c:v>
                </c:pt>
                <c:pt idx="4">
                  <c:v>2741.7</c:v>
                </c:pt>
                <c:pt idx="5">
                  <c:v>2821.5</c:v>
                </c:pt>
                <c:pt idx="6">
                  <c:v>2047.25</c:v>
                </c:pt>
                <c:pt idx="7">
                  <c:v>2005.45</c:v>
                </c:pt>
                <c:pt idx="8">
                  <c:v>1866.75</c:v>
                </c:pt>
                <c:pt idx="9">
                  <c:v>2789.2</c:v>
                </c:pt>
                <c:pt idx="10">
                  <c:v>2333.1999999999998</c:v>
                </c:pt>
                <c:pt idx="11">
                  <c:v>4654.05</c:v>
                </c:pt>
              </c:numCache>
            </c:numRef>
          </c:val>
        </c:ser>
        <c:ser>
          <c:idx val="1"/>
          <c:order val="2"/>
          <c:tx>
            <c:strRef>
              <c:f>'D Water Data'!$I$4</c:f>
              <c:strCache>
                <c:ptCount val="1"/>
                <c:pt idx="0">
                  <c:v>Actual 2014 (m3)</c:v>
                </c:pt>
              </c:strCache>
            </c:strRef>
          </c:tx>
          <c:spPr>
            <a:solidFill>
              <a:schemeClr val="accent1"/>
            </a:solidFill>
            <a:ln w="41275" cap="rnd" cmpd="sng">
              <a:noFill/>
              <a:prstDash val="sysDash"/>
            </a:ln>
          </c:spPr>
          <c:invertIfNegative val="0"/>
          <c:cat>
            <c:strRef>
              <c:f>'D Water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 Water Data'!$I$5:$I$16</c:f>
              <c:numCache>
                <c:formatCode>#,##0</c:formatCode>
                <c:ptCount val="12"/>
                <c:pt idx="0">
                  <c:v>4029</c:v>
                </c:pt>
                <c:pt idx="1">
                  <c:v>2410</c:v>
                </c:pt>
                <c:pt idx="2">
                  <c:v>2191</c:v>
                </c:pt>
                <c:pt idx="3">
                  <c:v>2350</c:v>
                </c:pt>
                <c:pt idx="4">
                  <c:v>2572</c:v>
                </c:pt>
                <c:pt idx="5">
                  <c:v>2266</c:v>
                </c:pt>
                <c:pt idx="6">
                  <c:v>2209</c:v>
                </c:pt>
                <c:pt idx="7">
                  <c:v>2764</c:v>
                </c:pt>
                <c:pt idx="8">
                  <c:v>2618</c:v>
                </c:pt>
                <c:pt idx="9">
                  <c:v>1781</c:v>
                </c:pt>
                <c:pt idx="10">
                  <c:v>2689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90046392"/>
        <c:axId val="290760200"/>
      </c:barChart>
      <c:catAx>
        <c:axId val="290046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m3</a:t>
                </a:r>
              </a:p>
            </c:rich>
          </c:tx>
          <c:layout>
            <c:manualLayout>
              <c:xMode val="edge"/>
              <c:yMode val="edge"/>
              <c:x val="5.0694233292097386E-2"/>
              <c:y val="0.49308823919574518"/>
            </c:manualLayout>
          </c:layout>
          <c:overlay val="0"/>
          <c:spPr>
            <a:noFill/>
            <a:ln w="25400">
              <a:noFill/>
            </a:ln>
          </c:spPr>
        </c:title>
        <c:numFmt formatCode="dd\-mmm\-yy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0760200"/>
        <c:crosses val="autoZero"/>
        <c:auto val="1"/>
        <c:lblAlgn val="ctr"/>
        <c:lblOffset val="100"/>
        <c:noMultiLvlLbl val="0"/>
      </c:catAx>
      <c:valAx>
        <c:axId val="290760200"/>
        <c:scaling>
          <c:orientation val="minMax"/>
        </c:scaling>
        <c:delete val="0"/>
        <c:axPos val="l"/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0046392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>
        <c:manualLayout>
          <c:xMode val="edge"/>
          <c:yMode val="edge"/>
          <c:x val="0.80297550692149244"/>
          <c:y val="0.29291008412437347"/>
          <c:w val="0.12439929569373899"/>
          <c:h val="0.13356616607904878"/>
        </c:manualLayout>
      </c:layout>
      <c:overlay val="0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 sz="1400"/>
              <a:t>Domestic Water Consumption: m3 Used per Standard Hour Booked (2014 Vs 2013)</a:t>
            </a:r>
          </a:p>
        </c:rich>
      </c:tx>
      <c:layout>
        <c:manualLayout>
          <c:xMode val="edge"/>
          <c:yMode val="edge"/>
          <c:x val="0.15825675746643494"/>
          <c:y val="1.969043885100842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51011267545038"/>
          <c:y val="0.12596026966391599"/>
          <c:w val="0.63086367322912029"/>
          <c:h val="0.7959790183129124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'D Water Data'!$G$4</c:f>
              <c:strCache>
                <c:ptCount val="1"/>
                <c:pt idx="0">
                  <c:v>m3 per Standard Hour Booked 2013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 w="25400">
              <a:noFill/>
            </a:ln>
          </c:spPr>
          <c:invertIfNegative val="0"/>
          <c:val>
            <c:numRef>
              <c:f>'D Water Data'!$G$5:$G$16</c:f>
              <c:numCache>
                <c:formatCode>#,##0.000</c:formatCode>
                <c:ptCount val="12"/>
                <c:pt idx="0">
                  <c:v>0.36328571428571427</c:v>
                </c:pt>
                <c:pt idx="1">
                  <c:v>0.19976923076923078</c:v>
                </c:pt>
                <c:pt idx="2">
                  <c:v>0.1403888888888889</c:v>
                </c:pt>
                <c:pt idx="3">
                  <c:v>0.26166666666666666</c:v>
                </c:pt>
                <c:pt idx="4">
                  <c:v>0.28860000000000002</c:v>
                </c:pt>
                <c:pt idx="5">
                  <c:v>0.17470588235294118</c:v>
                </c:pt>
                <c:pt idx="6">
                  <c:v>0.19590909090909092</c:v>
                </c:pt>
                <c:pt idx="7">
                  <c:v>0.42220000000000002</c:v>
                </c:pt>
                <c:pt idx="8">
                  <c:v>0.10916666666666666</c:v>
                </c:pt>
                <c:pt idx="9">
                  <c:v>0.19573333333333334</c:v>
                </c:pt>
                <c:pt idx="10">
                  <c:v>0.14447058823529413</c:v>
                </c:pt>
                <c:pt idx="11">
                  <c:v>0.44536363636363635</c:v>
                </c:pt>
              </c:numCache>
            </c:numRef>
          </c:val>
        </c:ser>
        <c:ser>
          <c:idx val="1"/>
          <c:order val="1"/>
          <c:tx>
            <c:strRef>
              <c:f>'D Water Data'!$M$4</c:f>
              <c:strCache>
                <c:ptCount val="1"/>
                <c:pt idx="0">
                  <c:v>m3 per Standard Hour Booked 2014</c:v>
                </c:pt>
              </c:strCache>
            </c:strRef>
          </c:tx>
          <c:spPr>
            <a:solidFill>
              <a:schemeClr val="accent1"/>
            </a:solidFill>
            <a:ln w="41275" cap="rnd" cmpd="sng">
              <a:noFill/>
              <a:prstDash val="sysDash"/>
            </a:ln>
          </c:spPr>
          <c:invertIfNegative val="0"/>
          <c:cat>
            <c:strRef>
              <c:f>'D Water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 Water Data'!$M$5:$M$16</c:f>
              <c:numCache>
                <c:formatCode>#,##0.000</c:formatCode>
                <c:ptCount val="12"/>
                <c:pt idx="0">
                  <c:v>0.46267799724391362</c:v>
                </c:pt>
                <c:pt idx="1">
                  <c:v>0.18784099766173032</c:v>
                </c:pt>
                <c:pt idx="2">
                  <c:v>0.13717756073127974</c:v>
                </c:pt>
                <c:pt idx="3">
                  <c:v>0.34558823529411764</c:v>
                </c:pt>
                <c:pt idx="4">
                  <c:v>0.28565082185695245</c:v>
                </c:pt>
                <c:pt idx="5">
                  <c:v>0.16996699669966997</c:v>
                </c:pt>
                <c:pt idx="6">
                  <c:v>0.20755426101663066</c:v>
                </c:pt>
                <c:pt idx="7">
                  <c:v>0.47046808510638299</c:v>
                </c:pt>
                <c:pt idx="8">
                  <c:v>0.20937300063979528</c:v>
                </c:pt>
                <c:pt idx="9">
                  <c:v>0.13424285821964271</c:v>
                </c:pt>
                <c:pt idx="10">
                  <c:v>0.16008811097219741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2238960"/>
        <c:axId val="290036640"/>
      </c:barChart>
      <c:catAx>
        <c:axId val="1622389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m3</a:t>
                </a:r>
              </a:p>
            </c:rich>
          </c:tx>
          <c:layout>
            <c:manualLayout>
              <c:xMode val="edge"/>
              <c:yMode val="edge"/>
              <c:x val="6.5767315350261354E-2"/>
              <c:y val="0.49308823919574518"/>
            </c:manualLayout>
          </c:layout>
          <c:overlay val="0"/>
          <c:spPr>
            <a:noFill/>
            <a:ln w="25400">
              <a:noFill/>
            </a:ln>
          </c:spPr>
        </c:title>
        <c:numFmt formatCode="dd\-mmm\-yy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90036640"/>
        <c:crosses val="autoZero"/>
        <c:auto val="1"/>
        <c:lblAlgn val="ctr"/>
        <c:lblOffset val="100"/>
        <c:noMultiLvlLbl val="0"/>
      </c:catAx>
      <c:valAx>
        <c:axId val="290036640"/>
        <c:scaling>
          <c:orientation val="minMax"/>
        </c:scaling>
        <c:delete val="0"/>
        <c:axPos val="l"/>
        <c:numFmt formatCode="#,##0.000" sourceLinked="1"/>
        <c:majorTickMark val="out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62238960"/>
        <c:crosses val="autoZero"/>
        <c:crossBetween val="between"/>
        <c:minorUnit val="5.000000000000001E-2"/>
      </c:valAx>
    </c:plotArea>
    <c:legend>
      <c:legendPos val="r"/>
      <c:layout>
        <c:manualLayout>
          <c:xMode val="edge"/>
          <c:yMode val="edge"/>
          <c:x val="0.75346137267758406"/>
          <c:y val="0.19739824238991852"/>
          <c:w val="0.24535377635905592"/>
          <c:h val="0.17428111775594801"/>
        </c:manualLayout>
      </c:layout>
      <c:overlay val="0"/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2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GB"/>
              <a:t>2014 Target</a:t>
            </a:r>
            <a:r>
              <a:rPr lang="en-GB" baseline="0"/>
              <a:t> Achievement Chart 5%</a:t>
            </a:r>
            <a:endParaRPr lang="en-GB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 Water Data'!$O$4</c:f>
              <c:strCache>
                <c:ptCount val="1"/>
                <c:pt idx="0">
                  <c:v>Cumulative Target Saving (m3)</c:v>
                </c:pt>
              </c:strCache>
            </c:strRef>
          </c:tx>
          <c:cat>
            <c:strRef>
              <c:f>'D Water Data'!$B$5:$B$16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 Water Data'!$O$5:$O$16</c:f>
              <c:numCache>
                <c:formatCode>#,##0</c:formatCode>
                <c:ptCount val="12"/>
                <c:pt idx="0">
                  <c:v>127.15000000000009</c:v>
                </c:pt>
                <c:pt idx="1">
                  <c:v>257</c:v>
                </c:pt>
                <c:pt idx="2">
                  <c:v>383.34999999999991</c:v>
                </c:pt>
                <c:pt idx="3">
                  <c:v>501.09999999999991</c:v>
                </c:pt>
                <c:pt idx="4">
                  <c:v>645.40000000000009</c:v>
                </c:pt>
                <c:pt idx="5">
                  <c:v>793.90000000000009</c:v>
                </c:pt>
                <c:pt idx="6">
                  <c:v>901.65000000000009</c:v>
                </c:pt>
                <c:pt idx="7">
                  <c:v>1007.2</c:v>
                </c:pt>
                <c:pt idx="8">
                  <c:v>1105.45</c:v>
                </c:pt>
                <c:pt idx="9">
                  <c:v>1252.2500000000002</c:v>
                </c:pt>
                <c:pt idx="10">
                  <c:v>1375.0500000000004</c:v>
                </c:pt>
                <c:pt idx="11">
                  <c:v>1620.0000000000002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'D Water Data'!$R$4</c:f>
              <c:strCache>
                <c:ptCount val="1"/>
                <c:pt idx="0">
                  <c:v>In Month Gap Cumulative (m3)</c:v>
                </c:pt>
              </c:strCache>
            </c:strRef>
          </c:tx>
          <c:spPr>
            <a:ln w="22225">
              <a:solidFill>
                <a:srgbClr val="F79646">
                  <a:lumMod val="75000"/>
                </a:srgbClr>
              </a:solidFill>
            </a:ln>
          </c:spPr>
          <c:trendline>
            <c:spPr>
              <a:ln>
                <a:noFill/>
              </a:ln>
            </c:spPr>
            <c:trendlineType val="movingAvg"/>
            <c:period val="2"/>
            <c:dispRSqr val="0"/>
            <c:dispEq val="0"/>
          </c:trendline>
          <c:val>
            <c:numRef>
              <c:f>'D Water Data'!$R$5:$R$16</c:f>
              <c:numCache>
                <c:formatCode>#,##0</c:formatCode>
                <c:ptCount val="12"/>
                <c:pt idx="0">
                  <c:v>-1486</c:v>
                </c:pt>
                <c:pt idx="1">
                  <c:v>-1299</c:v>
                </c:pt>
                <c:pt idx="2">
                  <c:v>-963</c:v>
                </c:pt>
                <c:pt idx="3">
                  <c:v>-958</c:v>
                </c:pt>
                <c:pt idx="4">
                  <c:v>-644</c:v>
                </c:pt>
                <c:pt idx="5">
                  <c:v>60</c:v>
                </c:pt>
                <c:pt idx="6">
                  <c:v>6</c:v>
                </c:pt>
                <c:pt idx="7">
                  <c:v>-647</c:v>
                </c:pt>
                <c:pt idx="8">
                  <c:v>-1300</c:v>
                </c:pt>
                <c:pt idx="9">
                  <c:v>-145</c:v>
                </c:pt>
                <c:pt idx="10">
                  <c:v>-378</c:v>
                </c:pt>
                <c:pt idx="11">
                  <c:v>4521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0584208"/>
        <c:axId val="290702832"/>
      </c:lineChart>
      <c:catAx>
        <c:axId val="2905842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90702832"/>
        <c:crosses val="autoZero"/>
        <c:auto val="1"/>
        <c:lblAlgn val="ctr"/>
        <c:lblOffset val="100"/>
        <c:noMultiLvlLbl val="0"/>
      </c:catAx>
      <c:valAx>
        <c:axId val="290702832"/>
        <c:scaling>
          <c:orientation val="minMax"/>
          <c:max val="1700"/>
        </c:scaling>
        <c:delete val="0"/>
        <c:axPos val="l"/>
        <c:majorGridlines/>
        <c:numFmt formatCode="#,##0" sourceLinked="1"/>
        <c:majorTickMark val="out"/>
        <c:minorTickMark val="in"/>
        <c:tickLblPos val="nextTo"/>
        <c:crossAx val="290584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8760364213732539"/>
          <c:y val="0.32603188457034271"/>
          <c:w val="0.28935109037296264"/>
          <c:h val="0.1935076341781381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73025</xdr:colOff>
      <xdr:row>0</xdr:row>
      <xdr:rowOff>102657</xdr:rowOff>
    </xdr:from>
    <xdr:to>
      <xdr:col>15</xdr:col>
      <xdr:colOff>42333</xdr:colOff>
      <xdr:row>30</xdr:row>
      <xdr:rowOff>21165</xdr:rowOff>
    </xdr:to>
    <xdr:graphicFrame macro="">
      <xdr:nvGraphicFramePr>
        <xdr:cNvPr id="433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15</xdr:col>
      <xdr:colOff>539750</xdr:colOff>
      <xdr:row>65</xdr:row>
      <xdr:rowOff>34924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243416</xdr:colOff>
      <xdr:row>66</xdr:row>
      <xdr:rowOff>148166</xdr:rowOff>
    </xdr:from>
    <xdr:to>
      <xdr:col>13</xdr:col>
      <xdr:colOff>359833</xdr:colOff>
      <xdr:row>89</xdr:row>
      <xdr:rowOff>117476</xdr:rowOff>
    </xdr:to>
    <xdr:graphicFrame macro="">
      <xdr:nvGraphicFramePr>
        <xdr:cNvPr id="7" name="Chart 6" title="Target Chart 2014 5%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0.17517</cdr:x>
      <cdr:y>0.09407</cdr:y>
    </cdr:from>
    <cdr:to>
      <cdr:x>0.27999</cdr:x>
      <cdr:y>0.12292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00608" y="544081"/>
          <a:ext cx="838115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Winter/Spring</a:t>
          </a:r>
        </a:p>
      </cdr:txBody>
    </cdr:sp>
  </cdr:relSizeAnchor>
  <cdr:relSizeAnchor xmlns:cdr="http://schemas.openxmlformats.org/drawingml/2006/chartDrawing">
    <cdr:from>
      <cdr:x>0.64374</cdr:x>
      <cdr:y>0.12731</cdr:y>
    </cdr:from>
    <cdr:to>
      <cdr:x>0.64374</cdr:x>
      <cdr:y>0.91307</cdr:y>
    </cdr:to>
    <cdr:sp macro="" textlink="">
      <cdr:nvSpPr>
        <cdr:cNvPr id="5122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95652" y="793779"/>
          <a:ext cx="0" cy="487980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0.3387</cdr:x>
      <cdr:y>0.09407</cdr:y>
    </cdr:from>
    <cdr:to>
      <cdr:x>0.45745</cdr:x>
      <cdr:y>0.12292</cdr:y>
    </cdr:to>
    <cdr:sp macro="" textlink="">
      <cdr:nvSpPr>
        <cdr:cNvPr id="51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08146" y="544081"/>
          <a:ext cx="949491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Spring/Summer</a:t>
          </a:r>
        </a:p>
      </cdr:txBody>
    </cdr:sp>
  </cdr:relSizeAnchor>
  <cdr:relSizeAnchor xmlns:cdr="http://schemas.openxmlformats.org/drawingml/2006/chartDrawing">
    <cdr:from>
      <cdr:x>0.50891</cdr:x>
      <cdr:y>0.09407</cdr:y>
    </cdr:from>
    <cdr:to>
      <cdr:x>0.6372</cdr:x>
      <cdr:y>0.12292</cdr:y>
    </cdr:to>
    <cdr:sp macro="" textlink="">
      <cdr:nvSpPr>
        <cdr:cNvPr id="51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69096" y="544081"/>
          <a:ext cx="1025730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Summer/Autumn</a:t>
          </a:r>
        </a:p>
      </cdr:txBody>
    </cdr:sp>
  </cdr:relSizeAnchor>
  <cdr:relSizeAnchor xmlns:cdr="http://schemas.openxmlformats.org/drawingml/2006/chartDrawing">
    <cdr:from>
      <cdr:x>0.66353</cdr:x>
      <cdr:y>0.09407</cdr:y>
    </cdr:from>
    <cdr:to>
      <cdr:x>0.77789</cdr:x>
      <cdr:y>0.12292</cdr:y>
    </cdr:to>
    <cdr:sp macro="" textlink="">
      <cdr:nvSpPr>
        <cdr:cNvPr id="51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5392" y="544081"/>
          <a:ext cx="914353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Autumn/Winter</a:t>
          </a:r>
        </a:p>
      </cdr:txBody>
    </cdr:sp>
  </cdr:relSizeAnchor>
  <cdr:relSizeAnchor xmlns:cdr="http://schemas.openxmlformats.org/drawingml/2006/chartDrawing">
    <cdr:from>
      <cdr:x>0.47427</cdr:x>
      <cdr:y>0.12731</cdr:y>
    </cdr:from>
    <cdr:to>
      <cdr:x>0.47427</cdr:x>
      <cdr:y>0.91405</cdr:y>
    </cdr:to>
    <cdr:sp macro="" textlink="">
      <cdr:nvSpPr>
        <cdr:cNvPr id="5126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4344422" y="793779"/>
          <a:ext cx="0" cy="48859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0.3048</cdr:x>
      <cdr:y>0.12657</cdr:y>
    </cdr:from>
    <cdr:to>
      <cdr:x>0.3048</cdr:x>
      <cdr:y>0.91356</cdr:y>
    </cdr:to>
    <cdr:sp macro="" textlink="">
      <cdr:nvSpPr>
        <cdr:cNvPr id="512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2793193" y="789192"/>
          <a:ext cx="0" cy="488745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0.78249</cdr:x>
      <cdr:y>0.53239</cdr:y>
    </cdr:from>
    <cdr:to>
      <cdr:x>0.96819</cdr:x>
      <cdr:y>0.81386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7321550" y="2548466"/>
          <a:ext cx="1737511" cy="1347333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0.17517</cdr:x>
      <cdr:y>0.09407</cdr:y>
    </cdr:from>
    <cdr:to>
      <cdr:x>0.27999</cdr:x>
      <cdr:y>0.12292</cdr:y>
    </cdr:to>
    <cdr:sp macro="" textlink="">
      <cdr:nvSpPr>
        <cdr:cNvPr id="512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400608" y="544081"/>
          <a:ext cx="838115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Winter/Spring</a:t>
          </a:r>
        </a:p>
      </cdr:txBody>
    </cdr:sp>
  </cdr:relSizeAnchor>
  <cdr:relSizeAnchor xmlns:cdr="http://schemas.openxmlformats.org/drawingml/2006/chartDrawing">
    <cdr:from>
      <cdr:x>0.64374</cdr:x>
      <cdr:y>0.12731</cdr:y>
    </cdr:from>
    <cdr:to>
      <cdr:x>0.64374</cdr:x>
      <cdr:y>0.91307</cdr:y>
    </cdr:to>
    <cdr:sp macro="" textlink="">
      <cdr:nvSpPr>
        <cdr:cNvPr id="5122" name="Line 2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5895652" y="793779"/>
          <a:ext cx="0" cy="4879809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0.3387</cdr:x>
      <cdr:y>0.09407</cdr:y>
    </cdr:from>
    <cdr:to>
      <cdr:x>0.45745</cdr:x>
      <cdr:y>0.12292</cdr:y>
    </cdr:to>
    <cdr:sp macro="" textlink="">
      <cdr:nvSpPr>
        <cdr:cNvPr id="51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708146" y="544081"/>
          <a:ext cx="949491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Spring/Summer</a:t>
          </a:r>
        </a:p>
      </cdr:txBody>
    </cdr:sp>
  </cdr:relSizeAnchor>
  <cdr:relSizeAnchor xmlns:cdr="http://schemas.openxmlformats.org/drawingml/2006/chartDrawing">
    <cdr:from>
      <cdr:x>0.50891</cdr:x>
      <cdr:y>0.09407</cdr:y>
    </cdr:from>
    <cdr:to>
      <cdr:x>0.6372</cdr:x>
      <cdr:y>0.12292</cdr:y>
    </cdr:to>
    <cdr:sp macro="" textlink="">
      <cdr:nvSpPr>
        <cdr:cNvPr id="51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69096" y="544081"/>
          <a:ext cx="1025730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Summer/Autumn</a:t>
          </a:r>
        </a:p>
      </cdr:txBody>
    </cdr:sp>
  </cdr:relSizeAnchor>
  <cdr:relSizeAnchor xmlns:cdr="http://schemas.openxmlformats.org/drawingml/2006/chartDrawing">
    <cdr:from>
      <cdr:x>0.66353</cdr:x>
      <cdr:y>0.09407</cdr:y>
    </cdr:from>
    <cdr:to>
      <cdr:x>0.77789</cdr:x>
      <cdr:y>0.12292</cdr:y>
    </cdr:to>
    <cdr:sp macro="" textlink="">
      <cdr:nvSpPr>
        <cdr:cNvPr id="51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305392" y="544081"/>
          <a:ext cx="914353" cy="16684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n-GB" sz="975" b="1" i="1" u="none" strike="noStrike" baseline="0">
              <a:solidFill>
                <a:srgbClr val="000000"/>
              </a:solidFill>
              <a:latin typeface="Arial"/>
              <a:cs typeface="Arial"/>
            </a:rPr>
            <a:t>Autumn/Winter</a:t>
          </a:r>
        </a:p>
      </cdr:txBody>
    </cdr:sp>
  </cdr:relSizeAnchor>
  <cdr:relSizeAnchor xmlns:cdr="http://schemas.openxmlformats.org/drawingml/2006/chartDrawing">
    <cdr:from>
      <cdr:x>0.47427</cdr:x>
      <cdr:y>0.12731</cdr:y>
    </cdr:from>
    <cdr:to>
      <cdr:x>0.47427</cdr:x>
      <cdr:y>0.91405</cdr:y>
    </cdr:to>
    <cdr:sp macro="" textlink="">
      <cdr:nvSpPr>
        <cdr:cNvPr id="5126" name="Line 6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4344422" y="793779"/>
          <a:ext cx="0" cy="4885925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0.3048</cdr:x>
      <cdr:y>0.12657</cdr:y>
    </cdr:from>
    <cdr:to>
      <cdr:x>0.3048</cdr:x>
      <cdr:y>0.91356</cdr:y>
    </cdr:to>
    <cdr:sp macro="" textlink="">
      <cdr:nvSpPr>
        <cdr:cNvPr id="5127" name="Line 7"/>
        <cdr:cNvSpPr>
          <a:spLocks xmlns:a="http://schemas.openxmlformats.org/drawingml/2006/main" noChangeShapeType="1"/>
        </cdr:cNvSpPr>
      </cdr:nvSpPr>
      <cdr:spPr bwMode="auto">
        <a:xfrm xmlns:a="http://schemas.openxmlformats.org/drawingml/2006/main" flipH="1" flipV="1">
          <a:off x="2793193" y="789192"/>
          <a:ext cx="0" cy="4887454"/>
        </a:xfrm>
        <a:prstGeom xmlns:a="http://schemas.openxmlformats.org/drawingml/2006/main" prst="line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dash"/>
          <a:round/>
          <a:headEnd/>
          <a:tailEnd/>
        </a:ln>
        <a:extLst xmlns:a="http://schemas.openxmlformats.org/drawingml/2006/main">
          <a:ext uri="{909E8E84-426E-40DD-AFC4-6F175D3DCCD1}">
            <a14:hiddenFill xmlns:a14="http://schemas.microsoft.com/office/drawing/2010/main">
              <a:noFill/>
            </a14:hiddenFill>
          </a:ext>
        </a:extLst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0.77621</cdr:x>
      <cdr:y>0.49259</cdr:y>
    </cdr:from>
    <cdr:to>
      <cdr:x>0.95702</cdr:x>
      <cdr:y>0.77406</cdr:y>
    </cdr:to>
    <cdr:pic>
      <cdr:nvPicPr>
        <cdr:cNvPr id="10" name="Picture 9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7459134" y="2357967"/>
          <a:ext cx="1737511" cy="1347333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0.0192</cdr:x>
      <cdr:y>0.04092</cdr:y>
    </cdr:from>
    <cdr:to>
      <cdr:x>0.09191</cdr:x>
      <cdr:y>0.10523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8167" y="148166"/>
          <a:ext cx="560916" cy="23283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GB" sz="1100" b="1"/>
            <a:t>m3</a:t>
          </a:r>
        </a:p>
      </cdr:txBody>
    </cdr:sp>
  </cdr:relSizeAnchor>
  <cdr:relSizeAnchor xmlns:cdr="http://schemas.openxmlformats.org/drawingml/2006/chartDrawing">
    <cdr:from>
      <cdr:x>0.73772</cdr:x>
      <cdr:y>0.56358</cdr:y>
    </cdr:from>
    <cdr:to>
      <cdr:x>0.96293</cdr:x>
      <cdr:y>0.93571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5691716" y="2040466"/>
          <a:ext cx="1737511" cy="1347333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R42"/>
  <sheetViews>
    <sheetView showGridLines="0" tabSelected="1" zoomScale="32" zoomScaleNormal="32" workbookViewId="0">
      <selection activeCell="V29" sqref="V29"/>
    </sheetView>
  </sheetViews>
  <sheetFormatPr defaultRowHeight="13.2" x14ac:dyDescent="0.25"/>
  <cols>
    <col min="1" max="1" width="2.5546875" customWidth="1"/>
    <col min="4" max="4" width="10.44140625" customWidth="1"/>
    <col min="5" max="5" width="9.33203125" bestFit="1" customWidth="1"/>
    <col min="6" max="6" width="14" bestFit="1" customWidth="1"/>
    <col min="11" max="11" width="16.109375" customWidth="1"/>
    <col min="12" max="12" width="7.109375" customWidth="1"/>
    <col min="13" max="13" width="10.88671875" customWidth="1"/>
    <col min="14" max="14" width="5.88671875" customWidth="1"/>
    <col min="17" max="17" width="1" customWidth="1"/>
    <col min="19" max="19" width="11.109375" customWidth="1"/>
  </cols>
  <sheetData>
    <row r="3" spans="14:14" ht="12.75" customHeight="1" x14ac:dyDescent="0.25"/>
    <row r="4" spans="14:14" ht="12.75" customHeight="1" x14ac:dyDescent="0.25"/>
    <row r="8" spans="14:14" x14ac:dyDescent="0.25">
      <c r="N8" s="10"/>
    </row>
    <row r="11" spans="14:14" x14ac:dyDescent="0.25">
      <c r="N11" s="10"/>
    </row>
    <row r="12" spans="14:14" x14ac:dyDescent="0.25">
      <c r="N12" s="10"/>
    </row>
    <row r="20" spans="4:18" ht="12.75" customHeight="1" x14ac:dyDescent="0.25"/>
    <row r="21" spans="4:18" ht="12.75" customHeight="1" x14ac:dyDescent="0.25"/>
    <row r="22" spans="4:18" ht="13.5" customHeight="1" x14ac:dyDescent="0.25"/>
    <row r="24" spans="4:18" x14ac:dyDescent="0.25">
      <c r="M24" s="9"/>
      <c r="N24" s="9"/>
      <c r="O24" s="9"/>
      <c r="P24" s="9"/>
      <c r="Q24" s="9"/>
      <c r="R24" s="9"/>
    </row>
    <row r="25" spans="4:18" ht="18.75" customHeight="1" x14ac:dyDescent="0.25">
      <c r="M25" s="9"/>
      <c r="N25" s="89"/>
      <c r="O25" s="89"/>
      <c r="P25" s="12"/>
      <c r="Q25" s="9"/>
      <c r="R25" s="9"/>
    </row>
    <row r="26" spans="4:18" ht="12.75" customHeight="1" x14ac:dyDescent="0.25">
      <c r="M26" s="9"/>
      <c r="N26" s="11"/>
      <c r="O26" s="12"/>
      <c r="P26" s="12"/>
      <c r="Q26" s="9"/>
      <c r="R26" s="9"/>
    </row>
    <row r="27" spans="4:18" ht="13.5" customHeight="1" x14ac:dyDescent="0.25">
      <c r="M27" s="9"/>
      <c r="N27" s="9"/>
      <c r="O27" s="9"/>
      <c r="P27" s="9"/>
      <c r="Q27" s="9"/>
      <c r="R27" s="9"/>
    </row>
    <row r="28" spans="4:18" ht="12.75" customHeight="1" x14ac:dyDescent="0.25"/>
    <row r="31" spans="4:18" ht="13.8" thickBot="1" x14ac:dyDescent="0.3"/>
    <row r="32" spans="4:18" ht="15" customHeight="1" x14ac:dyDescent="0.25">
      <c r="D32" s="90" t="str">
        <f>'D Water Data'!B19</f>
        <v>Target YTD Achievement (%)</v>
      </c>
      <c r="E32" s="91"/>
      <c r="F32" s="91"/>
      <c r="G32" s="96">
        <f>'D Water Data'!I27</f>
        <v>-1.3744954728918948E-2</v>
      </c>
      <c r="H32" s="96"/>
      <c r="I32" s="96"/>
      <c r="J32" s="96"/>
      <c r="K32" s="97"/>
    </row>
    <row r="33" spans="2:11" ht="12.75" customHeight="1" x14ac:dyDescent="0.25">
      <c r="D33" s="92"/>
      <c r="E33" s="93"/>
      <c r="F33" s="93"/>
      <c r="G33" s="98"/>
      <c r="H33" s="98"/>
      <c r="I33" s="98"/>
      <c r="J33" s="98"/>
      <c r="K33" s="99"/>
    </row>
    <row r="34" spans="2:11" ht="13.5" customHeight="1" thickBot="1" x14ac:dyDescent="0.3">
      <c r="D34" s="94"/>
      <c r="E34" s="95"/>
      <c r="F34" s="95"/>
      <c r="G34" s="100"/>
      <c r="H34" s="100"/>
      <c r="I34" s="100"/>
      <c r="J34" s="100"/>
      <c r="K34" s="101"/>
    </row>
    <row r="40" spans="2:11" ht="24" customHeight="1" x14ac:dyDescent="0.25">
      <c r="B40" s="1"/>
      <c r="C40" s="1"/>
      <c r="E40" s="6"/>
      <c r="F40" s="7"/>
      <c r="G40" s="8"/>
      <c r="H40" s="88"/>
      <c r="I40" s="88"/>
      <c r="J40" s="9"/>
      <c r="K40" s="9"/>
    </row>
    <row r="41" spans="2:11" x14ac:dyDescent="0.25">
      <c r="E41" s="9"/>
      <c r="F41" s="9"/>
      <c r="G41" s="9"/>
      <c r="H41" s="9"/>
      <c r="I41" s="9"/>
      <c r="J41" s="9"/>
      <c r="K41" s="9"/>
    </row>
    <row r="42" spans="2:11" x14ac:dyDescent="0.25">
      <c r="E42" s="9"/>
      <c r="F42" s="9"/>
      <c r="G42" s="9"/>
      <c r="H42" s="9"/>
      <c r="I42" s="9"/>
      <c r="J42" s="9"/>
      <c r="K42" s="9"/>
    </row>
  </sheetData>
  <mergeCells count="4">
    <mergeCell ref="H40:I40"/>
    <mergeCell ref="N25:O25"/>
    <mergeCell ref="D32:F34"/>
    <mergeCell ref="G32:K34"/>
  </mergeCells>
  <phoneticPr fontId="4" type="noConversion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1:AN36"/>
  <sheetViews>
    <sheetView zoomScale="90" zoomScaleNormal="90" workbookViewId="0">
      <selection activeCell="K16" sqref="K16"/>
    </sheetView>
  </sheetViews>
  <sheetFormatPr defaultRowHeight="13.2" x14ac:dyDescent="0.25"/>
  <cols>
    <col min="1" max="1" width="1" customWidth="1"/>
    <col min="2" max="2" width="10.109375" customWidth="1"/>
    <col min="3" max="3" width="11.33203125" customWidth="1"/>
    <col min="4" max="4" width="12" customWidth="1"/>
    <col min="5" max="5" width="11.5546875" customWidth="1"/>
    <col min="6" max="6" width="13.109375" customWidth="1"/>
    <col min="7" max="7" width="13.88671875" customWidth="1"/>
    <col min="8" max="8" width="12.6640625" customWidth="1"/>
    <col min="9" max="9" width="15.44140625" customWidth="1"/>
    <col min="10" max="10" width="11.109375" customWidth="1"/>
    <col min="11" max="11" width="13.5546875" customWidth="1"/>
    <col min="12" max="12" width="35.44140625" customWidth="1"/>
    <col min="13" max="13" width="13.6640625" customWidth="1"/>
    <col min="14" max="14" width="12.6640625" customWidth="1"/>
    <col min="15" max="16" width="15.33203125" customWidth="1"/>
    <col min="17" max="17" width="12.33203125" customWidth="1"/>
    <col min="18" max="18" width="14.33203125" customWidth="1"/>
    <col min="19" max="19" width="11.88671875" customWidth="1"/>
    <col min="20" max="20" width="10.109375" bestFit="1" customWidth="1"/>
  </cols>
  <sheetData>
    <row r="1" spans="2:22" ht="10.5" customHeight="1" thickBot="1" x14ac:dyDescent="0.3"/>
    <row r="2" spans="2:22" ht="21" thickBot="1" x14ac:dyDescent="0.3">
      <c r="B2" s="102" t="s">
        <v>34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4"/>
    </row>
    <row r="3" spans="2:22" ht="9.75" customHeight="1" thickBot="1" x14ac:dyDescent="0.3"/>
    <row r="4" spans="2:22" ht="55.2" x14ac:dyDescent="0.25">
      <c r="B4" s="24" t="s">
        <v>13</v>
      </c>
      <c r="C4" s="60" t="s">
        <v>12</v>
      </c>
      <c r="D4" s="25" t="s">
        <v>14</v>
      </c>
      <c r="E4" s="26" t="s">
        <v>17</v>
      </c>
      <c r="F4" s="70" t="s">
        <v>26</v>
      </c>
      <c r="G4" s="70" t="s">
        <v>36</v>
      </c>
      <c r="H4" s="27" t="s">
        <v>35</v>
      </c>
      <c r="I4" s="28" t="s">
        <v>39</v>
      </c>
      <c r="J4" s="70" t="s">
        <v>27</v>
      </c>
      <c r="K4" s="70" t="s">
        <v>40</v>
      </c>
      <c r="L4" s="70" t="s">
        <v>45</v>
      </c>
      <c r="M4" s="70" t="s">
        <v>28</v>
      </c>
      <c r="N4" s="29" t="s">
        <v>38</v>
      </c>
      <c r="O4" s="30" t="s">
        <v>29</v>
      </c>
      <c r="P4" s="76" t="s">
        <v>37</v>
      </c>
      <c r="Q4" s="31" t="s">
        <v>30</v>
      </c>
      <c r="R4" s="31" t="s">
        <v>31</v>
      </c>
      <c r="S4" s="31" t="s">
        <v>32</v>
      </c>
      <c r="T4" s="32" t="s">
        <v>16</v>
      </c>
    </row>
    <row r="5" spans="2:22" ht="15" x14ac:dyDescent="0.25">
      <c r="B5" s="33" t="s">
        <v>0</v>
      </c>
      <c r="C5" s="77">
        <v>6895</v>
      </c>
      <c r="D5" s="78">
        <v>4993</v>
      </c>
      <c r="E5" s="22">
        <v>2543</v>
      </c>
      <c r="F5" s="20">
        <v>7000</v>
      </c>
      <c r="G5" s="81">
        <f>E5/F5</f>
        <v>0.36328571428571427</v>
      </c>
      <c r="H5" s="3">
        <f t="shared" ref="H5:H16" si="0">SUM(E5-(E5*5%))</f>
        <v>2415.85</v>
      </c>
      <c r="I5" s="22">
        <v>4029</v>
      </c>
      <c r="J5" s="22">
        <v>8708</v>
      </c>
      <c r="K5" s="22"/>
      <c r="L5" s="22"/>
      <c r="M5" s="83">
        <f t="shared" ref="M5:M16" si="1">I5/J5</f>
        <v>0.46267799724391362</v>
      </c>
      <c r="N5" s="73">
        <f t="shared" ref="N5:N16" si="2">E5-H5</f>
        <v>127.15000000000009</v>
      </c>
      <c r="O5" s="73">
        <f>N5</f>
        <v>127.15000000000009</v>
      </c>
      <c r="P5" s="73">
        <f t="shared" ref="P5:P16" si="3">I5-E5</f>
        <v>1486</v>
      </c>
      <c r="Q5" s="71">
        <f>N5+P5</f>
        <v>1613.15</v>
      </c>
      <c r="R5" s="71">
        <f>-(P5)</f>
        <v>-1486</v>
      </c>
      <c r="S5" s="71">
        <f>P5</f>
        <v>1486</v>
      </c>
      <c r="T5" s="34">
        <f>P5/Q21</f>
        <v>0.91728395061728396</v>
      </c>
    </row>
    <row r="6" spans="2:22" ht="15" x14ac:dyDescent="0.25">
      <c r="B6" s="33" t="s">
        <v>1</v>
      </c>
      <c r="C6" s="77">
        <v>6199</v>
      </c>
      <c r="D6" s="77">
        <v>5444</v>
      </c>
      <c r="E6" s="22">
        <v>2597</v>
      </c>
      <c r="F6" s="21">
        <v>13000</v>
      </c>
      <c r="G6" s="81">
        <f t="shared" ref="G6:G16" si="4">E6/F6</f>
        <v>0.19976923076923078</v>
      </c>
      <c r="H6" s="3">
        <f t="shared" si="0"/>
        <v>2467.15</v>
      </c>
      <c r="I6" s="22">
        <v>2410</v>
      </c>
      <c r="J6" s="22">
        <v>12830</v>
      </c>
      <c r="K6" s="22"/>
      <c r="L6" s="22"/>
      <c r="M6" s="83">
        <f t="shared" si="1"/>
        <v>0.18784099766173032</v>
      </c>
      <c r="N6" s="73">
        <f t="shared" si="2"/>
        <v>129.84999999999991</v>
      </c>
      <c r="O6" s="73">
        <f>N5+N6</f>
        <v>257</v>
      </c>
      <c r="P6" s="73">
        <f t="shared" si="3"/>
        <v>-187</v>
      </c>
      <c r="Q6" s="71">
        <f t="shared" ref="Q6:Q16" si="5">N6+P6</f>
        <v>-57.150000000000091</v>
      </c>
      <c r="R6" s="71">
        <f>-(P5+P6)</f>
        <v>-1299</v>
      </c>
      <c r="S6" s="71">
        <f>P5+P6</f>
        <v>1299</v>
      </c>
      <c r="T6" s="34">
        <f>(P5+P6)/Q21</f>
        <v>0.80185185185185182</v>
      </c>
    </row>
    <row r="7" spans="2:22" ht="15" x14ac:dyDescent="0.25">
      <c r="B7" s="33" t="s">
        <v>2</v>
      </c>
      <c r="C7" s="77">
        <v>5389</v>
      </c>
      <c r="D7" s="77">
        <v>4793</v>
      </c>
      <c r="E7" s="22">
        <v>2527</v>
      </c>
      <c r="F7" s="21">
        <v>18000</v>
      </c>
      <c r="G7" s="81">
        <f t="shared" si="4"/>
        <v>0.1403888888888889</v>
      </c>
      <c r="H7" s="3">
        <f t="shared" si="0"/>
        <v>2400.65</v>
      </c>
      <c r="I7" s="22">
        <v>2191</v>
      </c>
      <c r="J7" s="22">
        <v>15972</v>
      </c>
      <c r="K7" s="22"/>
      <c r="L7" s="22"/>
      <c r="M7" s="83">
        <f t="shared" si="1"/>
        <v>0.13717756073127974</v>
      </c>
      <c r="N7" s="73">
        <f t="shared" si="2"/>
        <v>126.34999999999991</v>
      </c>
      <c r="O7" s="73">
        <f>N5+N6+N7</f>
        <v>383.34999999999991</v>
      </c>
      <c r="P7" s="73">
        <f t="shared" si="3"/>
        <v>-336</v>
      </c>
      <c r="Q7" s="71">
        <f t="shared" si="5"/>
        <v>-209.65000000000009</v>
      </c>
      <c r="R7" s="71">
        <f>-(P5+P6+P7)</f>
        <v>-963</v>
      </c>
      <c r="S7" s="71">
        <f>P5+P6+P7</f>
        <v>963</v>
      </c>
      <c r="T7" s="34">
        <f>(P5+P6+P7)/Q21</f>
        <v>0.59444444444444444</v>
      </c>
    </row>
    <row r="8" spans="2:22" ht="15" x14ac:dyDescent="0.25">
      <c r="B8" s="35" t="s">
        <v>3</v>
      </c>
      <c r="C8" s="77">
        <v>6592</v>
      </c>
      <c r="D8" s="77">
        <v>5680</v>
      </c>
      <c r="E8" s="22">
        <v>2355</v>
      </c>
      <c r="F8" s="21">
        <v>9000</v>
      </c>
      <c r="G8" s="81">
        <f t="shared" si="4"/>
        <v>0.26166666666666666</v>
      </c>
      <c r="H8" s="3">
        <f t="shared" si="0"/>
        <v>2237.25</v>
      </c>
      <c r="I8" s="22">
        <v>2350</v>
      </c>
      <c r="J8" s="22">
        <v>6800</v>
      </c>
      <c r="K8" s="22"/>
      <c r="L8" s="22"/>
      <c r="M8" s="83">
        <f t="shared" si="1"/>
        <v>0.34558823529411764</v>
      </c>
      <c r="N8" s="73">
        <f t="shared" si="2"/>
        <v>117.75</v>
      </c>
      <c r="O8" s="73">
        <f>N5+N6+N7+N8</f>
        <v>501.09999999999991</v>
      </c>
      <c r="P8" s="73">
        <f t="shared" si="3"/>
        <v>-5</v>
      </c>
      <c r="Q8" s="71">
        <f t="shared" si="5"/>
        <v>112.75</v>
      </c>
      <c r="R8" s="71">
        <f>-(P5+P6+P7+P8)</f>
        <v>-958</v>
      </c>
      <c r="S8" s="71">
        <f>P5+P6+P7+P8</f>
        <v>958</v>
      </c>
      <c r="T8" s="34">
        <f>(P5+P6+P8)/Q21</f>
        <v>0.79876543209876538</v>
      </c>
    </row>
    <row r="9" spans="2:22" ht="15" x14ac:dyDescent="0.25">
      <c r="B9" s="35" t="s">
        <v>4</v>
      </c>
      <c r="C9" s="77">
        <v>9055</v>
      </c>
      <c r="D9" s="77">
        <v>4536</v>
      </c>
      <c r="E9" s="22">
        <v>2886</v>
      </c>
      <c r="F9" s="21">
        <v>10000</v>
      </c>
      <c r="G9" s="81">
        <f t="shared" si="4"/>
        <v>0.28860000000000002</v>
      </c>
      <c r="H9" s="3">
        <f t="shared" si="0"/>
        <v>2741.7</v>
      </c>
      <c r="I9" s="22">
        <v>2572</v>
      </c>
      <c r="J9" s="22">
        <v>9004</v>
      </c>
      <c r="K9" s="22"/>
      <c r="L9" s="22"/>
      <c r="M9" s="83">
        <f t="shared" si="1"/>
        <v>0.28565082185695245</v>
      </c>
      <c r="N9" s="73">
        <f t="shared" si="2"/>
        <v>144.30000000000018</v>
      </c>
      <c r="O9" s="73">
        <f>N5+N6+N7+N8+N9</f>
        <v>645.40000000000009</v>
      </c>
      <c r="P9" s="73">
        <f t="shared" si="3"/>
        <v>-314</v>
      </c>
      <c r="Q9" s="71">
        <f t="shared" si="5"/>
        <v>-169.69999999999982</v>
      </c>
      <c r="R9" s="71">
        <f>-(P5+P6+P7+P8+P9)</f>
        <v>-644</v>
      </c>
      <c r="S9" s="71">
        <f>P5+P6+P7+P8+P9</f>
        <v>644</v>
      </c>
      <c r="T9" s="34">
        <f>(P5+P6+P7+P8+P9)/Q21</f>
        <v>0.39753086419753086</v>
      </c>
    </row>
    <row r="10" spans="2:22" ht="15" x14ac:dyDescent="0.25">
      <c r="B10" s="35" t="s">
        <v>5</v>
      </c>
      <c r="C10" s="77">
        <v>6281</v>
      </c>
      <c r="D10" s="77">
        <v>5727</v>
      </c>
      <c r="E10" s="22">
        <v>2970</v>
      </c>
      <c r="F10" s="21">
        <v>17000</v>
      </c>
      <c r="G10" s="81">
        <f t="shared" si="4"/>
        <v>0.17470588235294118</v>
      </c>
      <c r="H10" s="3">
        <f t="shared" si="0"/>
        <v>2821.5</v>
      </c>
      <c r="I10" s="22">
        <v>2266</v>
      </c>
      <c r="J10" s="22">
        <v>13332</v>
      </c>
      <c r="K10" s="22"/>
      <c r="L10" s="22"/>
      <c r="M10" s="83">
        <f t="shared" si="1"/>
        <v>0.16996699669966997</v>
      </c>
      <c r="N10" s="73">
        <f t="shared" si="2"/>
        <v>148.5</v>
      </c>
      <c r="O10" s="73">
        <f>N5+N6+N7+N8+N9+N10</f>
        <v>793.90000000000009</v>
      </c>
      <c r="P10" s="73">
        <f t="shared" si="3"/>
        <v>-704</v>
      </c>
      <c r="Q10" s="71">
        <f t="shared" si="5"/>
        <v>-555.5</v>
      </c>
      <c r="R10" s="71">
        <f>-(P5+P6+P7+P8+P9+P10)</f>
        <v>60</v>
      </c>
      <c r="S10" s="71">
        <f>P5+P6+P7+P8+P9+P10</f>
        <v>-60</v>
      </c>
      <c r="T10" s="34">
        <f>(P5+P6+P7+P8+P9+P10)/Q21</f>
        <v>-3.7037037037037035E-2</v>
      </c>
    </row>
    <row r="11" spans="2:22" ht="15" x14ac:dyDescent="0.25">
      <c r="B11" s="35" t="s">
        <v>6</v>
      </c>
      <c r="C11" s="77">
        <v>7950</v>
      </c>
      <c r="D11" s="77">
        <v>4984</v>
      </c>
      <c r="E11" s="22">
        <v>2155</v>
      </c>
      <c r="F11" s="21">
        <v>11000</v>
      </c>
      <c r="G11" s="81">
        <f t="shared" si="4"/>
        <v>0.19590909090909092</v>
      </c>
      <c r="H11" s="3">
        <f t="shared" si="0"/>
        <v>2047.25</v>
      </c>
      <c r="I11" s="22">
        <v>2209</v>
      </c>
      <c r="J11" s="22">
        <v>10643</v>
      </c>
      <c r="K11" s="22"/>
      <c r="L11" s="22"/>
      <c r="M11" s="83">
        <f t="shared" si="1"/>
        <v>0.20755426101663066</v>
      </c>
      <c r="N11" s="73">
        <f t="shared" si="2"/>
        <v>107.75</v>
      </c>
      <c r="O11" s="73">
        <f>N5+N6+N7+N8+N9+N10+N11</f>
        <v>901.65000000000009</v>
      </c>
      <c r="P11" s="73">
        <f t="shared" si="3"/>
        <v>54</v>
      </c>
      <c r="Q11" s="71">
        <f t="shared" si="5"/>
        <v>161.75</v>
      </c>
      <c r="R11" s="71">
        <f>-(P5+P6+P7+P8+P9+P10+P11)</f>
        <v>6</v>
      </c>
      <c r="S11" s="71">
        <f>P5+P6+P7+P8+P9+P10+P11</f>
        <v>-6</v>
      </c>
      <c r="T11" s="34">
        <f>(P5+P6+P7+P8+P9+P10+P11)/Q21</f>
        <v>-3.7037037037037038E-3</v>
      </c>
    </row>
    <row r="12" spans="2:22" ht="15" x14ac:dyDescent="0.25">
      <c r="B12" s="35" t="s">
        <v>7</v>
      </c>
      <c r="C12" s="77">
        <v>9411</v>
      </c>
      <c r="D12" s="77">
        <v>4989</v>
      </c>
      <c r="E12" s="22">
        <v>2111</v>
      </c>
      <c r="F12" s="21">
        <v>5000</v>
      </c>
      <c r="G12" s="81">
        <f t="shared" si="4"/>
        <v>0.42220000000000002</v>
      </c>
      <c r="H12" s="3">
        <f t="shared" si="0"/>
        <v>2005.45</v>
      </c>
      <c r="I12" s="22">
        <v>2764</v>
      </c>
      <c r="J12" s="22">
        <v>5875</v>
      </c>
      <c r="K12" s="22"/>
      <c r="L12" s="22"/>
      <c r="M12" s="83">
        <f t="shared" si="1"/>
        <v>0.47046808510638299</v>
      </c>
      <c r="N12" s="73">
        <f t="shared" si="2"/>
        <v>105.54999999999995</v>
      </c>
      <c r="O12" s="73">
        <f>N5+N6+N7+N8+N9+N10+N11+N12</f>
        <v>1007.2</v>
      </c>
      <c r="P12" s="73">
        <f t="shared" si="3"/>
        <v>653</v>
      </c>
      <c r="Q12" s="71">
        <f t="shared" si="5"/>
        <v>758.55</v>
      </c>
      <c r="R12" s="71">
        <f>-(P5+P6+P7+P8+P9+P10+P11+P12)</f>
        <v>-647</v>
      </c>
      <c r="S12" s="71">
        <f>P5+P6+P7+P8+P9+P10+P11+P12</f>
        <v>647</v>
      </c>
      <c r="T12" s="34">
        <f>(P5+P6+P7+P8+P9+P10+P11+P12)/Q21</f>
        <v>0.39938271604938269</v>
      </c>
      <c r="V12" s="4"/>
    </row>
    <row r="13" spans="2:22" ht="15" x14ac:dyDescent="0.25">
      <c r="B13" s="33" t="s">
        <v>8</v>
      </c>
      <c r="C13" s="79">
        <v>5514</v>
      </c>
      <c r="D13" s="77">
        <v>4315</v>
      </c>
      <c r="E13" s="22">
        <v>1965</v>
      </c>
      <c r="F13" s="21">
        <v>18000</v>
      </c>
      <c r="G13" s="81">
        <f t="shared" si="4"/>
        <v>0.10916666666666666</v>
      </c>
      <c r="H13" s="3">
        <f t="shared" si="0"/>
        <v>1866.75</v>
      </c>
      <c r="I13" s="22">
        <v>2618</v>
      </c>
      <c r="J13" s="22">
        <v>12504</v>
      </c>
      <c r="K13" s="22"/>
      <c r="L13" s="22"/>
      <c r="M13" s="83">
        <f t="shared" si="1"/>
        <v>0.20937300063979528</v>
      </c>
      <c r="N13" s="73">
        <f t="shared" si="2"/>
        <v>98.25</v>
      </c>
      <c r="O13" s="73">
        <f>N5+N6+N7+N8+N9+N10+N11+N12+N13</f>
        <v>1105.45</v>
      </c>
      <c r="P13" s="73">
        <f t="shared" si="3"/>
        <v>653</v>
      </c>
      <c r="Q13" s="71">
        <f t="shared" si="5"/>
        <v>751.25</v>
      </c>
      <c r="R13" s="71">
        <f>-(P5+P6+P7+P8+P9+P10+P11+P12+P13)</f>
        <v>-1300</v>
      </c>
      <c r="S13" s="71">
        <f>P5+P6+P7+P8+P9+P10+P11+P12+P13</f>
        <v>1300</v>
      </c>
      <c r="T13" s="34">
        <f>(P5+P6+P7+P8+P9+P10+P11+P12+P13)/Q21</f>
        <v>0.80246913580246915</v>
      </c>
    </row>
    <row r="14" spans="2:22" ht="15" x14ac:dyDescent="0.25">
      <c r="B14" s="33" t="s">
        <v>9</v>
      </c>
      <c r="C14" s="80">
        <v>5571</v>
      </c>
      <c r="D14" s="78">
        <v>3823</v>
      </c>
      <c r="E14" s="22">
        <v>2936</v>
      </c>
      <c r="F14" s="20">
        <v>15000</v>
      </c>
      <c r="G14" s="81">
        <f t="shared" si="4"/>
        <v>0.19573333333333334</v>
      </c>
      <c r="H14" s="3">
        <f t="shared" si="0"/>
        <v>2789.2</v>
      </c>
      <c r="I14" s="22">
        <v>1781</v>
      </c>
      <c r="J14" s="22">
        <v>13267</v>
      </c>
      <c r="K14" s="22"/>
      <c r="L14" s="22"/>
      <c r="M14" s="83">
        <f t="shared" si="1"/>
        <v>0.13424285821964271</v>
      </c>
      <c r="N14" s="73">
        <f t="shared" si="2"/>
        <v>146.80000000000018</v>
      </c>
      <c r="O14" s="73">
        <f>N5+N6+N7+N8+N9+N10+N11+N12+N13+N14</f>
        <v>1252.2500000000002</v>
      </c>
      <c r="P14" s="73">
        <f t="shared" si="3"/>
        <v>-1155</v>
      </c>
      <c r="Q14" s="71">
        <f t="shared" si="5"/>
        <v>-1008.1999999999998</v>
      </c>
      <c r="R14" s="71">
        <f>-(P5+P6+P7+P8+P9+P10+P11+P12+P13+P14)</f>
        <v>-145</v>
      </c>
      <c r="S14" s="71">
        <f>P5+P6+P7+P8+P9+P10+P11+P12+P13+P14</f>
        <v>145</v>
      </c>
      <c r="T14" s="34">
        <f>(P5+P6+P7+P8+P9+P10+P11+P12+P13+P14)/Q21</f>
        <v>8.9506172839506168E-2</v>
      </c>
    </row>
    <row r="15" spans="2:22" ht="15" x14ac:dyDescent="0.25">
      <c r="B15" s="33" t="s">
        <v>10</v>
      </c>
      <c r="C15" s="79">
        <v>6097</v>
      </c>
      <c r="D15" s="79">
        <v>2676</v>
      </c>
      <c r="E15" s="22">
        <v>2456</v>
      </c>
      <c r="F15" s="21">
        <v>17000</v>
      </c>
      <c r="G15" s="81">
        <f t="shared" si="4"/>
        <v>0.14447058823529413</v>
      </c>
      <c r="H15" s="3">
        <f t="shared" si="0"/>
        <v>2333.1999999999998</v>
      </c>
      <c r="I15" s="22">
        <v>2689</v>
      </c>
      <c r="J15" s="22">
        <v>16797</v>
      </c>
      <c r="K15" s="22"/>
      <c r="L15" s="22"/>
      <c r="M15" s="83">
        <f t="shared" si="1"/>
        <v>0.16008811097219741</v>
      </c>
      <c r="N15" s="73">
        <f t="shared" si="2"/>
        <v>122.80000000000018</v>
      </c>
      <c r="O15" s="73">
        <f>N5+N6+N7+N8+N9+N10+N11+N12+N13+N14+N15</f>
        <v>1375.0500000000004</v>
      </c>
      <c r="P15" s="73">
        <f t="shared" si="3"/>
        <v>233</v>
      </c>
      <c r="Q15" s="71">
        <f t="shared" si="5"/>
        <v>355.80000000000018</v>
      </c>
      <c r="R15" s="71">
        <f>-(P5+P6+P7+P8+P9+P10+P11+P12+P13+P14+P15)</f>
        <v>-378</v>
      </c>
      <c r="S15" s="71">
        <f>P5+P6+P7+P8+P9+P10+P11+P12+P13+P14+P15</f>
        <v>378</v>
      </c>
      <c r="T15" s="34">
        <f>(P5+P6+P7+P8+P9+P10+P11+P12+P13+P14+P15)/Q21</f>
        <v>0.23333333333333334</v>
      </c>
    </row>
    <row r="16" spans="2:22" ht="15" x14ac:dyDescent="0.25">
      <c r="B16" s="35" t="s">
        <v>11</v>
      </c>
      <c r="C16" s="77">
        <v>7263</v>
      </c>
      <c r="D16" s="77">
        <v>2711</v>
      </c>
      <c r="E16" s="22">
        <v>4899</v>
      </c>
      <c r="F16" s="21">
        <v>11000</v>
      </c>
      <c r="G16" s="81">
        <f t="shared" si="4"/>
        <v>0.44536363636363635</v>
      </c>
      <c r="H16" s="3">
        <f t="shared" si="0"/>
        <v>4654.05</v>
      </c>
      <c r="I16" s="22"/>
      <c r="J16" s="22">
        <v>16890</v>
      </c>
      <c r="K16" s="22"/>
      <c r="L16" s="22"/>
      <c r="M16" s="83">
        <f t="shared" si="1"/>
        <v>0</v>
      </c>
      <c r="N16" s="73">
        <f t="shared" si="2"/>
        <v>244.94999999999982</v>
      </c>
      <c r="O16" s="73">
        <f>N5+N6+N7+N8+N9+N10+N11+N12+N13+N14+N15+N16</f>
        <v>1620.0000000000002</v>
      </c>
      <c r="P16" s="73">
        <f t="shared" si="3"/>
        <v>-4899</v>
      </c>
      <c r="Q16" s="71">
        <f t="shared" si="5"/>
        <v>-4654.05</v>
      </c>
      <c r="R16" s="71">
        <f>-(P5+P6+P7+P8+P9+P10+P11+P12+P13+P14+P15+P16)</f>
        <v>4521</v>
      </c>
      <c r="S16" s="71">
        <f>P5+P6+P7+P8+P9+P10+P11+P12+P13+P14+P15+P16</f>
        <v>-4521</v>
      </c>
      <c r="T16" s="34">
        <f>(P5+P6+P7+P8+P9+P10+P11+P12+P13+P14+P15+P16)/Q21</f>
        <v>-2.7907407407407407</v>
      </c>
    </row>
    <row r="17" spans="2:40" s="2" customFormat="1" ht="13.8" thickBot="1" x14ac:dyDescent="0.3">
      <c r="B17" s="36" t="s">
        <v>15</v>
      </c>
      <c r="C17" s="61">
        <f>SUM(C5:C16)</f>
        <v>82217</v>
      </c>
      <c r="D17" s="37">
        <f>SUM(D5:D16)</f>
        <v>54671</v>
      </c>
      <c r="E17" s="37">
        <f>SUM(E5:E16)</f>
        <v>32400</v>
      </c>
      <c r="F17" s="37">
        <f>SUM(F5:F16)</f>
        <v>151000</v>
      </c>
      <c r="G17" s="82">
        <f>SUM(G5:G16)</f>
        <v>2.9412596984714638</v>
      </c>
      <c r="H17" s="37">
        <f t="shared" ref="H17:S17" si="6">SUM(H5:H16)</f>
        <v>30780</v>
      </c>
      <c r="I17" s="37">
        <f>SUM(I5:I16)</f>
        <v>27879</v>
      </c>
      <c r="J17" s="37"/>
      <c r="K17" s="37"/>
      <c r="L17" s="37"/>
      <c r="M17" s="37">
        <f>SUM(M5:M16)</f>
        <v>2.7706289254423129</v>
      </c>
      <c r="N17" s="72">
        <f t="shared" si="6"/>
        <v>1620.0000000000002</v>
      </c>
      <c r="O17" s="72"/>
      <c r="P17" s="72">
        <f t="shared" si="6"/>
        <v>-4521</v>
      </c>
      <c r="Q17" s="72">
        <f t="shared" si="6"/>
        <v>-2901</v>
      </c>
      <c r="R17" s="72"/>
      <c r="S17" s="72">
        <f t="shared" si="6"/>
        <v>3233</v>
      </c>
      <c r="T17" s="38"/>
    </row>
    <row r="18" spans="2:40" ht="6" customHeight="1" thickBot="1" x14ac:dyDescent="0.3"/>
    <row r="19" spans="2:40" ht="31.5" customHeight="1" thickBot="1" x14ac:dyDescent="0.3">
      <c r="B19" s="107" t="s">
        <v>18</v>
      </c>
      <c r="C19" s="108"/>
      <c r="D19" s="108"/>
      <c r="E19" s="108"/>
      <c r="F19" s="108"/>
      <c r="G19" s="108"/>
      <c r="H19" s="108"/>
      <c r="I19" s="108"/>
      <c r="J19" s="59"/>
      <c r="K19" s="59"/>
      <c r="L19" s="23"/>
      <c r="M19" s="23"/>
      <c r="N19" s="40">
        <f>T15</f>
        <v>0.23333333333333334</v>
      </c>
      <c r="O19" s="105" t="s">
        <v>24</v>
      </c>
      <c r="P19" s="105"/>
      <c r="Q19" s="105"/>
      <c r="R19" s="106"/>
    </row>
    <row r="20" spans="2:40" ht="6" customHeight="1" thickBot="1" x14ac:dyDescent="0.3">
      <c r="R20" s="5"/>
    </row>
    <row r="21" spans="2:40" ht="18.75" customHeight="1" thickBot="1" x14ac:dyDescent="0.3">
      <c r="D21" s="109" t="s">
        <v>33</v>
      </c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75"/>
      <c r="Q21" s="39">
        <f>E17-H17</f>
        <v>1620</v>
      </c>
      <c r="R21" s="19"/>
    </row>
    <row r="22" spans="2:40" ht="7.5" customHeight="1" thickBot="1" x14ac:dyDescent="0.3">
      <c r="B22" s="15"/>
      <c r="C22" s="15"/>
      <c r="D22" s="15"/>
      <c r="E22" s="16"/>
      <c r="F22" s="16"/>
      <c r="G22" s="16"/>
    </row>
    <row r="23" spans="2:40" x14ac:dyDescent="0.25">
      <c r="B23" s="15"/>
      <c r="C23" s="15"/>
      <c r="D23" s="17"/>
      <c r="E23" s="41" t="s">
        <v>19</v>
      </c>
      <c r="F23" s="43"/>
      <c r="G23" s="43"/>
      <c r="H23" s="42"/>
      <c r="I23" s="43">
        <v>5</v>
      </c>
      <c r="J23" s="43"/>
      <c r="K23" s="43"/>
      <c r="L23" s="44"/>
      <c r="M23" s="44"/>
      <c r="N23" s="45"/>
      <c r="O23" s="46"/>
      <c r="P23" s="53"/>
    </row>
    <row r="24" spans="2:40" x14ac:dyDescent="0.25">
      <c r="B24" s="15"/>
      <c r="C24" s="15"/>
      <c r="D24" s="17"/>
      <c r="E24" s="47">
        <v>2013</v>
      </c>
      <c r="F24" s="65"/>
      <c r="G24" s="65"/>
      <c r="H24" s="48"/>
      <c r="I24" s="74">
        <f>SUM(E5:E15)</f>
        <v>27501</v>
      </c>
      <c r="J24" s="62" t="s">
        <v>20</v>
      </c>
      <c r="K24" s="62"/>
      <c r="L24" s="64" t="s">
        <v>25</v>
      </c>
      <c r="M24" s="64"/>
      <c r="N24" s="63"/>
      <c r="O24" s="50"/>
      <c r="P24" s="53"/>
    </row>
    <row r="25" spans="2:40" x14ac:dyDescent="0.25">
      <c r="B25" s="15"/>
      <c r="C25" s="15"/>
      <c r="D25" s="17"/>
      <c r="E25" s="47" t="s">
        <v>23</v>
      </c>
      <c r="F25" s="65"/>
      <c r="G25" s="65"/>
      <c r="H25" s="48"/>
      <c r="I25" s="74">
        <f>SUM(I5:I15)</f>
        <v>27879</v>
      </c>
      <c r="J25" s="62" t="s">
        <v>20</v>
      </c>
      <c r="K25" s="62"/>
      <c r="L25" s="64" t="s">
        <v>25</v>
      </c>
      <c r="M25" s="64"/>
      <c r="N25" s="63"/>
      <c r="O25" s="50"/>
      <c r="P25" s="53"/>
    </row>
    <row r="26" spans="2:40" x14ac:dyDescent="0.25">
      <c r="B26" s="15"/>
      <c r="C26" s="15"/>
      <c r="D26" s="17"/>
      <c r="E26" s="51" t="s">
        <v>21</v>
      </c>
      <c r="F26" s="66"/>
      <c r="G26" s="66"/>
      <c r="H26" s="52"/>
      <c r="I26" s="49">
        <f>I24-I25</f>
        <v>-378</v>
      </c>
      <c r="J26" s="49"/>
      <c r="K26" s="49"/>
      <c r="L26" s="53"/>
      <c r="M26" s="53"/>
      <c r="N26" s="53"/>
      <c r="O26" s="50"/>
      <c r="P26" s="53"/>
    </row>
    <row r="27" spans="2:40" ht="13.8" thickBot="1" x14ac:dyDescent="0.3">
      <c r="B27" s="15"/>
      <c r="C27" s="15"/>
      <c r="D27" s="17"/>
      <c r="E27" s="54" t="s">
        <v>22</v>
      </c>
      <c r="F27" s="67"/>
      <c r="G27" s="67"/>
      <c r="H27" s="55"/>
      <c r="I27" s="56">
        <f>I26/I24</f>
        <v>-1.3744954728918948E-2</v>
      </c>
      <c r="J27" s="56"/>
      <c r="K27" s="56"/>
      <c r="L27" s="57"/>
      <c r="M27" s="57"/>
      <c r="N27" s="57"/>
      <c r="O27" s="58"/>
      <c r="P27" s="53"/>
    </row>
    <row r="28" spans="2:40" x14ac:dyDescent="0.25">
      <c r="B28" s="15"/>
      <c r="C28" s="15"/>
      <c r="D28" s="17"/>
      <c r="E28" s="9"/>
      <c r="F28" s="9"/>
      <c r="G28" s="9"/>
      <c r="H28" s="13"/>
      <c r="I28" s="1"/>
      <c r="J28" s="1"/>
      <c r="K28" s="1"/>
    </row>
    <row r="29" spans="2:40" x14ac:dyDescent="0.25">
      <c r="B29" s="15"/>
      <c r="C29" s="15"/>
      <c r="D29" s="18"/>
      <c r="E29" s="9"/>
      <c r="F29" s="9"/>
      <c r="G29" s="9"/>
      <c r="H29" s="13"/>
      <c r="I29" s="1"/>
      <c r="J29" s="1"/>
      <c r="K29" s="84" t="s">
        <v>42</v>
      </c>
    </row>
    <row r="30" spans="2:40" ht="13.8" x14ac:dyDescent="0.25">
      <c r="B30" s="15"/>
      <c r="C30" s="68"/>
      <c r="D30" s="69"/>
      <c r="E30" s="69"/>
      <c r="F30" s="68"/>
      <c r="G30" s="68"/>
      <c r="H30" s="69"/>
      <c r="I30" s="69"/>
      <c r="J30" s="68"/>
      <c r="K30" s="86" t="s">
        <v>41</v>
      </c>
      <c r="L30" s="69"/>
      <c r="M30" s="69"/>
      <c r="N30" s="69"/>
      <c r="O30" s="68"/>
      <c r="P30" s="68"/>
      <c r="Q30" s="69"/>
      <c r="R30" s="69"/>
      <c r="S30" s="68"/>
      <c r="T30" s="69"/>
      <c r="U30" s="69"/>
      <c r="V30" s="69"/>
      <c r="W30" s="68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</row>
    <row r="31" spans="2:40" x14ac:dyDescent="0.25">
      <c r="B31" s="15"/>
      <c r="C31" s="15"/>
      <c r="D31" s="17"/>
      <c r="E31" s="9"/>
      <c r="F31" s="9"/>
      <c r="G31" s="9"/>
      <c r="H31" s="14"/>
      <c r="I31" s="1"/>
      <c r="J31" s="1"/>
      <c r="K31" s="84" t="s">
        <v>43</v>
      </c>
    </row>
    <row r="32" spans="2:40" x14ac:dyDescent="0.25">
      <c r="B32" s="15"/>
      <c r="C32" s="15"/>
      <c r="D32" s="17"/>
      <c r="E32" s="9"/>
      <c r="F32" s="9"/>
      <c r="G32" s="9"/>
      <c r="H32" s="13"/>
      <c r="I32" s="1"/>
      <c r="J32" s="1"/>
      <c r="K32" s="85" t="s">
        <v>44</v>
      </c>
    </row>
    <row r="33" spans="2:11" x14ac:dyDescent="0.25">
      <c r="B33" s="15"/>
      <c r="C33" s="15"/>
      <c r="D33" s="9"/>
      <c r="E33" s="9"/>
      <c r="F33" s="9"/>
      <c r="G33" s="9"/>
      <c r="H33" s="1"/>
      <c r="I33" s="1"/>
      <c r="J33" s="1"/>
      <c r="K33" s="1"/>
    </row>
    <row r="36" spans="2:11" x14ac:dyDescent="0.25">
      <c r="H36" s="5"/>
      <c r="I36" s="5"/>
      <c r="J36" s="5"/>
      <c r="K36" s="87"/>
    </row>
  </sheetData>
  <mergeCells count="4">
    <mergeCell ref="B2:R2"/>
    <mergeCell ref="O19:R19"/>
    <mergeCell ref="B19:I19"/>
    <mergeCell ref="D21:O21"/>
  </mergeCells>
  <dataValidations count="1">
    <dataValidation type="list" allowBlank="1" showInputMessage="1" showErrorMessage="1" sqref="K5:K16">
      <formula1>$K$29:$K$32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Glascoed Munitions Factory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Warwick House, PO BOx 87, Farnborough Aerospace Centre, Farnborough, Hampshire GU14 6YU 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2015-06-10T23:00:00+00:00</Document_x0020_Date>
    <Facility_x0020_Address xmlns="859f7ad6-93f6-4205-b62b-a17f28acbbac">Glascoed, Usk, Monmouthshire NP15 1XL</Facility_x0020_Address>
    <Environment_x0020_Sub_x0020_Folder xmlns="859f7ad6-93f6-4205-b62b-a17f28acbbac">Licence supervision</Environment_x0020_Sub_x0020_Folder>
    <Customer_x0020_Name xmlns="859f7ad6-93f6-4205-b62b-a17f28acbbac">BAE Systems Land Systems (Munitions and Ordnance) Ltd acting under the trading name of BAE Systems Land (UK)</Customer_x0020_Name>
    <Surrendered_x002f_Expired xmlns="859f7ad6-93f6-4205-b62b-a17f28acbbac" xsi:nil="true"/>
    <Post_x0020_code xmlns="859f7ad6-93f6-4205-b62b-a17f28acbbac">NP15 1XL</Post_x0020_code>
    <Surrendered_x002f_Expired_x0020_Date xmlns="859f7ad6-93f6-4205-b62b-a17f28acbbac" xsi:nil="true"/>
    <_dlc_DocId xmlns="9be56660-2c31-41ef-bc00-23e72f632f2a">REGU-386-14399</_dlc_DocId>
    <_dlc_DocIdUrl xmlns="9be56660-2c31-41ef-bc00-23e72f632f2a">
      <Url>https://cyfoethnaturiolcymru.sharepoint.com/teams/Regulatory/Permitting/_layouts/15/DocIdRedir.aspx?ID=REGU-386-14399</Url>
      <Description>REGU-386-14399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71" ma:contentTypeDescription="Permitting &amp; Compliance Excel Document" ma:contentTypeScope="" ma:versionID="4578bad82673d9d9303eb493f31c8b7a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targetNamespace="http://schemas.microsoft.com/office/2006/metadata/properties" ma:root="true" ma:fieldsID="239d702eee03ee8c2bd94faf93946083" ns2:_="" ns4:_="" ns5:_="">
    <xsd:import namespace="859f7ad6-93f6-4205-b62b-a17f28acbbac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FF487A7-2F2F-4F66-927E-48B30A5AED82}">
  <ds:schemaRefs>
    <ds:schemaRef ds:uri="http://purl.org/dc/elements/1.1/"/>
    <ds:schemaRef ds:uri="c5dc1146-186d-4656-bf78-08ad8eaa07fc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590f49ed-8d5d-4f10-9703-db5fb8dde4be"/>
    <ds:schemaRef ds:uri="C5DC1146-186D-4656-BF78-08AD8EAA07FC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cdb461a0-7479-431a-aff8-32582ad0a235"/>
    <ds:schemaRef ds:uri="http://schemas.microsoft.com/sharepoint/v3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B34BBA9-5B81-40A3-8945-C84C099CEF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715E8A-1B6A-463E-B851-C802FC31C852}"/>
</file>

<file path=customXml/itemProps4.xml><?xml version="1.0" encoding="utf-8"?>
<ds:datastoreItem xmlns:ds="http://schemas.openxmlformats.org/officeDocument/2006/customXml" ds:itemID="{DCB14F78-75CE-4CFD-AEE1-03557EA6E9DA}"/>
</file>

<file path=customXml/itemProps5.xml><?xml version="1.0" encoding="utf-8"?>
<ds:datastoreItem xmlns:ds="http://schemas.openxmlformats.org/officeDocument/2006/customXml" ds:itemID="{5ADB5D66-BC73-44E3-BF4A-561607B193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 Water Chart</vt:lpstr>
      <vt:lpstr>D Water Data</vt:lpstr>
      <vt:lpstr>Sheet1</vt:lpstr>
    </vt:vector>
  </TitlesOfParts>
  <Company>BAE SYSTEMS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Annual 2014 PC 4.2.1b-EMS-Domestic Water Data</dc:title>
  <dc:creator>BAE</dc:creator>
  <cp:keywords>Glascoed Domestic Water Graph</cp:keywords>
  <cp:lastModifiedBy>Parr, Elizabeth</cp:lastModifiedBy>
  <cp:lastPrinted>2011-06-14T13:53:00Z</cp:lastPrinted>
  <dcterms:created xsi:type="dcterms:W3CDTF">2011-03-29T09:38:52Z</dcterms:created>
  <dcterms:modified xsi:type="dcterms:W3CDTF">2016-08-24T07:42:42Z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cc2c2a8c-23d5-4e60-9734-ae8793c8489f</vt:lpwstr>
  </property>
  <property fmtid="{D5CDD505-2E9C-101B-9397-08002B2CF9AE}" pid="4" name="TaxKeyword">
    <vt:lpwstr>2690;#Glascoed Domestic Water Graph|6215d291-7282-4c85-bab7-20f85fc43131</vt:lpwstr>
  </property>
  <property fmtid="{D5CDD505-2E9C-101B-9397-08002B2CF9AE}" pid="5" name="Document Type">
    <vt:lpwstr>446;#Energy|877bbe0a-507a-4151-91f7-52cb610832a0</vt:lpwstr>
  </property>
  <property fmtid="{D5CDD505-2E9C-101B-9397-08002B2CF9AE}" pid="6" name="_docset_NoMedatataSyncRequired">
    <vt:lpwstr>False</vt:lpwstr>
  </property>
  <property fmtid="{D5CDD505-2E9C-101B-9397-08002B2CF9AE}" pid="7" name="_dlc_DocId">
    <vt:lpwstr>REGU-386-14399</vt:lpwstr>
  </property>
  <property fmtid="{D5CDD505-2E9C-101B-9397-08002B2CF9AE}" pid="8" name="_dlc_DocIdUrl">
    <vt:lpwstr>https://cyfoethnaturiolcymru.sharepoint.com/teams/Regulatory/Permitting/_layouts/15/DocIdRedir.aspx?ID=REGU-386-14399, REGU-386-14399</vt:lpwstr>
  </property>
</Properties>
</file>