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drawings/drawing2.xml" ContentType="application/vnd.openxmlformats-officedocument.drawingml.chartshapes+xml"/>
  <Override PartName="/xl/drawings/drawing4.xml" ContentType="application/vnd.openxmlformats-officedocument.drawingml.chartshapes+xml"/>
  <Override PartName="/xl/drawings/drawing3.xml" ContentType="application/vnd.openxmlformats-officedocument.drawingml.chartshapes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BAE Systems Global Combat Systems Munitions Ltd LP3731SU/"/>
    </mc:Choice>
  </mc:AlternateContent>
  <bookViews>
    <workbookView xWindow="0" yWindow="0" windowWidth="20160" windowHeight="8472" tabRatio="274"/>
  </bookViews>
  <sheets>
    <sheet name="Gas Chart" sheetId="5" r:id="rId1"/>
    <sheet name="Gas Data" sheetId="6" r:id="rId2"/>
    <sheet name="Sheet1" sheetId="7" r:id="rId3"/>
  </sheets>
  <calcPr calcId="152511"/>
</workbook>
</file>

<file path=xl/calcChain.xml><?xml version="1.0" encoding="utf-8"?>
<calcChain xmlns="http://schemas.openxmlformats.org/spreadsheetml/2006/main">
  <c r="I25" i="6" l="1"/>
  <c r="I24" i="6"/>
  <c r="H16" i="6" l="1"/>
  <c r="H15" i="6"/>
  <c r="H14" i="6"/>
  <c r="H13" i="6"/>
  <c r="H12" i="6"/>
  <c r="H11" i="6"/>
  <c r="H10" i="6"/>
  <c r="H9" i="6"/>
  <c r="H8" i="6"/>
  <c r="H7" i="6"/>
  <c r="H6" i="6"/>
  <c r="H5" i="6"/>
  <c r="M6" i="6" l="1"/>
  <c r="M7" i="6"/>
  <c r="M8" i="6"/>
  <c r="M9" i="6"/>
  <c r="M10" i="6"/>
  <c r="M11" i="6"/>
  <c r="M12" i="6"/>
  <c r="M13" i="6"/>
  <c r="M14" i="6"/>
  <c r="M15" i="6"/>
  <c r="M16" i="6"/>
  <c r="M5" i="6"/>
  <c r="G6" i="6"/>
  <c r="G7" i="6"/>
  <c r="G8" i="6"/>
  <c r="G9" i="6"/>
  <c r="G10" i="6"/>
  <c r="G11" i="6"/>
  <c r="G12" i="6"/>
  <c r="G13" i="6"/>
  <c r="G14" i="6"/>
  <c r="G15" i="6"/>
  <c r="G16" i="6"/>
  <c r="G5" i="6"/>
  <c r="G17" i="6" l="1"/>
  <c r="M17" i="6"/>
  <c r="F17" i="6"/>
  <c r="E17" i="6" l="1"/>
  <c r="C17" i="6"/>
  <c r="I26" i="6" l="1"/>
  <c r="I27" i="6" l="1"/>
  <c r="G32" i="5" s="1"/>
  <c r="N6" i="6"/>
  <c r="N7" i="6"/>
  <c r="N8" i="6"/>
  <c r="N9" i="6"/>
  <c r="N10" i="6"/>
  <c r="N11" i="6"/>
  <c r="N12" i="6"/>
  <c r="N13" i="6"/>
  <c r="N14" i="6"/>
  <c r="N15" i="6"/>
  <c r="N16" i="6"/>
  <c r="P16" i="6"/>
  <c r="I17" i="6"/>
  <c r="P14" i="6"/>
  <c r="P12" i="6"/>
  <c r="P10" i="6"/>
  <c r="P8" i="6"/>
  <c r="D17" i="6"/>
  <c r="P6" i="6"/>
  <c r="P7" i="6"/>
  <c r="P9" i="6"/>
  <c r="P11" i="6"/>
  <c r="P13" i="6"/>
  <c r="P15" i="6"/>
  <c r="P5" i="6"/>
  <c r="R5" i="6" s="1"/>
  <c r="N5" i="6"/>
  <c r="O16" i="6" l="1"/>
  <c r="O12" i="6"/>
  <c r="O8" i="6"/>
  <c r="O15" i="6"/>
  <c r="O11" i="6"/>
  <c r="O7" i="6"/>
  <c r="O14" i="6"/>
  <c r="O10" i="6"/>
  <c r="O6" i="6"/>
  <c r="O13" i="6"/>
  <c r="O9" i="6"/>
  <c r="O5" i="6"/>
  <c r="R6" i="6"/>
  <c r="R8" i="6"/>
  <c r="R7" i="6"/>
  <c r="R14" i="6"/>
  <c r="R10" i="6"/>
  <c r="R13" i="6"/>
  <c r="R9" i="6"/>
  <c r="R16" i="6"/>
  <c r="R12" i="6"/>
  <c r="R15" i="6"/>
  <c r="R11" i="6"/>
  <c r="Q5" i="6"/>
  <c r="Q6" i="6"/>
  <c r="Q7" i="6"/>
  <c r="S12" i="6"/>
  <c r="Q13" i="6"/>
  <c r="Q10" i="6"/>
  <c r="Q16" i="6"/>
  <c r="S6" i="6"/>
  <c r="S8" i="6"/>
  <c r="S10" i="6"/>
  <c r="S14" i="6"/>
  <c r="S16" i="6"/>
  <c r="Q15" i="6"/>
  <c r="Q11" i="6"/>
  <c r="Q8" i="6"/>
  <c r="Q12" i="6"/>
  <c r="S5" i="6"/>
  <c r="S7" i="6"/>
  <c r="S9" i="6"/>
  <c r="S11" i="6"/>
  <c r="S13" i="6"/>
  <c r="S15" i="6"/>
  <c r="Q9" i="6"/>
  <c r="Q14" i="6"/>
  <c r="D32" i="5"/>
  <c r="H17" i="6"/>
  <c r="Q21" i="6" l="1"/>
  <c r="T7" i="6" s="1"/>
  <c r="N17" i="6"/>
  <c r="P17" i="6"/>
  <c r="T13" i="6" l="1"/>
  <c r="T15" i="6"/>
  <c r="N19" i="6" s="1"/>
  <c r="T6" i="6"/>
  <c r="T10" i="6"/>
  <c r="T11" i="6"/>
  <c r="T9" i="6"/>
  <c r="T12" i="6"/>
  <c r="T8" i="6"/>
  <c r="T5" i="6"/>
  <c r="T16" i="6"/>
  <c r="T14" i="6"/>
  <c r="Q17" i="6"/>
  <c r="S17" i="6" l="1"/>
</calcChain>
</file>

<file path=xl/sharedStrings.xml><?xml version="1.0" encoding="utf-8"?>
<sst xmlns="http://schemas.openxmlformats.org/spreadsheetml/2006/main" count="44" uniqueCount="41">
  <si>
    <t>Jan</t>
  </si>
  <si>
    <t>Feb</t>
  </si>
  <si>
    <t>Mar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</si>
  <si>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</si>
  <si>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</si>
  <si>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</si>
  <si>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</si>
  <si>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</si>
  <si>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</si>
  <si>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</si>
  <si>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</si>
  <si>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</si>
  <si>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Cumulative Difference YTD Kwh</t>
  </si>
  <si>
    <t>Actual 2011</t>
  </si>
  <si>
    <t>Month</t>
  </si>
  <si>
    <t>Actual 2012</t>
  </si>
  <si>
    <t>Totals</t>
  </si>
  <si>
    <t>YTD % Achievement to Target</t>
  </si>
  <si>
    <t>Actual 2013</t>
  </si>
  <si>
    <t>Month Deviation from Target (kwh)</t>
  </si>
  <si>
    <t>Target YTD Achievement (%)</t>
  </si>
  <si>
    <t>Target %</t>
  </si>
  <si>
    <t>&lt;&lt;&lt;&lt;&lt;</t>
  </si>
  <si>
    <t>Difference YTD</t>
  </si>
  <si>
    <t>Percentage</t>
  </si>
  <si>
    <t>Gas 2014</t>
  </si>
  <si>
    <t>Actual 2014</t>
  </si>
  <si>
    <t>&lt;&lt;&lt;&lt;&lt;&lt; Change to current row</t>
  </si>
  <si>
    <t>Alter these for current row / month data….</t>
  </si>
  <si>
    <t>Target Saving for 2014  (kwh)</t>
  </si>
  <si>
    <t>Actual Standard Hours for 2013</t>
  </si>
  <si>
    <t>KwH per Standard Hour Booked 2013</t>
  </si>
  <si>
    <t>KwH per Standard Hour Booked 2014</t>
  </si>
  <si>
    <t>Actual "In-Month" Difference vs 2013 (kwh)</t>
  </si>
  <si>
    <t>"In-Month" Target Savings (kwh)</t>
  </si>
  <si>
    <t>Actual Productive Hours 2014</t>
  </si>
  <si>
    <t>In Month Gap Cumulative (Kwh)</t>
  </si>
  <si>
    <t>Cumulative Target Saving (KwH)</t>
  </si>
  <si>
    <t>Reason for Variance</t>
  </si>
  <si>
    <t>Comments</t>
  </si>
  <si>
    <t>Target 2014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</si>
</sst>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mmm\ yyyy"/>
  </numFmts>
  <fonts count="21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7FCB6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3" fontId="10" fillId="0" borderId="1" xfId="0" applyNumberFormat="1" applyFont="1" applyBorder="1" applyAlignment="1">
      <alignment horizontal="center"/>
    </xf>
    <xf numFmtId="4" fontId="1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/>
    <xf numFmtId="3" fontId="1" fillId="6" borderId="1" xfId="0" applyNumberFormat="1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3" fontId="1" fillId="0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9" fontId="0" fillId="0" borderId="0" xfId="0" applyNumberFormat="1"/>
    <xf numFmtId="3" fontId="10" fillId="6" borderId="1" xfId="0" applyNumberFormat="1" applyFont="1" applyFill="1" applyBorder="1" applyAlignment="1">
      <alignment horizontal="center"/>
    </xf>
    <xf numFmtId="3" fontId="10" fillId="6" borderId="1" xfId="0" applyNumberFormat="1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0" fontId="5" fillId="9" borderId="3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3" fontId="9" fillId="4" borderId="14" xfId="0" applyNumberFormat="1" applyFont="1" applyFill="1" applyBorder="1" applyAlignment="1">
      <alignment horizontal="center" vertical="center" wrapText="1"/>
    </xf>
    <xf numFmtId="0" fontId="9" fillId="4" borderId="14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0" fontId="5" fillId="5" borderId="14" xfId="0" applyNumberFormat="1" applyFont="1" applyFill="1" applyBorder="1" applyAlignment="1">
      <alignment horizontal="center" vertical="center" wrapText="1"/>
    </xf>
    <xf numFmtId="0" fontId="9" fillId="8" borderId="14" xfId="0" applyNumberFormat="1" applyFont="1" applyFill="1" applyBorder="1" applyAlignment="1">
      <alignment horizontal="center" vertical="center" wrapText="1"/>
    </xf>
    <xf numFmtId="0" fontId="7" fillId="8" borderId="14" xfId="0" applyNumberFormat="1" applyFont="1" applyFill="1" applyBorder="1" applyAlignment="1">
      <alignment horizontal="center" vertical="center" wrapText="1"/>
    </xf>
    <xf numFmtId="3" fontId="7" fillId="4" borderId="14" xfId="0" applyNumberFormat="1" applyFont="1" applyFill="1" applyBorder="1" applyAlignment="1">
      <alignment horizontal="center" vertical="center" wrapText="1"/>
    </xf>
    <xf numFmtId="3" fontId="9" fillId="4" borderId="15" xfId="0" applyNumberFormat="1" applyFont="1" applyFill="1" applyBorder="1" applyAlignment="1">
      <alignment horizontal="center" vertical="center" wrapText="1"/>
    </xf>
    <xf numFmtId="15" fontId="3" fillId="4" borderId="16" xfId="0" applyNumberFormat="1" applyFont="1" applyFill="1" applyBorder="1" applyAlignment="1">
      <alignment horizontal="center" vertical="center" wrapText="1"/>
    </xf>
    <xf numFmtId="164" fontId="0" fillId="0" borderId="17" xfId="0" applyNumberFormat="1" applyFill="1" applyBorder="1" applyAlignment="1">
      <alignment horizontal="center" vertical="center"/>
    </xf>
    <xf numFmtId="15" fontId="3" fillId="4" borderId="16" xfId="0" applyNumberFormat="1" applyFont="1" applyFill="1" applyBorder="1" applyAlignment="1">
      <alignment horizontal="center"/>
    </xf>
    <xf numFmtId="0" fontId="7" fillId="8" borderId="18" xfId="0" applyFont="1" applyFill="1" applyBorder="1" applyAlignment="1">
      <alignment horizontal="center" vertical="center"/>
    </xf>
    <xf numFmtId="3" fontId="7" fillId="8" borderId="19" xfId="0" applyNumberFormat="1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9" fontId="2" fillId="9" borderId="3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0" fillId="5" borderId="8" xfId="0" applyFill="1" applyBorder="1"/>
    <xf numFmtId="10" fontId="0" fillId="5" borderId="8" xfId="0" applyNumberFormat="1" applyFill="1" applyBorder="1"/>
    <xf numFmtId="0" fontId="0" fillId="5" borderId="10" xfId="0" applyFill="1" applyBorder="1"/>
    <xf numFmtId="0" fontId="7" fillId="5" borderId="6" xfId="0" applyFont="1" applyFill="1" applyBorder="1" applyAlignment="1">
      <alignment horizontal="center" vertical="center"/>
    </xf>
    <xf numFmtId="4" fontId="7" fillId="5" borderId="0" xfId="0" applyNumberFormat="1" applyFont="1" applyFill="1" applyBorder="1" applyAlignment="1">
      <alignment horizontal="center" vertical="center" wrapText="1"/>
    </xf>
    <xf numFmtId="3" fontId="7" fillId="5" borderId="0" xfId="0" applyNumberFormat="1" applyFont="1" applyFill="1" applyBorder="1" applyAlignment="1">
      <alignment horizontal="center" vertical="center"/>
    </xf>
    <xf numFmtId="0" fontId="0" fillId="5" borderId="11" xfId="0" applyFill="1" applyBorder="1"/>
    <xf numFmtId="0" fontId="7" fillId="5" borderId="6" xfId="0" applyFont="1" applyFill="1" applyBorder="1"/>
    <xf numFmtId="3" fontId="7" fillId="5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0" fontId="7" fillId="5" borderId="7" xfId="0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/>
    </xf>
    <xf numFmtId="0" fontId="0" fillId="5" borderId="9" xfId="0" applyFill="1" applyBorder="1"/>
    <xf numFmtId="0" fontId="0" fillId="5" borderId="12" xfId="0" applyFill="1" applyBorder="1"/>
    <xf numFmtId="0" fontId="5" fillId="9" borderId="3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/>
    </xf>
    <xf numFmtId="3" fontId="6" fillId="6" borderId="22" xfId="0" applyNumberFormat="1" applyFont="1" applyFill="1" applyBorder="1" applyAlignment="1">
      <alignment horizontal="center" vertical="center" wrapText="1"/>
    </xf>
    <xf numFmtId="3" fontId="6" fillId="6" borderId="22" xfId="0" applyNumberFormat="1" applyFont="1" applyFill="1" applyBorder="1" applyAlignment="1">
      <alignment horizontal="center"/>
    </xf>
    <xf numFmtId="0" fontId="15" fillId="5" borderId="0" xfId="0" applyFont="1" applyFill="1" applyBorder="1"/>
    <xf numFmtId="0" fontId="6" fillId="5" borderId="0" xfId="0" applyFont="1" applyFill="1" applyBorder="1" applyAlignment="1"/>
    <xf numFmtId="0" fontId="14" fillId="5" borderId="0" xfId="0" applyFont="1" applyFill="1" applyBorder="1" applyAlignment="1"/>
    <xf numFmtId="0" fontId="7" fillId="5" borderId="0" xfId="0" applyFont="1" applyFill="1" applyBorder="1" applyAlignment="1">
      <alignment horizontal="center" vertical="center"/>
    </xf>
    <xf numFmtId="0" fontId="7" fillId="5" borderId="0" xfId="0" applyFont="1" applyFill="1" applyBorder="1"/>
    <xf numFmtId="0" fontId="7" fillId="5" borderId="9" xfId="0" applyFont="1" applyFill="1" applyBorder="1" applyAlignment="1">
      <alignment horizontal="center" vertical="center"/>
    </xf>
    <xf numFmtId="1" fontId="13" fillId="0" borderId="0" xfId="0" applyNumberFormat="1" applyFont="1" applyBorder="1"/>
    <xf numFmtId="0" fontId="13" fillId="0" borderId="0" xfId="0" applyFont="1" applyBorder="1"/>
    <xf numFmtId="0" fontId="8" fillId="5" borderId="14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/>
    </xf>
    <xf numFmtId="3" fontId="8" fillId="8" borderId="19" xfId="0" applyNumberFormat="1" applyFont="1" applyFill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/>
    </xf>
    <xf numFmtId="3" fontId="7" fillId="10" borderId="0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8" fillId="8" borderId="14" xfId="0" applyNumberFormat="1" applyFont="1" applyFill="1" applyBorder="1" applyAlignment="1">
      <alignment horizontal="center" vertical="center" wrapText="1"/>
    </xf>
    <xf numFmtId="1" fontId="19" fillId="0" borderId="0" xfId="0" applyNumberFormat="1" applyFont="1" applyBorder="1"/>
    <xf numFmtId="0" fontId="20" fillId="0" borderId="0" xfId="0" applyFont="1" applyBorder="1"/>
    <xf numFmtId="0" fontId="20" fillId="0" borderId="0" xfId="0" applyFont="1" applyFill="1" applyBorder="1"/>
    <xf numFmtId="165" fontId="2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164" fontId="11" fillId="7" borderId="8" xfId="0" applyNumberFormat="1" applyFont="1" applyFill="1" applyBorder="1" applyAlignment="1">
      <alignment horizontal="center" vertical="center"/>
    </xf>
    <xf numFmtId="164" fontId="11" fillId="7" borderId="10" xfId="0" applyNumberFormat="1" applyFont="1" applyFill="1" applyBorder="1" applyAlignment="1">
      <alignment horizontal="center" vertical="center"/>
    </xf>
    <xf numFmtId="164" fontId="11" fillId="7" borderId="0" xfId="0" applyNumberFormat="1" applyFont="1" applyFill="1" applyBorder="1" applyAlignment="1">
      <alignment horizontal="center" vertical="center"/>
    </xf>
    <xf numFmtId="164" fontId="11" fillId="7" borderId="11" xfId="0" applyNumberFormat="1" applyFont="1" applyFill="1" applyBorder="1" applyAlignment="1">
      <alignment horizontal="center" vertical="center"/>
    </xf>
    <xf numFmtId="164" fontId="11" fillId="7" borderId="9" xfId="0" applyNumberFormat="1" applyFont="1" applyFill="1" applyBorder="1" applyAlignment="1">
      <alignment horizontal="center" vertical="center"/>
    </xf>
    <xf numFmtId="164" fontId="11" fillId="7" borderId="12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7FCB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Gas Consumption KwH 2014 Versus 2013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'Gas Data'!$E$4</c:f>
              <c:strCache>
                <c:ptCount val="1"/>
                <c:pt idx="0">
                  <c:v>Actual 2013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'Gas Data'!$E$5:$E$16</c:f>
              <c:numCache>
                <c:formatCode>#,##0</c:formatCode>
                <c:ptCount val="12"/>
                <c:pt idx="0">
                  <c:v>6507587</c:v>
                </c:pt>
                <c:pt idx="1">
                  <c:v>6152366</c:v>
                </c:pt>
                <c:pt idx="2">
                  <c:v>7032326</c:v>
                </c:pt>
                <c:pt idx="3">
                  <c:v>6343428</c:v>
                </c:pt>
                <c:pt idx="4">
                  <c:v>4237437</c:v>
                </c:pt>
                <c:pt idx="5">
                  <c:v>2791667</c:v>
                </c:pt>
                <c:pt idx="6">
                  <c:v>1788533</c:v>
                </c:pt>
                <c:pt idx="7">
                  <c:v>2024975</c:v>
                </c:pt>
                <c:pt idx="8">
                  <c:v>3267538</c:v>
                </c:pt>
                <c:pt idx="9">
                  <c:v>4946404</c:v>
                </c:pt>
                <c:pt idx="10">
                  <c:v>6774475</c:v>
                </c:pt>
                <c:pt idx="11">
                  <c:v>5248636</c:v>
                </c:pt>
              </c:numCache>
            </c:numRef>
          </c:val>
        </c:ser>
        <c:ser>
          <c:idx val="0"/>
          <c:order val="1"/>
          <c:tx>
            <c:strRef>
              <c:f>'Gas Data'!$H$4</c:f>
              <c:strCache>
                <c:ptCount val="1"/>
                <c:pt idx="0">
                  <c:v>Target 2014 (5%)</c:v>
                </c:pt>
              </c:strCache>
            </c:strRef>
          </c:tx>
          <c:spPr>
            <a:solidFill>
              <a:srgbClr val="FFC000">
                <a:alpha val="72000"/>
              </a:srgbClr>
            </a:solidFill>
            <a:ln w="25400">
              <a:noFill/>
              <a:prstDash val="solid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Data'!$H$5:$H$16</c:f>
              <c:numCache>
                <c:formatCode>#,##0</c:formatCode>
                <c:ptCount val="12"/>
                <c:pt idx="0">
                  <c:v>6182207.6500000004</c:v>
                </c:pt>
                <c:pt idx="1">
                  <c:v>5844747.7000000002</c:v>
                </c:pt>
                <c:pt idx="2">
                  <c:v>6680709.7000000002</c:v>
                </c:pt>
                <c:pt idx="3">
                  <c:v>6026256.5999999996</c:v>
                </c:pt>
                <c:pt idx="4">
                  <c:v>4025565.15</c:v>
                </c:pt>
                <c:pt idx="5">
                  <c:v>2652083.65</c:v>
                </c:pt>
                <c:pt idx="6">
                  <c:v>1699106.35</c:v>
                </c:pt>
                <c:pt idx="7">
                  <c:v>1923726.25</c:v>
                </c:pt>
                <c:pt idx="8">
                  <c:v>3104161.1</c:v>
                </c:pt>
                <c:pt idx="9">
                  <c:v>4699083.8</c:v>
                </c:pt>
                <c:pt idx="10">
                  <c:v>6435751.25</c:v>
                </c:pt>
                <c:pt idx="11">
                  <c:v>4986204.2</c:v>
                </c:pt>
              </c:numCache>
            </c:numRef>
          </c:val>
        </c:ser>
        <c:ser>
          <c:idx val="1"/>
          <c:order val="2"/>
          <c:tx>
            <c:strRef>
              <c:f>'Gas Data'!$I$4</c:f>
              <c:strCache>
                <c:ptCount val="1"/>
                <c:pt idx="0">
                  <c:v>Actual 2014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Data'!$I$5:$I$16</c:f>
              <c:numCache>
                <c:formatCode>#,##0</c:formatCode>
                <c:ptCount val="12"/>
                <c:pt idx="0">
                  <c:v>7495678</c:v>
                </c:pt>
                <c:pt idx="1">
                  <c:v>6723448</c:v>
                </c:pt>
                <c:pt idx="2">
                  <c:v>6719595</c:v>
                </c:pt>
                <c:pt idx="3">
                  <c:v>5190034</c:v>
                </c:pt>
                <c:pt idx="4">
                  <c:v>4280091</c:v>
                </c:pt>
                <c:pt idx="5">
                  <c:v>2521736</c:v>
                </c:pt>
                <c:pt idx="6">
                  <c:v>1274140</c:v>
                </c:pt>
                <c:pt idx="7">
                  <c:v>1293961</c:v>
                </c:pt>
                <c:pt idx="8">
                  <c:v>2033967</c:v>
                </c:pt>
                <c:pt idx="9">
                  <c:v>2995902</c:v>
                </c:pt>
                <c:pt idx="10">
                  <c:v>5007072</c:v>
                </c:pt>
                <c:pt idx="11">
                  <c:v>5386133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548056"/>
        <c:axId val="292517080"/>
      </c:barChart>
      <c:catAx>
        <c:axId val="292548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2517080"/>
        <c:crosses val="autoZero"/>
        <c:auto val="1"/>
        <c:lblAlgn val="ctr"/>
        <c:lblOffset val="100"/>
        <c:noMultiLvlLbl val="0"/>
      </c:catAx>
      <c:valAx>
        <c:axId val="29251708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2548056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2439929569373899"/>
          <c:h val="0.13356616607904878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Gas Consumption: KwH Used per Standard Hour Booked (2014 Vs 2013)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5689404946574248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'Gas Data'!$G$4</c:f>
              <c:strCache>
                <c:ptCount val="1"/>
                <c:pt idx="0">
                  <c:v>KwH per Standard Hour Booked 2013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'Gas Data'!$G$5:$G$16</c:f>
              <c:numCache>
                <c:formatCode>#,##0</c:formatCode>
                <c:ptCount val="12"/>
                <c:pt idx="0">
                  <c:v>929.6552857142857</c:v>
                </c:pt>
                <c:pt idx="1">
                  <c:v>473.25892307692305</c:v>
                </c:pt>
                <c:pt idx="2">
                  <c:v>390.68477777777775</c:v>
                </c:pt>
                <c:pt idx="3">
                  <c:v>704.82533333333333</c:v>
                </c:pt>
                <c:pt idx="4">
                  <c:v>423.74369999999999</c:v>
                </c:pt>
                <c:pt idx="5">
                  <c:v>164.21570588235295</c:v>
                </c:pt>
                <c:pt idx="6">
                  <c:v>162.59390909090908</c:v>
                </c:pt>
                <c:pt idx="7">
                  <c:v>404.995</c:v>
                </c:pt>
                <c:pt idx="8">
                  <c:v>181.52988888888888</c:v>
                </c:pt>
                <c:pt idx="9">
                  <c:v>329.76026666666667</c:v>
                </c:pt>
                <c:pt idx="10">
                  <c:v>398.49852941176471</c:v>
                </c:pt>
                <c:pt idx="11">
                  <c:v>477.14872727272729</c:v>
                </c:pt>
              </c:numCache>
            </c:numRef>
          </c:val>
        </c:ser>
        <c:ser>
          <c:idx val="1"/>
          <c:order val="1"/>
          <c:tx>
            <c:strRef>
              <c:f>'Gas Data'!$M$4</c:f>
              <c:strCache>
                <c:ptCount val="1"/>
                <c:pt idx="0">
                  <c:v>KwH per Standard Hour Booked 2014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Data'!$M$5:$M$16</c:f>
              <c:numCache>
                <c:formatCode>#,##0</c:formatCode>
                <c:ptCount val="12"/>
                <c:pt idx="0">
                  <c:v>860.78066146072581</c:v>
                </c:pt>
                <c:pt idx="1">
                  <c:v>524.04115354637565</c:v>
                </c:pt>
                <c:pt idx="2">
                  <c:v>420.71093163035312</c:v>
                </c:pt>
                <c:pt idx="3">
                  <c:v>763.24029411764707</c:v>
                </c:pt>
                <c:pt idx="4">
                  <c:v>475.35439804531319</c:v>
                </c:pt>
                <c:pt idx="5">
                  <c:v>189.14911491149115</c:v>
                </c:pt>
                <c:pt idx="6">
                  <c:v>119.71624541952457</c:v>
                </c:pt>
                <c:pt idx="7">
                  <c:v>220.24868085106382</c:v>
                </c:pt>
                <c:pt idx="8">
                  <c:v>162.66530710172745</c:v>
                </c:pt>
                <c:pt idx="9">
                  <c:v>225.81608502298937</c:v>
                </c:pt>
                <c:pt idx="10">
                  <c:v>298.0932309340954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391440"/>
        <c:axId val="292529520"/>
      </c:barChart>
      <c:catAx>
        <c:axId val="292391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2529520"/>
        <c:crosses val="autoZero"/>
        <c:auto val="1"/>
        <c:lblAlgn val="ctr"/>
        <c:lblOffset val="100"/>
        <c:noMultiLvlLbl val="0"/>
      </c:catAx>
      <c:valAx>
        <c:axId val="292529520"/>
        <c:scaling>
          <c:orientation val="minMax"/>
          <c:max val="2000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239144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>
        <c:manualLayout>
          <c:xMode val="edge"/>
          <c:yMode val="edge"/>
          <c:x val="0.75215984329907304"/>
          <c:y val="0.17882649538599674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2014 Target</a:t>
            </a:r>
            <a:r>
              <a:rPr lang="en-GB" baseline="0"/>
              <a:t> Achievement Chart 5%</a:t>
            </a:r>
            <a:endParaRPr lang="en-GB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'Gas Data'!$O$4</c:f>
              <c:strCache>
                <c:ptCount val="1"/>
                <c:pt idx="0">
                  <c:v>Cumulative Target Saving (KwH)</c:v>
                </c:pt>
              </c:strCache>
            </c:strRef>
          </c:tx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Data'!$O$5:$O$16</c:f>
              <c:numCache>
                <c:formatCode>#,##0</c:formatCode>
                <c:ptCount val="12"/>
                <c:pt idx="0">
                  <c:v>325379.34999999963</c:v>
                </c:pt>
                <c:pt idx="1">
                  <c:v>632997.64999999944</c:v>
                </c:pt>
                <c:pt idx="2">
                  <c:v>984613.94999999925</c:v>
                </c:pt>
                <c:pt idx="3">
                  <c:v>1301785.3499999996</c:v>
                </c:pt>
                <c:pt idx="4">
                  <c:v>1513657.1999999997</c:v>
                </c:pt>
                <c:pt idx="5">
                  <c:v>1653240.5499999998</c:v>
                </c:pt>
                <c:pt idx="6">
                  <c:v>1742667.1999999997</c:v>
                </c:pt>
                <c:pt idx="7">
                  <c:v>1843915.9499999997</c:v>
                </c:pt>
                <c:pt idx="8">
                  <c:v>2007292.8499999996</c:v>
                </c:pt>
                <c:pt idx="9">
                  <c:v>2254613.0499999998</c:v>
                </c:pt>
                <c:pt idx="10">
                  <c:v>2593336.7999999998</c:v>
                </c:pt>
                <c:pt idx="11">
                  <c:v>2855768.5999999996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'Gas Data'!$R$4</c:f>
              <c:strCache>
                <c:ptCount val="1"/>
                <c:pt idx="0">
                  <c:v>In Month Gap Cumulative (Kwh)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</a:ln>
          </c:spPr>
          <c:val>
            <c:numRef>
              <c:f>'Gas Data'!$R$5:$R$16</c:f>
              <c:numCache>
                <c:formatCode>#,##0</c:formatCode>
                <c:ptCount val="12"/>
                <c:pt idx="0">
                  <c:v>-988091</c:v>
                </c:pt>
                <c:pt idx="1">
                  <c:v>-1559173</c:v>
                </c:pt>
                <c:pt idx="2">
                  <c:v>-1246442</c:v>
                </c:pt>
                <c:pt idx="3">
                  <c:v>-93048</c:v>
                </c:pt>
                <c:pt idx="4">
                  <c:v>-135702</c:v>
                </c:pt>
                <c:pt idx="5">
                  <c:v>134229</c:v>
                </c:pt>
                <c:pt idx="6">
                  <c:v>648622</c:v>
                </c:pt>
                <c:pt idx="7">
                  <c:v>1379636</c:v>
                </c:pt>
                <c:pt idx="8">
                  <c:v>2613207</c:v>
                </c:pt>
                <c:pt idx="9">
                  <c:v>4563709</c:v>
                </c:pt>
                <c:pt idx="10">
                  <c:v>6331112</c:v>
                </c:pt>
                <c:pt idx="11">
                  <c:v>6193615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411928"/>
        <c:axId val="292338768"/>
      </c:lineChart>
      <c:catAx>
        <c:axId val="292411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92338768"/>
        <c:crosses val="autoZero"/>
        <c:auto val="1"/>
        <c:lblAlgn val="ctr"/>
        <c:lblOffset val="100"/>
        <c:noMultiLvlLbl val="0"/>
      </c:catAx>
      <c:valAx>
        <c:axId val="292338768"/>
        <c:scaling>
          <c:orientation val="minMax"/>
          <c:max val="8000000"/>
          <c:min val="-400000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92411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15</xdr:col>
      <xdr:colOff>63500</xdr:colOff>
      <xdr:row>29</xdr:row>
      <xdr:rowOff>148168</xdr:rowOff>
    </xdr:to>
    <xdr:graphicFrame macro="">
      <xdr:nvGraphicFramePr>
        <xdr:cNvPr id="43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169333</xdr:colOff>
      <xdr:row>15</xdr:row>
      <xdr:rowOff>98425</xdr:rowOff>
    </xdr:from>
    <xdr:to>
      <xdr:col>14</xdr:col>
      <xdr:colOff>392642</xdr:colOff>
      <xdr:row>24</xdr:row>
      <xdr:rowOff>14817</xdr:rowOff>
    </xdr:to>
    <xdr:pic>
      <xdr:nvPicPr>
        <xdr:cNvPr id="4341" name="Pictur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5416" y="2479675"/>
          <a:ext cx="1810809" cy="135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35</xdr:row>
      <xdr:rowOff>52917</xdr:rowOff>
    </xdr:from>
    <xdr:to>
      <xdr:col>15</xdr:col>
      <xdr:colOff>391583</xdr:colOff>
      <xdr:row>64</xdr:row>
      <xdr:rowOff>87841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7" name="Chart 6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0.77646</cdr:x>
      <cdr:y>0.38647</cdr:y>
    </cdr:from>
    <cdr:to>
      <cdr:x>0.96183</cdr:x>
      <cdr:y>0.66969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7461517" y="1849984"/>
          <a:ext cx="1781344" cy="135572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0.0192</cdr:x>
      <cdr:y>0.04092</cdr:y>
    </cdr:from>
    <cdr:to>
      <cdr:x>0.09191</cdr:x>
      <cdr:y>0.10523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8167" y="148166"/>
          <a:ext cx="560916" cy="232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Kwh</a:t>
          </a:r>
        </a:p>
      </cdr:txBody>
    </cdr:sp>
  </cdr:relSizeAnchor>
  <cdr:relSizeAnchor xmlns:cdr="http://schemas.openxmlformats.org/drawingml/2006/chartDrawing">
    <cdr:from>
      <cdr:x>0.75556</cdr:x>
      <cdr:y>0.60414</cdr:y>
    </cdr:from>
    <cdr:to>
      <cdr:x>0.95062</cdr:x>
      <cdr:y>0.92049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5829300" y="2187322"/>
          <a:ext cx="1504950" cy="11453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R42"/>
  <sheetViews>
    <sheetView showGridLines="0" tabSelected="1" topLeftCell="A58" zoomScale="90" zoomScaleNormal="90" workbookViewId="0">
      <selection activeCell="N91" sqref="N91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10"/>
    </row>
    <row r="11" spans="14:14" x14ac:dyDescent="0.25">
      <c r="N11" s="10"/>
    </row>
    <row r="12" spans="14:14" x14ac:dyDescent="0.25">
      <c r="N12" s="10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85"/>
      <c r="O25" s="85"/>
      <c r="P25" s="14"/>
      <c r="Q25" s="9"/>
      <c r="R25" s="9"/>
    </row>
    <row r="26" spans="4:18" ht="12.75" customHeight="1" x14ac:dyDescent="0.25">
      <c r="M26" s="9"/>
      <c r="N26" s="13"/>
      <c r="O26" s="14"/>
      <c r="P26" s="14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86" t="str">
        <f>'Gas Data'!B19</f>
        <v>Target YTD Achievement (%)</v>
      </c>
      <c r="E32" s="87"/>
      <c r="F32" s="87"/>
      <c r="G32" s="92">
        <f>'Gas Data'!I27</f>
        <v>0.108440421258221</v>
      </c>
      <c r="H32" s="92"/>
      <c r="I32" s="92"/>
      <c r="J32" s="92"/>
      <c r="K32" s="93"/>
    </row>
    <row r="33" spans="2:11" ht="12.75" customHeight="1" x14ac:dyDescent="0.25">
      <c r="D33" s="88"/>
      <c r="E33" s="89"/>
      <c r="F33" s="89"/>
      <c r="G33" s="94"/>
      <c r="H33" s="94"/>
      <c r="I33" s="94"/>
      <c r="J33" s="94"/>
      <c r="K33" s="95"/>
    </row>
    <row r="34" spans="2:11" ht="13.5" customHeight="1" thickBot="1" x14ac:dyDescent="0.3">
      <c r="D34" s="90"/>
      <c r="E34" s="91"/>
      <c r="F34" s="91"/>
      <c r="G34" s="96"/>
      <c r="H34" s="96"/>
      <c r="I34" s="96"/>
      <c r="J34" s="96"/>
      <c r="K34" s="97"/>
    </row>
    <row r="40" spans="2:11" ht="24" customHeight="1" x14ac:dyDescent="0.25">
      <c r="B40" s="1"/>
      <c r="C40" s="1"/>
      <c r="E40" s="6"/>
      <c r="F40" s="7"/>
      <c r="G40" s="8"/>
      <c r="H40" s="84"/>
      <c r="I40" s="84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phoneticPr fontId="4" type="noConversion"/>
  <pageMargins left="0.39370078740157483" right="0.39370078740157483" top="1.1811023622047245" bottom="0.78740157480314965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AN33"/>
  <sheetViews>
    <sheetView topLeftCell="A5" zoomScale="90" zoomScaleNormal="90" workbookViewId="0">
      <selection activeCell="I26" sqref="I26"/>
    </sheetView>
  </sheetViews>
  <sheetFormatPr defaultRowHeight="13.2" x14ac:dyDescent="0.25"/>
  <cols>
    <col min="1" max="1" width="1" customWidth="1"/>
    <col min="2" max="2" width="10.109375" customWidth="1"/>
    <col min="3" max="3" width="11.33203125" customWidth="1"/>
    <col min="4" max="4" width="12" customWidth="1"/>
    <col min="5" max="5" width="11.5546875" customWidth="1"/>
    <col min="6" max="6" width="13.109375" customWidth="1"/>
    <col min="7" max="7" width="13.88671875" customWidth="1"/>
    <col min="8" max="8" width="12.6640625" customWidth="1"/>
    <col min="9" max="9" width="15.44140625" customWidth="1"/>
    <col min="10" max="10" width="11.109375" customWidth="1"/>
    <col min="11" max="11" width="13.5546875" customWidth="1"/>
    <col min="12" max="12" width="29.33203125" customWidth="1"/>
    <col min="13" max="13" width="13.6640625" customWidth="1"/>
    <col min="14" max="14" width="12.6640625" customWidth="1"/>
    <col min="15" max="16" width="15.33203125" customWidth="1"/>
    <col min="17" max="17" width="16.33203125" customWidth="1"/>
    <col min="18" max="18" width="14.33203125" customWidth="1"/>
    <col min="19" max="19" width="16.109375" customWidth="1"/>
    <col min="20" max="20" width="10.109375" bestFit="1" customWidth="1"/>
  </cols>
  <sheetData>
    <row r="1" spans="2:22" ht="10.5" customHeight="1" thickBot="1" x14ac:dyDescent="0.3"/>
    <row r="2" spans="2:22" ht="21" thickBot="1" x14ac:dyDescent="0.3">
      <c r="B2" s="98" t="s">
        <v>25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100"/>
    </row>
    <row r="3" spans="2:22" ht="9.75" customHeight="1" thickBot="1" x14ac:dyDescent="0.3"/>
    <row r="4" spans="2:22" ht="55.2" x14ac:dyDescent="0.25">
      <c r="B4" s="26" t="s">
        <v>14</v>
      </c>
      <c r="C4" s="62" t="s">
        <v>13</v>
      </c>
      <c r="D4" s="27" t="s">
        <v>15</v>
      </c>
      <c r="E4" s="28" t="s">
        <v>18</v>
      </c>
      <c r="F4" s="74" t="s">
        <v>30</v>
      </c>
      <c r="G4" s="74" t="s">
        <v>31</v>
      </c>
      <c r="H4" s="29" t="s">
        <v>40</v>
      </c>
      <c r="I4" s="30" t="s">
        <v>26</v>
      </c>
      <c r="J4" s="74" t="s">
        <v>35</v>
      </c>
      <c r="K4" s="74" t="s">
        <v>38</v>
      </c>
      <c r="L4" s="74" t="s">
        <v>39</v>
      </c>
      <c r="M4" s="74" t="s">
        <v>32</v>
      </c>
      <c r="N4" s="31" t="s">
        <v>34</v>
      </c>
      <c r="O4" s="32" t="s">
        <v>37</v>
      </c>
      <c r="P4" s="80" t="s">
        <v>33</v>
      </c>
      <c r="Q4" s="33" t="s">
        <v>19</v>
      </c>
      <c r="R4" s="33" t="s">
        <v>36</v>
      </c>
      <c r="S4" s="33" t="s">
        <v>12</v>
      </c>
      <c r="T4" s="34" t="s">
        <v>17</v>
      </c>
    </row>
    <row r="5" spans="2:22" ht="15" x14ac:dyDescent="0.25">
      <c r="B5" s="35" t="s">
        <v>0</v>
      </c>
      <c r="C5" s="64">
        <v>8811514</v>
      </c>
      <c r="D5" s="11">
        <v>7860080</v>
      </c>
      <c r="E5" s="22">
        <v>6507587</v>
      </c>
      <c r="F5" s="22">
        <v>7000</v>
      </c>
      <c r="G5" s="22">
        <f>E5/F5</f>
        <v>929.6552857142857</v>
      </c>
      <c r="H5" s="3">
        <f t="shared" ref="H5:H16" si="0">SUM(E5-(E5*5%))</f>
        <v>6182207.6500000004</v>
      </c>
      <c r="I5" s="24">
        <v>7495678</v>
      </c>
      <c r="J5" s="24">
        <v>8708</v>
      </c>
      <c r="K5" s="24"/>
      <c r="L5" s="24"/>
      <c r="M5" s="24">
        <f t="shared" ref="M5:M16" si="1">I5/J5</f>
        <v>860.78066146072581</v>
      </c>
      <c r="N5" s="77">
        <f t="shared" ref="N5:N16" si="2">E5-H5</f>
        <v>325379.34999999963</v>
      </c>
      <c r="O5" s="77">
        <f>N5</f>
        <v>325379.34999999963</v>
      </c>
      <c r="P5" s="77">
        <f t="shared" ref="P5:P16" si="3">I5-E5</f>
        <v>988091</v>
      </c>
      <c r="Q5" s="75">
        <f>N5+P5</f>
        <v>1313470.3499999996</v>
      </c>
      <c r="R5" s="75">
        <f>-(P5)</f>
        <v>-988091</v>
      </c>
      <c r="S5" s="75">
        <f>P5</f>
        <v>988091</v>
      </c>
      <c r="T5" s="36">
        <f>P5/Q21</f>
        <v>0.345998271708709</v>
      </c>
    </row>
    <row r="6" spans="2:22" ht="15" x14ac:dyDescent="0.25">
      <c r="B6" s="35" t="s">
        <v>1</v>
      </c>
      <c r="C6" s="64">
        <v>7420616</v>
      </c>
      <c r="D6" s="11">
        <v>7804891</v>
      </c>
      <c r="E6" s="23">
        <v>6152366</v>
      </c>
      <c r="F6" s="23">
        <v>13000</v>
      </c>
      <c r="G6" s="22">
        <f t="shared" ref="G6:G16" si="4">E6/F6</f>
        <v>473.25892307692305</v>
      </c>
      <c r="H6" s="3">
        <f t="shared" si="0"/>
        <v>5844747.7000000002</v>
      </c>
      <c r="I6" s="24">
        <v>6723448</v>
      </c>
      <c r="J6" s="24">
        <v>12830</v>
      </c>
      <c r="K6" s="24"/>
      <c r="L6" s="24"/>
      <c r="M6" s="24">
        <f t="shared" si="1"/>
        <v>524.04115354637565</v>
      </c>
      <c r="N6" s="77">
        <f t="shared" si="2"/>
        <v>307618.29999999981</v>
      </c>
      <c r="O6" s="77">
        <f>N5+N6</f>
        <v>632997.64999999944</v>
      </c>
      <c r="P6" s="77">
        <f t="shared" si="3"/>
        <v>571082</v>
      </c>
      <c r="Q6" s="75">
        <f t="shared" ref="Q6:Q16" si="5">N6+P6</f>
        <v>878700.29999999981</v>
      </c>
      <c r="R6" s="75">
        <f>-(P5+P6)</f>
        <v>-1559173</v>
      </c>
      <c r="S6" s="75">
        <f>P5+P6</f>
        <v>1559173</v>
      </c>
      <c r="T6" s="36">
        <f>(P5+P6)/Q21</f>
        <v>0.54597315762908771</v>
      </c>
    </row>
    <row r="7" spans="2:22" ht="15" x14ac:dyDescent="0.25">
      <c r="B7" s="35" t="s">
        <v>2</v>
      </c>
      <c r="C7" s="64">
        <v>7568360</v>
      </c>
      <c r="D7" s="11">
        <v>6733125</v>
      </c>
      <c r="E7" s="23">
        <v>7032326</v>
      </c>
      <c r="F7" s="23">
        <v>18000</v>
      </c>
      <c r="G7" s="22">
        <f t="shared" si="4"/>
        <v>390.68477777777775</v>
      </c>
      <c r="H7" s="3">
        <f t="shared" si="0"/>
        <v>6680709.7000000002</v>
      </c>
      <c r="I7" s="24">
        <v>6719595</v>
      </c>
      <c r="J7" s="24">
        <v>15972</v>
      </c>
      <c r="K7" s="24"/>
      <c r="L7" s="24"/>
      <c r="M7" s="24">
        <f t="shared" si="1"/>
        <v>420.71093163035312</v>
      </c>
      <c r="N7" s="77">
        <f t="shared" si="2"/>
        <v>351616.29999999981</v>
      </c>
      <c r="O7" s="77">
        <f>N5+N6+N7</f>
        <v>984613.94999999925</v>
      </c>
      <c r="P7" s="77">
        <f t="shared" si="3"/>
        <v>-312731</v>
      </c>
      <c r="Q7" s="75">
        <f t="shared" si="5"/>
        <v>38885.299999999814</v>
      </c>
      <c r="R7" s="75">
        <f>-(P5+P6+P7)</f>
        <v>-1246442</v>
      </c>
      <c r="S7" s="75">
        <f>P5+P6+P7</f>
        <v>1246442</v>
      </c>
      <c r="T7" s="36">
        <f>(P5+P6+P7)/Q21</f>
        <v>0.43646463512484845</v>
      </c>
    </row>
    <row r="8" spans="2:22" ht="15" x14ac:dyDescent="0.25">
      <c r="B8" s="37" t="s">
        <v>3</v>
      </c>
      <c r="C8" s="65">
        <v>4316111</v>
      </c>
      <c r="D8" s="11">
        <v>5581462</v>
      </c>
      <c r="E8" s="23">
        <v>6343428</v>
      </c>
      <c r="F8" s="23">
        <v>9000</v>
      </c>
      <c r="G8" s="22">
        <f t="shared" si="4"/>
        <v>704.82533333333333</v>
      </c>
      <c r="H8" s="3">
        <f t="shared" si="0"/>
        <v>6026256.5999999996</v>
      </c>
      <c r="I8" s="24">
        <v>5190034</v>
      </c>
      <c r="J8" s="24">
        <v>6800</v>
      </c>
      <c r="K8" s="24"/>
      <c r="L8" s="24"/>
      <c r="M8" s="24">
        <f t="shared" si="1"/>
        <v>763.24029411764707</v>
      </c>
      <c r="N8" s="77">
        <f t="shared" si="2"/>
        <v>317171.40000000037</v>
      </c>
      <c r="O8" s="77">
        <f>N5+N6+N7+N8</f>
        <v>1301785.3499999996</v>
      </c>
      <c r="P8" s="77">
        <f t="shared" si="3"/>
        <v>-1153394</v>
      </c>
      <c r="Q8" s="75">
        <f t="shared" si="5"/>
        <v>-836222.59999999963</v>
      </c>
      <c r="R8" s="75">
        <f>-(P5+P6+P7+P8)</f>
        <v>-93048</v>
      </c>
      <c r="S8" s="75">
        <f>P5+P6+P7+P8</f>
        <v>93048</v>
      </c>
      <c r="T8" s="36">
        <f>(P5+P6+P8)/Q21</f>
        <v>0.14209099434737107</v>
      </c>
    </row>
    <row r="9" spans="2:22" ht="15" x14ac:dyDescent="0.25">
      <c r="B9" s="37" t="s">
        <v>4</v>
      </c>
      <c r="C9" s="65">
        <v>4838236</v>
      </c>
      <c r="D9" s="11">
        <v>5187779</v>
      </c>
      <c r="E9" s="23">
        <v>4237437</v>
      </c>
      <c r="F9" s="23">
        <v>10000</v>
      </c>
      <c r="G9" s="22">
        <f t="shared" si="4"/>
        <v>423.74369999999999</v>
      </c>
      <c r="H9" s="3">
        <f t="shared" si="0"/>
        <v>4025565.15</v>
      </c>
      <c r="I9" s="24">
        <v>4280091</v>
      </c>
      <c r="J9" s="24">
        <v>9004</v>
      </c>
      <c r="K9" s="24"/>
      <c r="L9" s="24"/>
      <c r="M9" s="24">
        <f t="shared" si="1"/>
        <v>475.35439804531319</v>
      </c>
      <c r="N9" s="77">
        <f t="shared" si="2"/>
        <v>211871.85000000009</v>
      </c>
      <c r="O9" s="77">
        <f>N5+N6+N7+N8+N9</f>
        <v>1513657.1999999997</v>
      </c>
      <c r="P9" s="77">
        <f t="shared" si="3"/>
        <v>42654</v>
      </c>
      <c r="Q9" s="75">
        <f t="shared" si="5"/>
        <v>254525.85000000009</v>
      </c>
      <c r="R9" s="75">
        <f>-(P5+P6+P7+P8+P9)</f>
        <v>-135702</v>
      </c>
      <c r="S9" s="75">
        <f>P5+P6+P7+P8+P9</f>
        <v>135702</v>
      </c>
      <c r="T9" s="36">
        <f>(P5+P6+P7+P8+P9)/Q21</f>
        <v>4.7518555950226478E-2</v>
      </c>
    </row>
    <row r="10" spans="2:22" ht="15" x14ac:dyDescent="0.25">
      <c r="B10" s="37" t="s">
        <v>5</v>
      </c>
      <c r="C10" s="65">
        <v>4278015</v>
      </c>
      <c r="D10" s="11">
        <v>2702698</v>
      </c>
      <c r="E10" s="23">
        <v>2791667</v>
      </c>
      <c r="F10" s="23">
        <v>17000</v>
      </c>
      <c r="G10" s="22">
        <f t="shared" si="4"/>
        <v>164.21570588235295</v>
      </c>
      <c r="H10" s="3">
        <f t="shared" si="0"/>
        <v>2652083.65</v>
      </c>
      <c r="I10" s="24">
        <v>2521736</v>
      </c>
      <c r="J10" s="24">
        <v>13332</v>
      </c>
      <c r="K10" s="24"/>
      <c r="L10" s="24"/>
      <c r="M10" s="24">
        <f t="shared" si="1"/>
        <v>189.14911491149115</v>
      </c>
      <c r="N10" s="77">
        <f t="shared" si="2"/>
        <v>139583.35000000009</v>
      </c>
      <c r="O10" s="77">
        <f>N5+N6+N7+N8+N9+N10</f>
        <v>1653240.5499999998</v>
      </c>
      <c r="P10" s="77">
        <f t="shared" si="3"/>
        <v>-269931</v>
      </c>
      <c r="Q10" s="75">
        <f t="shared" si="5"/>
        <v>-130347.64999999991</v>
      </c>
      <c r="R10" s="75">
        <f>-(P5+P6+P7+P8+P9+P10)</f>
        <v>134229</v>
      </c>
      <c r="S10" s="75">
        <f>P5+P6+P7+P8+P9+P10</f>
        <v>-134229</v>
      </c>
      <c r="T10" s="36">
        <f>(P5+P6+P7+P8+P9+P10)/Q21</f>
        <v>-4.7002757856501376E-2</v>
      </c>
    </row>
    <row r="11" spans="2:22" ht="15" x14ac:dyDescent="0.25">
      <c r="B11" s="37" t="s">
        <v>6</v>
      </c>
      <c r="C11" s="65">
        <v>2523052</v>
      </c>
      <c r="D11" s="11">
        <v>2786562</v>
      </c>
      <c r="E11" s="23">
        <v>1788533</v>
      </c>
      <c r="F11" s="23">
        <v>11000</v>
      </c>
      <c r="G11" s="22">
        <f t="shared" si="4"/>
        <v>162.59390909090908</v>
      </c>
      <c r="H11" s="3">
        <f t="shared" si="0"/>
        <v>1699106.35</v>
      </c>
      <c r="I11" s="24">
        <v>1274140</v>
      </c>
      <c r="J11" s="24">
        <v>10643</v>
      </c>
      <c r="K11" s="24"/>
      <c r="L11" s="24"/>
      <c r="M11" s="24">
        <f t="shared" si="1"/>
        <v>119.71624541952457</v>
      </c>
      <c r="N11" s="77">
        <f t="shared" si="2"/>
        <v>89426.649999999907</v>
      </c>
      <c r="O11" s="77">
        <f>N5+N6+N7+N8+N9+N10+N11</f>
        <v>1742667.1999999997</v>
      </c>
      <c r="P11" s="77">
        <f t="shared" si="3"/>
        <v>-514393</v>
      </c>
      <c r="Q11" s="75">
        <f t="shared" si="5"/>
        <v>-424966.35000000009</v>
      </c>
      <c r="R11" s="75">
        <f>-(P5+P6+P7+P8+P9+P10+P11)</f>
        <v>648622</v>
      </c>
      <c r="S11" s="75">
        <f>P5+P6+P7+P8+P9+P10+P11</f>
        <v>-648622</v>
      </c>
      <c r="T11" s="36">
        <f>(P5+P6+P7+P8+P9+P10+P11)/Q21</f>
        <v>-0.22712694578965525</v>
      </c>
    </row>
    <row r="12" spans="2:22" ht="15" x14ac:dyDescent="0.25">
      <c r="B12" s="37" t="s">
        <v>7</v>
      </c>
      <c r="C12" s="65">
        <v>2924971</v>
      </c>
      <c r="D12" s="11">
        <v>2015127</v>
      </c>
      <c r="E12" s="23">
        <v>2024975</v>
      </c>
      <c r="F12" s="23">
        <v>5000</v>
      </c>
      <c r="G12" s="22">
        <f t="shared" si="4"/>
        <v>404.995</v>
      </c>
      <c r="H12" s="3">
        <f t="shared" si="0"/>
        <v>1923726.25</v>
      </c>
      <c r="I12" s="24">
        <v>1293961</v>
      </c>
      <c r="J12" s="24">
        <v>5875</v>
      </c>
      <c r="K12" s="24"/>
      <c r="L12" s="24"/>
      <c r="M12" s="24">
        <f t="shared" si="1"/>
        <v>220.24868085106382</v>
      </c>
      <c r="N12" s="77">
        <f t="shared" si="2"/>
        <v>101248.75</v>
      </c>
      <c r="O12" s="77">
        <f>N5+N6+N7+N8+N9+N10+N11+N12</f>
        <v>1843915.9499999997</v>
      </c>
      <c r="P12" s="77">
        <f t="shared" si="3"/>
        <v>-731014</v>
      </c>
      <c r="Q12" s="75">
        <f t="shared" si="5"/>
        <v>-629765.25</v>
      </c>
      <c r="R12" s="75">
        <f>-(P5+P6+P7+P8+P9+P10+P11+P12)</f>
        <v>1379636</v>
      </c>
      <c r="S12" s="75">
        <f>P5+P6+P7+P8+P9+P10+P11+P12</f>
        <v>-1379636</v>
      </c>
      <c r="T12" s="36">
        <f>(P5+P6+P7+P8+P9+P10+P11+P12)/Q21</f>
        <v>-0.48310496865887498</v>
      </c>
      <c r="V12" s="4"/>
    </row>
    <row r="13" spans="2:22" ht="15" x14ac:dyDescent="0.25">
      <c r="B13" s="35" t="s">
        <v>8</v>
      </c>
      <c r="C13" s="64">
        <v>4059803</v>
      </c>
      <c r="D13" s="11">
        <v>4205790</v>
      </c>
      <c r="E13" s="23">
        <v>3267538</v>
      </c>
      <c r="F13" s="23">
        <v>18000</v>
      </c>
      <c r="G13" s="22">
        <f t="shared" si="4"/>
        <v>181.52988888888888</v>
      </c>
      <c r="H13" s="3">
        <f t="shared" si="0"/>
        <v>3104161.1</v>
      </c>
      <c r="I13" s="24">
        <v>2033967</v>
      </c>
      <c r="J13" s="24">
        <v>12504</v>
      </c>
      <c r="K13" s="24"/>
      <c r="L13" s="24"/>
      <c r="M13" s="24">
        <f t="shared" si="1"/>
        <v>162.66530710172745</v>
      </c>
      <c r="N13" s="77">
        <f t="shared" si="2"/>
        <v>163376.89999999991</v>
      </c>
      <c r="O13" s="77">
        <f>N5+N6+N7+N8+N9+N10+N11+N12+N13</f>
        <v>2007292.8499999996</v>
      </c>
      <c r="P13" s="77">
        <f t="shared" si="3"/>
        <v>-1233571</v>
      </c>
      <c r="Q13" s="75">
        <f t="shared" si="5"/>
        <v>-1070194.1000000001</v>
      </c>
      <c r="R13" s="75">
        <f>-(P5+P6+P7+P8+P9+P10+P11+P12+P13)</f>
        <v>2613207</v>
      </c>
      <c r="S13" s="75">
        <f>P5+P6+P7+P8+P9+P10+P11+P12+P13</f>
        <v>-2613207</v>
      </c>
      <c r="T13" s="36">
        <f>(P5+P6+P7+P8+P9+P10+P11+P12+P13)/Q21</f>
        <v>-0.91506258595321721</v>
      </c>
    </row>
    <row r="14" spans="2:22" ht="15" x14ac:dyDescent="0.25">
      <c r="B14" s="35" t="s">
        <v>9</v>
      </c>
      <c r="C14" s="64">
        <v>5292438</v>
      </c>
      <c r="D14" s="12">
        <v>6592652</v>
      </c>
      <c r="E14" s="22">
        <v>4946404</v>
      </c>
      <c r="F14" s="22">
        <v>15000</v>
      </c>
      <c r="G14" s="22">
        <f t="shared" si="4"/>
        <v>329.76026666666667</v>
      </c>
      <c r="H14" s="3">
        <f t="shared" si="0"/>
        <v>4699083.8</v>
      </c>
      <c r="I14" s="24">
        <v>2995902</v>
      </c>
      <c r="J14" s="24">
        <v>13267</v>
      </c>
      <c r="K14" s="24"/>
      <c r="L14" s="24"/>
      <c r="M14" s="24">
        <f t="shared" si="1"/>
        <v>225.81608502298937</v>
      </c>
      <c r="N14" s="77">
        <f t="shared" si="2"/>
        <v>247320.20000000019</v>
      </c>
      <c r="O14" s="77">
        <f>N5+N6+N7+N8+N9+N10+N11+N12+N13+N14</f>
        <v>2254613.0499999998</v>
      </c>
      <c r="P14" s="77">
        <f t="shared" si="3"/>
        <v>-1950502</v>
      </c>
      <c r="Q14" s="75">
        <f t="shared" si="5"/>
        <v>-1703181.7999999998</v>
      </c>
      <c r="R14" s="75">
        <f>-(P5+P6+P7+P8+P9+P10+P11+P12+P13+P14)</f>
        <v>4563709</v>
      </c>
      <c r="S14" s="75">
        <f>P5+P6+P7+P8+P9+P10+P11+P12+P13+P14</f>
        <v>-4563709</v>
      </c>
      <c r="T14" s="36">
        <f>(P5+P6+P7+P8+P9+P10+P11+P12+P13+P14)/Q21</f>
        <v>-1.5980668041521282</v>
      </c>
    </row>
    <row r="15" spans="2:22" ht="15" x14ac:dyDescent="0.25">
      <c r="B15" s="35" t="s">
        <v>10</v>
      </c>
      <c r="C15" s="64">
        <v>6285227</v>
      </c>
      <c r="D15" s="11">
        <v>7240123</v>
      </c>
      <c r="E15" s="23">
        <v>6774475</v>
      </c>
      <c r="F15" s="23">
        <v>17000</v>
      </c>
      <c r="G15" s="22">
        <f t="shared" si="4"/>
        <v>398.49852941176471</v>
      </c>
      <c r="H15" s="3">
        <f t="shared" si="0"/>
        <v>6435751.25</v>
      </c>
      <c r="I15" s="24">
        <v>5007072</v>
      </c>
      <c r="J15" s="24">
        <v>16797</v>
      </c>
      <c r="K15" s="24"/>
      <c r="L15" s="24"/>
      <c r="M15" s="24">
        <f t="shared" si="1"/>
        <v>298.0932309340954</v>
      </c>
      <c r="N15" s="77">
        <f t="shared" si="2"/>
        <v>338723.75</v>
      </c>
      <c r="O15" s="77">
        <f>N5+N6+N7+N8+N9+N10+N11+N12+N13+N14+N15</f>
        <v>2593336.7999999998</v>
      </c>
      <c r="P15" s="77">
        <f t="shared" si="3"/>
        <v>-1767403</v>
      </c>
      <c r="Q15" s="75">
        <f t="shared" si="5"/>
        <v>-1428679.25</v>
      </c>
      <c r="R15" s="75">
        <f>-(P5+P6+P7+P8+P9+P10+P11+P12+P13+P14+P15)</f>
        <v>6331112</v>
      </c>
      <c r="S15" s="75">
        <f>P5+P6+P7+P8+P9+P10+P11+P12+P13+P14+P15</f>
        <v>-6331112</v>
      </c>
      <c r="T15" s="36">
        <f>(P5+P6+P7+P8+P9+P10+P11+P12+P13+P14+P15)/Q21</f>
        <v>-2.2169555334420292</v>
      </c>
    </row>
    <row r="16" spans="2:22" ht="15" x14ac:dyDescent="0.25">
      <c r="B16" s="37" t="s">
        <v>11</v>
      </c>
      <c r="C16" s="65">
        <v>5502512</v>
      </c>
      <c r="D16" s="11">
        <v>5381132</v>
      </c>
      <c r="E16" s="23">
        <v>5248636</v>
      </c>
      <c r="F16" s="23">
        <v>11000</v>
      </c>
      <c r="G16" s="22">
        <f t="shared" si="4"/>
        <v>477.14872727272729</v>
      </c>
      <c r="H16" s="3">
        <f t="shared" si="0"/>
        <v>4986204.2</v>
      </c>
      <c r="I16" s="24">
        <v>5386133</v>
      </c>
      <c r="J16" s="24">
        <v>0</v>
      </c>
      <c r="K16" s="24"/>
      <c r="L16" s="24"/>
      <c r="M16" s="24" t="e">
        <f t="shared" si="1"/>
        <v>#DIV/0!</v>
      </c>
      <c r="N16" s="77">
        <f t="shared" si="2"/>
        <v>262431.79999999981</v>
      </c>
      <c r="O16" s="77">
        <f>N5+N6+N7+N8+N9+N10+N11+N12+N13+N14+N15+N16</f>
        <v>2855768.5999999996</v>
      </c>
      <c r="P16" s="77">
        <f t="shared" si="3"/>
        <v>137497</v>
      </c>
      <c r="Q16" s="75">
        <f t="shared" si="5"/>
        <v>399928.79999999981</v>
      </c>
      <c r="R16" s="75">
        <f>-(P5+P6+P7+P8+P9+P10+P11+P12+P13+P14+P15+P16)</f>
        <v>6193615</v>
      </c>
      <c r="S16" s="75">
        <f>P5+P6+P7+P8+P9+P10+P11+P12+P13+P14+P15+P16</f>
        <v>-6193615</v>
      </c>
      <c r="T16" s="36">
        <f>(P5+P6+P7+P8+P9+P10+P11+P12+P13+P14+P15+P16)/Q21</f>
        <v>-2.1688084251644186</v>
      </c>
    </row>
    <row r="17" spans="2:40" s="2" customFormat="1" ht="13.8" thickBot="1" x14ac:dyDescent="0.3">
      <c r="B17" s="38" t="s">
        <v>16</v>
      </c>
      <c r="C17" s="63">
        <f>SUM(C5:C16)</f>
        <v>63820855</v>
      </c>
      <c r="D17" s="39">
        <f>SUM(D5:D16)</f>
        <v>64091421</v>
      </c>
      <c r="E17" s="39">
        <f>SUM(E5:E16)</f>
        <v>57115372</v>
      </c>
      <c r="F17" s="39">
        <f>SUM(F5:F16)</f>
        <v>151000</v>
      </c>
      <c r="G17" s="39">
        <f>SUM(G5:G16)</f>
        <v>5040.9100471156298</v>
      </c>
      <c r="H17" s="39">
        <f t="shared" ref="H17:S17" si="6">SUM(H5:H16)</f>
        <v>54259603.399999999</v>
      </c>
      <c r="I17" s="39">
        <f>SUM(I5:I16)</f>
        <v>50921757</v>
      </c>
      <c r="J17" s="39"/>
      <c r="K17" s="39"/>
      <c r="L17" s="39"/>
      <c r="M17" s="39" t="e">
        <f>SUM(M5:M16)</f>
        <v>#DIV/0!</v>
      </c>
      <c r="N17" s="76">
        <f t="shared" si="6"/>
        <v>2855768.5999999996</v>
      </c>
      <c r="O17" s="76"/>
      <c r="P17" s="76">
        <f t="shared" si="6"/>
        <v>-6193615</v>
      </c>
      <c r="Q17" s="76">
        <f t="shared" si="6"/>
        <v>-3337846.4000000004</v>
      </c>
      <c r="R17" s="76"/>
      <c r="S17" s="76">
        <f t="shared" si="6"/>
        <v>-17841674</v>
      </c>
      <c r="T17" s="40"/>
    </row>
    <row r="18" spans="2:40" ht="6" customHeight="1" thickBot="1" x14ac:dyDescent="0.3"/>
    <row r="19" spans="2:40" ht="31.5" customHeight="1" thickBot="1" x14ac:dyDescent="0.3">
      <c r="B19" s="103" t="s">
        <v>20</v>
      </c>
      <c r="C19" s="104"/>
      <c r="D19" s="104"/>
      <c r="E19" s="104"/>
      <c r="F19" s="104"/>
      <c r="G19" s="104"/>
      <c r="H19" s="104"/>
      <c r="I19" s="104"/>
      <c r="J19" s="61"/>
      <c r="K19" s="61"/>
      <c r="L19" s="25"/>
      <c r="M19" s="25"/>
      <c r="N19" s="42">
        <f>T15</f>
        <v>-2.2169555334420292</v>
      </c>
      <c r="O19" s="101" t="s">
        <v>27</v>
      </c>
      <c r="P19" s="101"/>
      <c r="Q19" s="101"/>
      <c r="R19" s="102"/>
    </row>
    <row r="20" spans="2:40" ht="6" customHeight="1" thickBot="1" x14ac:dyDescent="0.3">
      <c r="R20" s="5"/>
    </row>
    <row r="21" spans="2:40" ht="18.75" customHeight="1" thickBot="1" x14ac:dyDescent="0.3">
      <c r="D21" s="105" t="s">
        <v>29</v>
      </c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79"/>
      <c r="Q21" s="41">
        <f>E17-H17</f>
        <v>2855768.6000000015</v>
      </c>
      <c r="R21" s="21"/>
    </row>
    <row r="22" spans="2:40" ht="7.5" customHeight="1" thickBot="1" x14ac:dyDescent="0.3">
      <c r="B22" s="17"/>
      <c r="C22" s="17"/>
      <c r="D22" s="17"/>
      <c r="E22" s="18"/>
      <c r="F22" s="18"/>
      <c r="G22" s="18"/>
    </row>
    <row r="23" spans="2:40" x14ac:dyDescent="0.25">
      <c r="B23" s="17"/>
      <c r="C23" s="17"/>
      <c r="D23" s="19"/>
      <c r="E23" s="43" t="s">
        <v>21</v>
      </c>
      <c r="F23" s="45"/>
      <c r="G23" s="45"/>
      <c r="H23" s="44"/>
      <c r="I23" s="45">
        <v>5</v>
      </c>
      <c r="J23" s="45"/>
      <c r="K23" s="45"/>
      <c r="L23" s="46"/>
      <c r="M23" s="46"/>
      <c r="N23" s="47"/>
      <c r="O23" s="48"/>
      <c r="P23" s="9"/>
    </row>
    <row r="24" spans="2:40" x14ac:dyDescent="0.25">
      <c r="B24" s="17"/>
      <c r="C24" s="17"/>
      <c r="D24" s="19"/>
      <c r="E24" s="49">
        <v>2014</v>
      </c>
      <c r="F24" s="69"/>
      <c r="G24" s="69"/>
      <c r="H24" s="50"/>
      <c r="I24" s="78">
        <f>SUM(E5:E16)</f>
        <v>57115372</v>
      </c>
      <c r="J24" s="66" t="s">
        <v>22</v>
      </c>
      <c r="K24" s="66"/>
      <c r="L24" s="68" t="s">
        <v>28</v>
      </c>
      <c r="M24" s="68"/>
      <c r="N24" s="67"/>
      <c r="O24" s="52"/>
      <c r="P24" s="9"/>
    </row>
    <row r="25" spans="2:40" x14ac:dyDescent="0.25">
      <c r="B25" s="17"/>
      <c r="C25" s="17"/>
      <c r="D25" s="19"/>
      <c r="E25" s="49" t="s">
        <v>26</v>
      </c>
      <c r="F25" s="69"/>
      <c r="G25" s="69"/>
      <c r="H25" s="50"/>
      <c r="I25" s="78">
        <f>SUM(I5:I16)</f>
        <v>50921757</v>
      </c>
      <c r="J25" s="66" t="s">
        <v>22</v>
      </c>
      <c r="K25" s="66"/>
      <c r="L25" s="68" t="s">
        <v>28</v>
      </c>
      <c r="M25" s="68"/>
      <c r="N25" s="67"/>
      <c r="O25" s="52"/>
      <c r="P25" s="9"/>
    </row>
    <row r="26" spans="2:40" x14ac:dyDescent="0.25">
      <c r="B26" s="17"/>
      <c r="C26" s="17"/>
      <c r="D26" s="19"/>
      <c r="E26" s="53" t="s">
        <v>23</v>
      </c>
      <c r="F26" s="70"/>
      <c r="G26" s="70"/>
      <c r="H26" s="54"/>
      <c r="I26" s="51">
        <f>I24-I25</f>
        <v>6193615</v>
      </c>
      <c r="J26" s="51"/>
      <c r="K26" s="51"/>
      <c r="L26" s="55"/>
      <c r="M26" s="55"/>
      <c r="N26" s="55"/>
      <c r="O26" s="52"/>
      <c r="P26" s="9"/>
    </row>
    <row r="27" spans="2:40" ht="13.8" thickBot="1" x14ac:dyDescent="0.3">
      <c r="B27" s="17"/>
      <c r="C27" s="17"/>
      <c r="D27" s="19"/>
      <c r="E27" s="56" t="s">
        <v>24</v>
      </c>
      <c r="F27" s="71"/>
      <c r="G27" s="71"/>
      <c r="H27" s="57"/>
      <c r="I27" s="58">
        <f>I26/I24</f>
        <v>0.108440421258221</v>
      </c>
      <c r="J27" s="58"/>
      <c r="K27" s="58"/>
      <c r="L27" s="59"/>
      <c r="M27" s="59"/>
      <c r="N27" s="59"/>
      <c r="O27" s="60"/>
      <c r="P27" s="9"/>
    </row>
    <row r="28" spans="2:40" x14ac:dyDescent="0.25">
      <c r="B28" s="17"/>
      <c r="C28" s="17"/>
      <c r="D28" s="19"/>
      <c r="E28" s="9"/>
      <c r="F28" s="9"/>
      <c r="G28" s="9"/>
      <c r="H28" s="15"/>
      <c r="I28" s="1"/>
      <c r="J28" s="1"/>
      <c r="K28" s="1"/>
    </row>
    <row r="29" spans="2:40" x14ac:dyDescent="0.25">
      <c r="B29" s="17"/>
      <c r="C29" s="17"/>
      <c r="D29" s="20"/>
      <c r="E29" s="9"/>
      <c r="F29" s="9"/>
      <c r="G29" s="9"/>
      <c r="H29" s="15"/>
      <c r="I29" s="1"/>
      <c r="J29" s="1"/>
      <c r="K29" s="1"/>
    </row>
    <row r="30" spans="2:40" ht="13.8" x14ac:dyDescent="0.25">
      <c r="B30" s="17"/>
      <c r="C30" s="72"/>
      <c r="D30" s="73"/>
      <c r="E30" s="73"/>
      <c r="F30" s="72"/>
      <c r="G30" s="72"/>
      <c r="H30" s="73"/>
      <c r="I30" s="73"/>
      <c r="J30" s="72"/>
      <c r="K30" s="81"/>
      <c r="L30" s="73"/>
      <c r="M30" s="73"/>
      <c r="N30" s="73"/>
      <c r="O30" s="72"/>
      <c r="P30" s="72"/>
      <c r="Q30" s="73"/>
      <c r="R30" s="73"/>
      <c r="S30" s="72"/>
      <c r="T30" s="73"/>
      <c r="U30" s="73"/>
      <c r="V30" s="73"/>
      <c r="W30" s="72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</row>
    <row r="31" spans="2:40" x14ac:dyDescent="0.25">
      <c r="B31" s="17"/>
      <c r="C31" s="17"/>
      <c r="D31" s="19"/>
      <c r="E31" s="9"/>
      <c r="F31" s="9"/>
      <c r="G31" s="9"/>
      <c r="H31" s="16"/>
      <c r="I31" s="1"/>
      <c r="J31" s="1"/>
      <c r="K31" s="82"/>
    </row>
    <row r="32" spans="2:40" x14ac:dyDescent="0.25">
      <c r="B32" s="17"/>
      <c r="C32" s="17"/>
      <c r="D32" s="19"/>
      <c r="E32" s="9"/>
      <c r="F32" s="9"/>
      <c r="G32" s="9"/>
      <c r="H32" s="15"/>
      <c r="I32" s="1"/>
      <c r="J32" s="1"/>
      <c r="K32" s="82"/>
    </row>
    <row r="33" spans="2:11" x14ac:dyDescent="0.25">
      <c r="B33" s="17"/>
      <c r="C33" s="17"/>
      <c r="D33" s="9"/>
      <c r="E33" s="9"/>
      <c r="F33" s="9"/>
      <c r="G33" s="9"/>
      <c r="H33" s="1"/>
      <c r="I33" s="1"/>
      <c r="J33" s="1"/>
      <c r="K33" s="83"/>
    </row>
  </sheetData>
  <mergeCells count="4">
    <mergeCell ref="B2:R2"/>
    <mergeCell ref="O19:R19"/>
    <mergeCell ref="B19:I19"/>
    <mergeCell ref="D21:O21"/>
  </mergeCells>
  <dataValidations count="1">
    <dataValidation type="list" allowBlank="1" showInputMessage="1" showErrorMessage="1" sqref="K5:K16">
      <formula1>$K$30:$K$33</formula1>
    </dataValidation>
  </dataValidations>
  <pageMargins left="0.11811023622047245" right="0" top="1.3779527559055118" bottom="0" header="0.31496062992125984" footer="0.31496062992125984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Glascoed Munitions Factory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Warwick House, PO BOx 87, Farnborough Aerospace Centre, Farnborough, Hampshire GU14 6YU 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2015-06-10T23:00:00+00:00</Document_x0020_Date>
    <Facility_x0020_Address xmlns="859f7ad6-93f6-4205-b62b-a17f28acbbac">Glascoed, Usk, Monmouthshire NP15 1XL</Facility_x0020_Address>
    <Environment_x0020_Sub_x0020_Folder xmlns="859f7ad6-93f6-4205-b62b-a17f28acbbac">Licence supervision</Environment_x0020_Sub_x0020_Folder>
    <Customer_x0020_Name xmlns="859f7ad6-93f6-4205-b62b-a17f28acbbac">BAE Systems Land Systems (Munitions and Ordnance) Ltd acting under the trading name of BAE Systems Land (UK)</Customer_x0020_Name>
    <Surrendered_x002f_Expired xmlns="859f7ad6-93f6-4205-b62b-a17f28acbbac" xsi:nil="true"/>
    <Post_x0020_code xmlns="859f7ad6-93f6-4205-b62b-a17f28acbbac">NP15 1XL</Post_x0020_code>
    <Surrendered_x002f_Expired_x0020_Date xmlns="859f7ad6-93f6-4205-b62b-a17f28acbbac" xsi:nil="true"/>
    <_dlc_DocId xmlns="9be56660-2c31-41ef-bc00-23e72f632f2a">REGU-386-14401</_dlc_DocId>
    <_dlc_DocIdUrl xmlns="9be56660-2c31-41ef-bc00-23e72f632f2a">
      <Url>https://cyfoethnaturiolcymru.sharepoint.com/teams/Regulatory/Permitting/_layouts/15/DocIdRedir.aspx?ID=REGU-386-14401</Url>
      <Description>REGU-386-14401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FF487A7-2F2F-4F66-927E-48B30A5AED82}">
  <ds:schemaRefs>
    <ds:schemaRef ds:uri="http://schemas.microsoft.com/office/2006/metadata/properties"/>
    <ds:schemaRef ds:uri="590f49ed-8d5d-4f10-9703-db5fb8dde4be"/>
    <ds:schemaRef ds:uri="C5DC1146-186D-4656-BF78-08AD8EAA07FC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c5dc1146-186d-4656-bf78-08ad8eaa07fc"/>
    <ds:schemaRef ds:uri="http://schemas.microsoft.com/sharepoint/v3"/>
    <ds:schemaRef ds:uri="http://purl.org/dc/elements/1.1/"/>
    <ds:schemaRef ds:uri="http://schemas.openxmlformats.org/package/2006/metadata/core-properties"/>
    <ds:schemaRef ds:uri="cdb461a0-7479-431a-aff8-32582ad0a23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0039B39-3A56-44C8-BEC2-5FDD1ABB9057}"/>
</file>

<file path=customXml/itemProps3.xml><?xml version="1.0" encoding="utf-8"?>
<ds:datastoreItem xmlns:ds="http://schemas.openxmlformats.org/officeDocument/2006/customXml" ds:itemID="{4B34BBA9-5B81-40A3-8945-C84C099CEF1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C9FEB45-7E6C-4378-97AC-F5943B5A3E53}"/>
</file>

<file path=customXml/itemProps5.xml><?xml version="1.0" encoding="utf-8"?>
<ds:datastoreItem xmlns:ds="http://schemas.openxmlformats.org/officeDocument/2006/customXml" ds:itemID="{2A647D14-13CC-49FF-A394-6572099250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Gas Chart</vt:lpstr>
      <vt:lpstr>Gas Data</vt:lpstr>
      <vt:lpstr>Sheet1</vt:lpstr>
    </vt:vector>
  </TitlesOfParts>
  <Company>BAE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2014 PC 4.2.1b-EMS-Gas Graphs and data</dc:title>
  <dc:creator>BAE</dc:creator>
  <cp:keywords>Glascoed Gas Graphs and data</cp:keywords>
  <cp:lastModifiedBy>Parr, Elizabeth</cp:lastModifiedBy>
  <cp:lastPrinted>2014-08-08T10:02:50Z</cp:lastPrinted>
  <dcterms:created xsi:type="dcterms:W3CDTF">2011-03-29T09:38:52Z</dcterms:created>
  <dcterms:modified xsi:type="dcterms:W3CDTF">2016-08-24T07:44:01Z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303086ae-6506-423d-9ac5-0aa990a7b2ab</vt:lpwstr>
  </property>
  <property fmtid="{D5CDD505-2E9C-101B-9397-08002B2CF9AE}" pid="4" name="TaxKeyword">
    <vt:lpwstr>2692;#Glascoed Gas Graphs and data|9d1a64f1-3a8b-47d9-ba7f-9824110e1574</vt:lpwstr>
  </property>
  <property fmtid="{D5CDD505-2E9C-101B-9397-08002B2CF9AE}" pid="5" name="Document Type">
    <vt:lpwstr>446;#Energy|877bbe0a-507a-4151-91f7-52cb610832a0</vt:lpwstr>
  </property>
  <property fmtid="{D5CDD505-2E9C-101B-9397-08002B2CF9AE}" pid="6" name="_docset_NoMedatataSyncRequired">
    <vt:lpwstr>False</vt:lpwstr>
  </property>
  <property fmtid="{D5CDD505-2E9C-101B-9397-08002B2CF9AE}" pid="7" name="_dlc_DocId">
    <vt:lpwstr>REGU-386-14401</vt:lpwstr>
  </property>
  <property fmtid="{D5CDD505-2E9C-101B-9397-08002B2CF9AE}" pid="8" name="_dlc_DocIdUrl">
    <vt:lpwstr>https://cyfoethnaturiolcymru.sharepoint.com/teams/Regulatory/Permitting/_layouts/15/DocIdRedir.aspx?ID=REGU-386-14401, REGU-386-14401</vt:lpwstr>
  </property>
</Properties>
</file>